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60" yWindow="75" windowWidth="11970" windowHeight="4860" firstSheet="2" activeTab="2"/>
  </bookViews>
  <sheets>
    <sheet name="DIST" sheetId="2" r:id="rId1"/>
    <sheet name="GENSUM" sheetId="12" r:id="rId2"/>
    <sheet name="Ministries Breakdown" sheetId="11" r:id="rId3"/>
    <sheet name="CRF" sheetId="10" r:id="rId4"/>
    <sheet name="432 Breakdown" sheetId="23" r:id="rId5"/>
    <sheet name="Parastatals" sheetId="9" r:id="rId6"/>
    <sheet name="BUDBRF" sheetId="8" r:id="rId7"/>
    <sheet name="Revenue" sheetId="15" r:id="rId8"/>
    <sheet name="SAL TABLE" sheetId="24" r:id="rId9"/>
    <sheet name="CAPITAL" sheetId="25" r:id="rId10"/>
    <sheet name="Cap A7" sheetId="34" r:id="rId11"/>
    <sheet name="Cap Rev." sheetId="33" r:id="rId12"/>
    <sheet name="SALARIES" sheetId="27" r:id="rId13"/>
    <sheet name="OVHC" sheetId="28" r:id="rId14"/>
    <sheet name="SCHEDULE I" sheetId="29" r:id="rId15"/>
    <sheet name="SCHDULE II" sheetId="30" r:id="rId16"/>
    <sheet name="SCHDULE 111" sheetId="31" r:id="rId17"/>
    <sheet name="Sheet2" sheetId="3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Print_Area" localSheetId="4">'432 Breakdown'!$A$1:$I$2246</definedName>
    <definedName name="_xlnm.Print_Area" localSheetId="6">BUDBRF!$A$1:$I$42</definedName>
    <definedName name="_xlnm.Print_Area" localSheetId="10">'Cap A7'!$A$1:$J$48</definedName>
    <definedName name="_xlnm.Print_Area" localSheetId="11">'Cap Rev.'!$A$1:$H$136</definedName>
    <definedName name="_xlnm.Print_Area" localSheetId="9">CAPITAL!$A$1:$J$806</definedName>
    <definedName name="_xlnm.Print_Area" localSheetId="3">CRF!$A$1:$F$306</definedName>
    <definedName name="_xlnm.Print_Area" localSheetId="0">DIST!$A$1:$H$27</definedName>
    <definedName name="_xlnm.Print_Area" localSheetId="1">GENSUM!$A$1:$J$78</definedName>
    <definedName name="_xlnm.Print_Area" localSheetId="2">'Ministries Breakdown'!$A$1:$J$8480</definedName>
    <definedName name="_xlnm.Print_Area" localSheetId="5">Parastatals!$A$1:$I$83</definedName>
    <definedName name="_xlnm.Print_Area" localSheetId="7">Revenue!$A$1:$I$290</definedName>
    <definedName name="_xlnm.Print_Titles" localSheetId="6">BUDBRF!$2:$2</definedName>
    <definedName name="_xlnm.Print_Titles" localSheetId="1">GENSUM!$3:$3</definedName>
    <definedName name="_xlnm.Print_Titles" localSheetId="5">Parastatals!$3:$4</definedName>
  </definedNames>
  <calcPr calcId="125725" concurrentCalc="0"/>
  <fileRecoveryPr autoRecover="0"/>
</workbook>
</file>

<file path=xl/calcChain.xml><?xml version="1.0" encoding="utf-8"?>
<calcChain xmlns="http://schemas.openxmlformats.org/spreadsheetml/2006/main">
  <c r="F35" i="8"/>
  <c r="H269" i="10"/>
  <c r="F266"/>
  <c r="F267"/>
  <c r="I74" i="12"/>
  <c r="J74"/>
  <c r="D22" i="2"/>
  <c r="F22"/>
  <c r="I267" i="10"/>
  <c r="G6178" i="11"/>
  <c r="G6179"/>
  <c r="H52" i="12"/>
  <c r="H73"/>
  <c r="H78"/>
  <c r="D23" i="2"/>
  <c r="F33" i="8"/>
  <c r="F42"/>
  <c r="J6174" i="11"/>
  <c r="A6174"/>
  <c r="A6175"/>
  <c r="A634" i="25"/>
  <c r="A635"/>
  <c r="A636"/>
  <c r="A637"/>
  <c r="A638"/>
  <c r="A639"/>
  <c r="C30"/>
  <c r="H134"/>
  <c r="I134"/>
  <c r="C134"/>
  <c r="H187"/>
  <c r="I187"/>
  <c r="C187"/>
  <c r="H275"/>
  <c r="I275"/>
  <c r="C275"/>
  <c r="C426"/>
  <c r="J8" i="11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6"/>
  <c r="J47"/>
  <c r="J49"/>
  <c r="J50"/>
  <c r="J51"/>
  <c r="J52"/>
  <c r="J54"/>
  <c r="J55"/>
  <c r="J56"/>
  <c r="J57"/>
  <c r="J58"/>
  <c r="J59"/>
  <c r="J60"/>
  <c r="J61"/>
  <c r="J62"/>
  <c r="J63"/>
  <c r="J65"/>
  <c r="J66"/>
  <c r="J67"/>
  <c r="J68"/>
  <c r="J70"/>
  <c r="J71"/>
  <c r="J72"/>
  <c r="J73"/>
  <c r="J74"/>
  <c r="J75"/>
  <c r="J76"/>
  <c r="J77"/>
  <c r="J78"/>
  <c r="J79"/>
  <c r="J80"/>
  <c r="J81"/>
  <c r="J82"/>
  <c r="J83"/>
  <c r="J84"/>
  <c r="J85"/>
  <c r="J86"/>
  <c r="J89"/>
  <c r="J90"/>
  <c r="J91"/>
  <c r="J92"/>
  <c r="J94"/>
  <c r="J95"/>
  <c r="J96"/>
  <c r="J97"/>
  <c r="J98"/>
  <c r="J99"/>
  <c r="J100"/>
  <c r="J101"/>
  <c r="G103"/>
  <c r="G104"/>
  <c r="G105"/>
  <c r="G108"/>
  <c r="G110"/>
  <c r="H4" i="12"/>
  <c r="J180" i="11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4"/>
  <c r="J215"/>
  <c r="J216"/>
  <c r="J217"/>
  <c r="J218"/>
  <c r="J219"/>
  <c r="J220"/>
  <c r="J221"/>
  <c r="J222"/>
  <c r="J223"/>
  <c r="J225"/>
  <c r="J226"/>
  <c r="J227"/>
  <c r="J229"/>
  <c r="J230"/>
  <c r="J231"/>
  <c r="J232"/>
  <c r="J233"/>
  <c r="J234"/>
  <c r="J235"/>
  <c r="J236"/>
  <c r="J237"/>
  <c r="J238"/>
  <c r="J239"/>
  <c r="J240"/>
  <c r="J241"/>
  <c r="J242"/>
  <c r="J243"/>
  <c r="J244"/>
  <c r="J246"/>
  <c r="J247"/>
  <c r="J248"/>
  <c r="J249"/>
  <c r="J250"/>
  <c r="J251"/>
  <c r="J252"/>
  <c r="J253"/>
  <c r="J256"/>
  <c r="J257"/>
  <c r="J258"/>
  <c r="J259"/>
  <c r="J260"/>
  <c r="J261"/>
  <c r="J262"/>
  <c r="J263"/>
  <c r="J264"/>
  <c r="J265"/>
  <c r="J266"/>
  <c r="J267"/>
  <c r="J268"/>
  <c r="J270"/>
  <c r="J271"/>
  <c r="J272"/>
  <c r="J273"/>
  <c r="J274"/>
  <c r="J275"/>
  <c r="J276"/>
  <c r="J277"/>
  <c r="J278"/>
  <c r="J279"/>
  <c r="J280"/>
  <c r="J281"/>
  <c r="J282"/>
  <c r="J283"/>
  <c r="J284"/>
  <c r="G287"/>
  <c r="G288"/>
  <c r="G289"/>
  <c r="G291"/>
  <c r="G293"/>
  <c r="H6" i="12"/>
  <c r="J329" i="11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5"/>
  <c r="J356"/>
  <c r="J357"/>
  <c r="J358"/>
  <c r="J359"/>
  <c r="J360"/>
  <c r="J361"/>
  <c r="J363"/>
  <c r="J364"/>
  <c r="J365"/>
  <c r="J366"/>
  <c r="J367"/>
  <c r="J368"/>
  <c r="J369"/>
  <c r="J371"/>
  <c r="J372"/>
  <c r="J373"/>
  <c r="J374"/>
  <c r="J376"/>
  <c r="J377"/>
  <c r="J378"/>
  <c r="J379"/>
  <c r="J380"/>
  <c r="J382"/>
  <c r="G385"/>
  <c r="G386"/>
  <c r="G387"/>
  <c r="G390"/>
  <c r="G393"/>
  <c r="H7" i="12"/>
  <c r="J437" i="11"/>
  <c r="J438"/>
  <c r="J439"/>
  <c r="J440"/>
  <c r="J441"/>
  <c r="J442"/>
  <c r="J443"/>
  <c r="J444"/>
  <c r="J445"/>
  <c r="J446"/>
  <c r="J447"/>
  <c r="J448"/>
  <c r="J449"/>
  <c r="J450"/>
  <c r="J452"/>
  <c r="J453"/>
  <c r="J454"/>
  <c r="J455"/>
  <c r="J457"/>
  <c r="J458"/>
  <c r="J459"/>
  <c r="J460"/>
  <c r="J461"/>
  <c r="J463"/>
  <c r="J464"/>
  <c r="J465"/>
  <c r="J466"/>
  <c r="J468"/>
  <c r="J469"/>
  <c r="J470"/>
  <c r="J471"/>
  <c r="J472"/>
  <c r="J473"/>
  <c r="J475"/>
  <c r="J476"/>
  <c r="J477"/>
  <c r="J478"/>
  <c r="J480"/>
  <c r="J481"/>
  <c r="J482"/>
  <c r="J483"/>
  <c r="J484"/>
  <c r="J485"/>
  <c r="J486"/>
  <c r="J487"/>
  <c r="J488"/>
  <c r="G491"/>
  <c r="G492"/>
  <c r="G495"/>
  <c r="G498"/>
  <c r="H8" i="12"/>
  <c r="J537" i="11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4"/>
  <c r="J565"/>
  <c r="J566"/>
  <c r="J567"/>
  <c r="J569"/>
  <c r="J570"/>
  <c r="J571"/>
  <c r="J572"/>
  <c r="J573"/>
  <c r="G576"/>
  <c r="G577"/>
  <c r="G579"/>
  <c r="G581"/>
  <c r="H9" i="12"/>
  <c r="J617" i="11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2"/>
  <c r="J643"/>
  <c r="J644"/>
  <c r="J645"/>
  <c r="J646"/>
  <c r="J647"/>
  <c r="J648"/>
  <c r="J649"/>
  <c r="J650"/>
  <c r="J651"/>
  <c r="J652"/>
  <c r="J653"/>
  <c r="J656"/>
  <c r="J657"/>
  <c r="J658"/>
  <c r="J659"/>
  <c r="J660"/>
  <c r="J661"/>
  <c r="J662"/>
  <c r="J663"/>
  <c r="J665"/>
  <c r="J666"/>
  <c r="J667"/>
  <c r="J668"/>
  <c r="J669"/>
  <c r="J670"/>
  <c r="J671"/>
  <c r="J672"/>
  <c r="J673"/>
  <c r="J674"/>
  <c r="J676"/>
  <c r="J677"/>
  <c r="J678"/>
  <c r="J679"/>
  <c r="J680"/>
  <c r="J681"/>
  <c r="J683"/>
  <c r="J684"/>
  <c r="J685"/>
  <c r="J686"/>
  <c r="J687"/>
  <c r="J688"/>
  <c r="J689"/>
  <c r="J690"/>
  <c r="G692"/>
  <c r="G693"/>
  <c r="G694"/>
  <c r="H10" i="12"/>
  <c r="J730" i="11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7"/>
  <c r="J758"/>
  <c r="J759"/>
  <c r="J760"/>
  <c r="J761"/>
  <c r="J762"/>
  <c r="J763"/>
  <c r="J764"/>
  <c r="J765"/>
  <c r="J768"/>
  <c r="J769"/>
  <c r="J770"/>
  <c r="J772"/>
  <c r="J773"/>
  <c r="J774"/>
  <c r="J775"/>
  <c r="J776"/>
  <c r="J777"/>
  <c r="J778"/>
  <c r="J780"/>
  <c r="J781"/>
  <c r="J782"/>
  <c r="J783"/>
  <c r="J784"/>
  <c r="J786"/>
  <c r="J787"/>
  <c r="J788"/>
  <c r="J789"/>
  <c r="J790"/>
  <c r="J791"/>
  <c r="J792"/>
  <c r="J793"/>
  <c r="J794"/>
  <c r="J795"/>
  <c r="J796"/>
  <c r="J797"/>
  <c r="J798"/>
  <c r="J800"/>
  <c r="J801"/>
  <c r="J802"/>
  <c r="J803"/>
  <c r="J804"/>
  <c r="J805"/>
  <c r="J806"/>
  <c r="J807"/>
  <c r="J808"/>
  <c r="J809"/>
  <c r="G812"/>
  <c r="G813"/>
  <c r="G815"/>
  <c r="G817"/>
  <c r="H11" i="12"/>
  <c r="J867" i="11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8"/>
  <c r="J899"/>
  <c r="J900"/>
  <c r="J901"/>
  <c r="J902"/>
  <c r="J905"/>
  <c r="J907"/>
  <c r="J908"/>
  <c r="J909"/>
  <c r="J910"/>
  <c r="J911"/>
  <c r="J912"/>
  <c r="J913"/>
  <c r="J914"/>
  <c r="J915"/>
  <c r="J917"/>
  <c r="J918"/>
  <c r="J919"/>
  <c r="J920"/>
  <c r="J921"/>
  <c r="J923"/>
  <c r="J924"/>
  <c r="J925"/>
  <c r="J926"/>
  <c r="J927"/>
  <c r="J928"/>
  <c r="J930"/>
  <c r="G933"/>
  <c r="G937"/>
  <c r="G939"/>
  <c r="H12" i="12"/>
  <c r="J1014" i="11"/>
  <c r="J1015"/>
  <c r="J1016"/>
  <c r="J1017"/>
  <c r="J1018"/>
  <c r="J1019"/>
  <c r="J1020"/>
  <c r="J1021"/>
  <c r="J1023"/>
  <c r="J1024"/>
  <c r="J1025"/>
  <c r="J1026"/>
  <c r="J1027"/>
  <c r="J1028"/>
  <c r="J1029"/>
  <c r="J1030"/>
  <c r="J1031"/>
  <c r="J1033"/>
  <c r="J1034"/>
  <c r="J1035"/>
  <c r="J1037"/>
  <c r="J1038"/>
  <c r="J1039"/>
  <c r="J1040"/>
  <c r="G1042"/>
  <c r="G1043"/>
  <c r="G1044"/>
  <c r="G1045"/>
  <c r="G1046"/>
  <c r="H14" i="12"/>
  <c r="J1088" i="11"/>
  <c r="J1089"/>
  <c r="J1090"/>
  <c r="J1091"/>
  <c r="J1092"/>
  <c r="J1093"/>
  <c r="J1094"/>
  <c r="J1095"/>
  <c r="J1097"/>
  <c r="J1098"/>
  <c r="J1099"/>
  <c r="J1100"/>
  <c r="J1101"/>
  <c r="J1102"/>
  <c r="J1103"/>
  <c r="J1104"/>
  <c r="J1106"/>
  <c r="J1107"/>
  <c r="J1108"/>
  <c r="J1110"/>
  <c r="J1111"/>
  <c r="J1112"/>
  <c r="J1114"/>
  <c r="G1117"/>
  <c r="G1118"/>
  <c r="G1119"/>
  <c r="G1120"/>
  <c r="G1122"/>
  <c r="H15" i="12"/>
  <c r="J1159" i="11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2"/>
  <c r="J1193"/>
  <c r="J1194"/>
  <c r="J1197"/>
  <c r="J1198"/>
  <c r="J1199"/>
  <c r="J1200"/>
  <c r="J1202"/>
  <c r="J1203"/>
  <c r="J1204"/>
  <c r="J1205"/>
  <c r="J1206"/>
  <c r="J1207"/>
  <c r="J1208"/>
  <c r="J1209"/>
  <c r="J1210"/>
  <c r="J1211"/>
  <c r="J1212"/>
  <c r="J1213"/>
  <c r="J1214"/>
  <c r="J1216"/>
  <c r="J1217"/>
  <c r="J1218"/>
  <c r="J1219"/>
  <c r="J1220"/>
  <c r="J1222"/>
  <c r="J1223"/>
  <c r="J1224"/>
  <c r="J1225"/>
  <c r="J1226"/>
  <c r="J1227"/>
  <c r="J1229"/>
  <c r="J1230"/>
  <c r="J1231"/>
  <c r="J1232"/>
  <c r="J1234"/>
  <c r="J1235"/>
  <c r="J1236"/>
  <c r="J1240"/>
  <c r="J1241"/>
  <c r="J1242"/>
  <c r="J1243"/>
  <c r="J1244"/>
  <c r="J1245"/>
  <c r="J1246"/>
  <c r="J1247"/>
  <c r="J1248"/>
  <c r="J1249"/>
  <c r="J1250"/>
  <c r="J1251"/>
  <c r="J1252"/>
  <c r="J1254"/>
  <c r="J1255"/>
  <c r="J1256"/>
  <c r="J1257"/>
  <c r="J1258"/>
  <c r="J1259"/>
  <c r="J1260"/>
  <c r="J1261"/>
  <c r="J1262"/>
  <c r="J1263"/>
  <c r="J1265"/>
  <c r="J1266"/>
  <c r="J1267"/>
  <c r="J1268"/>
  <c r="J1269"/>
  <c r="J1270"/>
  <c r="J1272"/>
  <c r="J1273"/>
  <c r="J1274"/>
  <c r="J1276"/>
  <c r="J1277"/>
  <c r="J1278"/>
  <c r="J1279"/>
  <c r="J1280"/>
  <c r="G1282"/>
  <c r="G1286"/>
  <c r="G1287"/>
  <c r="H16" i="12"/>
  <c r="J1363" i="11"/>
  <c r="J1364"/>
  <c r="J1365"/>
  <c r="J1366"/>
  <c r="J1367"/>
  <c r="J1368"/>
  <c r="J1369"/>
  <c r="J1370"/>
  <c r="J1371"/>
  <c r="J1372"/>
  <c r="J1373"/>
  <c r="J1374"/>
  <c r="J1375"/>
  <c r="J1376"/>
  <c r="J1378"/>
  <c r="G1380"/>
  <c r="G1381"/>
  <c r="G1382"/>
  <c r="H17" i="12"/>
  <c r="J1422" i="11"/>
  <c r="J1423"/>
  <c r="J1424"/>
  <c r="J1425"/>
  <c r="J1426"/>
  <c r="J1427"/>
  <c r="J1428"/>
  <c r="J1429"/>
  <c r="J1430"/>
  <c r="J1431"/>
  <c r="J1432"/>
  <c r="J1433"/>
  <c r="J1435"/>
  <c r="J1436"/>
  <c r="J1437"/>
  <c r="J1438"/>
  <c r="J1440"/>
  <c r="J1441"/>
  <c r="J1442"/>
  <c r="J1443"/>
  <c r="J1444"/>
  <c r="J1445"/>
  <c r="J1447"/>
  <c r="J1448"/>
  <c r="J1449"/>
  <c r="J1450"/>
  <c r="J1451"/>
  <c r="J1454"/>
  <c r="J1455"/>
  <c r="J1456"/>
  <c r="J1457"/>
  <c r="J1458"/>
  <c r="J1459"/>
  <c r="J1460"/>
  <c r="G1462"/>
  <c r="G1463"/>
  <c r="G1464"/>
  <c r="G1468"/>
  <c r="G1470"/>
  <c r="H18" i="12"/>
  <c r="J1509" i="11"/>
  <c r="J1510"/>
  <c r="J1511"/>
  <c r="J1512"/>
  <c r="J1513"/>
  <c r="J1514"/>
  <c r="J1515"/>
  <c r="J1516"/>
  <c r="J1517"/>
  <c r="G1520"/>
  <c r="G1521"/>
  <c r="G1522"/>
  <c r="G1523"/>
  <c r="G1526"/>
  <c r="G1528"/>
  <c r="H19" i="12"/>
  <c r="J1570" i="11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8"/>
  <c r="J1599"/>
  <c r="J1600"/>
  <c r="J1601"/>
  <c r="J1602"/>
  <c r="J1603"/>
  <c r="J1605"/>
  <c r="J1606"/>
  <c r="J1607"/>
  <c r="G1609"/>
  <c r="G1611"/>
  <c r="G1612"/>
  <c r="H20" i="12"/>
  <c r="J1648" i="11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5"/>
  <c r="J1676"/>
  <c r="J1677"/>
  <c r="J1678"/>
  <c r="J1679"/>
  <c r="J1680"/>
  <c r="J1681"/>
  <c r="J1682"/>
  <c r="J1685"/>
  <c r="J1686"/>
  <c r="J1688"/>
  <c r="J1689"/>
  <c r="J1690"/>
  <c r="J1691"/>
  <c r="J1692"/>
  <c r="J1694"/>
  <c r="J1695"/>
  <c r="J1696"/>
  <c r="J1697"/>
  <c r="J1698"/>
  <c r="J1700"/>
  <c r="J1701"/>
  <c r="J1702"/>
  <c r="J1703"/>
  <c r="J1704"/>
  <c r="J1705"/>
  <c r="G1707"/>
  <c r="G1708"/>
  <c r="G1709"/>
  <c r="H21" i="12"/>
  <c r="J1745" i="11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9"/>
  <c r="J1780"/>
  <c r="J1783"/>
  <c r="J1784"/>
  <c r="J1785"/>
  <c r="J1786"/>
  <c r="J1787"/>
  <c r="J1788"/>
  <c r="J1790"/>
  <c r="J1791"/>
  <c r="J1793"/>
  <c r="J1794"/>
  <c r="J1795"/>
  <c r="J1796"/>
  <c r="J1797"/>
  <c r="J1798"/>
  <c r="J1799"/>
  <c r="J1801"/>
  <c r="J1802"/>
  <c r="J1803"/>
  <c r="J1804"/>
  <c r="J1805"/>
  <c r="J1806"/>
  <c r="J1807"/>
  <c r="J1808"/>
  <c r="J1810"/>
  <c r="J1811"/>
  <c r="J1812"/>
  <c r="J1813"/>
  <c r="J1814"/>
  <c r="J1815"/>
  <c r="J1816"/>
  <c r="J1817"/>
  <c r="J1818"/>
  <c r="J1820"/>
  <c r="J1821"/>
  <c r="J1822"/>
  <c r="J1823"/>
  <c r="J1824"/>
  <c r="G1826"/>
  <c r="G1827"/>
  <c r="G1828"/>
  <c r="G1829"/>
  <c r="H22" i="12"/>
  <c r="J1871" i="1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3"/>
  <c r="J1904"/>
  <c r="J1905"/>
  <c r="J1906"/>
  <c r="J1909"/>
  <c r="J1910"/>
  <c r="J1911"/>
  <c r="J1912"/>
  <c r="J1913"/>
  <c r="J1914"/>
  <c r="J1915"/>
  <c r="J1916"/>
  <c r="J1917"/>
  <c r="J1918"/>
  <c r="J1919"/>
  <c r="J1920"/>
  <c r="J1922"/>
  <c r="J1923"/>
  <c r="J1924"/>
  <c r="J1925"/>
  <c r="J1926"/>
  <c r="J1927"/>
  <c r="J1928"/>
  <c r="J1929"/>
  <c r="J1930"/>
  <c r="J1931"/>
  <c r="J1932"/>
  <c r="J1934"/>
  <c r="J1935"/>
  <c r="J1936"/>
  <c r="J1937"/>
  <c r="J1938"/>
  <c r="J1939"/>
  <c r="J1940"/>
  <c r="J1941"/>
  <c r="J1942"/>
  <c r="J1943"/>
  <c r="J1944"/>
  <c r="J1946"/>
  <c r="J1947"/>
  <c r="J1948"/>
  <c r="J1949"/>
  <c r="J1952"/>
  <c r="J1953"/>
  <c r="J1955"/>
  <c r="J1956"/>
  <c r="J1957"/>
  <c r="J1958"/>
  <c r="J1959"/>
  <c r="J1960"/>
  <c r="J1961"/>
  <c r="J1962"/>
  <c r="J1963"/>
  <c r="J1964"/>
  <c r="J1965"/>
  <c r="J1966"/>
  <c r="G1969"/>
  <c r="G1970"/>
  <c r="G1973"/>
  <c r="H23" i="12"/>
  <c r="J2008" i="11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1"/>
  <c r="J2032"/>
  <c r="J2033"/>
  <c r="J2034"/>
  <c r="J2035"/>
  <c r="G2038"/>
  <c r="G2039"/>
  <c r="G2040"/>
  <c r="H24" i="12"/>
  <c r="J2075" i="11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8"/>
  <c r="J2099"/>
  <c r="J2100"/>
  <c r="J2101"/>
  <c r="J2104"/>
  <c r="J2105"/>
  <c r="J2107"/>
  <c r="J2108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9"/>
  <c r="J2150"/>
  <c r="J2151"/>
  <c r="J2154"/>
  <c r="J2155"/>
  <c r="J2156"/>
  <c r="J2157"/>
  <c r="J2158"/>
  <c r="J2159"/>
  <c r="J2160"/>
  <c r="J2161"/>
  <c r="J2162"/>
  <c r="J2163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8"/>
  <c r="J2189"/>
  <c r="J2190"/>
  <c r="J2191"/>
  <c r="J2192"/>
  <c r="J2193"/>
  <c r="J2194"/>
  <c r="J2195"/>
  <c r="J2198"/>
  <c r="J2199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G2218"/>
  <c r="G2219"/>
  <c r="G2220"/>
  <c r="H25" i="12"/>
  <c r="J2259" i="11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2"/>
  <c r="J2283"/>
  <c r="J2284"/>
  <c r="J2285"/>
  <c r="J2287"/>
  <c r="J2288"/>
  <c r="J2290"/>
  <c r="J2291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7"/>
  <c r="J2318"/>
  <c r="J2319"/>
  <c r="J2320"/>
  <c r="J2321"/>
  <c r="J2322"/>
  <c r="J2323"/>
  <c r="J2324"/>
  <c r="J2325"/>
  <c r="J2327"/>
  <c r="G2329"/>
  <c r="G2330"/>
  <c r="G2331"/>
  <c r="H26" i="12"/>
  <c r="J2376" i="11"/>
  <c r="J2377"/>
  <c r="J2378"/>
  <c r="J2379"/>
  <c r="J2380"/>
  <c r="J2381"/>
  <c r="J2382"/>
  <c r="J2383"/>
  <c r="J2384"/>
  <c r="J2385"/>
  <c r="J2386"/>
  <c r="J2387"/>
  <c r="J2388"/>
  <c r="J2390"/>
  <c r="J2391"/>
  <c r="J2392"/>
  <c r="J2393"/>
  <c r="J2394"/>
  <c r="J2395"/>
  <c r="J2396"/>
  <c r="J2405"/>
  <c r="G2407"/>
  <c r="G2408"/>
  <c r="G2409"/>
  <c r="H27" i="12"/>
  <c r="J2454" i="11"/>
  <c r="J2460"/>
  <c r="J2461"/>
  <c r="J2462"/>
  <c r="J2463"/>
  <c r="J2464"/>
  <c r="J2465"/>
  <c r="J2466"/>
  <c r="G2468"/>
  <c r="G2470"/>
  <c r="G2471"/>
  <c r="H28" i="12"/>
  <c r="J2509" i="11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2"/>
  <c r="J2533"/>
  <c r="J2534"/>
  <c r="J2535"/>
  <c r="J2536"/>
  <c r="J2537"/>
  <c r="J2538"/>
  <c r="G2540"/>
  <c r="G2541"/>
  <c r="G2542"/>
  <c r="H29" i="12"/>
  <c r="J2581" i="11"/>
  <c r="J2582"/>
  <c r="J2583"/>
  <c r="J2584"/>
  <c r="J2585"/>
  <c r="J2586"/>
  <c r="J2587"/>
  <c r="J2588"/>
  <c r="J2589"/>
  <c r="J2590"/>
  <c r="J2591"/>
  <c r="J2592"/>
  <c r="J2594"/>
  <c r="J2595"/>
  <c r="J2596"/>
  <c r="J2598"/>
  <c r="J2599"/>
  <c r="J2600"/>
  <c r="J2601"/>
  <c r="J2602"/>
  <c r="J2605"/>
  <c r="G2608"/>
  <c r="G2609"/>
  <c r="G2612"/>
  <c r="H30" i="12"/>
  <c r="J2652" i="11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700"/>
  <c r="J2701"/>
  <c r="J2702"/>
  <c r="J2703"/>
  <c r="J2704"/>
  <c r="J2705"/>
  <c r="J2706"/>
  <c r="J2707"/>
  <c r="J2709"/>
  <c r="J2710"/>
  <c r="J2711"/>
  <c r="J2713"/>
  <c r="J2714"/>
  <c r="J2715"/>
  <c r="J2716"/>
  <c r="J2717"/>
  <c r="J2719"/>
  <c r="J2720"/>
  <c r="J2721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8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2"/>
  <c r="J2813"/>
  <c r="J2814"/>
  <c r="J2815"/>
  <c r="J2816"/>
  <c r="J2817"/>
  <c r="J2818"/>
  <c r="J2819"/>
  <c r="J2820"/>
  <c r="J2821"/>
  <c r="J2822"/>
  <c r="J2823"/>
  <c r="J2824"/>
  <c r="J2825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G2846"/>
  <c r="G2847"/>
  <c r="G2849"/>
  <c r="H32" i="12"/>
  <c r="J2893" i="11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1"/>
  <c r="J2922"/>
  <c r="J2923"/>
  <c r="J2925"/>
  <c r="J2926"/>
  <c r="J2927"/>
  <c r="J2928"/>
  <c r="J2931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8"/>
  <c r="J2969"/>
  <c r="J2970"/>
  <c r="J2971"/>
  <c r="J2974"/>
  <c r="J2975"/>
  <c r="J2976"/>
  <c r="J2977"/>
  <c r="J2978"/>
  <c r="J2979"/>
  <c r="J2980"/>
  <c r="J2982"/>
  <c r="J2983"/>
  <c r="J2984"/>
  <c r="J2985"/>
  <c r="J2986"/>
  <c r="J2987"/>
  <c r="J2988"/>
  <c r="J2989"/>
  <c r="J2990"/>
  <c r="J2991"/>
  <c r="J2992"/>
  <c r="J2994"/>
  <c r="J2995"/>
  <c r="J2996"/>
  <c r="J2997"/>
  <c r="J2998"/>
  <c r="J2999"/>
  <c r="J3000"/>
  <c r="J3001"/>
  <c r="J3002"/>
  <c r="J3003"/>
  <c r="G3006"/>
  <c r="G3008"/>
  <c r="G3010"/>
  <c r="H33" i="12"/>
  <c r="J3052" i="11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4"/>
  <c r="J3075"/>
  <c r="J3076"/>
  <c r="J3078"/>
  <c r="J3079"/>
  <c r="J3080"/>
  <c r="J3081"/>
  <c r="J3082"/>
  <c r="J3084"/>
  <c r="J3085"/>
  <c r="J3086"/>
  <c r="J3087"/>
  <c r="J3090"/>
  <c r="J3091"/>
  <c r="J3092"/>
  <c r="J3093"/>
  <c r="J3094"/>
  <c r="J3095"/>
  <c r="J3096"/>
  <c r="J3097"/>
  <c r="J3098"/>
  <c r="J3099"/>
  <c r="J3100"/>
  <c r="J3101"/>
  <c r="J3102"/>
  <c r="J3103"/>
  <c r="J3105"/>
  <c r="J3106"/>
  <c r="J3107"/>
  <c r="J3108"/>
  <c r="J3109"/>
  <c r="J3110"/>
  <c r="J3111"/>
  <c r="J3112"/>
  <c r="J3113"/>
  <c r="J3117"/>
  <c r="G3120"/>
  <c r="G3121"/>
  <c r="G3123"/>
  <c r="H34" i="12"/>
  <c r="J3160" i="11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2"/>
  <c r="J3193"/>
  <c r="J3194"/>
  <c r="J3195"/>
  <c r="J3198"/>
  <c r="J3199"/>
  <c r="J3200"/>
  <c r="J3201"/>
  <c r="J3202"/>
  <c r="J3203"/>
  <c r="J3204"/>
  <c r="J3205"/>
  <c r="J3206"/>
  <c r="J3207"/>
  <c r="J3208"/>
  <c r="J3209"/>
  <c r="J3210"/>
  <c r="J3212"/>
  <c r="J3213"/>
  <c r="J3214"/>
  <c r="J3215"/>
  <c r="J3216"/>
  <c r="J3217"/>
  <c r="J3218"/>
  <c r="J3219"/>
  <c r="J3220"/>
  <c r="J3221"/>
  <c r="J3222"/>
  <c r="J3223"/>
  <c r="J3224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G3244"/>
  <c r="G3245"/>
  <c r="G3248"/>
  <c r="H35" i="12"/>
  <c r="J3291" i="11"/>
  <c r="J3292"/>
  <c r="J3293"/>
  <c r="J3294"/>
  <c r="J3295"/>
  <c r="J3296"/>
  <c r="J3297"/>
  <c r="J3298"/>
  <c r="J3299"/>
  <c r="J3300"/>
  <c r="J3302"/>
  <c r="J3303"/>
  <c r="J3304"/>
  <c r="J3306"/>
  <c r="J3307"/>
  <c r="J3308"/>
  <c r="J3309"/>
  <c r="J3310"/>
  <c r="J3311"/>
  <c r="J3313"/>
  <c r="J3314"/>
  <c r="J3315"/>
  <c r="J3316"/>
  <c r="J3317"/>
  <c r="J3318"/>
  <c r="J3319"/>
  <c r="J3327"/>
  <c r="G3329"/>
  <c r="G3330"/>
  <c r="G3331"/>
  <c r="H36" i="12"/>
  <c r="J3368" i="11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2"/>
  <c r="J3403"/>
  <c r="J3406"/>
  <c r="J3407"/>
  <c r="J3408"/>
  <c r="J3409"/>
  <c r="J3410"/>
  <c r="J3411"/>
  <c r="J3412"/>
  <c r="J3414"/>
  <c r="J3415"/>
  <c r="J3416"/>
  <c r="J3417"/>
  <c r="J3418"/>
  <c r="J3419"/>
  <c r="J3420"/>
  <c r="J3421"/>
  <c r="J3422"/>
  <c r="J3423"/>
  <c r="J3425"/>
  <c r="J3426"/>
  <c r="J3427"/>
  <c r="J3428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9"/>
  <c r="J3450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5"/>
  <c r="J3486"/>
  <c r="J3487"/>
  <c r="J3488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9"/>
  <c r="J3510"/>
  <c r="J3511"/>
  <c r="J3512"/>
  <c r="J3514"/>
  <c r="J3515"/>
  <c r="J3516"/>
  <c r="J3517"/>
  <c r="J3519"/>
  <c r="J3520"/>
  <c r="J3521"/>
  <c r="J3522"/>
  <c r="G3525"/>
  <c r="G3528"/>
  <c r="G3530"/>
  <c r="H37" i="12"/>
  <c r="J3589" i="11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2"/>
  <c r="J3623"/>
  <c r="J3624"/>
  <c r="J3627"/>
  <c r="J3628"/>
  <c r="J3629"/>
  <c r="J3631"/>
  <c r="J3632"/>
  <c r="J3633"/>
  <c r="J3634"/>
  <c r="J3635"/>
  <c r="J3636"/>
  <c r="J3637"/>
  <c r="J3638"/>
  <c r="J3639"/>
  <c r="J3641"/>
  <c r="J3642"/>
  <c r="J3643"/>
  <c r="J3644"/>
  <c r="J3646"/>
  <c r="J3647"/>
  <c r="J3648"/>
  <c r="J3649"/>
  <c r="J3650"/>
  <c r="J3651"/>
  <c r="J3652"/>
  <c r="J3654"/>
  <c r="J3655"/>
  <c r="J3656"/>
  <c r="J3657"/>
  <c r="J3659"/>
  <c r="J3660"/>
  <c r="J3661"/>
  <c r="J3662"/>
  <c r="J3663"/>
  <c r="J3664"/>
  <c r="J3665"/>
  <c r="J3666"/>
  <c r="J3667"/>
  <c r="J3671"/>
  <c r="J3672"/>
  <c r="J3673"/>
  <c r="J3674"/>
  <c r="J3675"/>
  <c r="J3676"/>
  <c r="J3677"/>
  <c r="J3678"/>
  <c r="J3680"/>
  <c r="J3681"/>
  <c r="J3682"/>
  <c r="J3683"/>
  <c r="J3684"/>
  <c r="J3685"/>
  <c r="J3686"/>
  <c r="J3687"/>
  <c r="J3689"/>
  <c r="J3690"/>
  <c r="J3691"/>
  <c r="J3692"/>
  <c r="J3693"/>
  <c r="J3694"/>
  <c r="J3695"/>
  <c r="J3696"/>
  <c r="J3698"/>
  <c r="J3699"/>
  <c r="J3700"/>
  <c r="J3701"/>
  <c r="J3702"/>
  <c r="J3703"/>
  <c r="J3704"/>
  <c r="J3705"/>
  <c r="J3707"/>
  <c r="J3708"/>
  <c r="J3709"/>
  <c r="J3710"/>
  <c r="J3711"/>
  <c r="G3713"/>
  <c r="G3714"/>
  <c r="G3715"/>
  <c r="G3716"/>
  <c r="G3718"/>
  <c r="H38" i="12"/>
  <c r="J3761" i="1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4"/>
  <c r="J3795"/>
  <c r="J3796"/>
  <c r="J3799"/>
  <c r="J3800"/>
  <c r="J3801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20"/>
  <c r="J3821"/>
  <c r="J3822"/>
  <c r="J3823"/>
  <c r="J3824"/>
  <c r="J3825"/>
  <c r="J3826"/>
  <c r="J3827"/>
  <c r="J3828"/>
  <c r="J3829"/>
  <c r="J3830"/>
  <c r="J3834"/>
  <c r="J3835"/>
  <c r="J3836"/>
  <c r="J3837"/>
  <c r="J3838"/>
  <c r="J3839"/>
  <c r="J3842"/>
  <c r="J3843"/>
  <c r="J3844"/>
  <c r="J3845"/>
  <c r="J3846"/>
  <c r="J3847"/>
  <c r="J3848"/>
  <c r="J3849"/>
  <c r="J3850"/>
  <c r="J3851"/>
  <c r="J3852"/>
  <c r="J3853"/>
  <c r="J3854"/>
  <c r="J3855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4"/>
  <c r="J3875"/>
  <c r="J3876"/>
  <c r="J3877"/>
  <c r="J3878"/>
  <c r="J3879"/>
  <c r="J3880"/>
  <c r="J3881"/>
  <c r="J3882"/>
  <c r="J3885"/>
  <c r="J3886"/>
  <c r="J3887"/>
  <c r="J3888"/>
  <c r="J3889"/>
  <c r="J3890"/>
  <c r="J3891"/>
  <c r="J3894"/>
  <c r="J3895"/>
  <c r="J3896"/>
  <c r="J3897"/>
  <c r="J3898"/>
  <c r="J3899"/>
  <c r="J3900"/>
  <c r="J3901"/>
  <c r="J3902"/>
  <c r="J3903"/>
  <c r="G3905"/>
  <c r="G3906"/>
  <c r="G3907"/>
  <c r="G3908"/>
  <c r="H39" i="12"/>
  <c r="J3953" i="11"/>
  <c r="J3954"/>
  <c r="J3955"/>
  <c r="J3956"/>
  <c r="J3957"/>
  <c r="J3958"/>
  <c r="J3959"/>
  <c r="J3960"/>
  <c r="J3961"/>
  <c r="J3962"/>
  <c r="J3963"/>
  <c r="J3964"/>
  <c r="J3965"/>
  <c r="J3967"/>
  <c r="J3968"/>
  <c r="J3969"/>
  <c r="J3970"/>
  <c r="J3971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91"/>
  <c r="J3992"/>
  <c r="J3993"/>
  <c r="J3994"/>
  <c r="J3995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20"/>
  <c r="J4021"/>
  <c r="J4022"/>
  <c r="J4023"/>
  <c r="J4024"/>
  <c r="J4025"/>
  <c r="J4026"/>
  <c r="J4027"/>
  <c r="J4028"/>
  <c r="J4029"/>
  <c r="J4030"/>
  <c r="J4031"/>
  <c r="J4032"/>
  <c r="J4033"/>
  <c r="G4035"/>
  <c r="G4036"/>
  <c r="G4037"/>
  <c r="G4039"/>
  <c r="H40" i="12"/>
  <c r="J4083" i="11"/>
  <c r="J4084"/>
  <c r="J4085"/>
  <c r="J4086"/>
  <c r="J4087"/>
  <c r="J4088"/>
  <c r="J4089"/>
  <c r="J4090"/>
  <c r="J4091"/>
  <c r="J4092"/>
  <c r="J4093"/>
  <c r="J4094"/>
  <c r="J4095"/>
  <c r="J4097"/>
  <c r="J4098"/>
  <c r="J4099"/>
  <c r="J4100"/>
  <c r="J4101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21"/>
  <c r="J4122"/>
  <c r="J4123"/>
  <c r="J4124"/>
  <c r="J4125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G4148"/>
  <c r="G4151"/>
  <c r="G4153"/>
  <c r="H41" i="12"/>
  <c r="J4192" i="11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6"/>
  <c r="J4217"/>
  <c r="J4218"/>
  <c r="J4219"/>
  <c r="J4220"/>
  <c r="J4221"/>
  <c r="J4222"/>
  <c r="J4223"/>
  <c r="J4224"/>
  <c r="J4228"/>
  <c r="J4229"/>
  <c r="J4230"/>
  <c r="J4231"/>
  <c r="J4232"/>
  <c r="J4233"/>
  <c r="J4234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9"/>
  <c r="J4260"/>
  <c r="J4261"/>
  <c r="J4262"/>
  <c r="J4263"/>
  <c r="J4264"/>
  <c r="J4265"/>
  <c r="J4266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90"/>
  <c r="J4291"/>
  <c r="J4292"/>
  <c r="J4293"/>
  <c r="J4294"/>
  <c r="J4295"/>
  <c r="J4296"/>
  <c r="J4298"/>
  <c r="J4299"/>
  <c r="J4300"/>
  <c r="J4301"/>
  <c r="J4302"/>
  <c r="J4303"/>
  <c r="J4304"/>
  <c r="J4306"/>
  <c r="J4307"/>
  <c r="J4308"/>
  <c r="J4309"/>
  <c r="J4312"/>
  <c r="J4314"/>
  <c r="J4316"/>
  <c r="J4317"/>
  <c r="J4318"/>
  <c r="J4319"/>
  <c r="J4320"/>
  <c r="J4322"/>
  <c r="J4323"/>
  <c r="J4324"/>
  <c r="J4325"/>
  <c r="J4327"/>
  <c r="J4328"/>
  <c r="J4329"/>
  <c r="J4330"/>
  <c r="J4331"/>
  <c r="J4332"/>
  <c r="J4333"/>
  <c r="J4334"/>
  <c r="J4335"/>
  <c r="J4336"/>
  <c r="J4337"/>
  <c r="J4338"/>
  <c r="J4340"/>
  <c r="J4341"/>
  <c r="J4343"/>
  <c r="J4344"/>
  <c r="J4345"/>
  <c r="J4346"/>
  <c r="J4347"/>
  <c r="J4348"/>
  <c r="J4350"/>
  <c r="J4351"/>
  <c r="J4352"/>
  <c r="J4355"/>
  <c r="J4356"/>
  <c r="J4357"/>
  <c r="J4358"/>
  <c r="J4359"/>
  <c r="J4360"/>
  <c r="J4361"/>
  <c r="J4362"/>
  <c r="J4364"/>
  <c r="J4365"/>
  <c r="J4366"/>
  <c r="J4367"/>
  <c r="J4368"/>
  <c r="J4369"/>
  <c r="J4370"/>
  <c r="J4372"/>
  <c r="J4373"/>
  <c r="J4374"/>
  <c r="J4375"/>
  <c r="J4376"/>
  <c r="J4377"/>
  <c r="J4378"/>
  <c r="J4379"/>
  <c r="J4380"/>
  <c r="J4382"/>
  <c r="J4383"/>
  <c r="J4384"/>
  <c r="J4385"/>
  <c r="J4386"/>
  <c r="J4387"/>
  <c r="J4388"/>
  <c r="J4389"/>
  <c r="J4390"/>
  <c r="J4392"/>
  <c r="J4393"/>
  <c r="J4394"/>
  <c r="J4395"/>
  <c r="J4396"/>
  <c r="J4399"/>
  <c r="J4400"/>
  <c r="J4402"/>
  <c r="J4403"/>
  <c r="J4404"/>
  <c r="J4405"/>
  <c r="J4406"/>
  <c r="J4407"/>
  <c r="J4408"/>
  <c r="J4409"/>
  <c r="J4410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41"/>
  <c r="J4442"/>
  <c r="J4443"/>
  <c r="J4444"/>
  <c r="J4445"/>
  <c r="J4446"/>
  <c r="J4447"/>
  <c r="J4449"/>
  <c r="J4450"/>
  <c r="J4451"/>
  <c r="J4452"/>
  <c r="J4453"/>
  <c r="J4454"/>
  <c r="J4455"/>
  <c r="J4457"/>
  <c r="J4458"/>
  <c r="J4459"/>
  <c r="J4460"/>
  <c r="J4461"/>
  <c r="J4463"/>
  <c r="J4464"/>
  <c r="J4465"/>
  <c r="J4466"/>
  <c r="J4467"/>
  <c r="J4469"/>
  <c r="J4470"/>
  <c r="J4471"/>
  <c r="J4472"/>
  <c r="J4473"/>
  <c r="J4474"/>
  <c r="J4475"/>
  <c r="J4476"/>
  <c r="J4477"/>
  <c r="J4478"/>
  <c r="J4488"/>
  <c r="G4490"/>
  <c r="G4491"/>
  <c r="G4492"/>
  <c r="H42" i="12"/>
  <c r="J4546" i="11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80"/>
  <c r="J4581"/>
  <c r="J4584"/>
  <c r="J4585"/>
  <c r="J4586"/>
  <c r="J4587"/>
  <c r="J4588"/>
  <c r="J4589"/>
  <c r="J4590"/>
  <c r="J4591"/>
  <c r="J4592"/>
  <c r="J4593"/>
  <c r="J4594"/>
  <c r="J4595"/>
  <c r="J4596"/>
  <c r="J4598"/>
  <c r="J4599"/>
  <c r="J4600"/>
  <c r="J4601"/>
  <c r="J4602"/>
  <c r="J4603"/>
  <c r="J4604"/>
  <c r="J4605"/>
  <c r="J4606"/>
  <c r="J4607"/>
  <c r="J4608"/>
  <c r="J4609"/>
  <c r="J4610"/>
  <c r="J4612"/>
  <c r="J4613"/>
  <c r="J4614"/>
  <c r="J4615"/>
  <c r="J4616"/>
  <c r="J4617"/>
  <c r="J4618"/>
  <c r="J4619"/>
  <c r="J4620"/>
  <c r="J4621"/>
  <c r="J4622"/>
  <c r="J4623"/>
  <c r="J4624"/>
  <c r="J4627"/>
  <c r="J4628"/>
  <c r="J4629"/>
  <c r="J4630"/>
  <c r="J4631"/>
  <c r="J4632"/>
  <c r="J4634"/>
  <c r="J4635"/>
  <c r="J4636"/>
  <c r="J4637"/>
  <c r="J4638"/>
  <c r="J4639"/>
  <c r="J4640"/>
  <c r="J4641"/>
  <c r="J4642"/>
  <c r="J4643"/>
  <c r="J4644"/>
  <c r="J4646"/>
  <c r="J4647"/>
  <c r="J4648"/>
  <c r="J4649"/>
  <c r="J4650"/>
  <c r="J4651"/>
  <c r="J4652"/>
  <c r="J4653"/>
  <c r="J4654"/>
  <c r="J4655"/>
  <c r="J4656"/>
  <c r="J4657"/>
  <c r="J4658"/>
  <c r="J4659"/>
  <c r="J4661"/>
  <c r="J4662"/>
  <c r="J4663"/>
  <c r="J4664"/>
  <c r="J4665"/>
  <c r="J4666"/>
  <c r="J4667"/>
  <c r="J4670"/>
  <c r="J4671"/>
  <c r="J4672"/>
  <c r="J4673"/>
  <c r="J4674"/>
  <c r="J4675"/>
  <c r="J4676"/>
  <c r="J4677"/>
  <c r="J4678"/>
  <c r="J4679"/>
  <c r="J4680"/>
  <c r="G4683"/>
  <c r="G4685"/>
  <c r="G4687"/>
  <c r="H43" i="12"/>
  <c r="J4735" i="11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7"/>
  <c r="J4768"/>
  <c r="J4769"/>
  <c r="J4770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8"/>
  <c r="J4799"/>
  <c r="J4800"/>
  <c r="J4801"/>
  <c r="J4802"/>
  <c r="J4803"/>
  <c r="J4804"/>
  <c r="J4805"/>
  <c r="J4807"/>
  <c r="J4808"/>
  <c r="J4809"/>
  <c r="J4810"/>
  <c r="J4811"/>
  <c r="J4812"/>
  <c r="J4813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G4834"/>
  <c r="G4835"/>
  <c r="G4836"/>
  <c r="H44" i="12"/>
  <c r="J4879" i="11"/>
  <c r="J4880"/>
  <c r="J4881"/>
  <c r="J4882"/>
  <c r="J4883"/>
  <c r="J4884"/>
  <c r="J4885"/>
  <c r="J4886"/>
  <c r="J4887"/>
  <c r="J4888"/>
  <c r="J4889"/>
  <c r="J4891"/>
  <c r="J4892"/>
  <c r="J4893"/>
  <c r="J4894"/>
  <c r="J4895"/>
  <c r="J4897"/>
  <c r="J4898"/>
  <c r="J4899"/>
  <c r="J4900"/>
  <c r="J4901"/>
  <c r="J4902"/>
  <c r="J4903"/>
  <c r="J4904"/>
  <c r="J4905"/>
  <c r="J4906"/>
  <c r="J4908"/>
  <c r="J4909"/>
  <c r="J4910"/>
  <c r="J4911"/>
  <c r="J4912"/>
  <c r="J4913"/>
  <c r="J4914"/>
  <c r="J4915"/>
  <c r="J4919"/>
  <c r="J4920"/>
  <c r="J4921"/>
  <c r="J4922"/>
  <c r="J4923"/>
  <c r="J4924"/>
  <c r="J4925"/>
  <c r="J4927"/>
  <c r="J4928"/>
  <c r="J4929"/>
  <c r="J4930"/>
  <c r="J4931"/>
  <c r="J4932"/>
  <c r="J4933"/>
  <c r="J4934"/>
  <c r="J4936"/>
  <c r="J4937"/>
  <c r="J4938"/>
  <c r="J4939"/>
  <c r="G4941"/>
  <c r="G4943"/>
  <c r="G4944"/>
  <c r="H45" i="12"/>
  <c r="J4983" i="11"/>
  <c r="J4984"/>
  <c r="J4985"/>
  <c r="J4986"/>
  <c r="J4987"/>
  <c r="J4988"/>
  <c r="J4989"/>
  <c r="J4990"/>
  <c r="J4991"/>
  <c r="J4992"/>
  <c r="J4993"/>
  <c r="J4995"/>
  <c r="J4996"/>
  <c r="J4997"/>
  <c r="J4998"/>
  <c r="J4999"/>
  <c r="J5000"/>
  <c r="J5001"/>
  <c r="J5002"/>
  <c r="J5003"/>
  <c r="J5004"/>
  <c r="J5005"/>
  <c r="J5006"/>
  <c r="J5007"/>
  <c r="J5009"/>
  <c r="J5010"/>
  <c r="J5011"/>
  <c r="J5012"/>
  <c r="J5013"/>
  <c r="J5014"/>
  <c r="J5015"/>
  <c r="J5016"/>
  <c r="J5017"/>
  <c r="J5018"/>
  <c r="J5021"/>
  <c r="J5022"/>
  <c r="J5023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4"/>
  <c r="J5045"/>
  <c r="J5046"/>
  <c r="J5048"/>
  <c r="J5049"/>
  <c r="J5050"/>
  <c r="J5051"/>
  <c r="G5053"/>
  <c r="G5055"/>
  <c r="G5056"/>
  <c r="H46" i="12"/>
  <c r="J5092" i="11"/>
  <c r="J5093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2"/>
  <c r="J5123"/>
  <c r="J5124"/>
  <c r="J5125"/>
  <c r="J5126"/>
  <c r="J5129"/>
  <c r="J5131"/>
  <c r="J5132"/>
  <c r="J5133"/>
  <c r="J5134"/>
  <c r="J5135"/>
  <c r="J5136"/>
  <c r="J5137"/>
  <c r="J5138"/>
  <c r="J5139"/>
  <c r="J5140"/>
  <c r="J5141"/>
  <c r="J5142"/>
  <c r="J5143"/>
  <c r="J5145"/>
  <c r="J5146"/>
  <c r="J5147"/>
  <c r="J5148"/>
  <c r="J5149"/>
  <c r="J5150"/>
  <c r="J5151"/>
  <c r="J5152"/>
  <c r="J5153"/>
  <c r="J5154"/>
  <c r="J5155"/>
  <c r="J5156"/>
  <c r="J5157"/>
  <c r="J5158"/>
  <c r="J5160"/>
  <c r="J5161"/>
  <c r="J5162"/>
  <c r="J5163"/>
  <c r="J5164"/>
  <c r="J5165"/>
  <c r="J5166"/>
  <c r="J5167"/>
  <c r="J5171"/>
  <c r="J5172"/>
  <c r="J5173"/>
  <c r="J5174"/>
  <c r="J5175"/>
  <c r="J5176"/>
  <c r="J5177"/>
  <c r="J5178"/>
  <c r="J5180"/>
  <c r="J5181"/>
  <c r="J5182"/>
  <c r="J5183"/>
  <c r="J5184"/>
  <c r="G5187"/>
  <c r="G5189"/>
  <c r="G5191"/>
  <c r="H47" i="12"/>
  <c r="J5236" i="11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2"/>
  <c r="J5293"/>
  <c r="J5294"/>
  <c r="J5295"/>
  <c r="J5296"/>
  <c r="J5297"/>
  <c r="J5298"/>
  <c r="J5299"/>
  <c r="J5300"/>
  <c r="J5302"/>
  <c r="J5303"/>
  <c r="J5304"/>
  <c r="J5305"/>
  <c r="J5306"/>
  <c r="J5307"/>
  <c r="J5308"/>
  <c r="J5310"/>
  <c r="J5311"/>
  <c r="J5312"/>
  <c r="J5315"/>
  <c r="J5316"/>
  <c r="J5317"/>
  <c r="J5318"/>
  <c r="J5319"/>
  <c r="J5321"/>
  <c r="J5322"/>
  <c r="J5323"/>
  <c r="J5325"/>
  <c r="J5326"/>
  <c r="J5327"/>
  <c r="J5328"/>
  <c r="J5329"/>
  <c r="J5330"/>
  <c r="J5331"/>
  <c r="J5332"/>
  <c r="J5333"/>
  <c r="J5334"/>
  <c r="J5335"/>
  <c r="J5336"/>
  <c r="J5337"/>
  <c r="J5339"/>
  <c r="J5340"/>
  <c r="J5341"/>
  <c r="J5342"/>
  <c r="J5343"/>
  <c r="J5344"/>
  <c r="J5345"/>
  <c r="J5346"/>
  <c r="J5347"/>
  <c r="J5349"/>
  <c r="J5350"/>
  <c r="J5352"/>
  <c r="J5353"/>
  <c r="J5354"/>
  <c r="J5355"/>
  <c r="J5356"/>
  <c r="J5357"/>
  <c r="J5358"/>
  <c r="J5360"/>
  <c r="J5361"/>
  <c r="J5362"/>
  <c r="J5363"/>
  <c r="J5364"/>
  <c r="J5365"/>
  <c r="J5366"/>
  <c r="J5367"/>
  <c r="G5369"/>
  <c r="G5370"/>
  <c r="G5371"/>
  <c r="G5372"/>
  <c r="G5374"/>
  <c r="G5375"/>
  <c r="G5376"/>
  <c r="G5378"/>
  <c r="H48" i="12"/>
  <c r="J5415" i="11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2"/>
  <c r="J5483"/>
  <c r="J5484"/>
  <c r="J5485"/>
  <c r="J5486"/>
  <c r="J5487"/>
  <c r="J5488"/>
  <c r="J5489"/>
  <c r="J5490"/>
  <c r="J5494"/>
  <c r="J5495"/>
  <c r="J5496"/>
  <c r="J5497"/>
  <c r="J5498"/>
  <c r="J5499"/>
  <c r="J5500"/>
  <c r="J5501"/>
  <c r="J5502"/>
  <c r="J5503"/>
  <c r="J5504"/>
  <c r="J5505"/>
  <c r="J5506"/>
  <c r="J5508"/>
  <c r="J5509"/>
  <c r="J5510"/>
  <c r="J5511"/>
  <c r="J5512"/>
  <c r="J5513"/>
  <c r="J5514"/>
  <c r="J5515"/>
  <c r="J5517"/>
  <c r="J5518"/>
  <c r="J5519"/>
  <c r="J5520"/>
  <c r="J5521"/>
  <c r="J5522"/>
  <c r="J5523"/>
  <c r="J5525"/>
  <c r="J5526"/>
  <c r="J5527"/>
  <c r="J5528"/>
  <c r="J5529"/>
  <c r="J5530"/>
  <c r="J5531"/>
  <c r="J5532"/>
  <c r="J5536"/>
  <c r="J5537"/>
  <c r="J5538"/>
  <c r="J5539"/>
  <c r="J5540"/>
  <c r="J5541"/>
  <c r="J5542"/>
  <c r="J5543"/>
  <c r="J5544"/>
  <c r="J5545"/>
  <c r="J5546"/>
  <c r="J5547"/>
  <c r="J5548"/>
  <c r="J5549"/>
  <c r="J5551"/>
  <c r="J5552"/>
  <c r="J5553"/>
  <c r="J5554"/>
  <c r="J5555"/>
  <c r="J5556"/>
  <c r="J5557"/>
  <c r="J5558"/>
  <c r="J5559"/>
  <c r="J5560"/>
  <c r="J5561"/>
  <c r="J5562"/>
  <c r="J5563"/>
  <c r="J5564"/>
  <c r="J5565"/>
  <c r="J5567"/>
  <c r="J5568"/>
  <c r="J5569"/>
  <c r="J5570"/>
  <c r="J5571"/>
  <c r="J5572"/>
  <c r="J5573"/>
  <c r="J5574"/>
  <c r="J5575"/>
  <c r="J5576"/>
  <c r="J5577"/>
  <c r="J5578"/>
  <c r="G5580"/>
  <c r="G5581"/>
  <c r="G5582"/>
  <c r="G5583"/>
  <c r="G5585"/>
  <c r="G5586"/>
  <c r="G5588"/>
  <c r="G5590"/>
  <c r="H49" i="12"/>
  <c r="J5629" i="1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8"/>
  <c r="J5659"/>
  <c r="J5660"/>
  <c r="J5661"/>
  <c r="J5662"/>
  <c r="J5663"/>
  <c r="J5664"/>
  <c r="J5667"/>
  <c r="J5668"/>
  <c r="J5669"/>
  <c r="J5670"/>
  <c r="J5672"/>
  <c r="J5673"/>
  <c r="J5674"/>
  <c r="J5675"/>
  <c r="J5676"/>
  <c r="J5677"/>
  <c r="J5678"/>
  <c r="J5680"/>
  <c r="J5681"/>
  <c r="J5682"/>
  <c r="J5683"/>
  <c r="J5685"/>
  <c r="G5687"/>
  <c r="G5691"/>
  <c r="G5693"/>
  <c r="H50" i="12"/>
  <c r="J5737" i="11"/>
  <c r="J5738"/>
  <c r="J5739"/>
  <c r="J5740"/>
  <c r="J5741"/>
  <c r="J5742"/>
  <c r="J5743"/>
  <c r="J5744"/>
  <c r="J5745"/>
  <c r="J5746"/>
  <c r="J5747"/>
  <c r="J5749"/>
  <c r="J5751"/>
  <c r="G5753"/>
  <c r="G5754"/>
  <c r="G5757"/>
  <c r="G5759"/>
  <c r="H51" i="12"/>
  <c r="J5807" i="11"/>
  <c r="J5808"/>
  <c r="J5809"/>
  <c r="J5810"/>
  <c r="J5811"/>
  <c r="J5812"/>
  <c r="J5813"/>
  <c r="J5814"/>
  <c r="J5815"/>
  <c r="J5816"/>
  <c r="J5817"/>
  <c r="J5819"/>
  <c r="J5820"/>
  <c r="J5821"/>
  <c r="J5822"/>
  <c r="J5823"/>
  <c r="J5824"/>
  <c r="J5825"/>
  <c r="J5827"/>
  <c r="J5828"/>
  <c r="J5829"/>
  <c r="J5830"/>
  <c r="J5831"/>
  <c r="J5833"/>
  <c r="J5834"/>
  <c r="J5837"/>
  <c r="J5838"/>
  <c r="J5839"/>
  <c r="J5841"/>
  <c r="J5842"/>
  <c r="J5843"/>
  <c r="J5844"/>
  <c r="J5846"/>
  <c r="J5847"/>
  <c r="J5848"/>
  <c r="J5849"/>
  <c r="J5851"/>
  <c r="J5852"/>
  <c r="J5853"/>
  <c r="J5854"/>
  <c r="J5855"/>
  <c r="J5856"/>
  <c r="J5857"/>
  <c r="J5858"/>
  <c r="J5860"/>
  <c r="J5861"/>
  <c r="J5863"/>
  <c r="J5864"/>
  <c r="J5865"/>
  <c r="J5866"/>
  <c r="J5867"/>
  <c r="J5868"/>
  <c r="J5869"/>
  <c r="J5870"/>
  <c r="J5872"/>
  <c r="J5873"/>
  <c r="J5874"/>
  <c r="J5875"/>
  <c r="J5876"/>
  <c r="J5877"/>
  <c r="J5880"/>
  <c r="J5882"/>
  <c r="J5883"/>
  <c r="J5884"/>
  <c r="J5885"/>
  <c r="J5886"/>
  <c r="J5889"/>
  <c r="J5890"/>
  <c r="J5891"/>
  <c r="J5892"/>
  <c r="J5893"/>
  <c r="J5896"/>
  <c r="J5897"/>
  <c r="J5898"/>
  <c r="J5899"/>
  <c r="J5900"/>
  <c r="J5901"/>
  <c r="J5902"/>
  <c r="J5903"/>
  <c r="J5904"/>
  <c r="J5905"/>
  <c r="J5906"/>
  <c r="J5909"/>
  <c r="J5910"/>
  <c r="J5911"/>
  <c r="J5913"/>
  <c r="J5914"/>
  <c r="J5915"/>
  <c r="J5917"/>
  <c r="J5918"/>
  <c r="J5919"/>
  <c r="J5920"/>
  <c r="J5924"/>
  <c r="J5925"/>
  <c r="J5926"/>
  <c r="J5927"/>
  <c r="J5928"/>
  <c r="J5929"/>
  <c r="J5930"/>
  <c r="J5931"/>
  <c r="J5932"/>
  <c r="J5933"/>
  <c r="J5934"/>
  <c r="J5936"/>
  <c r="J5937"/>
  <c r="J5938"/>
  <c r="J5940"/>
  <c r="J5941"/>
  <c r="J5942"/>
  <c r="J5943"/>
  <c r="J5944"/>
  <c r="J5945"/>
  <c r="J5946"/>
  <c r="J5947"/>
  <c r="J5948"/>
  <c r="J5949"/>
  <c r="J5950"/>
  <c r="J5951"/>
  <c r="J5952"/>
  <c r="J5953"/>
  <c r="J5955"/>
  <c r="J5956"/>
  <c r="J5957"/>
  <c r="J5958"/>
  <c r="J5959"/>
  <c r="J5960"/>
  <c r="J5961"/>
  <c r="J5962"/>
  <c r="J5963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9"/>
  <c r="J6010"/>
  <c r="J6011"/>
  <c r="J6012"/>
  <c r="J6013"/>
  <c r="J6014"/>
  <c r="J6015"/>
  <c r="J6016"/>
  <c r="J6017"/>
  <c r="J6018"/>
  <c r="J6019"/>
  <c r="J6020"/>
  <c r="J6021"/>
  <c r="J6022"/>
  <c r="J6024"/>
  <c r="J6025"/>
  <c r="J6026"/>
  <c r="J6027"/>
  <c r="J6028"/>
  <c r="J6029"/>
  <c r="J6030"/>
  <c r="J6032"/>
  <c r="J6033"/>
  <c r="J6034"/>
  <c r="J6035"/>
  <c r="J6036"/>
  <c r="J6038"/>
  <c r="J6039"/>
  <c r="J6040"/>
  <c r="J6041"/>
  <c r="J6042"/>
  <c r="J6043"/>
  <c r="J6044"/>
  <c r="J6045"/>
  <c r="J6046"/>
  <c r="J6047"/>
  <c r="J6048"/>
  <c r="J6049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4"/>
  <c r="J6075"/>
  <c r="J6076"/>
  <c r="J6077"/>
  <c r="J6078"/>
  <c r="J6079"/>
  <c r="J6080"/>
  <c r="J6083"/>
  <c r="J6084"/>
  <c r="J6086"/>
  <c r="J6087"/>
  <c r="J6088"/>
  <c r="J6089"/>
  <c r="J6090"/>
  <c r="J6091"/>
  <c r="J6092"/>
  <c r="J6096"/>
  <c r="J6097"/>
  <c r="J6098"/>
  <c r="J6099"/>
  <c r="J6100"/>
  <c r="J6101"/>
  <c r="J6102"/>
  <c r="J6103"/>
  <c r="J6105"/>
  <c r="J6106"/>
  <c r="J6107"/>
  <c r="J6108"/>
  <c r="J6109"/>
  <c r="J6110"/>
  <c r="J6111"/>
  <c r="J6112"/>
  <c r="J6113"/>
  <c r="J6114"/>
  <c r="J6115"/>
  <c r="J6116"/>
  <c r="J6117"/>
  <c r="J6118"/>
  <c r="J6120"/>
  <c r="J6121"/>
  <c r="J6122"/>
  <c r="J6123"/>
  <c r="J6124"/>
  <c r="J6125"/>
  <c r="J6126"/>
  <c r="J6127"/>
  <c r="J6128"/>
  <c r="J6129"/>
  <c r="J6131"/>
  <c r="J6132"/>
  <c r="J6133"/>
  <c r="J6134"/>
  <c r="J6137"/>
  <c r="J6138"/>
  <c r="J6139"/>
  <c r="J6140"/>
  <c r="J6141"/>
  <c r="J6142"/>
  <c r="J6143"/>
  <c r="J6144"/>
  <c r="J6146"/>
  <c r="J6147"/>
  <c r="J6148"/>
  <c r="J6149"/>
  <c r="J6150"/>
  <c r="J6151"/>
  <c r="J6152"/>
  <c r="J6153"/>
  <c r="J6154"/>
  <c r="J6155"/>
  <c r="J6156"/>
  <c r="J6158"/>
  <c r="J6159"/>
  <c r="J6160"/>
  <c r="J6161"/>
  <c r="J6162"/>
  <c r="J6163"/>
  <c r="J6164"/>
  <c r="J6165"/>
  <c r="J6166"/>
  <c r="J6167"/>
  <c r="G6169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9"/>
  <c r="J6250"/>
  <c r="J6251"/>
  <c r="J6252"/>
  <c r="J6253"/>
  <c r="J6254"/>
  <c r="J6255"/>
  <c r="G6257"/>
  <c r="G6259"/>
  <c r="G6260"/>
  <c r="H53" i="12"/>
  <c r="J6298" i="11"/>
  <c r="J6299"/>
  <c r="J6300"/>
  <c r="J6301"/>
  <c r="J6302"/>
  <c r="J6303"/>
  <c r="J6304"/>
  <c r="J6305"/>
  <c r="J6306"/>
  <c r="J6307"/>
  <c r="J6308"/>
  <c r="J6310"/>
  <c r="J6311"/>
  <c r="J6312"/>
  <c r="J6313"/>
  <c r="J6314"/>
  <c r="J6315"/>
  <c r="J6316"/>
  <c r="J6318"/>
  <c r="J6319"/>
  <c r="J6320"/>
  <c r="J6321"/>
  <c r="J6322"/>
  <c r="J6323"/>
  <c r="J6324"/>
  <c r="J6325"/>
  <c r="J6326"/>
  <c r="J6327"/>
  <c r="J6328"/>
  <c r="J6329"/>
  <c r="J6330"/>
  <c r="J6333"/>
  <c r="J6334"/>
  <c r="J6335"/>
  <c r="J6336"/>
  <c r="J6337"/>
  <c r="J6338"/>
  <c r="J6339"/>
  <c r="J6340"/>
  <c r="G6342"/>
  <c r="G6346"/>
  <c r="G6348"/>
  <c r="H54" i="12"/>
  <c r="J6385" i="11"/>
  <c r="J6386"/>
  <c r="J6387"/>
  <c r="J6388"/>
  <c r="J6389"/>
  <c r="J6390"/>
  <c r="J6391"/>
  <c r="J6392"/>
  <c r="J6393"/>
  <c r="J6394"/>
  <c r="J6395"/>
  <c r="J6396"/>
  <c r="J6397"/>
  <c r="J6398"/>
  <c r="J6399"/>
  <c r="J6400"/>
  <c r="J6402"/>
  <c r="J6403"/>
  <c r="J6404"/>
  <c r="J6406"/>
  <c r="J6407"/>
  <c r="J6409"/>
  <c r="J6410"/>
  <c r="J6411"/>
  <c r="J6413"/>
  <c r="J6414"/>
  <c r="J6415"/>
  <c r="J6416"/>
  <c r="J6417"/>
  <c r="J6418"/>
  <c r="J6419"/>
  <c r="J6420"/>
  <c r="J6423"/>
  <c r="J6424"/>
  <c r="J6425"/>
  <c r="J6426"/>
  <c r="J6427"/>
  <c r="J6428"/>
  <c r="J6429"/>
  <c r="J6430"/>
  <c r="J6431"/>
  <c r="J6432"/>
  <c r="J6433"/>
  <c r="J6434"/>
  <c r="J6435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60"/>
  <c r="J6461"/>
  <c r="J6462"/>
  <c r="J6463"/>
  <c r="J6466"/>
  <c r="J6467"/>
  <c r="J6468"/>
  <c r="J6469"/>
  <c r="J6470"/>
  <c r="J6471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9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6"/>
  <c r="J6547"/>
  <c r="J6548"/>
  <c r="J6549"/>
  <c r="J6550"/>
  <c r="J6551"/>
  <c r="J6552"/>
  <c r="J6553"/>
  <c r="J6554"/>
  <c r="G6556"/>
  <c r="G6557"/>
  <c r="G6558"/>
  <c r="H55" i="12"/>
  <c r="J6597" i="11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6"/>
  <c r="J6617"/>
  <c r="J6618"/>
  <c r="J6620"/>
  <c r="J6621"/>
  <c r="J6623"/>
  <c r="J6624"/>
  <c r="J6625"/>
  <c r="J6627"/>
  <c r="J6628"/>
  <c r="J6629"/>
  <c r="J6630"/>
  <c r="J6631"/>
  <c r="J6632"/>
  <c r="J6635"/>
  <c r="J6636"/>
  <c r="J6637"/>
  <c r="J6638"/>
  <c r="J6639"/>
  <c r="J6640"/>
  <c r="J6641"/>
  <c r="J6642"/>
  <c r="J6643"/>
  <c r="J6644"/>
  <c r="J6645"/>
  <c r="J6646"/>
  <c r="J6647"/>
  <c r="J6648"/>
  <c r="J6649"/>
  <c r="J6651"/>
  <c r="J6652"/>
  <c r="J6653"/>
  <c r="J6654"/>
  <c r="J6655"/>
  <c r="J6656"/>
  <c r="J6657"/>
  <c r="J6658"/>
  <c r="J6660"/>
  <c r="J6661"/>
  <c r="J6662"/>
  <c r="J6663"/>
  <c r="J6664"/>
  <c r="J6665"/>
  <c r="J6666"/>
  <c r="J6667"/>
  <c r="J6668"/>
  <c r="J6669"/>
  <c r="J6670"/>
  <c r="G6672"/>
  <c r="G6673"/>
  <c r="G6674"/>
  <c r="H56" i="12"/>
  <c r="J6710" i="11"/>
  <c r="J6711"/>
  <c r="J6712"/>
  <c r="J6713"/>
  <c r="J6714"/>
  <c r="J6715"/>
  <c r="J6716"/>
  <c r="J6717"/>
  <c r="J6718"/>
  <c r="J6719"/>
  <c r="J6720"/>
  <c r="J6721"/>
  <c r="J6722"/>
  <c r="J6723"/>
  <c r="J6724"/>
  <c r="J6726"/>
  <c r="J6727"/>
  <c r="J6728"/>
  <c r="J6729"/>
  <c r="J6731"/>
  <c r="J6732"/>
  <c r="J6733"/>
  <c r="J6734"/>
  <c r="J6735"/>
  <c r="J6737"/>
  <c r="J6738"/>
  <c r="J6739"/>
  <c r="J6740"/>
  <c r="J6741"/>
  <c r="J6742"/>
  <c r="J6743"/>
  <c r="J6744"/>
  <c r="J6745"/>
  <c r="J6748"/>
  <c r="J6749"/>
  <c r="J6751"/>
  <c r="J6752"/>
  <c r="J6753"/>
  <c r="J6754"/>
  <c r="J6755"/>
  <c r="J6756"/>
  <c r="J6757"/>
  <c r="J6758"/>
  <c r="J6759"/>
  <c r="J6760"/>
  <c r="J6761"/>
  <c r="J6763"/>
  <c r="J6764"/>
  <c r="J6765"/>
  <c r="J6766"/>
  <c r="J6767"/>
  <c r="J6768"/>
  <c r="J6769"/>
  <c r="J6819"/>
  <c r="G6822"/>
  <c r="G6823"/>
  <c r="G6825"/>
  <c r="H57" i="12"/>
  <c r="J6862" i="11"/>
  <c r="J6863"/>
  <c r="J6864"/>
  <c r="J6865"/>
  <c r="J6866"/>
  <c r="J6867"/>
  <c r="J6868"/>
  <c r="J6869"/>
  <c r="J6870"/>
  <c r="J6871"/>
  <c r="J6872"/>
  <c r="J6873"/>
  <c r="J6874"/>
  <c r="J6875"/>
  <c r="J6876"/>
  <c r="J6878"/>
  <c r="J6879"/>
  <c r="J6880"/>
  <c r="J6881"/>
  <c r="J6883"/>
  <c r="J6884"/>
  <c r="J6885"/>
  <c r="J6886"/>
  <c r="J6887"/>
  <c r="J6890"/>
  <c r="J6891"/>
  <c r="J6892"/>
  <c r="J6893"/>
  <c r="J6894"/>
  <c r="J6895"/>
  <c r="J6896"/>
  <c r="J6897"/>
  <c r="J6900"/>
  <c r="J6901"/>
  <c r="J6902"/>
  <c r="J6904"/>
  <c r="J6905"/>
  <c r="J6906"/>
  <c r="J6907"/>
  <c r="J6908"/>
  <c r="J6909"/>
  <c r="J6910"/>
  <c r="J6911"/>
  <c r="J6912"/>
  <c r="J6913"/>
  <c r="J6914"/>
  <c r="J6917"/>
  <c r="J6918"/>
  <c r="J6919"/>
  <c r="J6924"/>
  <c r="G6927"/>
  <c r="G6928"/>
  <c r="G6930"/>
  <c r="H58" i="12"/>
  <c r="J6969" i="11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2"/>
  <c r="J6993"/>
  <c r="J6994"/>
  <c r="J6995"/>
  <c r="J6996"/>
  <c r="J6997"/>
  <c r="J6998"/>
  <c r="J6999"/>
  <c r="J7000"/>
  <c r="J7001"/>
  <c r="J7002"/>
  <c r="J7003"/>
  <c r="J7004"/>
  <c r="J7007"/>
  <c r="J7008"/>
  <c r="J7009"/>
  <c r="J7010"/>
  <c r="J7011"/>
  <c r="J7012"/>
  <c r="J7013"/>
  <c r="J7014"/>
  <c r="J7015"/>
  <c r="J7016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6"/>
  <c r="J7037"/>
  <c r="J7038"/>
  <c r="J7039"/>
  <c r="J7040"/>
  <c r="J7041"/>
  <c r="J7042"/>
  <c r="J7043"/>
  <c r="J7044"/>
  <c r="J7045"/>
  <c r="J7046"/>
  <c r="J7047"/>
  <c r="J7050"/>
  <c r="J7051"/>
  <c r="J7052"/>
  <c r="J7053"/>
  <c r="J7055"/>
  <c r="J7056"/>
  <c r="J7057"/>
  <c r="J7058"/>
  <c r="J7059"/>
  <c r="J7060"/>
  <c r="J7061"/>
  <c r="J7062"/>
  <c r="J7063"/>
  <c r="J7064"/>
  <c r="J7066"/>
  <c r="J7067"/>
  <c r="J7068"/>
  <c r="J7069"/>
  <c r="J7070"/>
  <c r="J7071"/>
  <c r="J7072"/>
  <c r="J7073"/>
  <c r="J7074"/>
  <c r="J7075"/>
  <c r="J7076"/>
  <c r="J7077"/>
  <c r="J7079"/>
  <c r="J7080"/>
  <c r="J7081"/>
  <c r="J7082"/>
  <c r="J7083"/>
  <c r="G7085"/>
  <c r="G7086"/>
  <c r="G7087"/>
  <c r="H59" i="12"/>
  <c r="J7130" i="11"/>
  <c r="J7131"/>
  <c r="J7132"/>
  <c r="J7133"/>
  <c r="J7134"/>
  <c r="J7135"/>
  <c r="J7136"/>
  <c r="J7137"/>
  <c r="J7138"/>
  <c r="J7140"/>
  <c r="J7141"/>
  <c r="J7142"/>
  <c r="J7143"/>
  <c r="J7144"/>
  <c r="J7145"/>
  <c r="J7146"/>
  <c r="J7147"/>
  <c r="J7148"/>
  <c r="J7149"/>
  <c r="J7150"/>
  <c r="J7151"/>
  <c r="J7153"/>
  <c r="J7154"/>
  <c r="J7155"/>
  <c r="J7156"/>
  <c r="J7157"/>
  <c r="J7158"/>
  <c r="J7159"/>
  <c r="J7160"/>
  <c r="J7161"/>
  <c r="J7162"/>
  <c r="J7163"/>
  <c r="J7164"/>
  <c r="J7165"/>
  <c r="J7168"/>
  <c r="J7170"/>
  <c r="J7171"/>
  <c r="J7172"/>
  <c r="J7173"/>
  <c r="J7174"/>
  <c r="J7175"/>
  <c r="J7176"/>
  <c r="G7178"/>
  <c r="G7179"/>
  <c r="G7180"/>
  <c r="H60" i="12"/>
  <c r="J7218" i="11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3"/>
  <c r="J7244"/>
  <c r="J7245"/>
  <c r="J7246"/>
  <c r="J7247"/>
  <c r="J7249"/>
  <c r="J7250"/>
  <c r="J7251"/>
  <c r="J7252"/>
  <c r="J7253"/>
  <c r="J7256"/>
  <c r="J7257"/>
  <c r="J7258"/>
  <c r="J7259"/>
  <c r="J7260"/>
  <c r="J7262"/>
  <c r="J7263"/>
  <c r="J7264"/>
  <c r="J7265"/>
  <c r="J7266"/>
  <c r="J7267"/>
  <c r="J7268"/>
  <c r="J7269"/>
  <c r="J7270"/>
  <c r="J7271"/>
  <c r="J7272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9"/>
  <c r="J7300"/>
  <c r="J7301"/>
  <c r="J7302"/>
  <c r="J7303"/>
  <c r="J7304"/>
  <c r="J7305"/>
  <c r="J7306"/>
  <c r="J7307"/>
  <c r="J7308"/>
  <c r="J7309"/>
  <c r="J7311"/>
  <c r="G7314"/>
  <c r="G7315"/>
  <c r="G7316"/>
  <c r="G7317"/>
  <c r="H61" i="12"/>
  <c r="J7353" i="11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91"/>
  <c r="J7392"/>
  <c r="J7393"/>
  <c r="J7394"/>
  <c r="J7395"/>
  <c r="J7396"/>
  <c r="J7397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4"/>
  <c r="J7425"/>
  <c r="J7426"/>
  <c r="J7427"/>
  <c r="J7429"/>
  <c r="G7431"/>
  <c r="G7432"/>
  <c r="G7433"/>
  <c r="H62" i="12"/>
  <c r="J7475" i="11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3"/>
  <c r="J7514"/>
  <c r="J7515"/>
  <c r="J7516"/>
  <c r="J7517"/>
  <c r="J7518"/>
  <c r="J7519"/>
  <c r="J7520"/>
  <c r="J7522"/>
  <c r="J7523"/>
  <c r="J7524"/>
  <c r="J7525"/>
  <c r="G7528"/>
  <c r="G7531"/>
  <c r="G7532"/>
  <c r="H63" i="12"/>
  <c r="J7570" i="11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5"/>
  <c r="J7596"/>
  <c r="J7597"/>
  <c r="J7598"/>
  <c r="J7599"/>
  <c r="J7600"/>
  <c r="J7604"/>
  <c r="J7605"/>
  <c r="J7606"/>
  <c r="J7607"/>
  <c r="J7608"/>
  <c r="J7609"/>
  <c r="J7610"/>
  <c r="J7611"/>
  <c r="J7612"/>
  <c r="J7613"/>
  <c r="J7614"/>
  <c r="J7615"/>
  <c r="J7616"/>
  <c r="J7617"/>
  <c r="J7618"/>
  <c r="J7620"/>
  <c r="J7621"/>
  <c r="J7622"/>
  <c r="J7623"/>
  <c r="J7624"/>
  <c r="J7625"/>
  <c r="J7626"/>
  <c r="J7627"/>
  <c r="J7628"/>
  <c r="J7629"/>
  <c r="J7630"/>
  <c r="J7631"/>
  <c r="J7632"/>
  <c r="J7633"/>
  <c r="J7635"/>
  <c r="J7636"/>
  <c r="J7637"/>
  <c r="J7638"/>
  <c r="J7639"/>
  <c r="J7640"/>
  <c r="J7641"/>
  <c r="J7642"/>
  <c r="J7643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G7676"/>
  <c r="G7678"/>
  <c r="G7680"/>
  <c r="H64" i="12"/>
  <c r="J7721" i="1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7"/>
  <c r="J7748"/>
  <c r="J7749"/>
  <c r="J7750"/>
  <c r="J7751"/>
  <c r="J7752"/>
  <c r="J7753"/>
  <c r="J7754"/>
  <c r="J7757"/>
  <c r="J7758"/>
  <c r="J7759"/>
  <c r="J7760"/>
  <c r="J7761"/>
  <c r="J7762"/>
  <c r="J7763"/>
  <c r="J7765"/>
  <c r="J7766"/>
  <c r="J7767"/>
  <c r="J7768"/>
  <c r="J7769"/>
  <c r="J7770"/>
  <c r="J7771"/>
  <c r="J7772"/>
  <c r="J7773"/>
  <c r="J7774"/>
  <c r="J7775"/>
  <c r="J7776"/>
  <c r="J7777"/>
  <c r="J7778"/>
  <c r="G7780"/>
  <c r="G7782"/>
  <c r="G7783"/>
  <c r="H65" i="12"/>
  <c r="J7822" i="11"/>
  <c r="J7824"/>
  <c r="J7825"/>
  <c r="J7826"/>
  <c r="J7827"/>
  <c r="J7828"/>
  <c r="J7829"/>
  <c r="J7830"/>
  <c r="J7831"/>
  <c r="J7832"/>
  <c r="J7833"/>
  <c r="J7834"/>
  <c r="J7835"/>
  <c r="J7837"/>
  <c r="J7838"/>
  <c r="J7839"/>
  <c r="J7840"/>
  <c r="G7842"/>
  <c r="G7843"/>
  <c r="G7844"/>
  <c r="H66" i="12"/>
  <c r="J7881" i="11"/>
  <c r="J7882"/>
  <c r="J7883"/>
  <c r="J7884"/>
  <c r="J7885"/>
  <c r="J7886"/>
  <c r="J7887"/>
  <c r="J7888"/>
  <c r="J7889"/>
  <c r="J7890"/>
  <c r="J7891"/>
  <c r="J7892"/>
  <c r="J7893"/>
  <c r="J7894"/>
  <c r="J7895"/>
  <c r="J7896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5"/>
  <c r="J7936"/>
  <c r="J7937"/>
  <c r="J7938"/>
  <c r="J7939"/>
  <c r="J7940"/>
  <c r="J7941"/>
  <c r="J7942"/>
  <c r="J7943"/>
  <c r="J7944"/>
  <c r="J7946"/>
  <c r="J7947"/>
  <c r="J7948"/>
  <c r="J7949"/>
  <c r="J7950"/>
  <c r="J7951"/>
  <c r="J7952"/>
  <c r="J7953"/>
  <c r="J7954"/>
  <c r="J7955"/>
  <c r="J7956"/>
  <c r="J7957"/>
  <c r="J7960"/>
  <c r="J7961"/>
  <c r="J7962"/>
  <c r="J7964"/>
  <c r="J7965"/>
  <c r="J7966"/>
  <c r="J7967"/>
  <c r="J7968"/>
  <c r="J7969"/>
  <c r="J7970"/>
  <c r="J7971"/>
  <c r="J7972"/>
  <c r="J7973"/>
  <c r="J7974"/>
  <c r="J7975"/>
  <c r="G7977"/>
  <c r="G7978"/>
  <c r="G7979"/>
  <c r="G7981"/>
  <c r="H67" i="12"/>
  <c r="J8026" i="11"/>
  <c r="J8027"/>
  <c r="J8028"/>
  <c r="J8029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8"/>
  <c r="J8059"/>
  <c r="J8060"/>
  <c r="G8062"/>
  <c r="G8063"/>
  <c r="G8064"/>
  <c r="H68" i="12"/>
  <c r="J8103" i="11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41"/>
  <c r="J8142"/>
  <c r="J8144"/>
  <c r="J8145"/>
  <c r="J8146"/>
  <c r="J8148"/>
  <c r="J8149"/>
  <c r="J8150"/>
  <c r="J8151"/>
  <c r="J8152"/>
  <c r="J8153"/>
  <c r="J8155"/>
  <c r="J8156"/>
  <c r="J8157"/>
  <c r="J8159"/>
  <c r="J8160"/>
  <c r="J8161"/>
  <c r="J8162"/>
  <c r="J8163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5"/>
  <c r="J8186"/>
  <c r="J8187"/>
  <c r="J8188"/>
  <c r="J8189"/>
  <c r="J8190"/>
  <c r="J8191"/>
  <c r="J8192"/>
  <c r="J8193"/>
  <c r="G8195"/>
  <c r="G8196"/>
  <c r="G8197"/>
  <c r="H69" i="12"/>
  <c r="J8243" i="11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5"/>
  <c r="J8266"/>
  <c r="J8267"/>
  <c r="J8268"/>
  <c r="J8269"/>
  <c r="J8271"/>
  <c r="J8272"/>
  <c r="J8273"/>
  <c r="J8275"/>
  <c r="J8276"/>
  <c r="J8279"/>
  <c r="J8281"/>
  <c r="J8282"/>
  <c r="J8283"/>
  <c r="J8284"/>
  <c r="J8286"/>
  <c r="J8287"/>
  <c r="J8289"/>
  <c r="J8290"/>
  <c r="J8291"/>
  <c r="J8293"/>
  <c r="J8294"/>
  <c r="J8295"/>
  <c r="J8296"/>
  <c r="J8298"/>
  <c r="J8299"/>
  <c r="J8301"/>
  <c r="G8303"/>
  <c r="G8304"/>
  <c r="G8305"/>
  <c r="H70" i="12"/>
  <c r="J8348" i="11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9"/>
  <c r="J8380"/>
  <c r="J8381"/>
  <c r="G8383"/>
  <c r="G8384"/>
  <c r="G8386"/>
  <c r="H71" i="12"/>
  <c r="J8422" i="11"/>
  <c r="J8423"/>
  <c r="J8424"/>
  <c r="J8425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9"/>
  <c r="J8450"/>
  <c r="J8451"/>
  <c r="G8453"/>
  <c r="G8454"/>
  <c r="G8455"/>
  <c r="H72" i="12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D24" i="2"/>
  <c r="D25"/>
  <c r="D29"/>
  <c r="H77" i="33"/>
  <c r="H74"/>
  <c r="H90"/>
  <c r="H113"/>
  <c r="E122"/>
  <c r="D285" i="15"/>
  <c r="D16"/>
  <c r="F5" i="8"/>
  <c r="D6" i="2"/>
  <c r="D11"/>
  <c r="C4538" i="11"/>
  <c r="G4493"/>
  <c r="G50" i="34"/>
  <c r="G6"/>
  <c r="G8"/>
  <c r="G10"/>
  <c r="G12"/>
  <c r="G14"/>
  <c r="G16"/>
  <c r="G18"/>
  <c r="G20"/>
  <c r="G21"/>
  <c r="G23"/>
  <c r="G25"/>
  <c r="G27"/>
  <c r="G29"/>
  <c r="G31"/>
  <c r="G32"/>
  <c r="G35"/>
  <c r="G37"/>
  <c r="G39"/>
  <c r="G41"/>
  <c r="G43"/>
  <c r="G44"/>
  <c r="G46"/>
  <c r="G48"/>
  <c r="G51"/>
  <c r="F50"/>
  <c r="F6"/>
  <c r="F8"/>
  <c r="F10"/>
  <c r="F12"/>
  <c r="F14"/>
  <c r="F16"/>
  <c r="F18"/>
  <c r="F20"/>
  <c r="F21"/>
  <c r="F23"/>
  <c r="F25"/>
  <c r="F27"/>
  <c r="F29"/>
  <c r="F31"/>
  <c r="F32"/>
  <c r="F35"/>
  <c r="F37"/>
  <c r="F39"/>
  <c r="F41"/>
  <c r="F43"/>
  <c r="F44"/>
  <c r="F46"/>
  <c r="F48"/>
  <c r="F51"/>
  <c r="E50"/>
  <c r="E6"/>
  <c r="E8"/>
  <c r="E10"/>
  <c r="E12"/>
  <c r="E14"/>
  <c r="E16"/>
  <c r="E18"/>
  <c r="E20"/>
  <c r="E21"/>
  <c r="E23"/>
  <c r="E25"/>
  <c r="E27"/>
  <c r="E29"/>
  <c r="E31"/>
  <c r="E32"/>
  <c r="E35"/>
  <c r="E37"/>
  <c r="E39"/>
  <c r="E41"/>
  <c r="E43"/>
  <c r="E44"/>
  <c r="E46"/>
  <c r="E48"/>
  <c r="E51"/>
  <c r="D50"/>
  <c r="D6"/>
  <c r="D8"/>
  <c r="D10"/>
  <c r="D12"/>
  <c r="D14"/>
  <c r="D16"/>
  <c r="D18"/>
  <c r="D20"/>
  <c r="D21"/>
  <c r="D23"/>
  <c r="D25"/>
  <c r="D27"/>
  <c r="D29"/>
  <c r="D31"/>
  <c r="D32"/>
  <c r="D35"/>
  <c r="D37"/>
  <c r="D39"/>
  <c r="D41"/>
  <c r="D43"/>
  <c r="D44"/>
  <c r="D46"/>
  <c r="D48"/>
  <c r="D51"/>
  <c r="C50"/>
  <c r="C6"/>
  <c r="C8"/>
  <c r="C10"/>
  <c r="C12"/>
  <c r="C14"/>
  <c r="C16"/>
  <c r="C18"/>
  <c r="C20"/>
  <c r="C21"/>
  <c r="C23"/>
  <c r="C25"/>
  <c r="C27"/>
  <c r="C29"/>
  <c r="C31"/>
  <c r="C32"/>
  <c r="C35"/>
  <c r="C37"/>
  <c r="C39"/>
  <c r="C41"/>
  <c r="C43"/>
  <c r="C44"/>
  <c r="C46"/>
  <c r="C48"/>
  <c r="C51"/>
  <c r="J46"/>
  <c r="J35"/>
  <c r="J37"/>
  <c r="J39"/>
  <c r="J41"/>
  <c r="J43"/>
  <c r="J44"/>
  <c r="J23"/>
  <c r="J25"/>
  <c r="J27"/>
  <c r="J29"/>
  <c r="J31"/>
  <c r="J32"/>
  <c r="J6"/>
  <c r="J8"/>
  <c r="J10"/>
  <c r="J12"/>
  <c r="J14"/>
  <c r="J16"/>
  <c r="J18"/>
  <c r="J20"/>
  <c r="J21"/>
  <c r="J48"/>
  <c r="I6"/>
  <c r="I8"/>
  <c r="I10"/>
  <c r="I12"/>
  <c r="I14"/>
  <c r="I16"/>
  <c r="I18"/>
  <c r="I20"/>
  <c r="I21"/>
  <c r="I23"/>
  <c r="I25"/>
  <c r="I27"/>
  <c r="I29"/>
  <c r="I31"/>
  <c r="I32"/>
  <c r="I35"/>
  <c r="I37"/>
  <c r="I39"/>
  <c r="I41"/>
  <c r="I43"/>
  <c r="I44"/>
  <c r="I46"/>
  <c r="I48"/>
  <c r="H6"/>
  <c r="H8"/>
  <c r="H10"/>
  <c r="H12"/>
  <c r="H14"/>
  <c r="H16"/>
  <c r="H18"/>
  <c r="H20"/>
  <c r="H21"/>
  <c r="H23"/>
  <c r="H25"/>
  <c r="H27"/>
  <c r="H29"/>
  <c r="H31"/>
  <c r="H32"/>
  <c r="H35"/>
  <c r="H37"/>
  <c r="H39"/>
  <c r="H41"/>
  <c r="H43"/>
  <c r="H44"/>
  <c r="H46"/>
  <c r="H48"/>
  <c r="F132" i="33"/>
  <c r="G132"/>
  <c r="H132"/>
  <c r="F135"/>
  <c r="G135"/>
  <c r="H135"/>
  <c r="H136"/>
  <c r="G136"/>
  <c r="F136"/>
  <c r="E136"/>
  <c r="D136"/>
  <c r="C136"/>
  <c r="F105"/>
  <c r="G105"/>
  <c r="H105"/>
  <c r="F107"/>
  <c r="G107"/>
  <c r="H107"/>
  <c r="F109"/>
  <c r="G109"/>
  <c r="H109"/>
  <c r="F115"/>
  <c r="G115"/>
  <c r="H115"/>
  <c r="F118"/>
  <c r="G118"/>
  <c r="H118"/>
  <c r="F122"/>
  <c r="G122"/>
  <c r="H122"/>
  <c r="H124"/>
  <c r="F113"/>
  <c r="G113"/>
  <c r="F123"/>
  <c r="G123"/>
  <c r="G124"/>
  <c r="F124"/>
  <c r="E124"/>
  <c r="D124"/>
  <c r="C124"/>
  <c r="H123"/>
  <c r="F86"/>
  <c r="G86"/>
  <c r="H86"/>
  <c r="F96"/>
  <c r="G96"/>
  <c r="H96"/>
  <c r="H97"/>
  <c r="F90"/>
  <c r="G90"/>
  <c r="G97"/>
  <c r="F97"/>
  <c r="E97"/>
  <c r="D97"/>
  <c r="C97"/>
  <c r="H66"/>
  <c r="H68"/>
  <c r="G77"/>
  <c r="F77"/>
  <c r="E77"/>
  <c r="D77"/>
  <c r="C77"/>
  <c r="F52"/>
  <c r="G52"/>
  <c r="H52"/>
  <c r="H58"/>
  <c r="G58"/>
  <c r="F58"/>
  <c r="E58"/>
  <c r="D58"/>
  <c r="C58"/>
  <c r="F27"/>
  <c r="G27"/>
  <c r="H27"/>
  <c r="F34"/>
  <c r="G34"/>
  <c r="H34"/>
  <c r="H44"/>
  <c r="G44"/>
  <c r="F44"/>
  <c r="E44"/>
  <c r="D27"/>
  <c r="D44"/>
  <c r="C27"/>
  <c r="C34"/>
  <c r="C44"/>
  <c r="E7"/>
  <c r="F7"/>
  <c r="G7"/>
  <c r="H7"/>
  <c r="E9"/>
  <c r="F9"/>
  <c r="G9"/>
  <c r="H9"/>
  <c r="E11"/>
  <c r="F11"/>
  <c r="G11"/>
  <c r="H11"/>
  <c r="E13"/>
  <c r="F13"/>
  <c r="G13"/>
  <c r="H13"/>
  <c r="E15"/>
  <c r="F15"/>
  <c r="G15"/>
  <c r="H15"/>
  <c r="E17"/>
  <c r="F17"/>
  <c r="G17"/>
  <c r="H17"/>
  <c r="H19"/>
  <c r="G19"/>
  <c r="F19"/>
  <c r="E19"/>
  <c r="D7"/>
  <c r="D9"/>
  <c r="D11"/>
  <c r="D13"/>
  <c r="D15"/>
  <c r="D17"/>
  <c r="D19"/>
  <c r="C19"/>
  <c r="K11"/>
  <c r="N10"/>
  <c r="J7"/>
  <c r="H625" i="25"/>
  <c r="I625"/>
  <c r="H626"/>
  <c r="I626"/>
  <c r="H628"/>
  <c r="I628"/>
  <c r="H629"/>
  <c r="I629"/>
  <c r="H630"/>
  <c r="I630"/>
  <c r="H631"/>
  <c r="I631"/>
  <c r="H633"/>
  <c r="I633"/>
  <c r="H634"/>
  <c r="I634"/>
  <c r="H647"/>
  <c r="I647"/>
  <c r="H654"/>
  <c r="I654"/>
  <c r="H655"/>
  <c r="I655"/>
  <c r="H658"/>
  <c r="I658"/>
  <c r="H659"/>
  <c r="I659"/>
  <c r="H663"/>
  <c r="I663"/>
  <c r="H664"/>
  <c r="I664"/>
  <c r="H665"/>
  <c r="I665"/>
  <c r="H666"/>
  <c r="I666"/>
  <c r="H667"/>
  <c r="I667"/>
  <c r="H668"/>
  <c r="I668"/>
  <c r="H669"/>
  <c r="I669"/>
  <c r="H673"/>
  <c r="I673"/>
  <c r="H675"/>
  <c r="I675"/>
  <c r="H680"/>
  <c r="I680"/>
  <c r="H681"/>
  <c r="I681"/>
  <c r="H682"/>
  <c r="I682"/>
  <c r="H683"/>
  <c r="I683"/>
  <c r="H684"/>
  <c r="I684"/>
  <c r="H685"/>
  <c r="I685"/>
  <c r="H686"/>
  <c r="I686"/>
  <c r="H688"/>
  <c r="I688"/>
  <c r="H692"/>
  <c r="I692"/>
  <c r="H693"/>
  <c r="I693"/>
  <c r="H694"/>
  <c r="I694"/>
  <c r="H695"/>
  <c r="I695"/>
  <c r="H696"/>
  <c r="I696"/>
  <c r="H697"/>
  <c r="I697"/>
  <c r="H698"/>
  <c r="I698"/>
  <c r="H699"/>
  <c r="I699"/>
  <c r="H707"/>
  <c r="I707"/>
  <c r="H710"/>
  <c r="I710"/>
  <c r="H712"/>
  <c r="I712"/>
  <c r="H714"/>
  <c r="I714"/>
  <c r="H716"/>
  <c r="I716"/>
  <c r="H717"/>
  <c r="I717"/>
  <c r="H718"/>
  <c r="I718"/>
  <c r="H720"/>
  <c r="I720"/>
  <c r="H721"/>
  <c r="I721"/>
  <c r="H723"/>
  <c r="I723"/>
  <c r="H732"/>
  <c r="I732"/>
  <c r="H733"/>
  <c r="I733"/>
  <c r="H734"/>
  <c r="I734"/>
  <c r="H735"/>
  <c r="I735"/>
  <c r="H737"/>
  <c r="I737"/>
  <c r="H740"/>
  <c r="I740"/>
  <c r="H741"/>
  <c r="I741"/>
  <c r="H743"/>
  <c r="I743"/>
  <c r="H744"/>
  <c r="I744"/>
  <c r="H745"/>
  <c r="I745"/>
  <c r="H752"/>
  <c r="I752"/>
  <c r="H753"/>
  <c r="I753"/>
  <c r="H754"/>
  <c r="I754"/>
  <c r="H756"/>
  <c r="I756"/>
  <c r="H757"/>
  <c r="I757"/>
  <c r="H758"/>
  <c r="I758"/>
  <c r="H759"/>
  <c r="I759"/>
  <c r="H760"/>
  <c r="I760"/>
  <c r="H761"/>
  <c r="I761"/>
  <c r="H762"/>
  <c r="I762"/>
  <c r="H764"/>
  <c r="I764"/>
  <c r="H765"/>
  <c r="I765"/>
  <c r="H766"/>
  <c r="I766"/>
  <c r="I769"/>
  <c r="H770"/>
  <c r="I770"/>
  <c r="H772"/>
  <c r="I772"/>
  <c r="H780"/>
  <c r="I780"/>
  <c r="H781"/>
  <c r="I781"/>
  <c r="H784"/>
  <c r="I784"/>
  <c r="H792"/>
  <c r="I792"/>
  <c r="H793"/>
  <c r="I793"/>
  <c r="H794"/>
  <c r="I794"/>
  <c r="H795"/>
  <c r="I795"/>
  <c r="H796"/>
  <c r="I796"/>
  <c r="H801"/>
  <c r="I801"/>
  <c r="H802"/>
  <c r="I802"/>
  <c r="H803"/>
  <c r="I803"/>
  <c r="H804"/>
  <c r="I804"/>
  <c r="I805"/>
  <c r="H487"/>
  <c r="I487"/>
  <c r="H488"/>
  <c r="I488"/>
  <c r="H489"/>
  <c r="I489"/>
  <c r="H490"/>
  <c r="I490"/>
  <c r="H491"/>
  <c r="I491"/>
  <c r="H493"/>
  <c r="I493"/>
  <c r="H494"/>
  <c r="I494"/>
  <c r="H496"/>
  <c r="I496"/>
  <c r="H497"/>
  <c r="I497"/>
  <c r="H498"/>
  <c r="I498"/>
  <c r="H500"/>
  <c r="I500"/>
  <c r="H501"/>
  <c r="I501"/>
  <c r="H507"/>
  <c r="I507"/>
  <c r="H509"/>
  <c r="I509"/>
  <c r="H513"/>
  <c r="I513"/>
  <c r="H516"/>
  <c r="I516"/>
  <c r="H517"/>
  <c r="I517"/>
  <c r="H518"/>
  <c r="I518"/>
  <c r="H519"/>
  <c r="I519"/>
  <c r="H520"/>
  <c r="I520"/>
  <c r="H521"/>
  <c r="I521"/>
  <c r="H522"/>
  <c r="I522"/>
  <c r="H523"/>
  <c r="I523"/>
  <c r="I524"/>
  <c r="H530"/>
  <c r="I530"/>
  <c r="H531"/>
  <c r="I531"/>
  <c r="H532"/>
  <c r="I532"/>
  <c r="H540"/>
  <c r="I540"/>
  <c r="H541"/>
  <c r="I541"/>
  <c r="H542"/>
  <c r="I542"/>
  <c r="H543"/>
  <c r="I543"/>
  <c r="H544"/>
  <c r="I544"/>
  <c r="I546"/>
  <c r="H552"/>
  <c r="I552"/>
  <c r="H554"/>
  <c r="I554"/>
  <c r="H556"/>
  <c r="I556"/>
  <c r="H560"/>
  <c r="I560"/>
  <c r="H562"/>
  <c r="I562"/>
  <c r="H564"/>
  <c r="I564"/>
  <c r="H566"/>
  <c r="I566"/>
  <c r="I567"/>
  <c r="H572"/>
  <c r="I572"/>
  <c r="H573"/>
  <c r="I573"/>
  <c r="H574"/>
  <c r="I574"/>
  <c r="H575"/>
  <c r="I575"/>
  <c r="H576"/>
  <c r="I576"/>
  <c r="H577"/>
  <c r="I577"/>
  <c r="H578"/>
  <c r="I578"/>
  <c r="H579"/>
  <c r="I579"/>
  <c r="H581"/>
  <c r="I581"/>
  <c r="H584"/>
  <c r="I584"/>
  <c r="H586"/>
  <c r="I586"/>
  <c r="H587"/>
  <c r="I587"/>
  <c r="H588"/>
  <c r="I588"/>
  <c r="H590"/>
  <c r="I590"/>
  <c r="H591"/>
  <c r="I591"/>
  <c r="H593"/>
  <c r="I593"/>
  <c r="I595"/>
  <c r="H601"/>
  <c r="I601"/>
  <c r="H603"/>
  <c r="I603"/>
  <c r="H607"/>
  <c r="I607"/>
  <c r="H609"/>
  <c r="I609"/>
  <c r="H611"/>
  <c r="I611"/>
  <c r="H613"/>
  <c r="I613"/>
  <c r="H615"/>
  <c r="I615"/>
  <c r="I618"/>
  <c r="I619"/>
  <c r="H252"/>
  <c r="I252"/>
  <c r="H253"/>
  <c r="I253"/>
  <c r="H254"/>
  <c r="I254"/>
  <c r="H255"/>
  <c r="I255"/>
  <c r="H256"/>
  <c r="I256"/>
  <c r="I257"/>
  <c r="H258"/>
  <c r="I258"/>
  <c r="H260"/>
  <c r="I260"/>
  <c r="H261"/>
  <c r="I261"/>
  <c r="H262"/>
  <c r="I262"/>
  <c r="H264"/>
  <c r="I264"/>
  <c r="H265"/>
  <c r="I265"/>
  <c r="H266"/>
  <c r="I266"/>
  <c r="H267"/>
  <c r="I267"/>
  <c r="H268"/>
  <c r="I268"/>
  <c r="H273"/>
  <c r="I273"/>
  <c r="H276"/>
  <c r="I276"/>
  <c r="H277"/>
  <c r="I277"/>
  <c r="H278"/>
  <c r="I278"/>
  <c r="H279"/>
  <c r="I279"/>
  <c r="H280"/>
  <c r="I280"/>
  <c r="H283"/>
  <c r="I283"/>
  <c r="H284"/>
  <c r="I284"/>
  <c r="H285"/>
  <c r="I285"/>
  <c r="H286"/>
  <c r="I286"/>
  <c r="H287"/>
  <c r="I287"/>
  <c r="H288"/>
  <c r="I288"/>
  <c r="H289"/>
  <c r="I289"/>
  <c r="H290"/>
  <c r="I290"/>
  <c r="H291"/>
  <c r="I291"/>
  <c r="H297"/>
  <c r="I297"/>
  <c r="H298"/>
  <c r="I298"/>
  <c r="H299"/>
  <c r="I299"/>
  <c r="H300"/>
  <c r="I300"/>
  <c r="I301"/>
  <c r="H302"/>
  <c r="I302"/>
  <c r="H303"/>
  <c r="I303"/>
  <c r="H304"/>
  <c r="I304"/>
  <c r="I305"/>
  <c r="H311"/>
  <c r="I311"/>
  <c r="H313"/>
  <c r="I313"/>
  <c r="H315"/>
  <c r="I315"/>
  <c r="H317"/>
  <c r="I317"/>
  <c r="H318"/>
  <c r="I318"/>
  <c r="H319"/>
  <c r="I319"/>
  <c r="H321"/>
  <c r="I321"/>
  <c r="H322"/>
  <c r="I322"/>
  <c r="H323"/>
  <c r="I323"/>
  <c r="H329"/>
  <c r="I329"/>
  <c r="H330"/>
  <c r="I330"/>
  <c r="H331"/>
  <c r="I331"/>
  <c r="H332"/>
  <c r="I332"/>
  <c r="H333"/>
  <c r="I333"/>
  <c r="H334"/>
  <c r="I334"/>
  <c r="H335"/>
  <c r="I335"/>
  <c r="H336"/>
  <c r="I336"/>
  <c r="H337"/>
  <c r="I337"/>
  <c r="H339"/>
  <c r="I339"/>
  <c r="H341"/>
  <c r="I341"/>
  <c r="H342"/>
  <c r="I342"/>
  <c r="H343"/>
  <c r="I343"/>
  <c r="I344"/>
  <c r="H350"/>
  <c r="I350"/>
  <c r="H353"/>
  <c r="I353"/>
  <c r="H354"/>
  <c r="I354"/>
  <c r="H356"/>
  <c r="I356"/>
  <c r="H357"/>
  <c r="I357"/>
  <c r="H359"/>
  <c r="I359"/>
  <c r="H364"/>
  <c r="I364"/>
  <c r="H376"/>
  <c r="I376"/>
  <c r="H379"/>
  <c r="I379"/>
  <c r="H381"/>
  <c r="I381"/>
  <c r="H383"/>
  <c r="I383"/>
  <c r="H384"/>
  <c r="I384"/>
  <c r="H385"/>
  <c r="I385"/>
  <c r="H386"/>
  <c r="I386"/>
  <c r="H387"/>
  <c r="I387"/>
  <c r="H388"/>
  <c r="I388"/>
  <c r="H394"/>
  <c r="I394"/>
  <c r="H395"/>
  <c r="I395"/>
  <c r="H397"/>
  <c r="I397"/>
  <c r="H398"/>
  <c r="I398"/>
  <c r="H399"/>
  <c r="I399"/>
  <c r="H400"/>
  <c r="I400"/>
  <c r="H401"/>
  <c r="I401"/>
  <c r="H402"/>
  <c r="I402"/>
  <c r="H406"/>
  <c r="I406"/>
  <c r="H409"/>
  <c r="I409"/>
  <c r="H411"/>
  <c r="I411"/>
  <c r="I412"/>
  <c r="H421"/>
  <c r="I421"/>
  <c r="H422"/>
  <c r="I422"/>
  <c r="H424"/>
  <c r="I424"/>
  <c r="H425"/>
  <c r="I425"/>
  <c r="H429"/>
  <c r="I429"/>
  <c r="H430"/>
  <c r="I430"/>
  <c r="H431"/>
  <c r="I431"/>
  <c r="I435"/>
  <c r="H441"/>
  <c r="I441"/>
  <c r="H442"/>
  <c r="I442"/>
  <c r="H443"/>
  <c r="I443"/>
  <c r="H445"/>
  <c r="I445"/>
  <c r="H446"/>
  <c r="I446"/>
  <c r="H447"/>
  <c r="I447"/>
  <c r="H448"/>
  <c r="I448"/>
  <c r="H449"/>
  <c r="I449"/>
  <c r="H451"/>
  <c r="I451"/>
  <c r="H452"/>
  <c r="I452"/>
  <c r="H453"/>
  <c r="I453"/>
  <c r="H454"/>
  <c r="I454"/>
  <c r="H455"/>
  <c r="I455"/>
  <c r="H456"/>
  <c r="I456"/>
  <c r="H463"/>
  <c r="I463"/>
  <c r="H465"/>
  <c r="I465"/>
  <c r="H466"/>
  <c r="I466"/>
  <c r="H472"/>
  <c r="I472"/>
  <c r="H474"/>
  <c r="I474"/>
  <c r="H475"/>
  <c r="I475"/>
  <c r="H476"/>
  <c r="I476"/>
  <c r="H479"/>
  <c r="I479"/>
  <c r="I480"/>
  <c r="I481"/>
  <c r="H7"/>
  <c r="I7"/>
  <c r="H8"/>
  <c r="I8"/>
  <c r="H9"/>
  <c r="I9"/>
  <c r="H10"/>
  <c r="I10"/>
  <c r="H11"/>
  <c r="I11"/>
  <c r="H14"/>
  <c r="I14"/>
  <c r="H15"/>
  <c r="I15"/>
  <c r="H16"/>
  <c r="I16"/>
  <c r="H17"/>
  <c r="I17"/>
  <c r="H19"/>
  <c r="I19"/>
  <c r="H20"/>
  <c r="I20"/>
  <c r="H21"/>
  <c r="I21"/>
  <c r="H22"/>
  <c r="I22"/>
  <c r="H23"/>
  <c r="I23"/>
  <c r="H24"/>
  <c r="I24"/>
  <c r="H31"/>
  <c r="I31"/>
  <c r="H32"/>
  <c r="I32"/>
  <c r="H33"/>
  <c r="I33"/>
  <c r="H34"/>
  <c r="I34"/>
  <c r="H36"/>
  <c r="I36"/>
  <c r="H37"/>
  <c r="I37"/>
  <c r="H38"/>
  <c r="I38"/>
  <c r="H41"/>
  <c r="I41"/>
  <c r="H43"/>
  <c r="I43"/>
  <c r="H44"/>
  <c r="I44"/>
  <c r="H45"/>
  <c r="I45"/>
  <c r="H49"/>
  <c r="I49"/>
  <c r="H50"/>
  <c r="I50"/>
  <c r="I52"/>
  <c r="H58"/>
  <c r="I58"/>
  <c r="H59"/>
  <c r="I59"/>
  <c r="H60"/>
  <c r="I60"/>
  <c r="H61"/>
  <c r="I61"/>
  <c r="H62"/>
  <c r="I62"/>
  <c r="H63"/>
  <c r="I63"/>
  <c r="H65"/>
  <c r="I65"/>
  <c r="H66"/>
  <c r="I66"/>
  <c r="H68"/>
  <c r="I68"/>
  <c r="H69"/>
  <c r="I69"/>
  <c r="H70"/>
  <c r="I70"/>
  <c r="H71"/>
  <c r="I71"/>
  <c r="H72"/>
  <c r="I72"/>
  <c r="H83"/>
  <c r="I83"/>
  <c r="H85"/>
  <c r="I85"/>
  <c r="I88"/>
  <c r="I90"/>
  <c r="H95"/>
  <c r="I95"/>
  <c r="H96"/>
  <c r="I96"/>
  <c r="H98"/>
  <c r="I98"/>
  <c r="H100"/>
  <c r="I100"/>
  <c r="I101"/>
  <c r="H107"/>
  <c r="I107"/>
  <c r="H109"/>
  <c r="I109"/>
  <c r="H112"/>
  <c r="I112"/>
  <c r="I113"/>
  <c r="H119"/>
  <c r="I119"/>
  <c r="H121"/>
  <c r="I121"/>
  <c r="H125"/>
  <c r="I125"/>
  <c r="I126"/>
  <c r="H138"/>
  <c r="I138"/>
  <c r="H140"/>
  <c r="I140"/>
  <c r="H141"/>
  <c r="I141"/>
  <c r="H142"/>
  <c r="I142"/>
  <c r="H144"/>
  <c r="I144"/>
  <c r="I151"/>
  <c r="H158"/>
  <c r="I158"/>
  <c r="H160"/>
  <c r="I160"/>
  <c r="H162"/>
  <c r="I162"/>
  <c r="H164"/>
  <c r="I164"/>
  <c r="H166"/>
  <c r="I166"/>
  <c r="H168"/>
  <c r="I168"/>
  <c r="H170"/>
  <c r="I170"/>
  <c r="H171"/>
  <c r="I171"/>
  <c r="I177"/>
  <c r="H183"/>
  <c r="I183"/>
  <c r="H185"/>
  <c r="I185"/>
  <c r="I191"/>
  <c r="H197"/>
  <c r="I197"/>
  <c r="H199"/>
  <c r="I199"/>
  <c r="H200"/>
  <c r="I200"/>
  <c r="H201"/>
  <c r="I201"/>
  <c r="H203"/>
  <c r="I203"/>
  <c r="H205"/>
  <c r="I205"/>
  <c r="H209"/>
  <c r="I209"/>
  <c r="H215"/>
  <c r="I215"/>
  <c r="H217"/>
  <c r="I217"/>
  <c r="H218"/>
  <c r="I218"/>
  <c r="H219"/>
  <c r="I219"/>
  <c r="H220"/>
  <c r="I220"/>
  <c r="H221"/>
  <c r="I221"/>
  <c r="H222"/>
  <c r="I222"/>
  <c r="H223"/>
  <c r="I223"/>
  <c r="H225"/>
  <c r="I225"/>
  <c r="H226"/>
  <c r="I226"/>
  <c r="H227"/>
  <c r="I227"/>
  <c r="H229"/>
  <c r="I229"/>
  <c r="H230"/>
  <c r="I230"/>
  <c r="H237"/>
  <c r="I237"/>
  <c r="G238"/>
  <c r="H238"/>
  <c r="I238"/>
  <c r="H239"/>
  <c r="I239"/>
  <c r="I245"/>
  <c r="I246"/>
  <c r="I806"/>
  <c r="H769"/>
  <c r="H787"/>
  <c r="H805"/>
  <c r="H524"/>
  <c r="H546"/>
  <c r="H567"/>
  <c r="H595"/>
  <c r="H618"/>
  <c r="H619"/>
  <c r="H305"/>
  <c r="H344"/>
  <c r="H412"/>
  <c r="H435"/>
  <c r="H480"/>
  <c r="H481"/>
  <c r="H52"/>
  <c r="H90"/>
  <c r="H113"/>
  <c r="H126"/>
  <c r="H151"/>
  <c r="H177"/>
  <c r="H191"/>
  <c r="H245"/>
  <c r="H246"/>
  <c r="H806"/>
  <c r="G805"/>
  <c r="G524"/>
  <c r="G546"/>
  <c r="G567"/>
  <c r="G595"/>
  <c r="G618"/>
  <c r="G619"/>
  <c r="G305"/>
  <c r="G344"/>
  <c r="G412"/>
  <c r="G435"/>
  <c r="G480"/>
  <c r="G481"/>
  <c r="G52"/>
  <c r="G90"/>
  <c r="G113"/>
  <c r="G126"/>
  <c r="G151"/>
  <c r="G177"/>
  <c r="G191"/>
  <c r="G245"/>
  <c r="G246"/>
  <c r="G806"/>
  <c r="F805"/>
  <c r="F524"/>
  <c r="F546"/>
  <c r="F567"/>
  <c r="F595"/>
  <c r="F618"/>
  <c r="F619"/>
  <c r="F305"/>
  <c r="F344"/>
  <c r="F412"/>
  <c r="F435"/>
  <c r="F480"/>
  <c r="F481"/>
  <c r="F52"/>
  <c r="F90"/>
  <c r="F113"/>
  <c r="F126"/>
  <c r="F151"/>
  <c r="F177"/>
  <c r="F191"/>
  <c r="F245"/>
  <c r="F246"/>
  <c r="F806"/>
  <c r="E710"/>
  <c r="E757"/>
  <c r="E759"/>
  <c r="E805"/>
  <c r="E524"/>
  <c r="E546"/>
  <c r="E567"/>
  <c r="E595"/>
  <c r="E618"/>
  <c r="E619"/>
  <c r="E291"/>
  <c r="E304"/>
  <c r="E305"/>
  <c r="E344"/>
  <c r="E412"/>
  <c r="E435"/>
  <c r="E480"/>
  <c r="E481"/>
  <c r="E19"/>
  <c r="E52"/>
  <c r="E90"/>
  <c r="E113"/>
  <c r="E126"/>
  <c r="E151"/>
  <c r="E177"/>
  <c r="E191"/>
  <c r="E245"/>
  <c r="E246"/>
  <c r="E806"/>
  <c r="D710"/>
  <c r="D805"/>
  <c r="D524"/>
  <c r="D546"/>
  <c r="D567"/>
  <c r="D595"/>
  <c r="D618"/>
  <c r="D619"/>
  <c r="D305"/>
  <c r="D344"/>
  <c r="D412"/>
  <c r="D435"/>
  <c r="D480"/>
  <c r="D481"/>
  <c r="D52"/>
  <c r="D90"/>
  <c r="D113"/>
  <c r="D126"/>
  <c r="D151"/>
  <c r="D177"/>
  <c r="D191"/>
  <c r="D245"/>
  <c r="D246"/>
  <c r="D806"/>
  <c r="C625"/>
  <c r="C626"/>
  <c r="C628"/>
  <c r="C629"/>
  <c r="C630"/>
  <c r="C631"/>
  <c r="C633"/>
  <c r="C634"/>
  <c r="C635"/>
  <c r="C637"/>
  <c r="C638"/>
  <c r="C639"/>
  <c r="C646"/>
  <c r="C647"/>
  <c r="C654"/>
  <c r="C655"/>
  <c r="C656"/>
  <c r="C657"/>
  <c r="C658"/>
  <c r="C659"/>
  <c r="C660"/>
  <c r="C661"/>
  <c r="C663"/>
  <c r="C665"/>
  <c r="C666"/>
  <c r="C667"/>
  <c r="C668"/>
  <c r="C669"/>
  <c r="C672"/>
  <c r="C673"/>
  <c r="C674"/>
  <c r="C675"/>
  <c r="C680"/>
  <c r="C681"/>
  <c r="C682"/>
  <c r="C683"/>
  <c r="C684"/>
  <c r="C685"/>
  <c r="C686"/>
  <c r="C688"/>
  <c r="C689"/>
  <c r="C690"/>
  <c r="C692"/>
  <c r="C693"/>
  <c r="C694"/>
  <c r="C695"/>
  <c r="C696"/>
  <c r="C697"/>
  <c r="C698"/>
  <c r="C699"/>
  <c r="C705"/>
  <c r="C706"/>
  <c r="C707"/>
  <c r="C710"/>
  <c r="C712"/>
  <c r="C714"/>
  <c r="C716"/>
  <c r="C717"/>
  <c r="C718"/>
  <c r="C720"/>
  <c r="C721"/>
  <c r="C723"/>
  <c r="C724"/>
  <c r="C730"/>
  <c r="C732"/>
  <c r="C733"/>
  <c r="C734"/>
  <c r="C735"/>
  <c r="C737"/>
  <c r="C740"/>
  <c r="C741"/>
  <c r="C743"/>
  <c r="C744"/>
  <c r="C745"/>
  <c r="C752"/>
  <c r="C753"/>
  <c r="C754"/>
  <c r="C756"/>
  <c r="C757"/>
  <c r="C758"/>
  <c r="C759"/>
  <c r="C760"/>
  <c r="C761"/>
  <c r="C762"/>
  <c r="C764"/>
  <c r="C765"/>
  <c r="C766"/>
  <c r="C768"/>
  <c r="C769"/>
  <c r="C770"/>
  <c r="C772"/>
  <c r="C774"/>
  <c r="C780"/>
  <c r="C781"/>
  <c r="C783"/>
  <c r="C784"/>
  <c r="C787"/>
  <c r="C788"/>
  <c r="C789"/>
  <c r="C791"/>
  <c r="C792"/>
  <c r="C793"/>
  <c r="C794"/>
  <c r="C795"/>
  <c r="C796"/>
  <c r="C801"/>
  <c r="C802"/>
  <c r="C804"/>
  <c r="C805"/>
  <c r="C487"/>
  <c r="C488"/>
  <c r="C489"/>
  <c r="C490"/>
  <c r="C491"/>
  <c r="C493"/>
  <c r="C494"/>
  <c r="C496"/>
  <c r="C497"/>
  <c r="C498"/>
  <c r="C500"/>
  <c r="C501"/>
  <c r="C507"/>
  <c r="C509"/>
  <c r="C511"/>
  <c r="C513"/>
  <c r="C516"/>
  <c r="C517"/>
  <c r="C518"/>
  <c r="C519"/>
  <c r="C520"/>
  <c r="C521"/>
  <c r="C522"/>
  <c r="C523"/>
  <c r="C524"/>
  <c r="C530"/>
  <c r="C531"/>
  <c r="C532"/>
  <c r="C533"/>
  <c r="C534"/>
  <c r="C535"/>
  <c r="C536"/>
  <c r="C537"/>
  <c r="C538"/>
  <c r="C540"/>
  <c r="C541"/>
  <c r="C542"/>
  <c r="C543"/>
  <c r="C544"/>
  <c r="C545"/>
  <c r="C546"/>
  <c r="C552"/>
  <c r="C554"/>
  <c r="C556"/>
  <c r="C558"/>
  <c r="C560"/>
  <c r="C562"/>
  <c r="C564"/>
  <c r="C566"/>
  <c r="C567"/>
  <c r="C572"/>
  <c r="C573"/>
  <c r="C574"/>
  <c r="C575"/>
  <c r="C576"/>
  <c r="C577"/>
  <c r="C578"/>
  <c r="C579"/>
  <c r="C581"/>
  <c r="C582"/>
  <c r="C583"/>
  <c r="C584"/>
  <c r="C586"/>
  <c r="C587"/>
  <c r="C588"/>
  <c r="C589"/>
  <c r="C590"/>
  <c r="C591"/>
  <c r="C592"/>
  <c r="C593"/>
  <c r="C594"/>
  <c r="C595"/>
  <c r="C601"/>
  <c r="C603"/>
  <c r="C605"/>
  <c r="C607"/>
  <c r="C609"/>
  <c r="C611"/>
  <c r="C613"/>
  <c r="C615"/>
  <c r="C618"/>
  <c r="C619"/>
  <c r="C252"/>
  <c r="C253"/>
  <c r="C254"/>
  <c r="C255"/>
  <c r="C256"/>
  <c r="C257"/>
  <c r="C258"/>
  <c r="C260"/>
  <c r="C261"/>
  <c r="C262"/>
  <c r="C264"/>
  <c r="C265"/>
  <c r="C266"/>
  <c r="C267"/>
  <c r="C268"/>
  <c r="C273"/>
  <c r="C276"/>
  <c r="C277"/>
  <c r="C278"/>
  <c r="C279"/>
  <c r="C280"/>
  <c r="C281"/>
  <c r="C283"/>
  <c r="C284"/>
  <c r="C285"/>
  <c r="C286"/>
  <c r="C287"/>
  <c r="C288"/>
  <c r="C289"/>
  <c r="C290"/>
  <c r="C291"/>
  <c r="C296"/>
  <c r="C297"/>
  <c r="C298"/>
  <c r="C299"/>
  <c r="C300"/>
  <c r="C305"/>
  <c r="C311"/>
  <c r="C313"/>
  <c r="C315"/>
  <c r="C317"/>
  <c r="C318"/>
  <c r="C319"/>
  <c r="C320"/>
  <c r="C321"/>
  <c r="C322"/>
  <c r="C323"/>
  <c r="C329"/>
  <c r="C330"/>
  <c r="C331"/>
  <c r="C332"/>
  <c r="C333"/>
  <c r="C334"/>
  <c r="C335"/>
  <c r="C344"/>
  <c r="C350"/>
  <c r="C351"/>
  <c r="C352"/>
  <c r="C353"/>
  <c r="C354"/>
  <c r="C355"/>
  <c r="C356"/>
  <c r="C357"/>
  <c r="C358"/>
  <c r="C359"/>
  <c r="C360"/>
  <c r="C362"/>
  <c r="C364"/>
  <c r="C366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94"/>
  <c r="C395"/>
  <c r="C397"/>
  <c r="C398"/>
  <c r="C399"/>
  <c r="C400"/>
  <c r="C401"/>
  <c r="C402"/>
  <c r="C406"/>
  <c r="C409"/>
  <c r="C411"/>
  <c r="C412"/>
  <c r="C418"/>
  <c r="C419"/>
  <c r="C420"/>
  <c r="C421"/>
  <c r="C422"/>
  <c r="C423"/>
  <c r="C424"/>
  <c r="C425"/>
  <c r="C429"/>
  <c r="C430"/>
  <c r="C431"/>
  <c r="C432"/>
  <c r="C433"/>
  <c r="C434"/>
  <c r="C435"/>
  <c r="C441"/>
  <c r="C442"/>
  <c r="C443"/>
  <c r="C444"/>
  <c r="C445"/>
  <c r="C446"/>
  <c r="C447"/>
  <c r="C448"/>
  <c r="C449"/>
  <c r="C451"/>
  <c r="C452"/>
  <c r="C453"/>
  <c r="C454"/>
  <c r="C455"/>
  <c r="C456"/>
  <c r="C463"/>
  <c r="C464"/>
  <c r="C465"/>
  <c r="C466"/>
  <c r="C467"/>
  <c r="C468"/>
  <c r="C470"/>
  <c r="C472"/>
  <c r="C474"/>
  <c r="C475"/>
  <c r="C476"/>
  <c r="C479"/>
  <c r="C480"/>
  <c r="C481"/>
  <c r="C7"/>
  <c r="C8"/>
  <c r="C9"/>
  <c r="C10"/>
  <c r="C11"/>
  <c r="C14"/>
  <c r="C15"/>
  <c r="C16"/>
  <c r="C17"/>
  <c r="C19"/>
  <c r="C20"/>
  <c r="C21"/>
  <c r="C22"/>
  <c r="C23"/>
  <c r="C24"/>
  <c r="C31"/>
  <c r="C32"/>
  <c r="C33"/>
  <c r="C34"/>
  <c r="C36"/>
  <c r="C37"/>
  <c r="C38"/>
  <c r="C41"/>
  <c r="C43"/>
  <c r="C44"/>
  <c r="C45"/>
  <c r="C49"/>
  <c r="C50"/>
  <c r="C52"/>
  <c r="C58"/>
  <c r="C59"/>
  <c r="C60"/>
  <c r="C61"/>
  <c r="C62"/>
  <c r="C63"/>
  <c r="C64"/>
  <c r="C65"/>
  <c r="C66"/>
  <c r="C67"/>
  <c r="C68"/>
  <c r="C69"/>
  <c r="C70"/>
  <c r="C71"/>
  <c r="C72"/>
  <c r="C83"/>
  <c r="C84"/>
  <c r="C85"/>
  <c r="C88"/>
  <c r="C90"/>
  <c r="C95"/>
  <c r="C96"/>
  <c r="C98"/>
  <c r="C100"/>
  <c r="C101"/>
  <c r="C107"/>
  <c r="C108"/>
  <c r="C109"/>
  <c r="C110"/>
  <c r="C112"/>
  <c r="C113"/>
  <c r="C119"/>
  <c r="C121"/>
  <c r="C123"/>
  <c r="C125"/>
  <c r="C126"/>
  <c r="C138"/>
  <c r="C140"/>
  <c r="C142"/>
  <c r="C143"/>
  <c r="C144"/>
  <c r="C151"/>
  <c r="C158"/>
  <c r="C160"/>
  <c r="C162"/>
  <c r="C164"/>
  <c r="C166"/>
  <c r="C167"/>
  <c r="C168"/>
  <c r="C169"/>
  <c r="C170"/>
  <c r="C171"/>
  <c r="C172"/>
  <c r="C176"/>
  <c r="C177"/>
  <c r="C183"/>
  <c r="C185"/>
  <c r="C191"/>
  <c r="C197"/>
  <c r="C198"/>
  <c r="C199"/>
  <c r="C200"/>
  <c r="C201"/>
  <c r="C203"/>
  <c r="C205"/>
  <c r="C209"/>
  <c r="C215"/>
  <c r="C216"/>
  <c r="C217"/>
  <c r="C218"/>
  <c r="C219"/>
  <c r="C220"/>
  <c r="C221"/>
  <c r="C222"/>
  <c r="C223"/>
  <c r="C225"/>
  <c r="C226"/>
  <c r="C227"/>
  <c r="C228"/>
  <c r="C229"/>
  <c r="C230"/>
  <c r="C237"/>
  <c r="C238"/>
  <c r="C239"/>
  <c r="C245"/>
  <c r="C246"/>
  <c r="C806"/>
  <c r="A745"/>
  <c r="A741"/>
  <c r="A721"/>
  <c r="A723"/>
  <c r="A724"/>
  <c r="A712"/>
  <c r="A714"/>
  <c r="A716"/>
  <c r="A706"/>
  <c r="A707"/>
  <c r="A693"/>
  <c r="A694"/>
  <c r="A695"/>
  <c r="A696"/>
  <c r="A697"/>
  <c r="A689"/>
  <c r="A672"/>
  <c r="A673"/>
  <c r="A674"/>
  <c r="A675"/>
  <c r="A680"/>
  <c r="A655"/>
  <c r="A656"/>
  <c r="A657"/>
  <c r="A658"/>
  <c r="A659"/>
  <c r="A647"/>
  <c r="A642"/>
  <c r="A643"/>
  <c r="A640"/>
  <c r="A626"/>
  <c r="A628"/>
  <c r="A629"/>
  <c r="A630"/>
  <c r="A631"/>
  <c r="A542"/>
  <c r="A488"/>
  <c r="A430"/>
  <c r="A431"/>
  <c r="A383"/>
  <c r="A384"/>
  <c r="A373"/>
  <c r="A374"/>
  <c r="A375"/>
  <c r="C343"/>
  <c r="C342"/>
  <c r="C341"/>
  <c r="C339"/>
  <c r="C337"/>
  <c r="C336"/>
  <c r="A322"/>
  <c r="A323"/>
  <c r="C304"/>
  <c r="C303"/>
  <c r="C302"/>
  <c r="A287"/>
  <c r="A288"/>
  <c r="A289"/>
  <c r="A290"/>
  <c r="A291"/>
  <c r="A296"/>
  <c r="A297"/>
  <c r="A298"/>
  <c r="A299"/>
  <c r="A300"/>
  <c r="A301"/>
  <c r="A261"/>
  <c r="H244"/>
  <c r="I244"/>
  <c r="C244"/>
  <c r="C243"/>
  <c r="H241"/>
  <c r="I241"/>
  <c r="C241"/>
  <c r="A216"/>
  <c r="A217"/>
  <c r="A201"/>
  <c r="A199"/>
  <c r="C182"/>
  <c r="A105"/>
  <c r="A107"/>
  <c r="A109"/>
  <c r="A112"/>
  <c r="A110"/>
  <c r="A69"/>
  <c r="A70"/>
  <c r="A71"/>
  <c r="A59"/>
  <c r="A60"/>
  <c r="A61"/>
  <c r="A62"/>
  <c r="A63"/>
  <c r="A64"/>
  <c r="A65"/>
  <c r="A66"/>
  <c r="A67"/>
  <c r="A30"/>
  <c r="A31"/>
  <c r="A32"/>
  <c r="A33"/>
  <c r="A34"/>
  <c r="A13"/>
  <c r="A14"/>
  <c r="A15"/>
  <c r="A16"/>
  <c r="A17"/>
  <c r="A19"/>
  <c r="A20"/>
  <c r="A21"/>
  <c r="A22"/>
  <c r="A23"/>
  <c r="A24"/>
  <c r="A10"/>
  <c r="F7" i="8"/>
  <c r="D8" i="2"/>
  <c r="F9" i="8"/>
  <c r="F11"/>
  <c r="F12"/>
  <c r="F15"/>
  <c r="F17"/>
  <c r="F23"/>
  <c r="F26"/>
  <c r="F27"/>
  <c r="F28"/>
  <c r="D292" i="15"/>
  <c r="H7" i="8"/>
  <c r="F31"/>
  <c r="D286" i="15"/>
  <c r="D17"/>
  <c r="D28"/>
  <c r="D35"/>
  <c r="D6"/>
  <c r="D72"/>
  <c r="D90"/>
  <c r="D7"/>
  <c r="D112"/>
  <c r="D8"/>
  <c r="D178"/>
  <c r="D9"/>
  <c r="D192"/>
  <c r="D10"/>
  <c r="D213"/>
  <c r="D11"/>
  <c r="D231"/>
  <c r="D12"/>
  <c r="D268"/>
  <c r="D270"/>
  <c r="D278"/>
  <c r="D13"/>
  <c r="D14"/>
  <c r="M8" i="11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6"/>
  <c r="M47"/>
  <c r="M49"/>
  <c r="M50"/>
  <c r="M51"/>
  <c r="M52"/>
  <c r="M54"/>
  <c r="M55"/>
  <c r="M56"/>
  <c r="M57"/>
  <c r="M58"/>
  <c r="M59"/>
  <c r="M60"/>
  <c r="M61"/>
  <c r="M62"/>
  <c r="M63"/>
  <c r="M65"/>
  <c r="M66"/>
  <c r="M67"/>
  <c r="M68"/>
  <c r="M70"/>
  <c r="M71"/>
  <c r="M72"/>
  <c r="M73"/>
  <c r="M74"/>
  <c r="M75"/>
  <c r="M76"/>
  <c r="M77"/>
  <c r="M78"/>
  <c r="M79"/>
  <c r="M80"/>
  <c r="M81"/>
  <c r="M82"/>
  <c r="M83"/>
  <c r="M84"/>
  <c r="M85"/>
  <c r="M86"/>
  <c r="M89"/>
  <c r="M90"/>
  <c r="M91"/>
  <c r="M92"/>
  <c r="M94"/>
  <c r="M95"/>
  <c r="M96"/>
  <c r="M97"/>
  <c r="M98"/>
  <c r="M99"/>
  <c r="M100"/>
  <c r="G106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4"/>
  <c r="M215"/>
  <c r="M216"/>
  <c r="M217"/>
  <c r="M218"/>
  <c r="M219"/>
  <c r="M220"/>
  <c r="M221"/>
  <c r="M222"/>
  <c r="M223"/>
  <c r="M225"/>
  <c r="M226"/>
  <c r="M227"/>
  <c r="M229"/>
  <c r="M230"/>
  <c r="M231"/>
  <c r="M232"/>
  <c r="M233"/>
  <c r="M234"/>
  <c r="M235"/>
  <c r="M236"/>
  <c r="M237"/>
  <c r="M238"/>
  <c r="M239"/>
  <c r="M240"/>
  <c r="M241"/>
  <c r="M242"/>
  <c r="M243"/>
  <c r="M244"/>
  <c r="M246"/>
  <c r="M247"/>
  <c r="M248"/>
  <c r="M249"/>
  <c r="M250"/>
  <c r="M251"/>
  <c r="M252"/>
  <c r="M253"/>
  <c r="M256"/>
  <c r="M257"/>
  <c r="M258"/>
  <c r="M259"/>
  <c r="M260"/>
  <c r="M261"/>
  <c r="M262"/>
  <c r="M263"/>
  <c r="M264"/>
  <c r="M265"/>
  <c r="M266"/>
  <c r="M267"/>
  <c r="M268"/>
  <c r="M270"/>
  <c r="M271"/>
  <c r="M272"/>
  <c r="M273"/>
  <c r="M274"/>
  <c r="M275"/>
  <c r="M276"/>
  <c r="M277"/>
  <c r="M278"/>
  <c r="M279"/>
  <c r="M280"/>
  <c r="M281"/>
  <c r="M282"/>
  <c r="M283"/>
  <c r="G290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5"/>
  <c r="M356"/>
  <c r="M357"/>
  <c r="M358"/>
  <c r="M359"/>
  <c r="M360"/>
  <c r="M361"/>
  <c r="M363"/>
  <c r="M364"/>
  <c r="M365"/>
  <c r="M366"/>
  <c r="M367"/>
  <c r="M368"/>
  <c r="M369"/>
  <c r="M371"/>
  <c r="M372"/>
  <c r="M373"/>
  <c r="M374"/>
  <c r="M376"/>
  <c r="M377"/>
  <c r="M378"/>
  <c r="M379"/>
  <c r="M380"/>
  <c r="M437"/>
  <c r="M438"/>
  <c r="M439"/>
  <c r="M440"/>
  <c r="M441"/>
  <c r="M442"/>
  <c r="M443"/>
  <c r="M444"/>
  <c r="M445"/>
  <c r="M446"/>
  <c r="M447"/>
  <c r="M448"/>
  <c r="M449"/>
  <c r="M450"/>
  <c r="M452"/>
  <c r="M453"/>
  <c r="M454"/>
  <c r="M455"/>
  <c r="M457"/>
  <c r="M458"/>
  <c r="M459"/>
  <c r="M460"/>
  <c r="M461"/>
  <c r="M463"/>
  <c r="M464"/>
  <c r="M465"/>
  <c r="M466"/>
  <c r="M468"/>
  <c r="M469"/>
  <c r="M470"/>
  <c r="M471"/>
  <c r="M472"/>
  <c r="M473"/>
  <c r="M475"/>
  <c r="M476"/>
  <c r="M477"/>
  <c r="M478"/>
  <c r="M480"/>
  <c r="M481"/>
  <c r="M482"/>
  <c r="M483"/>
  <c r="M484"/>
  <c r="M485"/>
  <c r="M486"/>
  <c r="M487"/>
  <c r="J534"/>
  <c r="J535"/>
  <c r="J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4"/>
  <c r="M565"/>
  <c r="M566"/>
  <c r="M567"/>
  <c r="M569"/>
  <c r="M570"/>
  <c r="M571"/>
  <c r="M572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2"/>
  <c r="M643"/>
  <c r="M644"/>
  <c r="M645"/>
  <c r="M646"/>
  <c r="M647"/>
  <c r="M648"/>
  <c r="M649"/>
  <c r="M650"/>
  <c r="M651"/>
  <c r="M652"/>
  <c r="M653"/>
  <c r="M656"/>
  <c r="M657"/>
  <c r="M658"/>
  <c r="M659"/>
  <c r="M660"/>
  <c r="M661"/>
  <c r="M662"/>
  <c r="M663"/>
  <c r="M665"/>
  <c r="M666"/>
  <c r="M667"/>
  <c r="M668"/>
  <c r="M669"/>
  <c r="M670"/>
  <c r="M671"/>
  <c r="M672"/>
  <c r="M673"/>
  <c r="M674"/>
  <c r="M676"/>
  <c r="M677"/>
  <c r="M678"/>
  <c r="M679"/>
  <c r="M680"/>
  <c r="M681"/>
  <c r="M683"/>
  <c r="M684"/>
  <c r="M685"/>
  <c r="M686"/>
  <c r="M687"/>
  <c r="M688"/>
  <c r="M68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7"/>
  <c r="M758"/>
  <c r="M759"/>
  <c r="M760"/>
  <c r="M761"/>
  <c r="M762"/>
  <c r="M763"/>
  <c r="M764"/>
  <c r="M765"/>
  <c r="M768"/>
  <c r="M769"/>
  <c r="M770"/>
  <c r="M772"/>
  <c r="M773"/>
  <c r="M774"/>
  <c r="M775"/>
  <c r="M776"/>
  <c r="M777"/>
  <c r="M778"/>
  <c r="M780"/>
  <c r="M781"/>
  <c r="M782"/>
  <c r="M783"/>
  <c r="M784"/>
  <c r="M786"/>
  <c r="M787"/>
  <c r="M788"/>
  <c r="M789"/>
  <c r="M790"/>
  <c r="M791"/>
  <c r="M792"/>
  <c r="M793"/>
  <c r="M794"/>
  <c r="M795"/>
  <c r="M796"/>
  <c r="M797"/>
  <c r="M798"/>
  <c r="M800"/>
  <c r="M801"/>
  <c r="M802"/>
  <c r="M803"/>
  <c r="M804"/>
  <c r="M805"/>
  <c r="M806"/>
  <c r="M807"/>
  <c r="M808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8"/>
  <c r="M899"/>
  <c r="M900"/>
  <c r="M901"/>
  <c r="M902"/>
  <c r="M905"/>
  <c r="M907"/>
  <c r="M908"/>
  <c r="M909"/>
  <c r="M910"/>
  <c r="M911"/>
  <c r="M912"/>
  <c r="M913"/>
  <c r="M914"/>
  <c r="M915"/>
  <c r="M917"/>
  <c r="M918"/>
  <c r="M919"/>
  <c r="M920"/>
  <c r="M921"/>
  <c r="M923"/>
  <c r="M924"/>
  <c r="M925"/>
  <c r="M926"/>
  <c r="M927"/>
  <c r="M928"/>
  <c r="J1009"/>
  <c r="J1010"/>
  <c r="J1011"/>
  <c r="J1012"/>
  <c r="M1014"/>
  <c r="M1015"/>
  <c r="M1016"/>
  <c r="M1017"/>
  <c r="M1018"/>
  <c r="M1019"/>
  <c r="M1020"/>
  <c r="M1021"/>
  <c r="M1023"/>
  <c r="M1024"/>
  <c r="M1025"/>
  <c r="M1026"/>
  <c r="M1027"/>
  <c r="M1028"/>
  <c r="M1029"/>
  <c r="M1030"/>
  <c r="M1031"/>
  <c r="M1033"/>
  <c r="M1034"/>
  <c r="M1035"/>
  <c r="M1037"/>
  <c r="M1038"/>
  <c r="M1039"/>
  <c r="L1084"/>
  <c r="J1084"/>
  <c r="J1085"/>
  <c r="J1086"/>
  <c r="M1088"/>
  <c r="M1089"/>
  <c r="M1090"/>
  <c r="M1091"/>
  <c r="M1092"/>
  <c r="M1093"/>
  <c r="M1094"/>
  <c r="M1095"/>
  <c r="M1097"/>
  <c r="M1098"/>
  <c r="M1099"/>
  <c r="M1100"/>
  <c r="M1101"/>
  <c r="M1102"/>
  <c r="M1103"/>
  <c r="M1104"/>
  <c r="M1106"/>
  <c r="M1107"/>
  <c r="M1108"/>
  <c r="M1110"/>
  <c r="M1111"/>
  <c r="M1112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2"/>
  <c r="M1193"/>
  <c r="M1194"/>
  <c r="M1197"/>
  <c r="M1198"/>
  <c r="M1199"/>
  <c r="M1200"/>
  <c r="M1202"/>
  <c r="M1203"/>
  <c r="M1204"/>
  <c r="M1205"/>
  <c r="M1206"/>
  <c r="M1207"/>
  <c r="M1208"/>
  <c r="M1209"/>
  <c r="M1210"/>
  <c r="M1211"/>
  <c r="M1212"/>
  <c r="M1213"/>
  <c r="M1214"/>
  <c r="M1216"/>
  <c r="M1217"/>
  <c r="M1218"/>
  <c r="M1219"/>
  <c r="M1220"/>
  <c r="M1222"/>
  <c r="M1223"/>
  <c r="M1224"/>
  <c r="M1225"/>
  <c r="M1226"/>
  <c r="M1227"/>
  <c r="M1229"/>
  <c r="M1230"/>
  <c r="M1231"/>
  <c r="M1232"/>
  <c r="M1234"/>
  <c r="M1235"/>
  <c r="M1236"/>
  <c r="M1240"/>
  <c r="M1241"/>
  <c r="M1242"/>
  <c r="M1243"/>
  <c r="M1244"/>
  <c r="M1245"/>
  <c r="M1246"/>
  <c r="M1247"/>
  <c r="M1248"/>
  <c r="M1249"/>
  <c r="M1250"/>
  <c r="M1251"/>
  <c r="M1252"/>
  <c r="M1254"/>
  <c r="M1255"/>
  <c r="M1256"/>
  <c r="M1257"/>
  <c r="M1258"/>
  <c r="M1259"/>
  <c r="M1260"/>
  <c r="M1261"/>
  <c r="M1262"/>
  <c r="M1263"/>
  <c r="M1265"/>
  <c r="M1266"/>
  <c r="M1267"/>
  <c r="M1268"/>
  <c r="M1269"/>
  <c r="M1270"/>
  <c r="M1272"/>
  <c r="M1273"/>
  <c r="M1274"/>
  <c r="M1276"/>
  <c r="M1277"/>
  <c r="M1278"/>
  <c r="M1279"/>
  <c r="M1363"/>
  <c r="M1364"/>
  <c r="M1365"/>
  <c r="M1366"/>
  <c r="M1367"/>
  <c r="M1368"/>
  <c r="M1369"/>
  <c r="M1370"/>
  <c r="M1371"/>
  <c r="M1372"/>
  <c r="M1373"/>
  <c r="M1374"/>
  <c r="M1375"/>
  <c r="M1376"/>
  <c r="L1419"/>
  <c r="J1419"/>
  <c r="J1420"/>
  <c r="J1421"/>
  <c r="M1422"/>
  <c r="M1423"/>
  <c r="M1424"/>
  <c r="M1425"/>
  <c r="M1426"/>
  <c r="M1427"/>
  <c r="M1428"/>
  <c r="M1429"/>
  <c r="M1430"/>
  <c r="M1431"/>
  <c r="M1432"/>
  <c r="M1433"/>
  <c r="M1435"/>
  <c r="M1436"/>
  <c r="M1437"/>
  <c r="M1438"/>
  <c r="M1440"/>
  <c r="M1441"/>
  <c r="M1442"/>
  <c r="M1443"/>
  <c r="M1444"/>
  <c r="M1445"/>
  <c r="M1447"/>
  <c r="M1448"/>
  <c r="M1449"/>
  <c r="M1450"/>
  <c r="M1451"/>
  <c r="M1454"/>
  <c r="M1455"/>
  <c r="M1456"/>
  <c r="M1457"/>
  <c r="M1458"/>
  <c r="M1459"/>
  <c r="L1506"/>
  <c r="J1506"/>
  <c r="L1507"/>
  <c r="J1507"/>
  <c r="L1508"/>
  <c r="J1508"/>
  <c r="M1509"/>
  <c r="M1510"/>
  <c r="M1511"/>
  <c r="M1512"/>
  <c r="M1513"/>
  <c r="M1514"/>
  <c r="M1515"/>
  <c r="M1516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8"/>
  <c r="M1599"/>
  <c r="M1600"/>
  <c r="M1601"/>
  <c r="M1602"/>
  <c r="M1603"/>
  <c r="M1605"/>
  <c r="M1606"/>
  <c r="J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5"/>
  <c r="M1676"/>
  <c r="M1677"/>
  <c r="M1678"/>
  <c r="M1679"/>
  <c r="M1680"/>
  <c r="M1681"/>
  <c r="M1682"/>
  <c r="M1685"/>
  <c r="M1686"/>
  <c r="M1688"/>
  <c r="M1689"/>
  <c r="M1690"/>
  <c r="M1691"/>
  <c r="M1692"/>
  <c r="M1694"/>
  <c r="M1695"/>
  <c r="M1696"/>
  <c r="M1697"/>
  <c r="M1698"/>
  <c r="M1700"/>
  <c r="M1701"/>
  <c r="M1702"/>
  <c r="M1703"/>
  <c r="M170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9"/>
  <c r="M1780"/>
  <c r="M1783"/>
  <c r="M1784"/>
  <c r="M1785"/>
  <c r="M1786"/>
  <c r="M1787"/>
  <c r="M1788"/>
  <c r="M1790"/>
  <c r="M1791"/>
  <c r="M1793"/>
  <c r="M1794"/>
  <c r="M1795"/>
  <c r="M1796"/>
  <c r="M1797"/>
  <c r="M1798"/>
  <c r="M1799"/>
  <c r="M1801"/>
  <c r="M1802"/>
  <c r="M1803"/>
  <c r="M1804"/>
  <c r="M1805"/>
  <c r="M1806"/>
  <c r="M1807"/>
  <c r="M1808"/>
  <c r="M1810"/>
  <c r="M1811"/>
  <c r="M1812"/>
  <c r="M1813"/>
  <c r="M1814"/>
  <c r="M1815"/>
  <c r="M1816"/>
  <c r="M1817"/>
  <c r="M1818"/>
  <c r="M1820"/>
  <c r="M1821"/>
  <c r="M1822"/>
  <c r="M1823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3"/>
  <c r="M1904"/>
  <c r="M1905"/>
  <c r="M1906"/>
  <c r="M1909"/>
  <c r="M1910"/>
  <c r="M1911"/>
  <c r="M1912"/>
  <c r="M1913"/>
  <c r="M1914"/>
  <c r="M1915"/>
  <c r="M1916"/>
  <c r="M1917"/>
  <c r="M1918"/>
  <c r="M1919"/>
  <c r="M1920"/>
  <c r="M1922"/>
  <c r="M1923"/>
  <c r="M1924"/>
  <c r="M1925"/>
  <c r="M1926"/>
  <c r="M1927"/>
  <c r="M1928"/>
  <c r="M1929"/>
  <c r="M1930"/>
  <c r="M1931"/>
  <c r="M1932"/>
  <c r="M1934"/>
  <c r="M1935"/>
  <c r="M1936"/>
  <c r="M1937"/>
  <c r="M1938"/>
  <c r="M1939"/>
  <c r="M1940"/>
  <c r="M1941"/>
  <c r="M1942"/>
  <c r="M1943"/>
  <c r="M1944"/>
  <c r="M1946"/>
  <c r="M1947"/>
  <c r="M1948"/>
  <c r="M1949"/>
  <c r="M1952"/>
  <c r="M1953"/>
  <c r="M1955"/>
  <c r="M1956"/>
  <c r="M1957"/>
  <c r="M1958"/>
  <c r="M1959"/>
  <c r="M1960"/>
  <c r="M1961"/>
  <c r="M1962"/>
  <c r="M1963"/>
  <c r="M1964"/>
  <c r="M1965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1"/>
  <c r="M2032"/>
  <c r="M2033"/>
  <c r="M203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8"/>
  <c r="M2099"/>
  <c r="M2100"/>
  <c r="M2101"/>
  <c r="M2104"/>
  <c r="M2105"/>
  <c r="M2107"/>
  <c r="M2108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9"/>
  <c r="M2150"/>
  <c r="M2151"/>
  <c r="M2154"/>
  <c r="M2155"/>
  <c r="M2156"/>
  <c r="M2157"/>
  <c r="M2158"/>
  <c r="M2159"/>
  <c r="M2160"/>
  <c r="M2161"/>
  <c r="M2162"/>
  <c r="M2163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8"/>
  <c r="M2189"/>
  <c r="M2190"/>
  <c r="M2191"/>
  <c r="M2192"/>
  <c r="M2193"/>
  <c r="M2194"/>
  <c r="M2195"/>
  <c r="M2198"/>
  <c r="M2199"/>
  <c r="M2201"/>
  <c r="M2202"/>
  <c r="M2203"/>
  <c r="M2204"/>
  <c r="M2205"/>
  <c r="M2206"/>
  <c r="M2207"/>
  <c r="M2208"/>
  <c r="M2209"/>
  <c r="M2210"/>
  <c r="M2211"/>
  <c r="M2212"/>
  <c r="M2213"/>
  <c r="M2214"/>
  <c r="M2215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2"/>
  <c r="M2283"/>
  <c r="M2284"/>
  <c r="M2285"/>
  <c r="M2287"/>
  <c r="M2288"/>
  <c r="M2290"/>
  <c r="M2291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7"/>
  <c r="M2318"/>
  <c r="M2319"/>
  <c r="M2320"/>
  <c r="M2321"/>
  <c r="M2322"/>
  <c r="M2323"/>
  <c r="M2324"/>
  <c r="M2325"/>
  <c r="L2372"/>
  <c r="J2372"/>
  <c r="L2373"/>
  <c r="J2373"/>
  <c r="L2374"/>
  <c r="J2374"/>
  <c r="L2375"/>
  <c r="J2375"/>
  <c r="M2376"/>
  <c r="M2377"/>
  <c r="M2378"/>
  <c r="M2379"/>
  <c r="M2380"/>
  <c r="M2381"/>
  <c r="M2382"/>
  <c r="M2383"/>
  <c r="M2384"/>
  <c r="M2385"/>
  <c r="M2386"/>
  <c r="M2387"/>
  <c r="M2388"/>
  <c r="M2390"/>
  <c r="M2391"/>
  <c r="M2392"/>
  <c r="M2393"/>
  <c r="M2394"/>
  <c r="M2395"/>
  <c r="M2396"/>
  <c r="L2445"/>
  <c r="J2445"/>
  <c r="J2446"/>
  <c r="J2447"/>
  <c r="L2448"/>
  <c r="J2448"/>
  <c r="L2449"/>
  <c r="J2449"/>
  <c r="L2450"/>
  <c r="J2450"/>
  <c r="L2451"/>
  <c r="J2451"/>
  <c r="L2452"/>
  <c r="J2452"/>
  <c r="L2453"/>
  <c r="J2453"/>
  <c r="M2454"/>
  <c r="L2455"/>
  <c r="J2455"/>
  <c r="L2456"/>
  <c r="J2456"/>
  <c r="L2457"/>
  <c r="J2457"/>
  <c r="L2458"/>
  <c r="J2458"/>
  <c r="M2460"/>
  <c r="M2461"/>
  <c r="M2462"/>
  <c r="M2463"/>
  <c r="M2464"/>
  <c r="M2465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2"/>
  <c r="M2533"/>
  <c r="M2534"/>
  <c r="M2535"/>
  <c r="M2536"/>
  <c r="M2537"/>
  <c r="M2581"/>
  <c r="M2582"/>
  <c r="M2583"/>
  <c r="M2584"/>
  <c r="M2585"/>
  <c r="M2586"/>
  <c r="M2587"/>
  <c r="M2588"/>
  <c r="M2589"/>
  <c r="M2590"/>
  <c r="M2591"/>
  <c r="M2592"/>
  <c r="M2594"/>
  <c r="M2595"/>
  <c r="M2596"/>
  <c r="M2598"/>
  <c r="M2599"/>
  <c r="M2600"/>
  <c r="M2601"/>
  <c r="M2602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700"/>
  <c r="M2701"/>
  <c r="M2702"/>
  <c r="M2703"/>
  <c r="M2704"/>
  <c r="M2705"/>
  <c r="M2706"/>
  <c r="M2707"/>
  <c r="M2709"/>
  <c r="M2710"/>
  <c r="M2711"/>
  <c r="M2713"/>
  <c r="M2714"/>
  <c r="M2715"/>
  <c r="M2716"/>
  <c r="M2717"/>
  <c r="M2719"/>
  <c r="M2720"/>
  <c r="M2721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8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2"/>
  <c r="M2813"/>
  <c r="M2814"/>
  <c r="M2815"/>
  <c r="M2816"/>
  <c r="M2817"/>
  <c r="M2818"/>
  <c r="M2819"/>
  <c r="M2820"/>
  <c r="M2821"/>
  <c r="M2822"/>
  <c r="M2823"/>
  <c r="M2824"/>
  <c r="M2825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1"/>
  <c r="M2922"/>
  <c r="M2923"/>
  <c r="M2925"/>
  <c r="M2926"/>
  <c r="M2927"/>
  <c r="M2928"/>
  <c r="M2931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8"/>
  <c r="M2969"/>
  <c r="M2970"/>
  <c r="M2971"/>
  <c r="M2974"/>
  <c r="M2975"/>
  <c r="M2976"/>
  <c r="M2977"/>
  <c r="M2978"/>
  <c r="M2979"/>
  <c r="M2980"/>
  <c r="M2982"/>
  <c r="M2983"/>
  <c r="M2984"/>
  <c r="M2985"/>
  <c r="M2986"/>
  <c r="M2987"/>
  <c r="M2988"/>
  <c r="M2989"/>
  <c r="M2990"/>
  <c r="M2991"/>
  <c r="M2992"/>
  <c r="M2994"/>
  <c r="M2995"/>
  <c r="M2996"/>
  <c r="M2997"/>
  <c r="M2998"/>
  <c r="M2999"/>
  <c r="M3000"/>
  <c r="M3001"/>
  <c r="M3002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4"/>
  <c r="M3075"/>
  <c r="M3076"/>
  <c r="M3078"/>
  <c r="M3079"/>
  <c r="M3080"/>
  <c r="M3081"/>
  <c r="M3082"/>
  <c r="M3084"/>
  <c r="M3085"/>
  <c r="M3086"/>
  <c r="M3087"/>
  <c r="M3090"/>
  <c r="M3091"/>
  <c r="M3092"/>
  <c r="M3093"/>
  <c r="M3094"/>
  <c r="M3095"/>
  <c r="M3096"/>
  <c r="M3097"/>
  <c r="M3098"/>
  <c r="M3099"/>
  <c r="M3100"/>
  <c r="M3101"/>
  <c r="M3102"/>
  <c r="M3103"/>
  <c r="M3105"/>
  <c r="M3106"/>
  <c r="M3107"/>
  <c r="M3108"/>
  <c r="M3109"/>
  <c r="M3110"/>
  <c r="M3111"/>
  <c r="M3112"/>
  <c r="M3113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2"/>
  <c r="M3193"/>
  <c r="M3194"/>
  <c r="M3195"/>
  <c r="M3198"/>
  <c r="M3199"/>
  <c r="M3200"/>
  <c r="M3201"/>
  <c r="M3202"/>
  <c r="M3203"/>
  <c r="M3204"/>
  <c r="M3205"/>
  <c r="M3206"/>
  <c r="M3207"/>
  <c r="M3208"/>
  <c r="M3209"/>
  <c r="M3210"/>
  <c r="M3212"/>
  <c r="M3213"/>
  <c r="M3214"/>
  <c r="M3215"/>
  <c r="M3216"/>
  <c r="M3217"/>
  <c r="M3218"/>
  <c r="M3219"/>
  <c r="M3220"/>
  <c r="M3221"/>
  <c r="M3222"/>
  <c r="M3223"/>
  <c r="M3224"/>
  <c r="M3226"/>
  <c r="M3227"/>
  <c r="M3228"/>
  <c r="M3229"/>
  <c r="M3230"/>
  <c r="M3231"/>
  <c r="M3232"/>
  <c r="M3233"/>
  <c r="M3234"/>
  <c r="M3235"/>
  <c r="M3236"/>
  <c r="M3237"/>
  <c r="M3238"/>
  <c r="M3239"/>
  <c r="M3240"/>
  <c r="M3291"/>
  <c r="M3292"/>
  <c r="M3293"/>
  <c r="M3294"/>
  <c r="M3295"/>
  <c r="M3296"/>
  <c r="M3297"/>
  <c r="M3298"/>
  <c r="M3299"/>
  <c r="M3300"/>
  <c r="M3302"/>
  <c r="M3303"/>
  <c r="M3304"/>
  <c r="M3306"/>
  <c r="M3307"/>
  <c r="M3308"/>
  <c r="M3309"/>
  <c r="M3310"/>
  <c r="M3311"/>
  <c r="M3313"/>
  <c r="M3314"/>
  <c r="M3315"/>
  <c r="M3316"/>
  <c r="M3317"/>
  <c r="M3318"/>
  <c r="M3319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2"/>
  <c r="M3403"/>
  <c r="M3406"/>
  <c r="M3407"/>
  <c r="M3408"/>
  <c r="M3409"/>
  <c r="M3410"/>
  <c r="M3411"/>
  <c r="M3412"/>
  <c r="M3414"/>
  <c r="M3415"/>
  <c r="M3416"/>
  <c r="M3417"/>
  <c r="M3418"/>
  <c r="M3419"/>
  <c r="M3420"/>
  <c r="M3421"/>
  <c r="M3422"/>
  <c r="M3423"/>
  <c r="M3425"/>
  <c r="M3426"/>
  <c r="M3427"/>
  <c r="M3428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9"/>
  <c r="M3450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69"/>
  <c r="M3470"/>
  <c r="M3471"/>
  <c r="M3472"/>
  <c r="M3473"/>
  <c r="M3474"/>
  <c r="M3475"/>
  <c r="M3476"/>
  <c r="M3477"/>
  <c r="M3478"/>
  <c r="M3479"/>
  <c r="M3480"/>
  <c r="M3481"/>
  <c r="M3482"/>
  <c r="M3483"/>
  <c r="M3485"/>
  <c r="M3486"/>
  <c r="M3487"/>
  <c r="M3488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9"/>
  <c r="M3510"/>
  <c r="M3511"/>
  <c r="M3512"/>
  <c r="M3514"/>
  <c r="M3515"/>
  <c r="M3516"/>
  <c r="M3517"/>
  <c r="M3519"/>
  <c r="M3520"/>
  <c r="M3521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17"/>
  <c r="M3618"/>
  <c r="M3619"/>
  <c r="M3620"/>
  <c r="M3622"/>
  <c r="M3623"/>
  <c r="M3624"/>
  <c r="M3627"/>
  <c r="M3628"/>
  <c r="M3629"/>
  <c r="M3631"/>
  <c r="M3632"/>
  <c r="M3633"/>
  <c r="M3634"/>
  <c r="M3635"/>
  <c r="M3636"/>
  <c r="M3637"/>
  <c r="M3638"/>
  <c r="M3639"/>
  <c r="M3641"/>
  <c r="M3642"/>
  <c r="M3643"/>
  <c r="M3644"/>
  <c r="M3646"/>
  <c r="M3647"/>
  <c r="M3648"/>
  <c r="M3649"/>
  <c r="M3650"/>
  <c r="M3651"/>
  <c r="M3652"/>
  <c r="M3654"/>
  <c r="M3655"/>
  <c r="M3656"/>
  <c r="M3657"/>
  <c r="M3659"/>
  <c r="M3660"/>
  <c r="M3661"/>
  <c r="M3662"/>
  <c r="M3663"/>
  <c r="M3664"/>
  <c r="M3665"/>
  <c r="M3666"/>
  <c r="M3667"/>
  <c r="M3671"/>
  <c r="M3672"/>
  <c r="M3673"/>
  <c r="M3674"/>
  <c r="M3675"/>
  <c r="M3676"/>
  <c r="M3677"/>
  <c r="M3678"/>
  <c r="M3680"/>
  <c r="M3681"/>
  <c r="M3682"/>
  <c r="M3683"/>
  <c r="M3684"/>
  <c r="M3685"/>
  <c r="M3686"/>
  <c r="M3687"/>
  <c r="M3689"/>
  <c r="M3690"/>
  <c r="M3691"/>
  <c r="M3692"/>
  <c r="M3693"/>
  <c r="M3694"/>
  <c r="M3695"/>
  <c r="M3696"/>
  <c r="M3698"/>
  <c r="M3699"/>
  <c r="M3700"/>
  <c r="M3701"/>
  <c r="M3702"/>
  <c r="M3703"/>
  <c r="M3704"/>
  <c r="M3705"/>
  <c r="M3707"/>
  <c r="M3708"/>
  <c r="M3709"/>
  <c r="M371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4"/>
  <c r="M3795"/>
  <c r="M3796"/>
  <c r="M3799"/>
  <c r="M3800"/>
  <c r="M3801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20"/>
  <c r="M3821"/>
  <c r="M3822"/>
  <c r="M3823"/>
  <c r="M3824"/>
  <c r="M3825"/>
  <c r="M3826"/>
  <c r="M3827"/>
  <c r="M3828"/>
  <c r="M3829"/>
  <c r="M3830"/>
  <c r="M3834"/>
  <c r="M3835"/>
  <c r="M3836"/>
  <c r="M3837"/>
  <c r="M3838"/>
  <c r="M3839"/>
  <c r="M3842"/>
  <c r="M3843"/>
  <c r="M3844"/>
  <c r="M3845"/>
  <c r="M3846"/>
  <c r="M3847"/>
  <c r="M3848"/>
  <c r="M3849"/>
  <c r="M3850"/>
  <c r="M3851"/>
  <c r="M3852"/>
  <c r="M3853"/>
  <c r="M3854"/>
  <c r="M3855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4"/>
  <c r="M3875"/>
  <c r="M3876"/>
  <c r="M3877"/>
  <c r="M3878"/>
  <c r="M3879"/>
  <c r="M3880"/>
  <c r="M3881"/>
  <c r="M3882"/>
  <c r="M3885"/>
  <c r="M3886"/>
  <c r="M3887"/>
  <c r="M3888"/>
  <c r="M3889"/>
  <c r="M3890"/>
  <c r="M3891"/>
  <c r="M3894"/>
  <c r="M3895"/>
  <c r="M3896"/>
  <c r="M3897"/>
  <c r="M3898"/>
  <c r="M3899"/>
  <c r="M3900"/>
  <c r="M3901"/>
  <c r="M3902"/>
  <c r="M3953"/>
  <c r="M3954"/>
  <c r="M3955"/>
  <c r="M3956"/>
  <c r="M3957"/>
  <c r="M3958"/>
  <c r="M3959"/>
  <c r="M3960"/>
  <c r="M3961"/>
  <c r="M3962"/>
  <c r="M3963"/>
  <c r="M3964"/>
  <c r="M3965"/>
  <c r="M3967"/>
  <c r="M3968"/>
  <c r="M3969"/>
  <c r="M3970"/>
  <c r="M3971"/>
  <c r="M3973"/>
  <c r="M3974"/>
  <c r="M3975"/>
  <c r="M3976"/>
  <c r="M3977"/>
  <c r="M3978"/>
  <c r="M3979"/>
  <c r="M3980"/>
  <c r="M3981"/>
  <c r="M3982"/>
  <c r="M3983"/>
  <c r="M3984"/>
  <c r="M3985"/>
  <c r="M3986"/>
  <c r="M3987"/>
  <c r="M3988"/>
  <c r="M3991"/>
  <c r="M3992"/>
  <c r="M3993"/>
  <c r="M3994"/>
  <c r="M3995"/>
  <c r="M3997"/>
  <c r="M3998"/>
  <c r="M3999"/>
  <c r="M4000"/>
  <c r="M4001"/>
  <c r="M4002"/>
  <c r="M4003"/>
  <c r="M4004"/>
  <c r="M4005"/>
  <c r="M4006"/>
  <c r="M4007"/>
  <c r="M4008"/>
  <c r="M4010"/>
  <c r="M4011"/>
  <c r="M4012"/>
  <c r="M4013"/>
  <c r="M4015"/>
  <c r="M4016"/>
  <c r="M4017"/>
  <c r="M4018"/>
  <c r="M4020"/>
  <c r="M4021"/>
  <c r="M4022"/>
  <c r="M4023"/>
  <c r="M4024"/>
  <c r="M4025"/>
  <c r="M4026"/>
  <c r="M4027"/>
  <c r="M4028"/>
  <c r="M4029"/>
  <c r="M4030"/>
  <c r="M4031"/>
  <c r="M4032"/>
  <c r="M4083"/>
  <c r="M4084"/>
  <c r="M4085"/>
  <c r="M4086"/>
  <c r="M4087"/>
  <c r="M4088"/>
  <c r="M4089"/>
  <c r="M4090"/>
  <c r="M4091"/>
  <c r="M4092"/>
  <c r="M4093"/>
  <c r="M4094"/>
  <c r="M4095"/>
  <c r="M4097"/>
  <c r="M4098"/>
  <c r="M4099"/>
  <c r="M4100"/>
  <c r="M4101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21"/>
  <c r="M4122"/>
  <c r="M4123"/>
  <c r="M4124"/>
  <c r="M4125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6"/>
  <c r="M4217"/>
  <c r="M4218"/>
  <c r="M4219"/>
  <c r="M4220"/>
  <c r="M4221"/>
  <c r="M4222"/>
  <c r="M4223"/>
  <c r="M4224"/>
  <c r="M4228"/>
  <c r="M4229"/>
  <c r="M4230"/>
  <c r="M4231"/>
  <c r="M4232"/>
  <c r="M4233"/>
  <c r="M4234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9"/>
  <c r="M4260"/>
  <c r="M4261"/>
  <c r="M4262"/>
  <c r="M4263"/>
  <c r="M4264"/>
  <c r="M4265"/>
  <c r="M4266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90"/>
  <c r="M4291"/>
  <c r="M4292"/>
  <c r="M4293"/>
  <c r="M4294"/>
  <c r="M4295"/>
  <c r="M4296"/>
  <c r="M4298"/>
  <c r="M4299"/>
  <c r="M4300"/>
  <c r="M4301"/>
  <c r="M4302"/>
  <c r="M4303"/>
  <c r="M4304"/>
  <c r="M4306"/>
  <c r="M4307"/>
  <c r="M4308"/>
  <c r="M4309"/>
  <c r="M4312"/>
  <c r="M4314"/>
  <c r="M4316"/>
  <c r="M4317"/>
  <c r="M4318"/>
  <c r="M4319"/>
  <c r="M4320"/>
  <c r="M4322"/>
  <c r="M4323"/>
  <c r="M4324"/>
  <c r="M4325"/>
  <c r="M4327"/>
  <c r="M4328"/>
  <c r="M4329"/>
  <c r="M4330"/>
  <c r="M4331"/>
  <c r="M4332"/>
  <c r="M4333"/>
  <c r="M4334"/>
  <c r="M4335"/>
  <c r="M4336"/>
  <c r="M4337"/>
  <c r="M4338"/>
  <c r="M4340"/>
  <c r="M4341"/>
  <c r="M4343"/>
  <c r="M4344"/>
  <c r="M4345"/>
  <c r="M4346"/>
  <c r="M4347"/>
  <c r="M4348"/>
  <c r="M4350"/>
  <c r="M4351"/>
  <c r="M4352"/>
  <c r="M4355"/>
  <c r="M4356"/>
  <c r="M4357"/>
  <c r="M4358"/>
  <c r="M4359"/>
  <c r="M4360"/>
  <c r="M4361"/>
  <c r="M4362"/>
  <c r="M4364"/>
  <c r="M4365"/>
  <c r="M4366"/>
  <c r="M4367"/>
  <c r="M4368"/>
  <c r="M4369"/>
  <c r="M4370"/>
  <c r="M4372"/>
  <c r="M4373"/>
  <c r="M4374"/>
  <c r="M4375"/>
  <c r="M4376"/>
  <c r="M4377"/>
  <c r="M4378"/>
  <c r="M4379"/>
  <c r="M4380"/>
  <c r="M4382"/>
  <c r="M4383"/>
  <c r="M4384"/>
  <c r="M4385"/>
  <c r="M4386"/>
  <c r="M4387"/>
  <c r="M4388"/>
  <c r="M4389"/>
  <c r="M4390"/>
  <c r="M4392"/>
  <c r="M4393"/>
  <c r="M4394"/>
  <c r="M4395"/>
  <c r="M4396"/>
  <c r="M4399"/>
  <c r="M4400"/>
  <c r="M4402"/>
  <c r="M4403"/>
  <c r="M4404"/>
  <c r="M4405"/>
  <c r="M4406"/>
  <c r="M4407"/>
  <c r="M4408"/>
  <c r="M4409"/>
  <c r="M4410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41"/>
  <c r="M4442"/>
  <c r="M4443"/>
  <c r="M4444"/>
  <c r="M4445"/>
  <c r="M4446"/>
  <c r="M4447"/>
  <c r="M4449"/>
  <c r="M4450"/>
  <c r="M4451"/>
  <c r="M4452"/>
  <c r="M4453"/>
  <c r="M4454"/>
  <c r="M4455"/>
  <c r="M4457"/>
  <c r="M4458"/>
  <c r="M4459"/>
  <c r="M4460"/>
  <c r="M4461"/>
  <c r="M4463"/>
  <c r="M4464"/>
  <c r="M4465"/>
  <c r="M4466"/>
  <c r="M4467"/>
  <c r="M4469"/>
  <c r="M4470"/>
  <c r="M4471"/>
  <c r="M4472"/>
  <c r="M4473"/>
  <c r="M4474"/>
  <c r="M4475"/>
  <c r="M4476"/>
  <c r="M4477"/>
  <c r="M4478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68"/>
  <c r="M4569"/>
  <c r="M4570"/>
  <c r="M4571"/>
  <c r="M4572"/>
  <c r="M4573"/>
  <c r="M4574"/>
  <c r="M4575"/>
  <c r="M4576"/>
  <c r="M4577"/>
  <c r="M4578"/>
  <c r="M4580"/>
  <c r="M4581"/>
  <c r="M4584"/>
  <c r="M4585"/>
  <c r="M4586"/>
  <c r="M4587"/>
  <c r="M4588"/>
  <c r="M4589"/>
  <c r="M4590"/>
  <c r="M4591"/>
  <c r="M4592"/>
  <c r="M4593"/>
  <c r="M4594"/>
  <c r="M4595"/>
  <c r="M4596"/>
  <c r="M4598"/>
  <c r="M4599"/>
  <c r="M4600"/>
  <c r="M4601"/>
  <c r="M4602"/>
  <c r="M4603"/>
  <c r="M4604"/>
  <c r="M4605"/>
  <c r="M4606"/>
  <c r="M4607"/>
  <c r="M4608"/>
  <c r="M4609"/>
  <c r="M4610"/>
  <c r="M4612"/>
  <c r="M4613"/>
  <c r="M4614"/>
  <c r="M4615"/>
  <c r="M4616"/>
  <c r="M4617"/>
  <c r="M4618"/>
  <c r="M4619"/>
  <c r="M4620"/>
  <c r="M4621"/>
  <c r="M4622"/>
  <c r="M4623"/>
  <c r="M4624"/>
  <c r="M4627"/>
  <c r="M4628"/>
  <c r="M4629"/>
  <c r="M4630"/>
  <c r="M4631"/>
  <c r="M4632"/>
  <c r="M4634"/>
  <c r="M4635"/>
  <c r="M4636"/>
  <c r="M4637"/>
  <c r="M4638"/>
  <c r="M4639"/>
  <c r="M4640"/>
  <c r="M4641"/>
  <c r="M4642"/>
  <c r="M4643"/>
  <c r="M4644"/>
  <c r="M4646"/>
  <c r="M4647"/>
  <c r="M4648"/>
  <c r="M4649"/>
  <c r="M4650"/>
  <c r="M4651"/>
  <c r="M4652"/>
  <c r="M4653"/>
  <c r="M4654"/>
  <c r="M4655"/>
  <c r="M4656"/>
  <c r="M4657"/>
  <c r="M4658"/>
  <c r="M4659"/>
  <c r="M4661"/>
  <c r="M4662"/>
  <c r="M4663"/>
  <c r="M4664"/>
  <c r="M4665"/>
  <c r="M4666"/>
  <c r="M4667"/>
  <c r="M4670"/>
  <c r="M4671"/>
  <c r="M4672"/>
  <c r="M4673"/>
  <c r="M4674"/>
  <c r="M4675"/>
  <c r="M4676"/>
  <c r="M4677"/>
  <c r="M4678"/>
  <c r="M4679"/>
  <c r="M4735"/>
  <c r="M4736"/>
  <c r="M4737"/>
  <c r="M4738"/>
  <c r="M4739"/>
  <c r="M4740"/>
  <c r="M4741"/>
  <c r="M4742"/>
  <c r="M4743"/>
  <c r="M4744"/>
  <c r="M4745"/>
  <c r="M4746"/>
  <c r="M4747"/>
  <c r="M4748"/>
  <c r="M4749"/>
  <c r="M4750"/>
  <c r="M4751"/>
  <c r="M4752"/>
  <c r="M4753"/>
  <c r="M4754"/>
  <c r="M4755"/>
  <c r="M4756"/>
  <c r="M4757"/>
  <c r="M4758"/>
  <c r="M4759"/>
  <c r="M4760"/>
  <c r="M4761"/>
  <c r="M4762"/>
  <c r="M4763"/>
  <c r="M4764"/>
  <c r="M4765"/>
  <c r="M4767"/>
  <c r="M4768"/>
  <c r="M4769"/>
  <c r="M4770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8"/>
  <c r="M4799"/>
  <c r="M4800"/>
  <c r="M4801"/>
  <c r="M4802"/>
  <c r="M4803"/>
  <c r="M4804"/>
  <c r="M4805"/>
  <c r="M4807"/>
  <c r="M4808"/>
  <c r="M4809"/>
  <c r="M4810"/>
  <c r="M4811"/>
  <c r="M4812"/>
  <c r="M4813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79"/>
  <c r="M4880"/>
  <c r="M4881"/>
  <c r="M4882"/>
  <c r="M4883"/>
  <c r="M4884"/>
  <c r="M4885"/>
  <c r="M4886"/>
  <c r="M4887"/>
  <c r="M4888"/>
  <c r="M4889"/>
  <c r="M4891"/>
  <c r="M4892"/>
  <c r="M4893"/>
  <c r="M4894"/>
  <c r="M4895"/>
  <c r="M4897"/>
  <c r="M4898"/>
  <c r="M4899"/>
  <c r="M4900"/>
  <c r="M4901"/>
  <c r="M4902"/>
  <c r="M4903"/>
  <c r="M4904"/>
  <c r="M4905"/>
  <c r="M4906"/>
  <c r="M4908"/>
  <c r="M4909"/>
  <c r="M4910"/>
  <c r="M4911"/>
  <c r="M4912"/>
  <c r="M4913"/>
  <c r="M4914"/>
  <c r="M4915"/>
  <c r="M4919"/>
  <c r="M4920"/>
  <c r="M4921"/>
  <c r="M4922"/>
  <c r="M4923"/>
  <c r="M4924"/>
  <c r="M4925"/>
  <c r="M4927"/>
  <c r="M4928"/>
  <c r="M4929"/>
  <c r="M4930"/>
  <c r="M4931"/>
  <c r="M4932"/>
  <c r="M4933"/>
  <c r="M4934"/>
  <c r="M4936"/>
  <c r="M4937"/>
  <c r="M4938"/>
  <c r="M4983"/>
  <c r="M4984"/>
  <c r="M4985"/>
  <c r="M4986"/>
  <c r="M4987"/>
  <c r="M4988"/>
  <c r="M4989"/>
  <c r="M4990"/>
  <c r="M4991"/>
  <c r="M4992"/>
  <c r="M4993"/>
  <c r="M4995"/>
  <c r="M4996"/>
  <c r="M4997"/>
  <c r="M4998"/>
  <c r="M4999"/>
  <c r="M5000"/>
  <c r="M5001"/>
  <c r="M5002"/>
  <c r="M5003"/>
  <c r="M5004"/>
  <c r="M5005"/>
  <c r="M5006"/>
  <c r="M5007"/>
  <c r="M5009"/>
  <c r="M5010"/>
  <c r="M5011"/>
  <c r="M5012"/>
  <c r="M5013"/>
  <c r="M5014"/>
  <c r="M5015"/>
  <c r="M5016"/>
  <c r="M5017"/>
  <c r="M5018"/>
  <c r="M5021"/>
  <c r="M5022"/>
  <c r="M5023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4"/>
  <c r="M5045"/>
  <c r="M5046"/>
  <c r="M5048"/>
  <c r="M5049"/>
  <c r="M5050"/>
  <c r="M5092"/>
  <c r="M5093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5"/>
  <c r="M5116"/>
  <c r="M5117"/>
  <c r="M5118"/>
  <c r="M5119"/>
  <c r="M5120"/>
  <c r="M5122"/>
  <c r="M5123"/>
  <c r="M5124"/>
  <c r="M5125"/>
  <c r="M5126"/>
  <c r="M5129"/>
  <c r="M5131"/>
  <c r="M5132"/>
  <c r="M5133"/>
  <c r="M5134"/>
  <c r="M5135"/>
  <c r="M5136"/>
  <c r="M5137"/>
  <c r="M5138"/>
  <c r="M5139"/>
  <c r="M5140"/>
  <c r="M5141"/>
  <c r="M5142"/>
  <c r="M5143"/>
  <c r="M5145"/>
  <c r="M5146"/>
  <c r="M5147"/>
  <c r="M5148"/>
  <c r="M5149"/>
  <c r="M5150"/>
  <c r="M5151"/>
  <c r="M5152"/>
  <c r="M5153"/>
  <c r="M5154"/>
  <c r="M5155"/>
  <c r="M5156"/>
  <c r="M5157"/>
  <c r="M5158"/>
  <c r="M5160"/>
  <c r="M5161"/>
  <c r="M5162"/>
  <c r="M5163"/>
  <c r="M5164"/>
  <c r="M5165"/>
  <c r="M5166"/>
  <c r="M5167"/>
  <c r="M5171"/>
  <c r="M5172"/>
  <c r="M5173"/>
  <c r="M5174"/>
  <c r="M5175"/>
  <c r="M5176"/>
  <c r="M5177"/>
  <c r="M5178"/>
  <c r="M5180"/>
  <c r="M5181"/>
  <c r="M5182"/>
  <c r="M5183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2"/>
  <c r="M5293"/>
  <c r="M5294"/>
  <c r="M5295"/>
  <c r="M5296"/>
  <c r="M5297"/>
  <c r="M5298"/>
  <c r="M5299"/>
  <c r="M5300"/>
  <c r="M5302"/>
  <c r="M5303"/>
  <c r="M5304"/>
  <c r="M5305"/>
  <c r="M5306"/>
  <c r="M5307"/>
  <c r="M5308"/>
  <c r="M5310"/>
  <c r="M5311"/>
  <c r="M5312"/>
  <c r="M5315"/>
  <c r="M5316"/>
  <c r="M5317"/>
  <c r="M5318"/>
  <c r="M5319"/>
  <c r="M5321"/>
  <c r="M5322"/>
  <c r="M5323"/>
  <c r="M5325"/>
  <c r="M5326"/>
  <c r="M5327"/>
  <c r="M5328"/>
  <c r="M5329"/>
  <c r="M5330"/>
  <c r="M5331"/>
  <c r="M5332"/>
  <c r="M5333"/>
  <c r="M5334"/>
  <c r="M5335"/>
  <c r="M5336"/>
  <c r="M5337"/>
  <c r="M5339"/>
  <c r="M5340"/>
  <c r="M5341"/>
  <c r="M5342"/>
  <c r="M5343"/>
  <c r="M5344"/>
  <c r="M5345"/>
  <c r="M5346"/>
  <c r="M5347"/>
  <c r="M5349"/>
  <c r="M5350"/>
  <c r="M5352"/>
  <c r="M5353"/>
  <c r="M5354"/>
  <c r="M5355"/>
  <c r="M5356"/>
  <c r="M5357"/>
  <c r="M5358"/>
  <c r="M5360"/>
  <c r="M5361"/>
  <c r="M5362"/>
  <c r="M5363"/>
  <c r="M5364"/>
  <c r="M5365"/>
  <c r="M5366"/>
  <c r="J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5"/>
  <c r="M5446"/>
  <c r="M5447"/>
  <c r="M5448"/>
  <c r="M5449"/>
  <c r="M5453"/>
  <c r="M5454"/>
  <c r="M5455"/>
  <c r="M5456"/>
  <c r="M5457"/>
  <c r="M5458"/>
  <c r="M5459"/>
  <c r="M5460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2"/>
  <c r="M5483"/>
  <c r="M5484"/>
  <c r="M5485"/>
  <c r="M5486"/>
  <c r="M5487"/>
  <c r="M5488"/>
  <c r="M5489"/>
  <c r="M5490"/>
  <c r="M5494"/>
  <c r="M5495"/>
  <c r="M5496"/>
  <c r="M5497"/>
  <c r="M5498"/>
  <c r="M5499"/>
  <c r="M5500"/>
  <c r="M5501"/>
  <c r="M5502"/>
  <c r="M5503"/>
  <c r="M5504"/>
  <c r="M5505"/>
  <c r="M5506"/>
  <c r="M5508"/>
  <c r="M5509"/>
  <c r="M5510"/>
  <c r="M5511"/>
  <c r="M5512"/>
  <c r="M5513"/>
  <c r="M5514"/>
  <c r="M5515"/>
  <c r="M5517"/>
  <c r="M5518"/>
  <c r="M5519"/>
  <c r="M5520"/>
  <c r="M5521"/>
  <c r="M5522"/>
  <c r="M5523"/>
  <c r="M5525"/>
  <c r="M5526"/>
  <c r="M5527"/>
  <c r="M5528"/>
  <c r="M5529"/>
  <c r="M5530"/>
  <c r="M5531"/>
  <c r="M5532"/>
  <c r="M5536"/>
  <c r="M5537"/>
  <c r="M5538"/>
  <c r="M5539"/>
  <c r="M5540"/>
  <c r="M5541"/>
  <c r="M5542"/>
  <c r="M5543"/>
  <c r="M5544"/>
  <c r="M5545"/>
  <c r="M5546"/>
  <c r="M5547"/>
  <c r="M5548"/>
  <c r="M5549"/>
  <c r="M5551"/>
  <c r="M5552"/>
  <c r="M5553"/>
  <c r="M5554"/>
  <c r="M5555"/>
  <c r="M5556"/>
  <c r="M5557"/>
  <c r="M5558"/>
  <c r="M5559"/>
  <c r="M5560"/>
  <c r="M5561"/>
  <c r="M5562"/>
  <c r="M5563"/>
  <c r="M5564"/>
  <c r="M5565"/>
  <c r="M5567"/>
  <c r="M5568"/>
  <c r="M5569"/>
  <c r="M5570"/>
  <c r="M5571"/>
  <c r="M5572"/>
  <c r="M5573"/>
  <c r="M5574"/>
  <c r="M5575"/>
  <c r="M5576"/>
  <c r="M5577"/>
  <c r="J5628"/>
  <c r="M5629"/>
  <c r="J5630"/>
  <c r="M5632"/>
  <c r="M5633"/>
  <c r="M5634"/>
  <c r="M5635"/>
  <c r="M5636"/>
  <c r="M5637"/>
  <c r="M5638"/>
  <c r="M5639"/>
  <c r="M5640"/>
  <c r="M5641"/>
  <c r="M5642"/>
  <c r="M5643"/>
  <c r="M5644"/>
  <c r="M5645"/>
  <c r="M5646"/>
  <c r="M5647"/>
  <c r="M5648"/>
  <c r="M5649"/>
  <c r="M5650"/>
  <c r="M5651"/>
  <c r="M5652"/>
  <c r="M5653"/>
  <c r="M5654"/>
  <c r="M5655"/>
  <c r="M5656"/>
  <c r="M5658"/>
  <c r="M5659"/>
  <c r="M5660"/>
  <c r="M5661"/>
  <c r="M5662"/>
  <c r="M5663"/>
  <c r="M5664"/>
  <c r="M5667"/>
  <c r="M5668"/>
  <c r="M5669"/>
  <c r="M5670"/>
  <c r="M5672"/>
  <c r="M5673"/>
  <c r="M5674"/>
  <c r="M5675"/>
  <c r="M5676"/>
  <c r="M5677"/>
  <c r="M5678"/>
  <c r="M5680"/>
  <c r="M5681"/>
  <c r="M5682"/>
  <c r="M5683"/>
  <c r="J5733"/>
  <c r="J5734"/>
  <c r="L5735"/>
  <c r="J5735"/>
  <c r="M5737"/>
  <c r="M5738"/>
  <c r="M5739"/>
  <c r="M5740"/>
  <c r="M5741"/>
  <c r="M5742"/>
  <c r="M5743"/>
  <c r="M5744"/>
  <c r="M5745"/>
  <c r="M5746"/>
  <c r="M5747"/>
  <c r="M5749"/>
  <c r="M5807"/>
  <c r="M5808"/>
  <c r="M5809"/>
  <c r="M5810"/>
  <c r="M5811"/>
  <c r="M5812"/>
  <c r="M5813"/>
  <c r="M5814"/>
  <c r="M5815"/>
  <c r="M5816"/>
  <c r="M5817"/>
  <c r="M5819"/>
  <c r="M5820"/>
  <c r="M5821"/>
  <c r="M5822"/>
  <c r="M5823"/>
  <c r="M5824"/>
  <c r="M5825"/>
  <c r="M5827"/>
  <c r="M5828"/>
  <c r="M5829"/>
  <c r="M5830"/>
  <c r="M5831"/>
  <c r="M5833"/>
  <c r="M5834"/>
  <c r="M5837"/>
  <c r="M5838"/>
  <c r="M5839"/>
  <c r="M5841"/>
  <c r="M5842"/>
  <c r="M5843"/>
  <c r="M5844"/>
  <c r="M5846"/>
  <c r="M5847"/>
  <c r="M5848"/>
  <c r="M5849"/>
  <c r="M5851"/>
  <c r="M5852"/>
  <c r="M5853"/>
  <c r="M5854"/>
  <c r="M5855"/>
  <c r="M5856"/>
  <c r="M5857"/>
  <c r="M5858"/>
  <c r="M5860"/>
  <c r="M5861"/>
  <c r="M5863"/>
  <c r="M5864"/>
  <c r="M5865"/>
  <c r="M5866"/>
  <c r="M5867"/>
  <c r="M5868"/>
  <c r="M5869"/>
  <c r="M5870"/>
  <c r="M5872"/>
  <c r="M5873"/>
  <c r="M5874"/>
  <c r="M5875"/>
  <c r="M5876"/>
  <c r="M5877"/>
  <c r="M5880"/>
  <c r="M5882"/>
  <c r="M5883"/>
  <c r="M5884"/>
  <c r="M5885"/>
  <c r="M5886"/>
  <c r="M5889"/>
  <c r="M5890"/>
  <c r="M5891"/>
  <c r="M5892"/>
  <c r="M5893"/>
  <c r="M5896"/>
  <c r="M5897"/>
  <c r="M5898"/>
  <c r="M5899"/>
  <c r="M5900"/>
  <c r="M5901"/>
  <c r="M5902"/>
  <c r="M5903"/>
  <c r="M5904"/>
  <c r="M5905"/>
  <c r="M5906"/>
  <c r="M5909"/>
  <c r="M5910"/>
  <c r="M5911"/>
  <c r="M5913"/>
  <c r="M5914"/>
  <c r="M5915"/>
  <c r="M5917"/>
  <c r="M5918"/>
  <c r="M5919"/>
  <c r="M5920"/>
  <c r="M5924"/>
  <c r="M5925"/>
  <c r="M5926"/>
  <c r="M5927"/>
  <c r="M5928"/>
  <c r="M5929"/>
  <c r="M5930"/>
  <c r="M5931"/>
  <c r="M5932"/>
  <c r="M5933"/>
  <c r="M5934"/>
  <c r="M5936"/>
  <c r="M5937"/>
  <c r="M5938"/>
  <c r="M5940"/>
  <c r="M5941"/>
  <c r="M5942"/>
  <c r="M5943"/>
  <c r="M5944"/>
  <c r="M5945"/>
  <c r="M5946"/>
  <c r="M5947"/>
  <c r="M5948"/>
  <c r="M5949"/>
  <c r="M5950"/>
  <c r="M5951"/>
  <c r="M5952"/>
  <c r="M5953"/>
  <c r="M5955"/>
  <c r="M5956"/>
  <c r="M5957"/>
  <c r="M5958"/>
  <c r="M5959"/>
  <c r="M5960"/>
  <c r="M5961"/>
  <c r="M5962"/>
  <c r="M5963"/>
  <c r="M5966"/>
  <c r="M5967"/>
  <c r="M5968"/>
  <c r="M5969"/>
  <c r="M5970"/>
  <c r="M5971"/>
  <c r="M5972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9"/>
  <c r="M6010"/>
  <c r="M6011"/>
  <c r="M6012"/>
  <c r="M6013"/>
  <c r="M6014"/>
  <c r="M6015"/>
  <c r="M6016"/>
  <c r="M6017"/>
  <c r="M6018"/>
  <c r="M6019"/>
  <c r="M6020"/>
  <c r="M6021"/>
  <c r="M6022"/>
  <c r="M6024"/>
  <c r="M6025"/>
  <c r="M6026"/>
  <c r="M6027"/>
  <c r="M6028"/>
  <c r="M6029"/>
  <c r="M6030"/>
  <c r="M6032"/>
  <c r="M6033"/>
  <c r="M6034"/>
  <c r="M6035"/>
  <c r="M6036"/>
  <c r="M6038"/>
  <c r="M6039"/>
  <c r="M6040"/>
  <c r="M6041"/>
  <c r="M6042"/>
  <c r="M6043"/>
  <c r="M6044"/>
  <c r="M6045"/>
  <c r="M6046"/>
  <c r="M6047"/>
  <c r="M6048"/>
  <c r="M6049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68"/>
  <c r="M6069"/>
  <c r="M6070"/>
  <c r="M6071"/>
  <c r="M6072"/>
  <c r="M6074"/>
  <c r="M6075"/>
  <c r="M6076"/>
  <c r="M6077"/>
  <c r="M6078"/>
  <c r="M6079"/>
  <c r="M6080"/>
  <c r="M6083"/>
  <c r="M6084"/>
  <c r="M6086"/>
  <c r="M6087"/>
  <c r="M6088"/>
  <c r="M6089"/>
  <c r="M6090"/>
  <c r="M6091"/>
  <c r="M6092"/>
  <c r="M6096"/>
  <c r="M6097"/>
  <c r="M6098"/>
  <c r="M6099"/>
  <c r="M6100"/>
  <c r="M6101"/>
  <c r="M6102"/>
  <c r="M6103"/>
  <c r="M6105"/>
  <c r="M6106"/>
  <c r="M6107"/>
  <c r="M6108"/>
  <c r="M6109"/>
  <c r="M6110"/>
  <c r="M6111"/>
  <c r="M6112"/>
  <c r="M6113"/>
  <c r="M6114"/>
  <c r="M6115"/>
  <c r="M6116"/>
  <c r="M6117"/>
  <c r="M6118"/>
  <c r="M6120"/>
  <c r="M6121"/>
  <c r="M6122"/>
  <c r="M6123"/>
  <c r="M6124"/>
  <c r="M6125"/>
  <c r="M6126"/>
  <c r="M6127"/>
  <c r="M6128"/>
  <c r="M6129"/>
  <c r="M6131"/>
  <c r="M6132"/>
  <c r="M6133"/>
  <c r="M6134"/>
  <c r="M6137"/>
  <c r="M6138"/>
  <c r="M6139"/>
  <c r="M6140"/>
  <c r="M6141"/>
  <c r="M6142"/>
  <c r="M6143"/>
  <c r="M6144"/>
  <c r="M6146"/>
  <c r="M6147"/>
  <c r="M6148"/>
  <c r="M6149"/>
  <c r="M6150"/>
  <c r="M6151"/>
  <c r="M6152"/>
  <c r="M6153"/>
  <c r="M6154"/>
  <c r="M6155"/>
  <c r="M6156"/>
  <c r="M6158"/>
  <c r="M6159"/>
  <c r="M6160"/>
  <c r="M6161"/>
  <c r="M6162"/>
  <c r="M6163"/>
  <c r="M6164"/>
  <c r="M6165"/>
  <c r="M6166"/>
  <c r="G6172"/>
  <c r="G6173"/>
  <c r="G6176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6"/>
  <c r="M6247"/>
  <c r="M6249"/>
  <c r="M6250"/>
  <c r="M6251"/>
  <c r="M6252"/>
  <c r="M6253"/>
  <c r="M6254"/>
  <c r="M6298"/>
  <c r="M6299"/>
  <c r="M6300"/>
  <c r="M6301"/>
  <c r="M6302"/>
  <c r="M6303"/>
  <c r="M6304"/>
  <c r="M6305"/>
  <c r="M6306"/>
  <c r="M6307"/>
  <c r="M6308"/>
  <c r="M6310"/>
  <c r="M6311"/>
  <c r="M6312"/>
  <c r="M6313"/>
  <c r="M6314"/>
  <c r="M6315"/>
  <c r="M6316"/>
  <c r="M6318"/>
  <c r="M6319"/>
  <c r="M6320"/>
  <c r="M6321"/>
  <c r="M6322"/>
  <c r="M6323"/>
  <c r="M6324"/>
  <c r="M6325"/>
  <c r="M6326"/>
  <c r="M6327"/>
  <c r="M6328"/>
  <c r="M6329"/>
  <c r="M6330"/>
  <c r="M6333"/>
  <c r="M6334"/>
  <c r="M6335"/>
  <c r="M6336"/>
  <c r="M6337"/>
  <c r="M6338"/>
  <c r="M6339"/>
  <c r="M6385"/>
  <c r="M6386"/>
  <c r="M6387"/>
  <c r="M6388"/>
  <c r="M6389"/>
  <c r="M6390"/>
  <c r="M6391"/>
  <c r="M6392"/>
  <c r="M6393"/>
  <c r="M6394"/>
  <c r="M6395"/>
  <c r="M6396"/>
  <c r="M6397"/>
  <c r="M6398"/>
  <c r="M6399"/>
  <c r="M6400"/>
  <c r="M6402"/>
  <c r="M6403"/>
  <c r="M6404"/>
  <c r="M6406"/>
  <c r="M6407"/>
  <c r="M6409"/>
  <c r="M6410"/>
  <c r="M6411"/>
  <c r="M6413"/>
  <c r="M6414"/>
  <c r="M6415"/>
  <c r="M6416"/>
  <c r="M6417"/>
  <c r="M6418"/>
  <c r="M6419"/>
  <c r="M6420"/>
  <c r="M6423"/>
  <c r="M6424"/>
  <c r="M6425"/>
  <c r="M6426"/>
  <c r="M6427"/>
  <c r="M6428"/>
  <c r="M6429"/>
  <c r="M6430"/>
  <c r="M6431"/>
  <c r="M6432"/>
  <c r="M6433"/>
  <c r="M6434"/>
  <c r="M6435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60"/>
  <c r="M6461"/>
  <c r="M6462"/>
  <c r="M6463"/>
  <c r="M6466"/>
  <c r="M6467"/>
  <c r="M6468"/>
  <c r="M6469"/>
  <c r="M6470"/>
  <c r="M6471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9"/>
  <c r="M6511"/>
  <c r="M6512"/>
  <c r="M6513"/>
  <c r="M6514"/>
  <c r="M6515"/>
  <c r="M6516"/>
  <c r="M6517"/>
  <c r="M6518"/>
  <c r="M6519"/>
  <c r="M6520"/>
  <c r="M6521"/>
  <c r="M6522"/>
  <c r="M6523"/>
  <c r="M6524"/>
  <c r="M6525"/>
  <c r="M6526"/>
  <c r="M6527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6"/>
  <c r="M6547"/>
  <c r="M6548"/>
  <c r="M6549"/>
  <c r="M6550"/>
  <c r="M6551"/>
  <c r="M6552"/>
  <c r="M6553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6"/>
  <c r="M6617"/>
  <c r="M6618"/>
  <c r="M6620"/>
  <c r="M6621"/>
  <c r="M6623"/>
  <c r="M6624"/>
  <c r="M6625"/>
  <c r="M6627"/>
  <c r="M6628"/>
  <c r="M6629"/>
  <c r="M6630"/>
  <c r="M6631"/>
  <c r="M6632"/>
  <c r="M6635"/>
  <c r="M6636"/>
  <c r="M6637"/>
  <c r="M6638"/>
  <c r="M6639"/>
  <c r="M6640"/>
  <c r="M6641"/>
  <c r="M6642"/>
  <c r="M6643"/>
  <c r="M6644"/>
  <c r="M6645"/>
  <c r="M6646"/>
  <c r="M6647"/>
  <c r="M6648"/>
  <c r="M6649"/>
  <c r="M6651"/>
  <c r="M6652"/>
  <c r="M6653"/>
  <c r="M6654"/>
  <c r="M6655"/>
  <c r="M6656"/>
  <c r="M6657"/>
  <c r="M6658"/>
  <c r="M6660"/>
  <c r="M6661"/>
  <c r="M6662"/>
  <c r="M6663"/>
  <c r="M6664"/>
  <c r="M6665"/>
  <c r="M6666"/>
  <c r="M6667"/>
  <c r="M6668"/>
  <c r="M6669"/>
  <c r="M6710"/>
  <c r="M6711"/>
  <c r="M6712"/>
  <c r="M6713"/>
  <c r="M6714"/>
  <c r="M6715"/>
  <c r="M6716"/>
  <c r="M6717"/>
  <c r="M6718"/>
  <c r="M6719"/>
  <c r="M6720"/>
  <c r="M6721"/>
  <c r="M6722"/>
  <c r="M6723"/>
  <c r="M6724"/>
  <c r="M6726"/>
  <c r="M6727"/>
  <c r="M6728"/>
  <c r="M6729"/>
  <c r="M6731"/>
  <c r="M6732"/>
  <c r="M6733"/>
  <c r="M6734"/>
  <c r="M6735"/>
  <c r="M6737"/>
  <c r="M6738"/>
  <c r="M6739"/>
  <c r="M6740"/>
  <c r="M6741"/>
  <c r="M6742"/>
  <c r="M6743"/>
  <c r="M6744"/>
  <c r="M6745"/>
  <c r="M6748"/>
  <c r="M6749"/>
  <c r="M6751"/>
  <c r="M6752"/>
  <c r="M6753"/>
  <c r="M6754"/>
  <c r="M6755"/>
  <c r="M6756"/>
  <c r="M6757"/>
  <c r="M6758"/>
  <c r="M6759"/>
  <c r="M6760"/>
  <c r="M6761"/>
  <c r="M6763"/>
  <c r="M6764"/>
  <c r="M6765"/>
  <c r="M6766"/>
  <c r="M6767"/>
  <c r="M6768"/>
  <c r="M6769"/>
  <c r="M6862"/>
  <c r="M6863"/>
  <c r="M6864"/>
  <c r="M6865"/>
  <c r="M6866"/>
  <c r="M6867"/>
  <c r="M6868"/>
  <c r="M6869"/>
  <c r="M6870"/>
  <c r="M6871"/>
  <c r="M6872"/>
  <c r="M6873"/>
  <c r="M6874"/>
  <c r="M6875"/>
  <c r="M6876"/>
  <c r="M6878"/>
  <c r="M6879"/>
  <c r="M6880"/>
  <c r="M6881"/>
  <c r="M6883"/>
  <c r="M6884"/>
  <c r="M6885"/>
  <c r="M6886"/>
  <c r="M6887"/>
  <c r="M6890"/>
  <c r="M6891"/>
  <c r="M6892"/>
  <c r="M6893"/>
  <c r="M6894"/>
  <c r="M6895"/>
  <c r="M6896"/>
  <c r="M6897"/>
  <c r="M6900"/>
  <c r="M6901"/>
  <c r="M6902"/>
  <c r="M6904"/>
  <c r="M6905"/>
  <c r="M6906"/>
  <c r="M6907"/>
  <c r="M6908"/>
  <c r="M6909"/>
  <c r="M6910"/>
  <c r="M6911"/>
  <c r="M6912"/>
  <c r="M6913"/>
  <c r="M6914"/>
  <c r="M6917"/>
  <c r="M6918"/>
  <c r="M6919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2"/>
  <c r="M6993"/>
  <c r="M6994"/>
  <c r="M6995"/>
  <c r="M6996"/>
  <c r="M6997"/>
  <c r="M6998"/>
  <c r="M6999"/>
  <c r="M7000"/>
  <c r="M7001"/>
  <c r="M7002"/>
  <c r="M7003"/>
  <c r="M7004"/>
  <c r="M7007"/>
  <c r="M7008"/>
  <c r="M7009"/>
  <c r="M7010"/>
  <c r="M7011"/>
  <c r="M7012"/>
  <c r="M7013"/>
  <c r="M7014"/>
  <c r="M7015"/>
  <c r="M7016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6"/>
  <c r="M7037"/>
  <c r="M7038"/>
  <c r="M7039"/>
  <c r="M7040"/>
  <c r="M7041"/>
  <c r="M7042"/>
  <c r="M7043"/>
  <c r="M7044"/>
  <c r="M7045"/>
  <c r="M7046"/>
  <c r="M7047"/>
  <c r="M7050"/>
  <c r="M7051"/>
  <c r="M7052"/>
  <c r="M7053"/>
  <c r="M7055"/>
  <c r="M7056"/>
  <c r="M7057"/>
  <c r="M7058"/>
  <c r="M7059"/>
  <c r="M7060"/>
  <c r="M7061"/>
  <c r="M7062"/>
  <c r="M7063"/>
  <c r="M7064"/>
  <c r="M7066"/>
  <c r="M7067"/>
  <c r="M7068"/>
  <c r="M7069"/>
  <c r="M7070"/>
  <c r="M7071"/>
  <c r="M7072"/>
  <c r="M7073"/>
  <c r="M7074"/>
  <c r="M7075"/>
  <c r="M7076"/>
  <c r="M7077"/>
  <c r="M7079"/>
  <c r="M7080"/>
  <c r="M7081"/>
  <c r="M7082"/>
  <c r="M7130"/>
  <c r="M7131"/>
  <c r="M7132"/>
  <c r="M7133"/>
  <c r="M7134"/>
  <c r="M7135"/>
  <c r="M7136"/>
  <c r="M7137"/>
  <c r="M7138"/>
  <c r="M7140"/>
  <c r="M7141"/>
  <c r="M7142"/>
  <c r="M7143"/>
  <c r="M7144"/>
  <c r="M7145"/>
  <c r="M7146"/>
  <c r="M7147"/>
  <c r="M7148"/>
  <c r="M7149"/>
  <c r="M7150"/>
  <c r="M7151"/>
  <c r="M7153"/>
  <c r="M7154"/>
  <c r="M7155"/>
  <c r="M7156"/>
  <c r="M7157"/>
  <c r="M7158"/>
  <c r="M7159"/>
  <c r="M7160"/>
  <c r="M7161"/>
  <c r="M7162"/>
  <c r="M7163"/>
  <c r="M7164"/>
  <c r="M7165"/>
  <c r="M7168"/>
  <c r="M7170"/>
  <c r="M7171"/>
  <c r="M7172"/>
  <c r="M7173"/>
  <c r="M7174"/>
  <c r="M7175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3"/>
  <c r="M7244"/>
  <c r="M7245"/>
  <c r="M7246"/>
  <c r="M7247"/>
  <c r="M7249"/>
  <c r="M7250"/>
  <c r="M7251"/>
  <c r="M7252"/>
  <c r="M7253"/>
  <c r="M7256"/>
  <c r="M7257"/>
  <c r="M7258"/>
  <c r="M7259"/>
  <c r="M7260"/>
  <c r="M7262"/>
  <c r="M7263"/>
  <c r="M7264"/>
  <c r="M7265"/>
  <c r="M7266"/>
  <c r="M7267"/>
  <c r="M7268"/>
  <c r="M7269"/>
  <c r="M7270"/>
  <c r="M7271"/>
  <c r="M7272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9"/>
  <c r="M7300"/>
  <c r="M7301"/>
  <c r="M7302"/>
  <c r="M7303"/>
  <c r="M7304"/>
  <c r="M7305"/>
  <c r="M7306"/>
  <c r="M7307"/>
  <c r="M7308"/>
  <c r="M7309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91"/>
  <c r="M7392"/>
  <c r="M7393"/>
  <c r="M7394"/>
  <c r="M7395"/>
  <c r="M7396"/>
  <c r="M7397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4"/>
  <c r="M7425"/>
  <c r="M7426"/>
  <c r="M7427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4"/>
  <c r="M7495"/>
  <c r="M7496"/>
  <c r="M7497"/>
  <c r="M7498"/>
  <c r="M7499"/>
  <c r="M7500"/>
  <c r="M7501"/>
  <c r="M7502"/>
  <c r="M7503"/>
  <c r="M7504"/>
  <c r="M7505"/>
  <c r="M7506"/>
  <c r="M7507"/>
  <c r="M7508"/>
  <c r="M7509"/>
  <c r="M7510"/>
  <c r="M7513"/>
  <c r="M7514"/>
  <c r="M7515"/>
  <c r="M7516"/>
  <c r="M7517"/>
  <c r="M7518"/>
  <c r="M7519"/>
  <c r="M7520"/>
  <c r="M7522"/>
  <c r="M7523"/>
  <c r="M7524"/>
  <c r="M7570"/>
  <c r="M7571"/>
  <c r="M7572"/>
  <c r="M7573"/>
  <c r="M7574"/>
  <c r="M7575"/>
  <c r="M7576"/>
  <c r="M7577"/>
  <c r="M7578"/>
  <c r="M7579"/>
  <c r="M7580"/>
  <c r="M7581"/>
  <c r="M7582"/>
  <c r="M7583"/>
  <c r="M7584"/>
  <c r="M7585"/>
  <c r="M7586"/>
  <c r="M7587"/>
  <c r="M7588"/>
  <c r="M7589"/>
  <c r="M7590"/>
  <c r="M7591"/>
  <c r="M7592"/>
  <c r="M7593"/>
  <c r="M7595"/>
  <c r="M7596"/>
  <c r="M7597"/>
  <c r="M7598"/>
  <c r="M7599"/>
  <c r="M7600"/>
  <c r="M7604"/>
  <c r="M7605"/>
  <c r="M7606"/>
  <c r="M7607"/>
  <c r="M7608"/>
  <c r="M7609"/>
  <c r="M7610"/>
  <c r="M7611"/>
  <c r="M7612"/>
  <c r="M7613"/>
  <c r="M7614"/>
  <c r="M7615"/>
  <c r="M7616"/>
  <c r="M7620"/>
  <c r="M7621"/>
  <c r="M7622"/>
  <c r="M7623"/>
  <c r="M7624"/>
  <c r="M7625"/>
  <c r="M7626"/>
  <c r="M7627"/>
  <c r="M7628"/>
  <c r="M7629"/>
  <c r="M7630"/>
  <c r="M7631"/>
  <c r="M7632"/>
  <c r="M7633"/>
  <c r="M7635"/>
  <c r="M7636"/>
  <c r="M7637"/>
  <c r="M7638"/>
  <c r="M7639"/>
  <c r="M7640"/>
  <c r="M7641"/>
  <c r="M7642"/>
  <c r="M7643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7"/>
  <c r="M7748"/>
  <c r="M7749"/>
  <c r="M7750"/>
  <c r="M7751"/>
  <c r="M7752"/>
  <c r="M7753"/>
  <c r="M7754"/>
  <c r="M7757"/>
  <c r="M7758"/>
  <c r="M7759"/>
  <c r="M7760"/>
  <c r="M7761"/>
  <c r="M7762"/>
  <c r="M7763"/>
  <c r="M7765"/>
  <c r="M7766"/>
  <c r="M7767"/>
  <c r="M7768"/>
  <c r="M7769"/>
  <c r="M7770"/>
  <c r="M7771"/>
  <c r="M7772"/>
  <c r="M7773"/>
  <c r="M7774"/>
  <c r="M7775"/>
  <c r="M7776"/>
  <c r="M7777"/>
  <c r="M7822"/>
  <c r="M7824"/>
  <c r="M7825"/>
  <c r="M7826"/>
  <c r="M7827"/>
  <c r="M7828"/>
  <c r="M7829"/>
  <c r="M7830"/>
  <c r="M7831"/>
  <c r="M7832"/>
  <c r="M7833"/>
  <c r="M7834"/>
  <c r="M7835"/>
  <c r="M7837"/>
  <c r="M7838"/>
  <c r="M7839"/>
  <c r="M7881"/>
  <c r="M7882"/>
  <c r="M7883"/>
  <c r="M7884"/>
  <c r="M7885"/>
  <c r="M7886"/>
  <c r="M7887"/>
  <c r="M7888"/>
  <c r="M7889"/>
  <c r="M7890"/>
  <c r="M7891"/>
  <c r="M7892"/>
  <c r="M7893"/>
  <c r="M7894"/>
  <c r="M7895"/>
  <c r="M7896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5"/>
  <c r="M7936"/>
  <c r="M7937"/>
  <c r="M7938"/>
  <c r="M7939"/>
  <c r="M7940"/>
  <c r="M7941"/>
  <c r="M7942"/>
  <c r="M7943"/>
  <c r="M7944"/>
  <c r="M7946"/>
  <c r="M7947"/>
  <c r="M7948"/>
  <c r="M7949"/>
  <c r="M7950"/>
  <c r="M7951"/>
  <c r="M7952"/>
  <c r="M7953"/>
  <c r="M7954"/>
  <c r="M7955"/>
  <c r="M7956"/>
  <c r="M7957"/>
  <c r="M7960"/>
  <c r="M7961"/>
  <c r="M7962"/>
  <c r="M7964"/>
  <c r="M7965"/>
  <c r="M7966"/>
  <c r="M7967"/>
  <c r="M7968"/>
  <c r="M7969"/>
  <c r="M7970"/>
  <c r="M7971"/>
  <c r="M7972"/>
  <c r="M7973"/>
  <c r="M7974"/>
  <c r="M8026"/>
  <c r="M8027"/>
  <c r="M8028"/>
  <c r="M8029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8"/>
  <c r="M8059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41"/>
  <c r="M8142"/>
  <c r="M8144"/>
  <c r="M8145"/>
  <c r="M8146"/>
  <c r="M8148"/>
  <c r="M8149"/>
  <c r="M8150"/>
  <c r="M8151"/>
  <c r="M8152"/>
  <c r="M8153"/>
  <c r="M8155"/>
  <c r="M8156"/>
  <c r="M8157"/>
  <c r="M8159"/>
  <c r="M8160"/>
  <c r="M8161"/>
  <c r="M8162"/>
  <c r="M8163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5"/>
  <c r="M8186"/>
  <c r="M8187"/>
  <c r="M8188"/>
  <c r="M8189"/>
  <c r="M8190"/>
  <c r="M8191"/>
  <c r="M8192"/>
  <c r="M8243"/>
  <c r="M8245"/>
  <c r="M8246"/>
  <c r="M8247"/>
  <c r="M8248"/>
  <c r="M8249"/>
  <c r="M8250"/>
  <c r="M8251"/>
  <c r="M8252"/>
  <c r="M8253"/>
  <c r="M8254"/>
  <c r="M8255"/>
  <c r="M8256"/>
  <c r="M8257"/>
  <c r="M8258"/>
  <c r="M8259"/>
  <c r="M8260"/>
  <c r="M8261"/>
  <c r="M8262"/>
  <c r="M8263"/>
  <c r="M8265"/>
  <c r="M8266"/>
  <c r="M8267"/>
  <c r="M8268"/>
  <c r="M8269"/>
  <c r="M8271"/>
  <c r="M8272"/>
  <c r="M8273"/>
  <c r="M8275"/>
  <c r="M8276"/>
  <c r="M8279"/>
  <c r="M8281"/>
  <c r="M8282"/>
  <c r="M8283"/>
  <c r="M8284"/>
  <c r="M8286"/>
  <c r="M8287"/>
  <c r="M8289"/>
  <c r="M8290"/>
  <c r="M8291"/>
  <c r="M8293"/>
  <c r="M8294"/>
  <c r="M8295"/>
  <c r="M8296"/>
  <c r="M8298"/>
  <c r="M8299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9"/>
  <c r="M8380"/>
  <c r="M8422"/>
  <c r="M8423"/>
  <c r="M8424"/>
  <c r="M8425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3"/>
  <c r="M8444"/>
  <c r="M8445"/>
  <c r="M8446"/>
  <c r="M8447"/>
  <c r="M8449"/>
  <c r="M8450"/>
  <c r="D5" i="9"/>
  <c r="D6"/>
  <c r="D7"/>
  <c r="D9"/>
  <c r="D10"/>
  <c r="D11"/>
  <c r="D12"/>
  <c r="D13"/>
  <c r="D14"/>
  <c r="D15"/>
  <c r="C355" i="23"/>
  <c r="D16" i="9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C1270" i="23"/>
  <c r="D47" i="9"/>
  <c r="C1297" i="23"/>
  <c r="D48" i="9"/>
  <c r="D49"/>
  <c r="D50"/>
  <c r="D51"/>
  <c r="D52"/>
  <c r="D53"/>
  <c r="D54"/>
  <c r="D55"/>
  <c r="D56"/>
  <c r="D57"/>
  <c r="D58"/>
  <c r="C1615" i="23"/>
  <c r="D59" i="9"/>
  <c r="D60"/>
  <c r="D61"/>
  <c r="D62"/>
  <c r="C1728" i="23"/>
  <c r="D63" i="9"/>
  <c r="D64"/>
  <c r="D65"/>
  <c r="D66"/>
  <c r="D67"/>
  <c r="D68"/>
  <c r="C1898" i="23"/>
  <c r="D69" i="9"/>
  <c r="D70"/>
  <c r="C1952" i="23"/>
  <c r="D71" i="9"/>
  <c r="D72"/>
  <c r="C2022" i="23"/>
  <c r="D73" i="9"/>
  <c r="D74"/>
  <c r="C2085" i="23"/>
  <c r="D75" i="9"/>
  <c r="C2112" i="23"/>
  <c r="D76" i="9"/>
  <c r="C2140" i="23"/>
  <c r="D77" i="9"/>
  <c r="C2168" i="23"/>
  <c r="D78" i="9"/>
  <c r="D79"/>
  <c r="G2227" i="23"/>
  <c r="E2227"/>
  <c r="C2227"/>
  <c r="D80" i="9"/>
  <c r="G2255" i="23"/>
  <c r="E2255"/>
  <c r="C2255"/>
  <c r="D81" i="9"/>
  <c r="G2283" i="23"/>
  <c r="E2283"/>
  <c r="C2283"/>
  <c r="D82" i="9"/>
  <c r="D83"/>
  <c r="H77" i="12"/>
  <c r="D23" i="10"/>
  <c r="D24"/>
  <c r="D26"/>
  <c r="D27"/>
  <c r="D29"/>
  <c r="D31"/>
  <c r="D33"/>
  <c r="D35"/>
  <c r="D37"/>
  <c r="D39"/>
  <c r="D41"/>
  <c r="D43"/>
  <c r="D45"/>
  <c r="D51"/>
  <c r="F51"/>
  <c r="D58"/>
  <c r="D59"/>
  <c r="D61"/>
  <c r="D63"/>
  <c r="D66"/>
  <c r="D69"/>
  <c r="D72"/>
  <c r="D75"/>
  <c r="D78"/>
  <c r="D80"/>
  <c r="D82"/>
  <c r="D84"/>
  <c r="D86"/>
  <c r="D87"/>
  <c r="F87"/>
  <c r="F254"/>
  <c r="F101"/>
  <c r="F255"/>
  <c r="F256"/>
  <c r="F122"/>
  <c r="F257"/>
  <c r="F258"/>
  <c r="F259"/>
  <c r="F260"/>
  <c r="F261"/>
  <c r="F262"/>
  <c r="F223"/>
  <c r="F263"/>
  <c r="F214"/>
  <c r="F264"/>
  <c r="F249"/>
  <c r="F265"/>
  <c r="C142" i="11"/>
  <c r="G111"/>
  <c r="C171"/>
  <c r="C321"/>
  <c r="G294"/>
  <c r="C427"/>
  <c r="G394"/>
  <c r="C526"/>
  <c r="G499"/>
  <c r="C609"/>
  <c r="G582"/>
  <c r="C722"/>
  <c r="G695"/>
  <c r="C859"/>
  <c r="G818"/>
  <c r="C977"/>
  <c r="G940"/>
  <c r="C1001"/>
  <c r="C1075"/>
  <c r="G1047"/>
  <c r="C1150"/>
  <c r="G1123"/>
  <c r="C1313"/>
  <c r="G1288"/>
  <c r="C1410"/>
  <c r="G1383"/>
  <c r="C1498"/>
  <c r="G1471"/>
  <c r="C1561"/>
  <c r="G1529"/>
  <c r="C1639"/>
  <c r="G1613"/>
  <c r="C1736"/>
  <c r="G1710"/>
  <c r="C1863"/>
  <c r="G1830"/>
  <c r="C2000"/>
  <c r="G1974"/>
  <c r="C2067"/>
  <c r="G2041"/>
  <c r="C2250"/>
  <c r="G2221"/>
  <c r="C2363"/>
  <c r="G2332"/>
  <c r="C2437"/>
  <c r="G2410"/>
  <c r="C2500"/>
  <c r="G2472"/>
  <c r="C2572"/>
  <c r="G2543"/>
  <c r="C2643"/>
  <c r="G2613"/>
  <c r="C2885"/>
  <c r="G2850"/>
  <c r="C3044"/>
  <c r="G3011"/>
  <c r="C3151"/>
  <c r="G3124"/>
  <c r="C3282"/>
  <c r="G3249"/>
  <c r="C3358"/>
  <c r="G3332"/>
  <c r="C3581"/>
  <c r="G3531"/>
  <c r="C3753"/>
  <c r="G3719"/>
  <c r="C3945"/>
  <c r="G3910"/>
  <c r="C4075"/>
  <c r="G4040"/>
  <c r="C4184"/>
  <c r="G4154"/>
  <c r="C4727"/>
  <c r="G4688"/>
  <c r="C4872"/>
  <c r="G4837"/>
  <c r="C4975"/>
  <c r="G4945"/>
  <c r="C5083"/>
  <c r="G5057"/>
  <c r="C5228"/>
  <c r="G5192"/>
  <c r="C5405"/>
  <c r="C5406"/>
  <c r="G5379"/>
  <c r="C5621"/>
  <c r="G5591"/>
  <c r="C5726"/>
  <c r="G5694"/>
  <c r="C5790"/>
  <c r="G5760"/>
  <c r="C6213"/>
  <c r="C6215"/>
  <c r="G6180"/>
  <c r="C6286"/>
  <c r="G6261"/>
  <c r="C6376"/>
  <c r="G6349"/>
  <c r="C6589"/>
  <c r="G6559"/>
  <c r="C6702"/>
  <c r="G6675"/>
  <c r="C6853"/>
  <c r="G6826"/>
  <c r="C6959"/>
  <c r="G6931"/>
  <c r="C7121"/>
  <c r="G7088"/>
  <c r="C7208"/>
  <c r="G7181"/>
  <c r="C7344"/>
  <c r="G7318"/>
  <c r="C7467"/>
  <c r="G7434"/>
  <c r="C7561"/>
  <c r="G7533"/>
  <c r="C7710"/>
  <c r="G7681"/>
  <c r="C7813"/>
  <c r="G7784"/>
  <c r="C7870"/>
  <c r="G7845"/>
  <c r="C8015"/>
  <c r="G7982"/>
  <c r="C8094"/>
  <c r="G8065"/>
  <c r="C8233"/>
  <c r="G8198"/>
  <c r="C8339"/>
  <c r="G8306"/>
  <c r="C8412"/>
  <c r="G8387"/>
  <c r="C8480"/>
  <c r="G8456"/>
  <c r="C31" i="23"/>
  <c r="E5" i="9"/>
  <c r="C63" i="23"/>
  <c r="E6" i="9"/>
  <c r="C103" i="23"/>
  <c r="E7" i="9"/>
  <c r="C116" i="23"/>
  <c r="C117"/>
  <c r="C130"/>
  <c r="E8" i="9"/>
  <c r="C157" i="23"/>
  <c r="E9" i="9"/>
  <c r="C188" i="23"/>
  <c r="C190"/>
  <c r="E10" i="9"/>
  <c r="C226" i="23"/>
  <c r="E11" i="9"/>
  <c r="C259" i="23"/>
  <c r="E12" i="9"/>
  <c r="C287" i="23"/>
  <c r="E13" i="9"/>
  <c r="C317" i="23"/>
  <c r="E14" i="9"/>
  <c r="C344" i="23"/>
  <c r="E15" i="9"/>
  <c r="C374" i="23"/>
  <c r="E16" i="9"/>
  <c r="C402" i="23"/>
  <c r="E17" i="9"/>
  <c r="C435" i="23"/>
  <c r="E18" i="9"/>
  <c r="C468" i="23"/>
  <c r="E19" i="9"/>
  <c r="C496" i="23"/>
  <c r="E20" i="9"/>
  <c r="C524" i="23"/>
  <c r="E21" i="9"/>
  <c r="C552" i="23"/>
  <c r="E22" i="9"/>
  <c r="C577" i="23"/>
  <c r="C579"/>
  <c r="E23" i="9"/>
  <c r="C608" i="23"/>
  <c r="E24" i="9"/>
  <c r="C635" i="23"/>
  <c r="E25" i="9"/>
  <c r="C664" i="23"/>
  <c r="E26" i="9"/>
  <c r="C693" i="23"/>
  <c r="E27" i="9"/>
  <c r="C722" i="23"/>
  <c r="E28" i="9"/>
  <c r="C751" i="23"/>
  <c r="E29" i="9"/>
  <c r="C790" i="23"/>
  <c r="E30" i="9"/>
  <c r="C817" i="23"/>
  <c r="E31" i="9"/>
  <c r="C849" i="23"/>
  <c r="E32" i="9"/>
  <c r="C876" i="23"/>
  <c r="E33" i="9"/>
  <c r="C903" i="23"/>
  <c r="E34" i="9"/>
  <c r="C937" i="23"/>
  <c r="E35" i="9"/>
  <c r="C951" i="23"/>
  <c r="C952"/>
  <c r="C956"/>
  <c r="C957"/>
  <c r="C964"/>
  <c r="E36" i="9"/>
  <c r="C991" i="23"/>
  <c r="E37" i="9"/>
  <c r="C1009" i="23"/>
  <c r="C1017"/>
  <c r="C1021"/>
  <c r="E38" i="9"/>
  <c r="C1055" i="23"/>
  <c r="E39" i="9"/>
  <c r="C1084" i="23"/>
  <c r="E40" i="9"/>
  <c r="C1112" i="23"/>
  <c r="E41" i="9"/>
  <c r="C1126" i="23"/>
  <c r="C1127"/>
  <c r="C1131"/>
  <c r="C1132"/>
  <c r="C1139"/>
  <c r="E42" i="9"/>
  <c r="C1169" i="23"/>
  <c r="E43" i="9"/>
  <c r="C1197" i="23"/>
  <c r="E44" i="9"/>
  <c r="C1227" i="23"/>
  <c r="E45" i="9"/>
  <c r="C1253" i="23"/>
  <c r="C1259"/>
  <c r="E46" i="9"/>
  <c r="C1273" i="23"/>
  <c r="C1274"/>
  <c r="C1278"/>
  <c r="C1279"/>
  <c r="C1286"/>
  <c r="E47" i="9"/>
  <c r="C1300" i="23"/>
  <c r="C1301"/>
  <c r="C1305"/>
  <c r="C1306"/>
  <c r="C1308"/>
  <c r="C1313"/>
  <c r="E48" i="9"/>
  <c r="C1328" i="23"/>
  <c r="C1332"/>
  <c r="C1333"/>
  <c r="C1341"/>
  <c r="E49" i="9"/>
  <c r="C1368" i="23"/>
  <c r="E50" i="9"/>
  <c r="C1399" i="23"/>
  <c r="E51" i="9"/>
  <c r="C1428" i="23"/>
  <c r="E52" i="9"/>
  <c r="C1455" i="23"/>
  <c r="E53" i="9"/>
  <c r="C1491" i="23"/>
  <c r="E54" i="9"/>
  <c r="C1505" i="23"/>
  <c r="C1506"/>
  <c r="C1510"/>
  <c r="C1511"/>
  <c r="C1518"/>
  <c r="E55" i="9"/>
  <c r="C1547" i="23"/>
  <c r="E56" i="9"/>
  <c r="C1577" i="23"/>
  <c r="E57" i="9"/>
  <c r="C1604" i="23"/>
  <c r="E58" i="9"/>
  <c r="C1631" i="23"/>
  <c r="E59" i="9"/>
  <c r="C1645" i="23"/>
  <c r="C1646"/>
  <c r="C1650"/>
  <c r="C1651"/>
  <c r="C1658"/>
  <c r="E60" i="9"/>
  <c r="C1687" i="23"/>
  <c r="E61" i="9"/>
  <c r="C1717" i="23"/>
  <c r="E62" i="9"/>
  <c r="C1744" i="23"/>
  <c r="E63" i="9"/>
  <c r="C1773" i="23"/>
  <c r="E64" i="9"/>
  <c r="C1803" i="23"/>
  <c r="E65" i="9"/>
  <c r="C1830" i="23"/>
  <c r="E66" i="9"/>
  <c r="C1858" i="23"/>
  <c r="E67" i="9"/>
  <c r="C1877" i="23"/>
  <c r="C1878"/>
  <c r="C1887"/>
  <c r="E68" i="9"/>
  <c r="C1914" i="23"/>
  <c r="E69" i="9"/>
  <c r="C1941" i="23"/>
  <c r="E70" i="9"/>
  <c r="C1971" i="23"/>
  <c r="E71" i="9"/>
  <c r="C2011" i="23"/>
  <c r="E72" i="9"/>
  <c r="C2040" i="23"/>
  <c r="E73" i="9"/>
  <c r="C2074" i="23"/>
  <c r="E74" i="9"/>
  <c r="C2101" i="23"/>
  <c r="E75" i="9"/>
  <c r="C2130" i="23"/>
  <c r="E76" i="9"/>
  <c r="C2157" i="23"/>
  <c r="E77" i="9"/>
  <c r="C2184" i="23"/>
  <c r="E78" i="9"/>
  <c r="C2216" i="23"/>
  <c r="E79" i="9"/>
  <c r="C2244" i="23"/>
  <c r="E80" i="9"/>
  <c r="C2272" i="23"/>
  <c r="E81" i="9"/>
  <c r="C2301" i="23"/>
  <c r="E82" i="9"/>
  <c r="E83"/>
  <c r="I77" i="12"/>
  <c r="F39" i="8"/>
  <c r="F282" i="10"/>
  <c r="F278"/>
  <c r="F280"/>
  <c r="F294"/>
  <c r="I75" i="12"/>
  <c r="J75"/>
  <c r="D26" i="2"/>
  <c r="F41" i="8"/>
  <c r="H16" i="15"/>
  <c r="C5" i="8"/>
  <c r="H17" i="15"/>
  <c r="C7" i="8"/>
  <c r="H18" i="15"/>
  <c r="C9" i="8"/>
  <c r="H6" i="15"/>
  <c r="H7"/>
  <c r="H8"/>
  <c r="H9"/>
  <c r="H10"/>
  <c r="H11"/>
  <c r="H12"/>
  <c r="H13"/>
  <c r="H14"/>
  <c r="C11" i="8"/>
  <c r="C12"/>
  <c r="C27"/>
  <c r="C28"/>
  <c r="C33"/>
  <c r="C266" i="10"/>
  <c r="C267"/>
  <c r="E74" i="12"/>
  <c r="C22" i="2"/>
  <c r="C35" i="8"/>
  <c r="E73" i="12"/>
  <c r="C24" i="2"/>
  <c r="C39" i="8"/>
  <c r="C278" i="10"/>
  <c r="C294"/>
  <c r="E75" i="12"/>
  <c r="C26" i="2"/>
  <c r="C41" i="8"/>
  <c r="C42"/>
  <c r="F24" i="2"/>
  <c r="H39" i="8"/>
  <c r="E24" i="2"/>
  <c r="G39" i="8"/>
  <c r="H35"/>
  <c r="E22" i="2"/>
  <c r="G35" i="8"/>
  <c r="G17" i="15"/>
  <c r="I17"/>
  <c r="F17"/>
  <c r="E286"/>
  <c r="E17"/>
  <c r="G7" i="8"/>
  <c r="J977" i="11"/>
  <c r="I962"/>
  <c r="I977"/>
  <c r="H977"/>
  <c r="G977"/>
  <c r="E970"/>
  <c r="E972"/>
  <c r="E977"/>
  <c r="T5" i="9"/>
  <c r="H31" i="23"/>
  <c r="U5" i="9"/>
  <c r="C5"/>
  <c r="T6"/>
  <c r="H59" i="23"/>
  <c r="H63"/>
  <c r="U6" i="9"/>
  <c r="C6"/>
  <c r="T7"/>
  <c r="H103" i="23"/>
  <c r="U7" i="9"/>
  <c r="C7"/>
  <c r="H130" i="23"/>
  <c r="U8" i="9"/>
  <c r="C8"/>
  <c r="T9"/>
  <c r="H155" i="23"/>
  <c r="H157"/>
  <c r="U9" i="9"/>
  <c r="C9"/>
  <c r="T10"/>
  <c r="H187" i="23"/>
  <c r="H190"/>
  <c r="U10" i="9"/>
  <c r="C10"/>
  <c r="T11"/>
  <c r="H221" i="23"/>
  <c r="H226"/>
  <c r="U11" i="9"/>
  <c r="C11"/>
  <c r="T12"/>
  <c r="H256" i="23"/>
  <c r="H259"/>
  <c r="U12" i="9"/>
  <c r="C12"/>
  <c r="T13"/>
  <c r="H284" i="23"/>
  <c r="H287"/>
  <c r="U13" i="9"/>
  <c r="C13"/>
  <c r="H298" i="23"/>
  <c r="T14" i="9"/>
  <c r="H310" i="23"/>
  <c r="H317"/>
  <c r="U14" i="9"/>
  <c r="C14"/>
  <c r="T15"/>
  <c r="H340" i="23"/>
  <c r="H344"/>
  <c r="U15" i="9"/>
  <c r="C15"/>
  <c r="T16"/>
  <c r="H374" i="23"/>
  <c r="U16" i="9"/>
  <c r="C16"/>
  <c r="T17"/>
  <c r="H397" i="23"/>
  <c r="H402"/>
  <c r="U17" i="9"/>
  <c r="C17"/>
  <c r="T18"/>
  <c r="H431" i="23"/>
  <c r="H435"/>
  <c r="U18" i="9"/>
  <c r="C18"/>
  <c r="T19"/>
  <c r="H462" i="23"/>
  <c r="H468"/>
  <c r="U19" i="9"/>
  <c r="C19"/>
  <c r="T20"/>
  <c r="H496" i="23"/>
  <c r="U20" i="9"/>
  <c r="C20"/>
  <c r="T21"/>
  <c r="H524" i="23"/>
  <c r="U21" i="9"/>
  <c r="C21"/>
  <c r="T22"/>
  <c r="H550" i="23"/>
  <c r="H552"/>
  <c r="U22" i="9"/>
  <c r="C22"/>
  <c r="T23"/>
  <c r="H574" i="23"/>
  <c r="H577"/>
  <c r="H579"/>
  <c r="H581"/>
  <c r="U23" i="9"/>
  <c r="C23"/>
  <c r="T24"/>
  <c r="H602" i="23"/>
  <c r="H608"/>
  <c r="U24" i="9"/>
  <c r="C24"/>
  <c r="T25"/>
  <c r="H631" i="23"/>
  <c r="H635"/>
  <c r="U25" i="9"/>
  <c r="C25"/>
  <c r="T26"/>
  <c r="H658" i="23"/>
  <c r="H664"/>
  <c r="U26" i="9"/>
  <c r="C26"/>
  <c r="T27"/>
  <c r="H690" i="23"/>
  <c r="H693"/>
  <c r="U27" i="9"/>
  <c r="C27"/>
  <c r="T28"/>
  <c r="H722" i="23"/>
  <c r="U28" i="9"/>
  <c r="C28"/>
  <c r="T29"/>
  <c r="H751" i="23"/>
  <c r="U29" i="9"/>
  <c r="C29"/>
  <c r="T30"/>
  <c r="H776" i="23"/>
  <c r="H790"/>
  <c r="U30" i="9"/>
  <c r="C30"/>
  <c r="T31"/>
  <c r="H817" i="23"/>
  <c r="U31" i="9"/>
  <c r="C31"/>
  <c r="T32"/>
  <c r="H840" i="23"/>
  <c r="H849"/>
  <c r="U32" i="9"/>
  <c r="C32"/>
  <c r="T33"/>
  <c r="H872" i="23"/>
  <c r="H876"/>
  <c r="U33" i="9"/>
  <c r="C33"/>
  <c r="T34"/>
  <c r="H899" i="23"/>
  <c r="H903"/>
  <c r="U34" i="9"/>
  <c r="C34"/>
  <c r="T35"/>
  <c r="H930" i="23"/>
  <c r="H937"/>
  <c r="U35" i="9"/>
  <c r="C35"/>
  <c r="T36"/>
  <c r="H960" i="23"/>
  <c r="H964"/>
  <c r="U36" i="9"/>
  <c r="C36"/>
  <c r="T37"/>
  <c r="H987" i="23"/>
  <c r="H991"/>
  <c r="U37" i="9"/>
  <c r="C37"/>
  <c r="T38"/>
  <c r="H1018" i="23"/>
  <c r="H1021"/>
  <c r="U38" i="9"/>
  <c r="C38"/>
  <c r="T39"/>
  <c r="H1055" i="23"/>
  <c r="U39" i="9"/>
  <c r="C39"/>
  <c r="T40"/>
  <c r="H1078" i="23"/>
  <c r="H1084"/>
  <c r="U40" i="9"/>
  <c r="C40"/>
  <c r="T41"/>
  <c r="H1107" i="23"/>
  <c r="H1112"/>
  <c r="U41" i="9"/>
  <c r="C41"/>
  <c r="T42"/>
  <c r="H1135" i="23"/>
  <c r="H1139"/>
  <c r="U42" i="9"/>
  <c r="C42"/>
  <c r="T43"/>
  <c r="H1162" i="23"/>
  <c r="H1169"/>
  <c r="U43" i="9"/>
  <c r="C43"/>
  <c r="T44"/>
  <c r="H1197" i="23"/>
  <c r="U44" i="9"/>
  <c r="C44"/>
  <c r="T45"/>
  <c r="H1227" i="23"/>
  <c r="U45" i="9"/>
  <c r="C45"/>
  <c r="T46"/>
  <c r="H1250" i="23"/>
  <c r="H1259"/>
  <c r="U46" i="9"/>
  <c r="C46"/>
  <c r="T47"/>
  <c r="H1282" i="23"/>
  <c r="H1286"/>
  <c r="U47" i="9"/>
  <c r="C47"/>
  <c r="T48"/>
  <c r="H1313" i="23"/>
  <c r="U48" i="9"/>
  <c r="C48"/>
  <c r="T49"/>
  <c r="H1336" i="23"/>
  <c r="H1341"/>
  <c r="U49" i="9"/>
  <c r="C49"/>
  <c r="T50"/>
  <c r="H1362" i="23"/>
  <c r="H1368"/>
  <c r="U50" i="9"/>
  <c r="C50"/>
  <c r="T51"/>
  <c r="H1395" i="23"/>
  <c r="H1399"/>
  <c r="U51" i="9"/>
  <c r="C51"/>
  <c r="T52"/>
  <c r="H1428" i="23"/>
  <c r="U52" i="9"/>
  <c r="C52"/>
  <c r="T53"/>
  <c r="H1451" i="23"/>
  <c r="H1455"/>
  <c r="U53" i="9"/>
  <c r="C53"/>
  <c r="T54"/>
  <c r="H1484" i="23"/>
  <c r="H1491"/>
  <c r="U54" i="9"/>
  <c r="C54"/>
  <c r="T55"/>
  <c r="H1509" i="23"/>
  <c r="H1512"/>
  <c r="H1518"/>
  <c r="U55" i="9"/>
  <c r="C55"/>
  <c r="T56"/>
  <c r="H1547" i="23"/>
  <c r="U56" i="9"/>
  <c r="C56"/>
  <c r="T57"/>
  <c r="H1573" i="23"/>
  <c r="H1577"/>
  <c r="U57" i="9"/>
  <c r="C57"/>
  <c r="T58"/>
  <c r="H1604" i="23"/>
  <c r="U58" i="9"/>
  <c r="C58"/>
  <c r="T59"/>
  <c r="H1625" i="23"/>
  <c r="H1631"/>
  <c r="U59" i="9"/>
  <c r="C59"/>
  <c r="T60"/>
  <c r="H1654" i="23"/>
  <c r="H1658"/>
  <c r="U60" i="9"/>
  <c r="C60"/>
  <c r="T61"/>
  <c r="H1681" i="23"/>
  <c r="H1687"/>
  <c r="U61" i="9"/>
  <c r="C61"/>
  <c r="T62"/>
  <c r="H1710" i="23"/>
  <c r="H1717"/>
  <c r="U62" i="9"/>
  <c r="C62"/>
  <c r="T63"/>
  <c r="H1744" i="23"/>
  <c r="U63" i="9"/>
  <c r="C63"/>
  <c r="T64"/>
  <c r="H1773" i="23"/>
  <c r="U64" i="9"/>
  <c r="C64"/>
  <c r="T65"/>
  <c r="H1800" i="23"/>
  <c r="H1803"/>
  <c r="U65" i="9"/>
  <c r="C65"/>
  <c r="T66"/>
  <c r="H1821" i="23"/>
  <c r="H1830"/>
  <c r="U66" i="9"/>
  <c r="C66"/>
  <c r="T67"/>
  <c r="H1856" i="23"/>
  <c r="H1858"/>
  <c r="U67" i="9"/>
  <c r="C67"/>
  <c r="T68"/>
  <c r="H1881" i="23"/>
  <c r="H1887"/>
  <c r="U68" i="9"/>
  <c r="C68"/>
  <c r="T69"/>
  <c r="H1905" i="23"/>
  <c r="H1914"/>
  <c r="U69" i="9"/>
  <c r="C69"/>
  <c r="T70"/>
  <c r="H1937" i="23"/>
  <c r="H1941"/>
  <c r="U70" i="9"/>
  <c r="C70"/>
  <c r="T71"/>
  <c r="H1967" i="23"/>
  <c r="H1971"/>
  <c r="U71" i="9"/>
  <c r="C71"/>
  <c r="T72"/>
  <c r="H2008" i="23"/>
  <c r="H2011"/>
  <c r="U72" i="9"/>
  <c r="C72"/>
  <c r="T73"/>
  <c r="H2034" i="23"/>
  <c r="H2040"/>
  <c r="U73" i="9"/>
  <c r="C73"/>
  <c r="T74"/>
  <c r="H2074" i="23"/>
  <c r="U74" i="9"/>
  <c r="C74"/>
  <c r="T75"/>
  <c r="H2097" i="23"/>
  <c r="H2101"/>
  <c r="U75" i="9"/>
  <c r="C75"/>
  <c r="T76"/>
  <c r="H2127" i="23"/>
  <c r="H2130"/>
  <c r="U76" i="9"/>
  <c r="C76"/>
  <c r="T77"/>
  <c r="H2155" i="23"/>
  <c r="H2157"/>
  <c r="U77" i="9"/>
  <c r="C77"/>
  <c r="T78"/>
  <c r="H2180" i="23"/>
  <c r="H2184"/>
  <c r="U78" i="9"/>
  <c r="C78"/>
  <c r="T79"/>
  <c r="H2216" i="23"/>
  <c r="U79" i="9"/>
  <c r="C79"/>
  <c r="T80"/>
  <c r="H2244" i="23"/>
  <c r="U80" i="9"/>
  <c r="C80"/>
  <c r="C83"/>
  <c r="C86"/>
  <c r="F7458" i="11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J2067"/>
  <c r="I2067"/>
  <c r="G2067"/>
  <c r="H981"/>
  <c r="G4" i="12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82"/>
  <c r="P3" i="27"/>
  <c r="D4" i="12"/>
  <c r="I132" i="11"/>
  <c r="I138"/>
  <c r="I140"/>
  <c r="I142"/>
  <c r="F4" i="12"/>
  <c r="G47" i="31"/>
  <c r="G42"/>
  <c r="G30"/>
  <c r="G19"/>
  <c r="G15"/>
  <c r="G7"/>
  <c r="F47"/>
  <c r="G9"/>
  <c r="G11"/>
  <c r="G13"/>
  <c r="G17"/>
  <c r="G21"/>
  <c r="G22"/>
  <c r="G24"/>
  <c r="G26"/>
  <c r="G28"/>
  <c r="G32"/>
  <c r="G33"/>
  <c r="G36"/>
  <c r="G38"/>
  <c r="G40"/>
  <c r="G44"/>
  <c r="G45"/>
  <c r="G49"/>
  <c r="J47"/>
  <c r="J36"/>
  <c r="J38"/>
  <c r="J40"/>
  <c r="J42"/>
  <c r="J44"/>
  <c r="J45"/>
  <c r="J24"/>
  <c r="J26"/>
  <c r="J28"/>
  <c r="J30"/>
  <c r="J32"/>
  <c r="J33"/>
  <c r="J7"/>
  <c r="J9"/>
  <c r="J11"/>
  <c r="J13"/>
  <c r="J15"/>
  <c r="J17"/>
  <c r="J19"/>
  <c r="J21"/>
  <c r="J22"/>
  <c r="J49"/>
  <c r="I7"/>
  <c r="I9"/>
  <c r="I11"/>
  <c r="I13"/>
  <c r="I15"/>
  <c r="I17"/>
  <c r="I19"/>
  <c r="I21"/>
  <c r="I22"/>
  <c r="I24"/>
  <c r="I26"/>
  <c r="I28"/>
  <c r="I30"/>
  <c r="I32"/>
  <c r="I33"/>
  <c r="I36"/>
  <c r="I38"/>
  <c r="I40"/>
  <c r="I42"/>
  <c r="I44"/>
  <c r="I45"/>
  <c r="I47"/>
  <c r="I49"/>
  <c r="H7"/>
  <c r="H9"/>
  <c r="H11"/>
  <c r="H13"/>
  <c r="H15"/>
  <c r="H17"/>
  <c r="H19"/>
  <c r="H21"/>
  <c r="H22"/>
  <c r="H24"/>
  <c r="H26"/>
  <c r="H28"/>
  <c r="H30"/>
  <c r="H32"/>
  <c r="H33"/>
  <c r="H36"/>
  <c r="H38"/>
  <c r="H40"/>
  <c r="H42"/>
  <c r="H44"/>
  <c r="H45"/>
  <c r="H47"/>
  <c r="H49"/>
  <c r="F7"/>
  <c r="F9"/>
  <c r="F11"/>
  <c r="F13"/>
  <c r="F15"/>
  <c r="F17"/>
  <c r="F19"/>
  <c r="F21"/>
  <c r="F22"/>
  <c r="F24"/>
  <c r="F26"/>
  <c r="F28"/>
  <c r="F30"/>
  <c r="F32"/>
  <c r="F33"/>
  <c r="F36"/>
  <c r="F38"/>
  <c r="F40"/>
  <c r="F42"/>
  <c r="F44"/>
  <c r="F45"/>
  <c r="F49"/>
  <c r="E7"/>
  <c r="E9"/>
  <c r="E11"/>
  <c r="E13"/>
  <c r="E15"/>
  <c r="E17"/>
  <c r="E19"/>
  <c r="E21"/>
  <c r="E22"/>
  <c r="E24"/>
  <c r="E26"/>
  <c r="E28"/>
  <c r="E30"/>
  <c r="E32"/>
  <c r="E33"/>
  <c r="E36"/>
  <c r="E38"/>
  <c r="E40"/>
  <c r="E42"/>
  <c r="E44"/>
  <c r="E45"/>
  <c r="E47"/>
  <c r="E49"/>
  <c r="D7"/>
  <c r="D9"/>
  <c r="D11"/>
  <c r="D13"/>
  <c r="D15"/>
  <c r="D17"/>
  <c r="D19"/>
  <c r="D21"/>
  <c r="D22"/>
  <c r="D24"/>
  <c r="D26"/>
  <c r="D28"/>
  <c r="D30"/>
  <c r="D32"/>
  <c r="D33"/>
  <c r="D36"/>
  <c r="D38"/>
  <c r="D40"/>
  <c r="D42"/>
  <c r="D44"/>
  <c r="D45"/>
  <c r="D47"/>
  <c r="D49"/>
  <c r="C7"/>
  <c r="C9"/>
  <c r="C11"/>
  <c r="C13"/>
  <c r="C15"/>
  <c r="C17"/>
  <c r="C19"/>
  <c r="C21"/>
  <c r="C22"/>
  <c r="C24"/>
  <c r="C26"/>
  <c r="C28"/>
  <c r="C30"/>
  <c r="C32"/>
  <c r="C33"/>
  <c r="C36"/>
  <c r="C38"/>
  <c r="C40"/>
  <c r="C42"/>
  <c r="C44"/>
  <c r="C45"/>
  <c r="C47"/>
  <c r="C49"/>
  <c r="D7" i="2"/>
  <c r="D9"/>
  <c r="C581" i="23"/>
  <c r="D289" i="15"/>
  <c r="G47" i="32"/>
  <c r="G7"/>
  <c r="G9"/>
  <c r="G11"/>
  <c r="G13"/>
  <c r="G15"/>
  <c r="G17"/>
  <c r="G19"/>
  <c r="G21"/>
  <c r="G22"/>
  <c r="G24"/>
  <c r="G26"/>
  <c r="G28"/>
  <c r="G30"/>
  <c r="G32"/>
  <c r="G33"/>
  <c r="G36"/>
  <c r="G38"/>
  <c r="G40"/>
  <c r="G42"/>
  <c r="G44"/>
  <c r="G45"/>
  <c r="G49"/>
  <c r="J47"/>
  <c r="J36"/>
  <c r="J38"/>
  <c r="J40"/>
  <c r="J42"/>
  <c r="J44"/>
  <c r="J45"/>
  <c r="J24"/>
  <c r="J26"/>
  <c r="J28"/>
  <c r="J30"/>
  <c r="J32"/>
  <c r="J33"/>
  <c r="J7"/>
  <c r="J9"/>
  <c r="J11"/>
  <c r="J13"/>
  <c r="J15"/>
  <c r="J17"/>
  <c r="J19"/>
  <c r="J21"/>
  <c r="J22"/>
  <c r="J49"/>
  <c r="I7"/>
  <c r="I9"/>
  <c r="I11"/>
  <c r="I13"/>
  <c r="I15"/>
  <c r="I17"/>
  <c r="I19"/>
  <c r="I21"/>
  <c r="I22"/>
  <c r="I24"/>
  <c r="I26"/>
  <c r="I28"/>
  <c r="I30"/>
  <c r="I32"/>
  <c r="I33"/>
  <c r="I36"/>
  <c r="I38"/>
  <c r="I40"/>
  <c r="I42"/>
  <c r="I44"/>
  <c r="I45"/>
  <c r="I47"/>
  <c r="I49"/>
  <c r="H7"/>
  <c r="H9"/>
  <c r="H11"/>
  <c r="H13"/>
  <c r="H15"/>
  <c r="H17"/>
  <c r="H19"/>
  <c r="H21"/>
  <c r="H22"/>
  <c r="H24"/>
  <c r="H26"/>
  <c r="H28"/>
  <c r="H30"/>
  <c r="H32"/>
  <c r="H33"/>
  <c r="H36"/>
  <c r="H38"/>
  <c r="H40"/>
  <c r="H42"/>
  <c r="H44"/>
  <c r="H45"/>
  <c r="H47"/>
  <c r="H49"/>
  <c r="F7"/>
  <c r="F9"/>
  <c r="F11"/>
  <c r="F13"/>
  <c r="F15"/>
  <c r="F17"/>
  <c r="F19"/>
  <c r="F21"/>
  <c r="F22"/>
  <c r="F24"/>
  <c r="F26"/>
  <c r="F28"/>
  <c r="F30"/>
  <c r="F32"/>
  <c r="F33"/>
  <c r="F36"/>
  <c r="F38"/>
  <c r="F40"/>
  <c r="F42"/>
  <c r="F44"/>
  <c r="F45"/>
  <c r="F47"/>
  <c r="F49"/>
  <c r="E7"/>
  <c r="E9"/>
  <c r="E11"/>
  <c r="E13"/>
  <c r="E15"/>
  <c r="E17"/>
  <c r="E19"/>
  <c r="E21"/>
  <c r="E22"/>
  <c r="E24"/>
  <c r="E26"/>
  <c r="E28"/>
  <c r="E30"/>
  <c r="E32"/>
  <c r="E33"/>
  <c r="E36"/>
  <c r="E38"/>
  <c r="E40"/>
  <c r="E42"/>
  <c r="E44"/>
  <c r="E45"/>
  <c r="E47"/>
  <c r="E49"/>
  <c r="D7"/>
  <c r="D9"/>
  <c r="D11"/>
  <c r="D13"/>
  <c r="D15"/>
  <c r="D17"/>
  <c r="D19"/>
  <c r="D21"/>
  <c r="D22"/>
  <c r="D24"/>
  <c r="D26"/>
  <c r="D28"/>
  <c r="D30"/>
  <c r="D32"/>
  <c r="D33"/>
  <c r="D36"/>
  <c r="D38"/>
  <c r="D40"/>
  <c r="D42"/>
  <c r="D44"/>
  <c r="D45"/>
  <c r="D47"/>
  <c r="D49"/>
  <c r="C7"/>
  <c r="C9"/>
  <c r="C11"/>
  <c r="C13"/>
  <c r="C15"/>
  <c r="C17"/>
  <c r="C19"/>
  <c r="C21"/>
  <c r="C22"/>
  <c r="C24"/>
  <c r="C26"/>
  <c r="C28"/>
  <c r="C30"/>
  <c r="C32"/>
  <c r="C33"/>
  <c r="C36"/>
  <c r="C38"/>
  <c r="C40"/>
  <c r="C42"/>
  <c r="C44"/>
  <c r="C45"/>
  <c r="C47"/>
  <c r="C49"/>
  <c r="E6" i="30"/>
  <c r="D6"/>
  <c r="F6"/>
  <c r="G6"/>
  <c r="H6"/>
  <c r="I6"/>
  <c r="E7"/>
  <c r="D7"/>
  <c r="F7"/>
  <c r="G7"/>
  <c r="H7"/>
  <c r="I7"/>
  <c r="E8"/>
  <c r="D8"/>
  <c r="F8"/>
  <c r="G8"/>
  <c r="H8"/>
  <c r="I8"/>
  <c r="E9"/>
  <c r="F9"/>
  <c r="G9"/>
  <c r="H9"/>
  <c r="I9"/>
  <c r="E10"/>
  <c r="D10"/>
  <c r="F10"/>
  <c r="G10"/>
  <c r="H10"/>
  <c r="I10"/>
  <c r="E11"/>
  <c r="D11"/>
  <c r="F11"/>
  <c r="G11"/>
  <c r="H11"/>
  <c r="I11"/>
  <c r="E12"/>
  <c r="D12"/>
  <c r="F12"/>
  <c r="G12"/>
  <c r="H12"/>
  <c r="I12"/>
  <c r="E13"/>
  <c r="D13"/>
  <c r="F13"/>
  <c r="G13"/>
  <c r="H13"/>
  <c r="I13"/>
  <c r="E14"/>
  <c r="D14"/>
  <c r="F14"/>
  <c r="G14"/>
  <c r="H14"/>
  <c r="I14"/>
  <c r="E15"/>
  <c r="D15"/>
  <c r="F15"/>
  <c r="G15"/>
  <c r="H15"/>
  <c r="I15"/>
  <c r="E16"/>
  <c r="D16"/>
  <c r="F16"/>
  <c r="G16"/>
  <c r="H16"/>
  <c r="I16"/>
  <c r="E17"/>
  <c r="D17"/>
  <c r="F17"/>
  <c r="G17"/>
  <c r="H17"/>
  <c r="I17"/>
  <c r="E18"/>
  <c r="D18"/>
  <c r="F18"/>
  <c r="G18"/>
  <c r="H18"/>
  <c r="I18"/>
  <c r="E19"/>
  <c r="D19"/>
  <c r="F19"/>
  <c r="G19"/>
  <c r="H19"/>
  <c r="I19"/>
  <c r="E20"/>
  <c r="D20"/>
  <c r="F20"/>
  <c r="G20"/>
  <c r="H20"/>
  <c r="I20"/>
  <c r="E21"/>
  <c r="D21"/>
  <c r="F21"/>
  <c r="G21"/>
  <c r="H21"/>
  <c r="I21"/>
  <c r="G22"/>
  <c r="H22"/>
  <c r="I22"/>
  <c r="E23"/>
  <c r="D23"/>
  <c r="F23"/>
  <c r="G23"/>
  <c r="H23"/>
  <c r="I23"/>
  <c r="E24"/>
  <c r="D24"/>
  <c r="F24"/>
  <c r="G24"/>
  <c r="H24"/>
  <c r="I24"/>
  <c r="E25"/>
  <c r="D25"/>
  <c r="F25"/>
  <c r="G25"/>
  <c r="H25"/>
  <c r="I25"/>
  <c r="E26"/>
  <c r="D26"/>
  <c r="F26"/>
  <c r="G26"/>
  <c r="H26"/>
  <c r="I26"/>
  <c r="E27"/>
  <c r="D27"/>
  <c r="F27"/>
  <c r="G27"/>
  <c r="H27"/>
  <c r="I27"/>
  <c r="E28"/>
  <c r="D28"/>
  <c r="F28"/>
  <c r="G28"/>
  <c r="H28"/>
  <c r="I28"/>
  <c r="E29"/>
  <c r="D29"/>
  <c r="F29"/>
  <c r="G29"/>
  <c r="H29"/>
  <c r="I29"/>
  <c r="E30"/>
  <c r="D30"/>
  <c r="F30"/>
  <c r="G30"/>
  <c r="H30"/>
  <c r="I30"/>
  <c r="E31"/>
  <c r="D31"/>
  <c r="F31"/>
  <c r="G31"/>
  <c r="H31"/>
  <c r="I31"/>
  <c r="E32"/>
  <c r="D32"/>
  <c r="F32"/>
  <c r="G32"/>
  <c r="H32"/>
  <c r="I32"/>
  <c r="E33"/>
  <c r="D33"/>
  <c r="F33"/>
  <c r="G33"/>
  <c r="H33"/>
  <c r="I33"/>
  <c r="E34"/>
  <c r="D34"/>
  <c r="F34"/>
  <c r="G34"/>
  <c r="H34"/>
  <c r="I34"/>
  <c r="E35"/>
  <c r="D35"/>
  <c r="F35"/>
  <c r="G35"/>
  <c r="H35"/>
  <c r="I35"/>
  <c r="E36"/>
  <c r="D36"/>
  <c r="F36"/>
  <c r="G36"/>
  <c r="H36"/>
  <c r="I36"/>
  <c r="E37"/>
  <c r="D37"/>
  <c r="F37"/>
  <c r="G37"/>
  <c r="H37"/>
  <c r="I37"/>
  <c r="E38"/>
  <c r="D38"/>
  <c r="F38"/>
  <c r="G38"/>
  <c r="H38"/>
  <c r="I38"/>
  <c r="E39"/>
  <c r="D39"/>
  <c r="F39"/>
  <c r="G39"/>
  <c r="H39"/>
  <c r="I39"/>
  <c r="E40"/>
  <c r="D40"/>
  <c r="F40"/>
  <c r="G40"/>
  <c r="H40"/>
  <c r="I40"/>
  <c r="E41"/>
  <c r="D41"/>
  <c r="F41"/>
  <c r="G41"/>
  <c r="H41"/>
  <c r="I41"/>
  <c r="E42"/>
  <c r="D42"/>
  <c r="F42"/>
  <c r="G42"/>
  <c r="H42"/>
  <c r="I42"/>
  <c r="E43"/>
  <c r="D43"/>
  <c r="F43"/>
  <c r="G43"/>
  <c r="H43"/>
  <c r="I43"/>
  <c r="E44"/>
  <c r="D44"/>
  <c r="F44"/>
  <c r="G44"/>
  <c r="H44"/>
  <c r="I44"/>
  <c r="E45"/>
  <c r="D45"/>
  <c r="F45"/>
  <c r="G45"/>
  <c r="H45"/>
  <c r="I45"/>
  <c r="E46"/>
  <c r="D46"/>
  <c r="F46"/>
  <c r="G46"/>
  <c r="H46"/>
  <c r="I46"/>
  <c r="E47"/>
  <c r="D47"/>
  <c r="F47"/>
  <c r="G47"/>
  <c r="H47"/>
  <c r="I47"/>
  <c r="E48"/>
  <c r="D48"/>
  <c r="F48"/>
  <c r="G48"/>
  <c r="H48"/>
  <c r="I48"/>
  <c r="E49"/>
  <c r="D49"/>
  <c r="F49"/>
  <c r="G49"/>
  <c r="H49"/>
  <c r="I49"/>
  <c r="E50"/>
  <c r="D50"/>
  <c r="F50"/>
  <c r="G50"/>
  <c r="H50"/>
  <c r="I50"/>
  <c r="E51"/>
  <c r="D51"/>
  <c r="F51"/>
  <c r="G51"/>
  <c r="H51"/>
  <c r="I51"/>
  <c r="E52"/>
  <c r="D52"/>
  <c r="F52"/>
  <c r="G52"/>
  <c r="H52"/>
  <c r="I52"/>
  <c r="E53"/>
  <c r="D53"/>
  <c r="F53"/>
  <c r="G53"/>
  <c r="H53"/>
  <c r="I53"/>
  <c r="E54"/>
  <c r="D54"/>
  <c r="F54"/>
  <c r="G54"/>
  <c r="H54"/>
  <c r="I54"/>
  <c r="E55"/>
  <c r="D55"/>
  <c r="F55"/>
  <c r="G55"/>
  <c r="H55"/>
  <c r="I55"/>
  <c r="E56"/>
  <c r="D56"/>
  <c r="F56"/>
  <c r="G56"/>
  <c r="H56"/>
  <c r="I56"/>
  <c r="E57"/>
  <c r="D57"/>
  <c r="F57"/>
  <c r="G57"/>
  <c r="H57"/>
  <c r="I57"/>
  <c r="E58"/>
  <c r="D58"/>
  <c r="F58"/>
  <c r="G58"/>
  <c r="H58"/>
  <c r="I58"/>
  <c r="E59"/>
  <c r="D59"/>
  <c r="F59"/>
  <c r="G59"/>
  <c r="H59"/>
  <c r="I59"/>
  <c r="E60"/>
  <c r="D60"/>
  <c r="F60"/>
  <c r="G60"/>
  <c r="H60"/>
  <c r="I60"/>
  <c r="E61"/>
  <c r="D61"/>
  <c r="F61"/>
  <c r="G61"/>
  <c r="H61"/>
  <c r="I61"/>
  <c r="E62"/>
  <c r="D62"/>
  <c r="F62"/>
  <c r="G62"/>
  <c r="H62"/>
  <c r="I62"/>
  <c r="E63"/>
  <c r="D63"/>
  <c r="F63"/>
  <c r="G63"/>
  <c r="H63"/>
  <c r="I63"/>
  <c r="E64"/>
  <c r="D64"/>
  <c r="F64"/>
  <c r="G64"/>
  <c r="H64"/>
  <c r="I64"/>
  <c r="E65"/>
  <c r="D65"/>
  <c r="F65"/>
  <c r="G65"/>
  <c r="H65"/>
  <c r="I65"/>
  <c r="E66"/>
  <c r="D66"/>
  <c r="F66"/>
  <c r="G66"/>
  <c r="H66"/>
  <c r="I66"/>
  <c r="E67"/>
  <c r="D67"/>
  <c r="F67"/>
  <c r="G67"/>
  <c r="H67"/>
  <c r="I67"/>
  <c r="E68"/>
  <c r="D68"/>
  <c r="F68"/>
  <c r="G68"/>
  <c r="H68"/>
  <c r="I68"/>
  <c r="E69"/>
  <c r="D69"/>
  <c r="F69"/>
  <c r="G69"/>
  <c r="H69"/>
  <c r="I69"/>
  <c r="E70"/>
  <c r="D70"/>
  <c r="F70"/>
  <c r="G70"/>
  <c r="H70"/>
  <c r="I70"/>
  <c r="E71"/>
  <c r="D71"/>
  <c r="F71"/>
  <c r="G71"/>
  <c r="H71"/>
  <c r="I71"/>
  <c r="E72"/>
  <c r="D72"/>
  <c r="F72"/>
  <c r="G72"/>
  <c r="H72"/>
  <c r="I72"/>
  <c r="E73"/>
  <c r="D73"/>
  <c r="F73"/>
  <c r="G73"/>
  <c r="H73"/>
  <c r="I73"/>
  <c r="E74"/>
  <c r="D74"/>
  <c r="F74"/>
  <c r="G74"/>
  <c r="H74"/>
  <c r="I74"/>
  <c r="E75"/>
  <c r="D75"/>
  <c r="F75"/>
  <c r="G75"/>
  <c r="H75"/>
  <c r="I75"/>
  <c r="E76"/>
  <c r="D76"/>
  <c r="F76"/>
  <c r="G76"/>
  <c r="H76"/>
  <c r="I76"/>
  <c r="E77"/>
  <c r="D77"/>
  <c r="F77"/>
  <c r="G77"/>
  <c r="H77"/>
  <c r="I77"/>
  <c r="E78"/>
  <c r="D78"/>
  <c r="F78"/>
  <c r="G78"/>
  <c r="H78"/>
  <c r="I78"/>
  <c r="E79"/>
  <c r="D79"/>
  <c r="F79"/>
  <c r="G79"/>
  <c r="H79"/>
  <c r="I79"/>
  <c r="E80"/>
  <c r="D80"/>
  <c r="F80"/>
  <c r="G80"/>
  <c r="H80"/>
  <c r="I80"/>
  <c r="I84"/>
  <c r="H81"/>
  <c r="H82"/>
  <c r="H83"/>
  <c r="H84"/>
  <c r="G81"/>
  <c r="G82"/>
  <c r="G83"/>
  <c r="G84"/>
  <c r="E81"/>
  <c r="D81"/>
  <c r="F81"/>
  <c r="E82"/>
  <c r="D82"/>
  <c r="F82"/>
  <c r="E83"/>
  <c r="D83"/>
  <c r="F83"/>
  <c r="E22"/>
  <c r="E84"/>
  <c r="D22"/>
  <c r="D84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4"/>
  <c r="I8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I82"/>
  <c r="I81"/>
  <c r="A20"/>
  <c r="A7"/>
  <c r="A8"/>
  <c r="A9"/>
  <c r="A10"/>
  <c r="A11"/>
  <c r="A12"/>
  <c r="A13"/>
  <c r="A14"/>
  <c r="A15"/>
  <c r="A16"/>
  <c r="A17"/>
  <c r="A18"/>
  <c r="Q5" i="9"/>
  <c r="E31" i="23"/>
  <c r="R5" i="9"/>
  <c r="H5"/>
  <c r="Q6"/>
  <c r="E63" i="23"/>
  <c r="R6" i="9"/>
  <c r="H6"/>
  <c r="Q7"/>
  <c r="E103" i="23"/>
  <c r="R7" i="9"/>
  <c r="H7"/>
  <c r="E130" i="23"/>
  <c r="R8" i="9"/>
  <c r="H8"/>
  <c r="Q9"/>
  <c r="E157" i="23"/>
  <c r="R9" i="9"/>
  <c r="H9"/>
  <c r="Q10"/>
  <c r="E190" i="23"/>
  <c r="R10" i="9"/>
  <c r="H10"/>
  <c r="Q11"/>
  <c r="E226" i="23"/>
  <c r="R11" i="9"/>
  <c r="H11"/>
  <c r="Q12"/>
  <c r="E259" i="23"/>
  <c r="R12" i="9"/>
  <c r="H12"/>
  <c r="Q13"/>
  <c r="E287" i="23"/>
  <c r="R13" i="9"/>
  <c r="H13"/>
  <c r="Q14"/>
  <c r="E317" i="23"/>
  <c r="R14" i="9"/>
  <c r="H14"/>
  <c r="Q15"/>
  <c r="E344" i="23"/>
  <c r="R15" i="9"/>
  <c r="H15"/>
  <c r="Q16"/>
  <c r="E374" i="23"/>
  <c r="R16" i="9"/>
  <c r="H16"/>
  <c r="Q17"/>
  <c r="E402" i="23"/>
  <c r="R17" i="9"/>
  <c r="H17"/>
  <c r="Q18"/>
  <c r="E435" i="23"/>
  <c r="R18" i="9"/>
  <c r="H18"/>
  <c r="Q19"/>
  <c r="E468" i="23"/>
  <c r="R19" i="9"/>
  <c r="H19"/>
  <c r="Q20"/>
  <c r="E496" i="23"/>
  <c r="R20" i="9"/>
  <c r="H20"/>
  <c r="Q21"/>
  <c r="E524" i="23"/>
  <c r="R21" i="9"/>
  <c r="H21"/>
  <c r="Q22"/>
  <c r="E552" i="23"/>
  <c r="R22" i="9"/>
  <c r="H22"/>
  <c r="Q23"/>
  <c r="R23"/>
  <c r="H23"/>
  <c r="Q24"/>
  <c r="E608" i="23"/>
  <c r="R24" i="9"/>
  <c r="H24"/>
  <c r="Q25"/>
  <c r="E635" i="23"/>
  <c r="R25" i="9"/>
  <c r="H25"/>
  <c r="Q26"/>
  <c r="E664" i="23"/>
  <c r="R26" i="9"/>
  <c r="H26"/>
  <c r="Q27"/>
  <c r="E693" i="23"/>
  <c r="R27" i="9"/>
  <c r="H27"/>
  <c r="Q28"/>
  <c r="E722" i="23"/>
  <c r="R28" i="9"/>
  <c r="H28"/>
  <c r="Q29"/>
  <c r="E751" i="23"/>
  <c r="R29" i="9"/>
  <c r="H29"/>
  <c r="Q30"/>
  <c r="R30"/>
  <c r="H30"/>
  <c r="Q31"/>
  <c r="E817" i="23"/>
  <c r="R31" i="9"/>
  <c r="H31"/>
  <c r="Q32"/>
  <c r="E849" i="23"/>
  <c r="R32" i="9"/>
  <c r="H32"/>
  <c r="Q33"/>
  <c r="E876" i="23"/>
  <c r="R33" i="9"/>
  <c r="H33"/>
  <c r="Q34"/>
  <c r="R34"/>
  <c r="H34"/>
  <c r="Q35"/>
  <c r="E937" i="23"/>
  <c r="R35" i="9"/>
  <c r="H35"/>
  <c r="Q36"/>
  <c r="E964" i="23"/>
  <c r="R36" i="9"/>
  <c r="H36"/>
  <c r="Q37"/>
  <c r="E991" i="23"/>
  <c r="R37" i="9"/>
  <c r="H37"/>
  <c r="Q38"/>
  <c r="E1021" i="23"/>
  <c r="R38" i="9"/>
  <c r="H38"/>
  <c r="Q39"/>
  <c r="E1055" i="23"/>
  <c r="R39" i="9"/>
  <c r="H39"/>
  <c r="Q40"/>
  <c r="E1084" i="23"/>
  <c r="R40" i="9"/>
  <c r="H40"/>
  <c r="Q41"/>
  <c r="E1112" i="23"/>
  <c r="R41" i="9"/>
  <c r="H41"/>
  <c r="Q42"/>
  <c r="E1139" i="23"/>
  <c r="R42" i="9"/>
  <c r="H42"/>
  <c r="Q43"/>
  <c r="E1169" i="23"/>
  <c r="R43" i="9"/>
  <c r="H43"/>
  <c r="Q44"/>
  <c r="R44"/>
  <c r="H44"/>
  <c r="Q45"/>
  <c r="E1227" i="23"/>
  <c r="R45" i="9"/>
  <c r="H45"/>
  <c r="Q46"/>
  <c r="E1259" i="23"/>
  <c r="R46" i="9"/>
  <c r="H46"/>
  <c r="Q47"/>
  <c r="E1286" i="23"/>
  <c r="R47" i="9"/>
  <c r="H47"/>
  <c r="Q48"/>
  <c r="E1313" i="23"/>
  <c r="R48" i="9"/>
  <c r="H48"/>
  <c r="Q49"/>
  <c r="E1341" i="23"/>
  <c r="R49" i="9"/>
  <c r="H49"/>
  <c r="Q50"/>
  <c r="E1368" i="23"/>
  <c r="R50" i="9"/>
  <c r="H50"/>
  <c r="Q51"/>
  <c r="E1399" i="23"/>
  <c r="R51" i="9"/>
  <c r="H51"/>
  <c r="Q52"/>
  <c r="E1428" i="23"/>
  <c r="R52" i="9"/>
  <c r="H52"/>
  <c r="Q53"/>
  <c r="E1455" i="23"/>
  <c r="R53" i="9"/>
  <c r="H53"/>
  <c r="Q54"/>
  <c r="E1491" i="23"/>
  <c r="R54" i="9"/>
  <c r="H54"/>
  <c r="Q55"/>
  <c r="E1518" i="23"/>
  <c r="R55" i="9"/>
  <c r="H55"/>
  <c r="Q56"/>
  <c r="E1547" i="23"/>
  <c r="R56" i="9"/>
  <c r="H56"/>
  <c r="Q57"/>
  <c r="E1577" i="23"/>
  <c r="R57" i="9"/>
  <c r="H57"/>
  <c r="Q58"/>
  <c r="E1604" i="23"/>
  <c r="R58" i="9"/>
  <c r="H58"/>
  <c r="Q59"/>
  <c r="E1631" i="23"/>
  <c r="R59" i="9"/>
  <c r="H59"/>
  <c r="Q60"/>
  <c r="E1658" i="23"/>
  <c r="R60" i="9"/>
  <c r="H60"/>
  <c r="Q61"/>
  <c r="E1687" i="23"/>
  <c r="R61" i="9"/>
  <c r="H61"/>
  <c r="Q62"/>
  <c r="E1717" i="23"/>
  <c r="R62" i="9"/>
  <c r="H62"/>
  <c r="Q63"/>
  <c r="E1744" i="23"/>
  <c r="R63" i="9"/>
  <c r="H63"/>
  <c r="Q64"/>
  <c r="E1773" i="23"/>
  <c r="R64" i="9"/>
  <c r="H64"/>
  <c r="Q65"/>
  <c r="E1803" i="23"/>
  <c r="R65" i="9"/>
  <c r="H65"/>
  <c r="Q66"/>
  <c r="E1830" i="23"/>
  <c r="R66" i="9"/>
  <c r="H66"/>
  <c r="Q67"/>
  <c r="E1858" i="23"/>
  <c r="R67" i="9"/>
  <c r="H67"/>
  <c r="Q68"/>
  <c r="E1887" i="23"/>
  <c r="R68" i="9"/>
  <c r="H68"/>
  <c r="Q69"/>
  <c r="E1914" i="23"/>
  <c r="R69" i="9"/>
  <c r="H69"/>
  <c r="Q70"/>
  <c r="E1941" i="23"/>
  <c r="R70" i="9"/>
  <c r="H70"/>
  <c r="Q71"/>
  <c r="E1971" i="23"/>
  <c r="R71" i="9"/>
  <c r="H71"/>
  <c r="Q72"/>
  <c r="E2011" i="23"/>
  <c r="R72" i="9"/>
  <c r="H72"/>
  <c r="Q73"/>
  <c r="E2040" i="23"/>
  <c r="R73" i="9"/>
  <c r="H73"/>
  <c r="Q74"/>
  <c r="E2074" i="23"/>
  <c r="R74" i="9"/>
  <c r="H74"/>
  <c r="Q75"/>
  <c r="E2101" i="23"/>
  <c r="R75" i="9"/>
  <c r="H75"/>
  <c r="Q76"/>
  <c r="E2130" i="23"/>
  <c r="R76" i="9"/>
  <c r="H76"/>
  <c r="Q77"/>
  <c r="E2157" i="23"/>
  <c r="R77" i="9"/>
  <c r="H77"/>
  <c r="Q78"/>
  <c r="E2184" i="23"/>
  <c r="R78" i="9"/>
  <c r="H78"/>
  <c r="Q79"/>
  <c r="E2216" i="23"/>
  <c r="R79" i="9"/>
  <c r="H79"/>
  <c r="Q80"/>
  <c r="E2244" i="23"/>
  <c r="R80" i="9"/>
  <c r="H80"/>
  <c r="Q81"/>
  <c r="E2272" i="23"/>
  <c r="R81" i="9"/>
  <c r="H81"/>
  <c r="Q82"/>
  <c r="E2301" i="23"/>
  <c r="R82" i="9"/>
  <c r="H82"/>
  <c r="H83"/>
  <c r="O5"/>
  <c r="D31" i="23"/>
  <c r="P5" i="9"/>
  <c r="G5"/>
  <c r="O6"/>
  <c r="D63" i="23"/>
  <c r="P6" i="9"/>
  <c r="G6"/>
  <c r="O7"/>
  <c r="D103" i="23"/>
  <c r="P7" i="9"/>
  <c r="G7"/>
  <c r="D130" i="23"/>
  <c r="P8" i="9"/>
  <c r="G8"/>
  <c r="O9"/>
  <c r="D157" i="23"/>
  <c r="P9" i="9"/>
  <c r="G9"/>
  <c r="O10"/>
  <c r="D190" i="23"/>
  <c r="P10" i="9"/>
  <c r="G10"/>
  <c r="O11"/>
  <c r="D226" i="23"/>
  <c r="P11" i="9"/>
  <c r="G11"/>
  <c r="O12"/>
  <c r="D259" i="23"/>
  <c r="P12" i="9"/>
  <c r="G12"/>
  <c r="O13"/>
  <c r="D287" i="23"/>
  <c r="P13" i="9"/>
  <c r="G13"/>
  <c r="O14"/>
  <c r="D317" i="23"/>
  <c r="P14" i="9"/>
  <c r="G14"/>
  <c r="O15"/>
  <c r="D344" i="23"/>
  <c r="P15" i="9"/>
  <c r="G15"/>
  <c r="O16"/>
  <c r="D374" i="23"/>
  <c r="P16" i="9"/>
  <c r="G16"/>
  <c r="O17"/>
  <c r="D402" i="23"/>
  <c r="P17" i="9"/>
  <c r="G17"/>
  <c r="O18"/>
  <c r="D435" i="23"/>
  <c r="P18" i="9"/>
  <c r="G18"/>
  <c r="O19"/>
  <c r="D468" i="23"/>
  <c r="P19" i="9"/>
  <c r="G19"/>
  <c r="O20"/>
  <c r="D496" i="23"/>
  <c r="P20" i="9"/>
  <c r="G20"/>
  <c r="O21"/>
  <c r="D524" i="23"/>
  <c r="P21" i="9"/>
  <c r="G21"/>
  <c r="O22"/>
  <c r="D552" i="23"/>
  <c r="P22" i="9"/>
  <c r="G22"/>
  <c r="O23"/>
  <c r="P23"/>
  <c r="G23"/>
  <c r="O24"/>
  <c r="D608" i="23"/>
  <c r="P24" i="9"/>
  <c r="G24"/>
  <c r="O25"/>
  <c r="D635" i="23"/>
  <c r="P25" i="9"/>
  <c r="G25"/>
  <c r="O26"/>
  <c r="D664" i="23"/>
  <c r="P26" i="9"/>
  <c r="G26"/>
  <c r="O27"/>
  <c r="D693" i="23"/>
  <c r="P27" i="9"/>
  <c r="G27"/>
  <c r="O28"/>
  <c r="D722" i="23"/>
  <c r="P28" i="9"/>
  <c r="G28"/>
  <c r="O29"/>
  <c r="D751" i="23"/>
  <c r="P29" i="9"/>
  <c r="G29"/>
  <c r="O30"/>
  <c r="P30"/>
  <c r="G30"/>
  <c r="O31"/>
  <c r="D817" i="23"/>
  <c r="P31" i="9"/>
  <c r="G31"/>
  <c r="O32"/>
  <c r="D849" i="23"/>
  <c r="P32" i="9"/>
  <c r="G32"/>
  <c r="O33"/>
  <c r="D876" i="23"/>
  <c r="P33" i="9"/>
  <c r="G33"/>
  <c r="O34"/>
  <c r="P34"/>
  <c r="G34"/>
  <c r="O35"/>
  <c r="D937" i="23"/>
  <c r="P35" i="9"/>
  <c r="G35"/>
  <c r="O36"/>
  <c r="D964" i="23"/>
  <c r="P36" i="9"/>
  <c r="G36"/>
  <c r="O37"/>
  <c r="D991" i="23"/>
  <c r="P37" i="9"/>
  <c r="G37"/>
  <c r="O38"/>
  <c r="D1021" i="23"/>
  <c r="P38" i="9"/>
  <c r="G38"/>
  <c r="O39"/>
  <c r="D1055" i="23"/>
  <c r="P39" i="9"/>
  <c r="G39"/>
  <c r="O40"/>
  <c r="D1084" i="23"/>
  <c r="P40" i="9"/>
  <c r="G40"/>
  <c r="O41"/>
  <c r="D1112" i="23"/>
  <c r="P41" i="9"/>
  <c r="G41"/>
  <c r="O42"/>
  <c r="D1139" i="23"/>
  <c r="P42" i="9"/>
  <c r="G42"/>
  <c r="O43"/>
  <c r="D1169" i="23"/>
  <c r="P43" i="9"/>
  <c r="G43"/>
  <c r="O44"/>
  <c r="P44"/>
  <c r="G44"/>
  <c r="O45"/>
  <c r="D1227" i="23"/>
  <c r="P45" i="9"/>
  <c r="G45"/>
  <c r="O46"/>
  <c r="D1259" i="23"/>
  <c r="P46" i="9"/>
  <c r="G46"/>
  <c r="O47"/>
  <c r="D1286" i="23"/>
  <c r="P47" i="9"/>
  <c r="G47"/>
  <c r="O48"/>
  <c r="D1313" i="23"/>
  <c r="P48" i="9"/>
  <c r="G48"/>
  <c r="O49"/>
  <c r="D1341" i="23"/>
  <c r="P49" i="9"/>
  <c r="G49"/>
  <c r="O50"/>
  <c r="D1368" i="23"/>
  <c r="P50" i="9"/>
  <c r="G50"/>
  <c r="O51"/>
  <c r="D1399" i="23"/>
  <c r="P51" i="9"/>
  <c r="G51"/>
  <c r="O52"/>
  <c r="D1428" i="23"/>
  <c r="P52" i="9"/>
  <c r="G52"/>
  <c r="O53"/>
  <c r="D1455" i="23"/>
  <c r="P53" i="9"/>
  <c r="G53"/>
  <c r="O54"/>
  <c r="D1491" i="23"/>
  <c r="P54" i="9"/>
  <c r="G54"/>
  <c r="O55"/>
  <c r="D1518" i="23"/>
  <c r="P55" i="9"/>
  <c r="G55"/>
  <c r="O56"/>
  <c r="D1547" i="23"/>
  <c r="P56" i="9"/>
  <c r="G56"/>
  <c r="O57"/>
  <c r="D1577" i="23"/>
  <c r="P57" i="9"/>
  <c r="G57"/>
  <c r="O58"/>
  <c r="D1604" i="23"/>
  <c r="P58" i="9"/>
  <c r="G58"/>
  <c r="O59"/>
  <c r="D1631" i="23"/>
  <c r="P59" i="9"/>
  <c r="G59"/>
  <c r="O60"/>
  <c r="D1658" i="23"/>
  <c r="P60" i="9"/>
  <c r="G60"/>
  <c r="O61"/>
  <c r="D1687" i="23"/>
  <c r="P61" i="9"/>
  <c r="G61"/>
  <c r="O62"/>
  <c r="D1717" i="23"/>
  <c r="P62" i="9"/>
  <c r="G62"/>
  <c r="O63"/>
  <c r="D1744" i="23"/>
  <c r="P63" i="9"/>
  <c r="G63"/>
  <c r="O64"/>
  <c r="D1773" i="23"/>
  <c r="P64" i="9"/>
  <c r="G64"/>
  <c r="O65"/>
  <c r="D1803" i="23"/>
  <c r="P65" i="9"/>
  <c r="G65"/>
  <c r="O66"/>
  <c r="D1830" i="23"/>
  <c r="P66" i="9"/>
  <c r="G66"/>
  <c r="O67"/>
  <c r="D1858" i="23"/>
  <c r="P67" i="9"/>
  <c r="G67"/>
  <c r="O68"/>
  <c r="D1887" i="23"/>
  <c r="P68" i="9"/>
  <c r="G68"/>
  <c r="O69"/>
  <c r="D1914" i="23"/>
  <c r="P69" i="9"/>
  <c r="G69"/>
  <c r="O70"/>
  <c r="D1941" i="23"/>
  <c r="P70" i="9"/>
  <c r="G70"/>
  <c r="O71"/>
  <c r="D1971" i="23"/>
  <c r="P71" i="9"/>
  <c r="G71"/>
  <c r="O72"/>
  <c r="D2011" i="23"/>
  <c r="P72" i="9"/>
  <c r="G72"/>
  <c r="O73"/>
  <c r="D2040" i="23"/>
  <c r="P73" i="9"/>
  <c r="G73"/>
  <c r="O74"/>
  <c r="D2074" i="23"/>
  <c r="P74" i="9"/>
  <c r="G74"/>
  <c r="O75"/>
  <c r="D2101" i="23"/>
  <c r="P75" i="9"/>
  <c r="G75"/>
  <c r="O76"/>
  <c r="D2130" i="23"/>
  <c r="P76" i="9"/>
  <c r="G76"/>
  <c r="O77"/>
  <c r="D2157" i="23"/>
  <c r="P77" i="9"/>
  <c r="G77"/>
  <c r="O78"/>
  <c r="D2184" i="23"/>
  <c r="P78" i="9"/>
  <c r="G78"/>
  <c r="O79"/>
  <c r="D2216" i="23"/>
  <c r="P79" i="9"/>
  <c r="G79"/>
  <c r="F2227" i="23"/>
  <c r="D2227"/>
  <c r="O80" i="9"/>
  <c r="D2244" i="23"/>
  <c r="P80" i="9"/>
  <c r="G80"/>
  <c r="F2255" i="23"/>
  <c r="D2255"/>
  <c r="O81" i="9"/>
  <c r="D2272" i="23"/>
  <c r="P81" i="9"/>
  <c r="G81"/>
  <c r="F2283" i="23"/>
  <c r="D2283"/>
  <c r="O82" i="9"/>
  <c r="D2301" i="23"/>
  <c r="P82" i="9"/>
  <c r="G82"/>
  <c r="G83"/>
  <c r="F5"/>
  <c r="F6"/>
  <c r="F7"/>
  <c r="F8"/>
  <c r="F9"/>
  <c r="F10"/>
  <c r="F11"/>
  <c r="F12"/>
  <c r="F13"/>
  <c r="F14"/>
  <c r="F15"/>
  <c r="F16"/>
  <c r="F17"/>
  <c r="F18"/>
  <c r="F19"/>
  <c r="F20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G278" i="15"/>
  <c r="G13"/>
  <c r="G12"/>
  <c r="G213"/>
  <c r="G11"/>
  <c r="G192"/>
  <c r="G10"/>
  <c r="G178"/>
  <c r="G9"/>
  <c r="G112"/>
  <c r="G8"/>
  <c r="G90"/>
  <c r="G7"/>
  <c r="G35"/>
  <c r="G6"/>
  <c r="D131" i="11"/>
  <c r="D142"/>
  <c r="H111"/>
  <c r="H113"/>
  <c r="I35" i="15"/>
  <c r="I6"/>
  <c r="I90"/>
  <c r="I7"/>
  <c r="I112"/>
  <c r="I8"/>
  <c r="I178"/>
  <c r="I9"/>
  <c r="I192"/>
  <c r="I10"/>
  <c r="I213"/>
  <c r="I11"/>
  <c r="I231"/>
  <c r="I12"/>
  <c r="I278"/>
  <c r="I13"/>
  <c r="I14"/>
  <c r="J14"/>
  <c r="K14"/>
  <c r="D18"/>
  <c r="D20"/>
  <c r="D21"/>
  <c r="K21"/>
  <c r="L21"/>
  <c r="E289"/>
  <c r="F289"/>
  <c r="F286"/>
  <c r="E285"/>
  <c r="F285"/>
  <c r="E274"/>
  <c r="F274"/>
  <c r="E273"/>
  <c r="F273"/>
  <c r="E272"/>
  <c r="F272"/>
  <c r="E271"/>
  <c r="F271"/>
  <c r="E270"/>
  <c r="F270"/>
  <c r="E269"/>
  <c r="F269"/>
  <c r="E267"/>
  <c r="F267"/>
  <c r="E263"/>
  <c r="F263"/>
  <c r="E262"/>
  <c r="F262"/>
  <c r="E259"/>
  <c r="F259"/>
  <c r="E258"/>
  <c r="F258"/>
  <c r="E255"/>
  <c r="F255"/>
  <c r="E252"/>
  <c r="F252"/>
  <c r="E251"/>
  <c r="F251"/>
  <c r="E250"/>
  <c r="F250"/>
  <c r="E248"/>
  <c r="F248"/>
  <c r="E247"/>
  <c r="F247"/>
  <c r="E246"/>
  <c r="F246"/>
  <c r="E245"/>
  <c r="F245"/>
  <c r="E244"/>
  <c r="F244"/>
  <c r="E240"/>
  <c r="F240"/>
  <c r="E239"/>
  <c r="F239"/>
  <c r="E207"/>
  <c r="F207"/>
  <c r="E186"/>
  <c r="F186"/>
  <c r="E177"/>
  <c r="F177"/>
  <c r="E172"/>
  <c r="F172"/>
  <c r="E168"/>
  <c r="F168"/>
  <c r="E163"/>
  <c r="F163"/>
  <c r="E161"/>
  <c r="F161"/>
  <c r="E154"/>
  <c r="F154"/>
  <c r="E148"/>
  <c r="F148"/>
  <c r="E147"/>
  <c r="F147"/>
  <c r="E146"/>
  <c r="F146"/>
  <c r="E143"/>
  <c r="F143"/>
  <c r="E142"/>
  <c r="F142"/>
  <c r="E135"/>
  <c r="F135"/>
  <c r="E133"/>
  <c r="F133"/>
  <c r="E128"/>
  <c r="F128"/>
  <c r="E121"/>
  <c r="F121"/>
  <c r="E111"/>
  <c r="F111"/>
  <c r="E109"/>
  <c r="F109"/>
  <c r="E108"/>
  <c r="F108"/>
  <c r="E106"/>
  <c r="F106"/>
  <c r="E104"/>
  <c r="F104"/>
  <c r="E103"/>
  <c r="F103"/>
  <c r="E101"/>
  <c r="F101"/>
  <c r="E100"/>
  <c r="F100"/>
  <c r="E99"/>
  <c r="F99"/>
  <c r="E98"/>
  <c r="F98"/>
  <c r="E97"/>
  <c r="F97"/>
  <c r="E89"/>
  <c r="F89"/>
  <c r="E88"/>
  <c r="F88"/>
  <c r="E87"/>
  <c r="F87"/>
  <c r="E86"/>
  <c r="F86"/>
  <c r="E85"/>
  <c r="F85"/>
  <c r="E84"/>
  <c r="F84"/>
  <c r="E83"/>
  <c r="F83"/>
  <c r="E82"/>
  <c r="F82"/>
  <c r="E79"/>
  <c r="F79"/>
  <c r="E76"/>
  <c r="F76"/>
  <c r="E73"/>
  <c r="F73"/>
  <c r="E72"/>
  <c r="F72"/>
  <c r="E70"/>
  <c r="F70"/>
  <c r="E68"/>
  <c r="F68"/>
  <c r="E67"/>
  <c r="F67"/>
  <c r="E65"/>
  <c r="F65"/>
  <c r="E64"/>
  <c r="F64"/>
  <c r="E60"/>
  <c r="F60"/>
  <c r="E58"/>
  <c r="F58"/>
  <c r="E57"/>
  <c r="F57"/>
  <c r="E56"/>
  <c r="F56"/>
  <c r="E55"/>
  <c r="F55"/>
  <c r="E54"/>
  <c r="F54"/>
  <c r="E53"/>
  <c r="F53"/>
  <c r="E52"/>
  <c r="F52"/>
  <c r="E49"/>
  <c r="F49"/>
  <c r="E48"/>
  <c r="F48"/>
  <c r="E47"/>
  <c r="F47"/>
  <c r="E46"/>
  <c r="F46"/>
  <c r="E45"/>
  <c r="F45"/>
  <c r="E44"/>
  <c r="F44"/>
  <c r="E43"/>
  <c r="F43"/>
  <c r="E42"/>
  <c r="F42"/>
  <c r="E41"/>
  <c r="F41"/>
  <c r="E34"/>
  <c r="F34"/>
  <c r="E32"/>
  <c r="F32"/>
  <c r="E31"/>
  <c r="F31"/>
  <c r="E30"/>
  <c r="F30"/>
  <c r="E29"/>
  <c r="F29"/>
  <c r="E28"/>
  <c r="F28"/>
  <c r="I16"/>
  <c r="I18"/>
  <c r="I19"/>
  <c r="I20"/>
  <c r="I21"/>
  <c r="I290"/>
  <c r="K24"/>
  <c r="F268"/>
  <c r="F278"/>
  <c r="E268"/>
  <c r="E278"/>
  <c r="H278"/>
  <c r="F16"/>
  <c r="H5" i="8"/>
  <c r="F7" i="2"/>
  <c r="F8"/>
  <c r="H9" i="8"/>
  <c r="F35" i="15"/>
  <c r="F6"/>
  <c r="F90"/>
  <c r="F7"/>
  <c r="F112"/>
  <c r="F8"/>
  <c r="F178"/>
  <c r="F9"/>
  <c r="F192"/>
  <c r="F10"/>
  <c r="F213"/>
  <c r="F11"/>
  <c r="F231"/>
  <c r="F12"/>
  <c r="F13"/>
  <c r="F14"/>
  <c r="H11" i="8"/>
  <c r="H12"/>
  <c r="G13"/>
  <c r="H13"/>
  <c r="G15"/>
  <c r="H15"/>
  <c r="H17"/>
  <c r="G19"/>
  <c r="H19"/>
  <c r="G21"/>
  <c r="H21"/>
  <c r="G25"/>
  <c r="H25"/>
  <c r="G26"/>
  <c r="H26"/>
  <c r="H27"/>
  <c r="H28"/>
  <c r="E19"/>
  <c r="D5"/>
  <c r="D7"/>
  <c r="D11"/>
  <c r="D12"/>
  <c r="D27"/>
  <c r="D3"/>
  <c r="C3"/>
  <c r="E3"/>
  <c r="E5"/>
  <c r="E11"/>
  <c r="E12"/>
  <c r="P4" i="27"/>
  <c r="D5" i="12"/>
  <c r="P5" i="27"/>
  <c r="D6" i="12"/>
  <c r="P6" i="27"/>
  <c r="D7" i="12"/>
  <c r="P7" i="27"/>
  <c r="D8" i="12"/>
  <c r="P9" i="27"/>
  <c r="D9" i="12"/>
  <c r="P8" i="27"/>
  <c r="D10" i="12"/>
  <c r="P10" i="27"/>
  <c r="D11" i="12"/>
  <c r="P11" i="27"/>
  <c r="D12" i="12"/>
  <c r="P12" i="27"/>
  <c r="D14" i="12"/>
  <c r="P13" i="27"/>
  <c r="D15" i="12"/>
  <c r="P14" i="27"/>
  <c r="D16" i="12"/>
  <c r="P15" i="27"/>
  <c r="D17" i="12"/>
  <c r="P16" i="27"/>
  <c r="D18" i="12"/>
  <c r="P17" i="27"/>
  <c r="D20" i="12"/>
  <c r="P18" i="27"/>
  <c r="D22" i="12"/>
  <c r="P19" i="27"/>
  <c r="D23" i="12"/>
  <c r="P20" i="27"/>
  <c r="D24" i="12"/>
  <c r="P21" i="27"/>
  <c r="D25" i="12"/>
  <c r="P22" i="27"/>
  <c r="D26" i="12"/>
  <c r="P23" i="27"/>
  <c r="D27" i="12"/>
  <c r="P24" i="27"/>
  <c r="D28" i="12"/>
  <c r="P26" i="27"/>
  <c r="D30" i="12"/>
  <c r="P28" i="27"/>
  <c r="D32" i="12"/>
  <c r="P29" i="27"/>
  <c r="D33" i="12"/>
  <c r="P30" i="27"/>
  <c r="D34" i="12"/>
  <c r="P31" i="27"/>
  <c r="D35" i="12"/>
  <c r="P32" i="27"/>
  <c r="D36" i="12"/>
  <c r="P33" i="27"/>
  <c r="D37" i="12"/>
  <c r="P34" i="27"/>
  <c r="D38" i="12"/>
  <c r="P35" i="27"/>
  <c r="D39" i="12"/>
  <c r="P36" i="27"/>
  <c r="D40" i="12"/>
  <c r="P37" i="27"/>
  <c r="D42" i="12"/>
  <c r="P39" i="27"/>
  <c r="D43" i="12"/>
  <c r="P40" i="27"/>
  <c r="D44" i="12"/>
  <c r="P41" i="27"/>
  <c r="D45" i="12"/>
  <c r="P42" i="27"/>
  <c r="D46" i="12"/>
  <c r="P43" i="27"/>
  <c r="D47" i="12"/>
  <c r="P44" i="27"/>
  <c r="D48" i="12"/>
  <c r="P45" i="27"/>
  <c r="D49" i="12"/>
  <c r="P46" i="27"/>
  <c r="D50" i="12"/>
  <c r="P47" i="27"/>
  <c r="D51" i="12"/>
  <c r="P48" i="27"/>
  <c r="D52" i="12"/>
  <c r="P50" i="27"/>
  <c r="D54" i="12"/>
  <c r="P51" i="27"/>
  <c r="D55" i="12"/>
  <c r="P52" i="27"/>
  <c r="D56" i="12"/>
  <c r="P53" i="27"/>
  <c r="D57" i="12"/>
  <c r="P54" i="27"/>
  <c r="D58" i="12"/>
  <c r="P55" i="27"/>
  <c r="D59" i="12"/>
  <c r="P56" i="27"/>
  <c r="D60" i="12"/>
  <c r="P57" i="27"/>
  <c r="D61" i="12"/>
  <c r="P58" i="27"/>
  <c r="D62" i="12"/>
  <c r="P59" i="27"/>
  <c r="D63" i="12"/>
  <c r="P60" i="27"/>
  <c r="D64" i="12"/>
  <c r="P61" i="27"/>
  <c r="D65" i="12"/>
  <c r="P62" i="27"/>
  <c r="D66" i="12"/>
  <c r="P63" i="27"/>
  <c r="D67" i="12"/>
  <c r="P64" i="27"/>
  <c r="D68" i="12"/>
  <c r="P65" i="27"/>
  <c r="D69" i="12"/>
  <c r="P66" i="27"/>
  <c r="D70" i="12"/>
  <c r="P67" i="27"/>
  <c r="D71" i="12"/>
  <c r="P68" i="27"/>
  <c r="D72" i="12"/>
  <c r="D73"/>
  <c r="D78"/>
  <c r="D33" i="8"/>
  <c r="D35"/>
  <c r="I161" i="11"/>
  <c r="I162"/>
  <c r="I171"/>
  <c r="F5" i="12"/>
  <c r="I314" i="11"/>
  <c r="I318"/>
  <c r="I321"/>
  <c r="F6" i="12"/>
  <c r="I405" i="11"/>
  <c r="I419"/>
  <c r="I426"/>
  <c r="I427"/>
  <c r="F7" i="12"/>
  <c r="I722" i="11"/>
  <c r="F10" i="12"/>
  <c r="I859" i="11"/>
  <c r="F11" i="12"/>
  <c r="I1075" i="11"/>
  <c r="F14" i="12"/>
  <c r="I1313" i="11"/>
  <c r="F16" i="12"/>
  <c r="I1393" i="11"/>
  <c r="I1403"/>
  <c r="I1406"/>
  <c r="I1409"/>
  <c r="I1410"/>
  <c r="F17" i="12"/>
  <c r="I1497" i="11"/>
  <c r="I1498"/>
  <c r="F18" i="12"/>
  <c r="I1639" i="11"/>
  <c r="F20" i="12"/>
  <c r="I1856" i="11"/>
  <c r="I1857"/>
  <c r="I1860"/>
  <c r="I1861"/>
  <c r="I1863"/>
  <c r="F22" i="12"/>
  <c r="I2250" i="11"/>
  <c r="F25" i="12"/>
  <c r="F26"/>
  <c r="I2481" i="11"/>
  <c r="I2491"/>
  <c r="I2500"/>
  <c r="F28" i="12"/>
  <c r="I2870" i="11"/>
  <c r="I2879"/>
  <c r="I2881"/>
  <c r="I2883"/>
  <c r="I2885"/>
  <c r="F32" i="12"/>
  <c r="I3151" i="11"/>
  <c r="F34" i="12"/>
  <c r="I3282" i="11"/>
  <c r="F35" i="12"/>
  <c r="I3550" i="11"/>
  <c r="I3553"/>
  <c r="I3554"/>
  <c r="I3559"/>
  <c r="I3562"/>
  <c r="I3565"/>
  <c r="I3567"/>
  <c r="I3581"/>
  <c r="F37" i="12"/>
  <c r="I5083" i="11"/>
  <c r="F46" i="12"/>
  <c r="I5222" i="11"/>
  <c r="I5228"/>
  <c r="F47" i="12"/>
  <c r="I5621" i="11"/>
  <c r="F49" i="12"/>
  <c r="I5726" i="11"/>
  <c r="F50" i="12"/>
  <c r="I6376" i="11"/>
  <c r="F54" i="12"/>
  <c r="G6589" i="11"/>
  <c r="F55" i="12"/>
  <c r="I6702" i="11"/>
  <c r="F56" i="12"/>
  <c r="I7120" i="11"/>
  <c r="I7121"/>
  <c r="F59" i="12"/>
  <c r="I7208" i="11"/>
  <c r="F60" i="12"/>
  <c r="I7344" i="11"/>
  <c r="F61" i="12"/>
  <c r="H7467" i="11"/>
  <c r="F62" i="12"/>
  <c r="I7561" i="11"/>
  <c r="F63" i="12"/>
  <c r="I8339" i="11"/>
  <c r="F70" i="12"/>
  <c r="I8412" i="11"/>
  <c r="F71" i="12"/>
  <c r="I8480" i="11"/>
  <c r="F72" i="12"/>
  <c r="F73"/>
  <c r="D160" i="28"/>
  <c r="E160"/>
  <c r="F160"/>
  <c r="G160"/>
  <c r="H160"/>
  <c r="I160"/>
  <c r="J160"/>
  <c r="K160"/>
  <c r="L160"/>
  <c r="M160"/>
  <c r="N160"/>
  <c r="O160"/>
  <c r="P160"/>
  <c r="F77" i="12"/>
  <c r="D39" i="8"/>
  <c r="F75" i="12"/>
  <c r="D41" i="8"/>
  <c r="D42"/>
  <c r="C73" i="12"/>
  <c r="C78"/>
  <c r="E42" i="8"/>
  <c r="E41"/>
  <c r="E39"/>
  <c r="E37"/>
  <c r="E35"/>
  <c r="E33"/>
  <c r="D29"/>
  <c r="D31"/>
  <c r="D32"/>
  <c r="C29"/>
  <c r="C31"/>
  <c r="C32"/>
  <c r="E32"/>
  <c r="E31"/>
  <c r="E29"/>
  <c r="D28"/>
  <c r="E28"/>
  <c r="E27"/>
  <c r="C160" i="28"/>
  <c r="P2"/>
  <c r="F78" i="12"/>
  <c r="C156" i="2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6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P25"/>
  <c r="P27"/>
  <c r="P38"/>
  <c r="P49"/>
  <c r="P69"/>
  <c r="P70"/>
  <c r="P71"/>
  <c r="P72"/>
  <c r="P73"/>
  <c r="P74"/>
  <c r="P75"/>
  <c r="P76"/>
  <c r="P77"/>
  <c r="P154"/>
  <c r="D154"/>
  <c r="E154"/>
  <c r="F154"/>
  <c r="G154"/>
  <c r="H154"/>
  <c r="I154"/>
  <c r="J154"/>
  <c r="K154"/>
  <c r="L154"/>
  <c r="M154"/>
  <c r="N154"/>
  <c r="O154"/>
  <c r="C161"/>
  <c r="P161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C154"/>
  <c r="I1389" i="23"/>
  <c r="H2313"/>
  <c r="I7707" i="11"/>
  <c r="I4512"/>
  <c r="I4519"/>
  <c r="I4532"/>
  <c r="I4527"/>
  <c r="I1549"/>
  <c r="I1968" i="23"/>
  <c r="I8223" i="11"/>
  <c r="I4863"/>
  <c r="I4864"/>
  <c r="I3938"/>
  <c r="I3931"/>
  <c r="I3937"/>
  <c r="I3933"/>
  <c r="I3934"/>
  <c r="G202" i="10"/>
  <c r="I1967" i="23"/>
  <c r="I930"/>
  <c r="I5399" i="11"/>
  <c r="I3922"/>
  <c r="I3940"/>
  <c r="I3927"/>
  <c r="J1547"/>
  <c r="K6"/>
  <c r="I4536"/>
  <c r="I6570"/>
  <c r="L6"/>
  <c r="I3743"/>
  <c r="J140"/>
  <c r="I3936"/>
  <c r="I3942"/>
  <c r="I1547"/>
  <c r="I3929"/>
  <c r="I2215" i="23"/>
  <c r="I494"/>
  <c r="I2244"/>
  <c r="H7" i="29"/>
  <c r="F7"/>
  <c r="J7"/>
  <c r="H8"/>
  <c r="J8"/>
  <c r="H9"/>
  <c r="F9"/>
  <c r="J9"/>
  <c r="H10"/>
  <c r="F10"/>
  <c r="J10"/>
  <c r="H11"/>
  <c r="F11"/>
  <c r="J11"/>
  <c r="H12"/>
  <c r="F12"/>
  <c r="J12"/>
  <c r="H13"/>
  <c r="F13"/>
  <c r="J13"/>
  <c r="H14"/>
  <c r="F14"/>
  <c r="J14"/>
  <c r="H15"/>
  <c r="F15"/>
  <c r="J15"/>
  <c r="H16"/>
  <c r="J16"/>
  <c r="H17"/>
  <c r="F17"/>
  <c r="J17"/>
  <c r="H18"/>
  <c r="F18"/>
  <c r="J18"/>
  <c r="H19"/>
  <c r="F19"/>
  <c r="J19"/>
  <c r="H20"/>
  <c r="F20"/>
  <c r="J20"/>
  <c r="H21"/>
  <c r="F21"/>
  <c r="J21"/>
  <c r="H22"/>
  <c r="F22"/>
  <c r="J22"/>
  <c r="H23"/>
  <c r="F23"/>
  <c r="J23"/>
  <c r="H24"/>
  <c r="F24"/>
  <c r="J24"/>
  <c r="H25"/>
  <c r="F25"/>
  <c r="J25"/>
  <c r="H26"/>
  <c r="F26"/>
  <c r="J26"/>
  <c r="H27"/>
  <c r="F27"/>
  <c r="J27"/>
  <c r="H28"/>
  <c r="F28"/>
  <c r="J28"/>
  <c r="H29"/>
  <c r="F29"/>
  <c r="J29"/>
  <c r="H30"/>
  <c r="F30"/>
  <c r="J30"/>
  <c r="H31"/>
  <c r="F31"/>
  <c r="J31"/>
  <c r="H32"/>
  <c r="F32"/>
  <c r="J32"/>
  <c r="H33"/>
  <c r="F33"/>
  <c r="J33"/>
  <c r="J34"/>
  <c r="H35"/>
  <c r="F35"/>
  <c r="J35"/>
  <c r="H36"/>
  <c r="F36"/>
  <c r="J36"/>
  <c r="H37"/>
  <c r="F37"/>
  <c r="J37"/>
  <c r="H38"/>
  <c r="F38"/>
  <c r="J38"/>
  <c r="H39"/>
  <c r="F39"/>
  <c r="J39"/>
  <c r="H40"/>
  <c r="F40"/>
  <c r="J40"/>
  <c r="H41"/>
  <c r="F41"/>
  <c r="J41"/>
  <c r="H42"/>
  <c r="F42"/>
  <c r="J42"/>
  <c r="H43"/>
  <c r="F43"/>
  <c r="J43"/>
  <c r="H44"/>
  <c r="F44"/>
  <c r="J44"/>
  <c r="H45"/>
  <c r="F45"/>
  <c r="J45"/>
  <c r="H46"/>
  <c r="F46"/>
  <c r="J46"/>
  <c r="H47"/>
  <c r="F47"/>
  <c r="J47"/>
  <c r="H48"/>
  <c r="F48"/>
  <c r="J48"/>
  <c r="H49"/>
  <c r="F49"/>
  <c r="J49"/>
  <c r="H50"/>
  <c r="F50"/>
  <c r="J50"/>
  <c r="H51"/>
  <c r="F51"/>
  <c r="J51"/>
  <c r="H52"/>
  <c r="F52"/>
  <c r="J52"/>
  <c r="H53"/>
  <c r="F53"/>
  <c r="J53"/>
  <c r="H54"/>
  <c r="F54"/>
  <c r="J54"/>
  <c r="H55"/>
  <c r="F55"/>
  <c r="J55"/>
  <c r="H56"/>
  <c r="F56"/>
  <c r="J56"/>
  <c r="H57"/>
  <c r="F57"/>
  <c r="J57"/>
  <c r="H58"/>
  <c r="F58"/>
  <c r="J58"/>
  <c r="H59"/>
  <c r="F59"/>
  <c r="J59"/>
  <c r="H60"/>
  <c r="F60"/>
  <c r="J60"/>
  <c r="H61"/>
  <c r="F61"/>
  <c r="J61"/>
  <c r="H62"/>
  <c r="F62"/>
  <c r="J62"/>
  <c r="H63"/>
  <c r="F63"/>
  <c r="J63"/>
  <c r="H64"/>
  <c r="F64"/>
  <c r="J64"/>
  <c r="H65"/>
  <c r="F65"/>
  <c r="J65"/>
  <c r="H66"/>
  <c r="F66"/>
  <c r="J66"/>
  <c r="H67"/>
  <c r="F67"/>
  <c r="J67"/>
  <c r="H68"/>
  <c r="F68"/>
  <c r="J68"/>
  <c r="H69"/>
  <c r="F69"/>
  <c r="J69"/>
  <c r="H70"/>
  <c r="F70"/>
  <c r="J70"/>
  <c r="H71"/>
  <c r="F71"/>
  <c r="J71"/>
  <c r="H72"/>
  <c r="F72"/>
  <c r="J72"/>
  <c r="H73"/>
  <c r="F73"/>
  <c r="J73"/>
  <c r="H74"/>
  <c r="F74"/>
  <c r="J74"/>
  <c r="H75"/>
  <c r="F75"/>
  <c r="J75"/>
  <c r="J76"/>
  <c r="H77"/>
  <c r="J77"/>
  <c r="H78"/>
  <c r="J78"/>
  <c r="H79"/>
  <c r="J79"/>
  <c r="H80"/>
  <c r="F80"/>
  <c r="J80"/>
  <c r="J81"/>
  <c r="H76"/>
  <c r="H81"/>
  <c r="G19"/>
  <c r="G76"/>
  <c r="G81"/>
  <c r="F76"/>
  <c r="F81"/>
  <c r="D77"/>
  <c r="E77"/>
  <c r="D78"/>
  <c r="E78"/>
  <c r="E79"/>
  <c r="E8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81"/>
  <c r="D76"/>
  <c r="D81"/>
  <c r="C76"/>
  <c r="C81"/>
  <c r="G80"/>
  <c r="I7"/>
  <c r="I8"/>
  <c r="I9"/>
  <c r="I10"/>
  <c r="I13"/>
  <c r="I14"/>
  <c r="I17"/>
  <c r="I19"/>
  <c r="I20"/>
  <c r="I21"/>
  <c r="I23"/>
  <c r="I25"/>
  <c r="I28"/>
  <c r="I29"/>
  <c r="I31"/>
  <c r="I35"/>
  <c r="I37"/>
  <c r="I38"/>
  <c r="I40"/>
  <c r="I49"/>
  <c r="I50"/>
  <c r="I52"/>
  <c r="I53"/>
  <c r="I57"/>
  <c r="I58"/>
  <c r="I59"/>
  <c r="I62"/>
  <c r="I63"/>
  <c r="I64"/>
  <c r="I65"/>
  <c r="I66"/>
  <c r="I73"/>
  <c r="I74"/>
  <c r="I75"/>
  <c r="I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5"/>
  <c r="G54"/>
  <c r="G53"/>
  <c r="G52"/>
  <c r="G51"/>
  <c r="G50"/>
  <c r="G49"/>
  <c r="G48"/>
  <c r="G47"/>
  <c r="G46"/>
  <c r="G45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3"/>
  <c r="G21"/>
  <c r="G20"/>
  <c r="H290" i="15"/>
  <c r="G290"/>
  <c r="E288"/>
  <c r="F288"/>
  <c r="F290"/>
  <c r="E290"/>
  <c r="D290"/>
  <c r="H231"/>
  <c r="E231"/>
  <c r="H213"/>
  <c r="E213"/>
  <c r="H192"/>
  <c r="E192"/>
  <c r="H178"/>
  <c r="E178"/>
  <c r="H112"/>
  <c r="E112"/>
  <c r="H90"/>
  <c r="E90"/>
  <c r="H35"/>
  <c r="E35"/>
  <c r="H19"/>
  <c r="H20"/>
  <c r="H21"/>
  <c r="G16"/>
  <c r="G20"/>
  <c r="G14"/>
  <c r="G21"/>
  <c r="F18"/>
  <c r="F20"/>
  <c r="F21"/>
  <c r="E16"/>
  <c r="E18"/>
  <c r="E20"/>
  <c r="E6"/>
  <c r="E7"/>
  <c r="E8"/>
  <c r="E9"/>
  <c r="E10"/>
  <c r="E11"/>
  <c r="E12"/>
  <c r="E13"/>
  <c r="E14"/>
  <c r="E21"/>
  <c r="J6"/>
  <c r="J7"/>
  <c r="J8"/>
  <c r="J9"/>
  <c r="J10"/>
  <c r="J11"/>
  <c r="J12"/>
  <c r="J13"/>
  <c r="A7"/>
  <c r="A8"/>
  <c r="A9"/>
  <c r="A10"/>
  <c r="A11"/>
  <c r="A12"/>
  <c r="A13"/>
  <c r="J72" i="1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A3307" i="11"/>
  <c r="A3308"/>
  <c r="A3309"/>
  <c r="A3310"/>
  <c r="A3311"/>
  <c r="A3313"/>
  <c r="A3314"/>
  <c r="A3315"/>
  <c r="A3316"/>
  <c r="A3317"/>
  <c r="A3318"/>
  <c r="A3319"/>
  <c r="A3321"/>
  <c r="A2707"/>
  <c r="A2709"/>
  <c r="A2710"/>
  <c r="A2711"/>
  <c r="A2713"/>
  <c r="A2714"/>
  <c r="A2715"/>
  <c r="A2716"/>
  <c r="A2717"/>
  <c r="A2719"/>
  <c r="A2720"/>
  <c r="A2721"/>
  <c r="A2724"/>
  <c r="A2725"/>
  <c r="A2041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2"/>
  <c r="A643"/>
  <c r="A644"/>
  <c r="A645"/>
  <c r="A646"/>
  <c r="A647"/>
  <c r="A648"/>
  <c r="A649"/>
  <c r="A650"/>
  <c r="A651"/>
  <c r="A652"/>
  <c r="A653"/>
  <c r="A656"/>
  <c r="A657"/>
  <c r="A658"/>
  <c r="A659"/>
  <c r="A660"/>
  <c r="A661"/>
  <c r="A662"/>
  <c r="A663"/>
  <c r="K2216" i="23"/>
  <c r="K2215"/>
  <c r="F3" i="8"/>
  <c r="A1840" i="11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I42" i="23"/>
  <c r="I74"/>
  <c r="I113"/>
  <c r="I141"/>
  <c r="I168"/>
  <c r="I202"/>
  <c r="I237"/>
  <c r="I270"/>
  <c r="I298"/>
  <c r="I328"/>
  <c r="I355"/>
  <c r="I385"/>
  <c r="I413"/>
  <c r="I446"/>
  <c r="I479"/>
  <c r="I507"/>
  <c r="I535"/>
  <c r="I562"/>
  <c r="I590"/>
  <c r="I619"/>
  <c r="I646"/>
  <c r="I675"/>
  <c r="I704"/>
  <c r="I733"/>
  <c r="I762"/>
  <c r="I800"/>
  <c r="I828"/>
  <c r="I860"/>
  <c r="I887"/>
  <c r="I914"/>
  <c r="I948"/>
  <c r="I975"/>
  <c r="I1002"/>
  <c r="I1032"/>
  <c r="I1066"/>
  <c r="I1095"/>
  <c r="I1123"/>
  <c r="I1181"/>
  <c r="I1209"/>
  <c r="I1238"/>
  <c r="I1270"/>
  <c r="I1297"/>
  <c r="I1324"/>
  <c r="I1352"/>
  <c r="I1379"/>
  <c r="I1410"/>
  <c r="I1439"/>
  <c r="I1465"/>
  <c r="I1502"/>
  <c r="I1530"/>
  <c r="I1558"/>
  <c r="I1588"/>
  <c r="I1615"/>
  <c r="I1642"/>
  <c r="I1669"/>
  <c r="I1698"/>
  <c r="I1755"/>
  <c r="I1784"/>
  <c r="I1814"/>
  <c r="I1841"/>
  <c r="I1869"/>
  <c r="I1898"/>
  <c r="I1925"/>
  <c r="I1952"/>
  <c r="I1982"/>
  <c r="I2022"/>
  <c r="I2051"/>
  <c r="I2085"/>
  <c r="I2112"/>
  <c r="I2140"/>
  <c r="I2168"/>
  <c r="I2195"/>
  <c r="H142" i="11"/>
  <c r="G142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42"/>
  <c r="E142"/>
  <c r="E31" i="2"/>
  <c r="H1199" i="23"/>
  <c r="G1197"/>
  <c r="G1199"/>
  <c r="F1199"/>
  <c r="E1199"/>
  <c r="D1199"/>
  <c r="I1150"/>
  <c r="N156" i="28"/>
  <c r="M156"/>
  <c r="L156"/>
  <c r="K156"/>
  <c r="J156"/>
  <c r="I156"/>
  <c r="H156"/>
  <c r="G156"/>
  <c r="F156"/>
  <c r="E156"/>
  <c r="D156"/>
  <c r="C156"/>
  <c r="I2272" i="23"/>
  <c r="I2274"/>
  <c r="H2272"/>
  <c r="H2274"/>
  <c r="G2272"/>
  <c r="G2274"/>
  <c r="C81" i="12"/>
  <c r="H2301" i="23"/>
  <c r="U82" i="9"/>
  <c r="T82"/>
  <c r="U81"/>
  <c r="T81"/>
  <c r="K2157" i="23"/>
  <c r="K2130"/>
  <c r="K2101"/>
  <c r="K2074"/>
  <c r="K2040"/>
  <c r="K2011"/>
  <c r="K1971"/>
  <c r="K1941"/>
  <c r="K1914"/>
  <c r="K1887"/>
  <c r="K1858"/>
  <c r="K1830"/>
  <c r="K1803"/>
  <c r="K1717"/>
  <c r="K1687"/>
  <c r="K1658"/>
  <c r="K1631"/>
  <c r="K1577"/>
  <c r="K1547"/>
  <c r="K1518"/>
  <c r="K1491"/>
  <c r="K1455"/>
  <c r="K1399"/>
  <c r="K1339"/>
  <c r="K1286"/>
  <c r="K1259"/>
  <c r="K1169"/>
  <c r="K1139"/>
  <c r="K1112"/>
  <c r="K1084"/>
  <c r="K1021"/>
  <c r="K964"/>
  <c r="K903"/>
  <c r="K876"/>
  <c r="K849"/>
  <c r="K790"/>
  <c r="K693"/>
  <c r="K664"/>
  <c r="K635"/>
  <c r="K579"/>
  <c r="K552"/>
  <c r="K468"/>
  <c r="K435"/>
  <c r="K402"/>
  <c r="K344"/>
  <c r="K317"/>
  <c r="K287"/>
  <c r="K259"/>
  <c r="K226"/>
  <c r="K190"/>
  <c r="K157"/>
  <c r="K130"/>
  <c r="K103"/>
  <c r="F1885"/>
  <c r="F1308"/>
  <c r="F1306"/>
  <c r="F1305"/>
  <c r="I1561" i="11"/>
  <c r="H1561"/>
  <c r="G1539"/>
  <c r="G1554"/>
  <c r="G1561"/>
  <c r="F1559"/>
  <c r="F1555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6"/>
  <c r="F1557"/>
  <c r="F1558"/>
  <c r="F1560"/>
  <c r="F1561"/>
  <c r="E1561"/>
  <c r="D1561"/>
  <c r="D289" i="24"/>
  <c r="E289"/>
  <c r="F289"/>
  <c r="G289"/>
  <c r="H289"/>
  <c r="I289"/>
  <c r="J289"/>
  <c r="K289"/>
  <c r="L289"/>
  <c r="M289"/>
  <c r="N289"/>
  <c r="O289"/>
  <c r="P289"/>
  <c r="D272"/>
  <c r="E272"/>
  <c r="F272"/>
  <c r="G272"/>
  <c r="H272"/>
  <c r="I272"/>
  <c r="J272"/>
  <c r="K272"/>
  <c r="L272"/>
  <c r="M272"/>
  <c r="N272"/>
  <c r="O272"/>
  <c r="P272"/>
  <c r="D255"/>
  <c r="E255"/>
  <c r="F255"/>
  <c r="G255"/>
  <c r="H255"/>
  <c r="I255"/>
  <c r="J255"/>
  <c r="K255"/>
  <c r="L255"/>
  <c r="M255"/>
  <c r="N255"/>
  <c r="O255"/>
  <c r="P255"/>
  <c r="C235"/>
  <c r="D235"/>
  <c r="E235"/>
  <c r="F235"/>
  <c r="G235"/>
  <c r="H235"/>
  <c r="I235"/>
  <c r="J235"/>
  <c r="K235"/>
  <c r="L235"/>
  <c r="L252"/>
  <c r="K252"/>
  <c r="J252"/>
  <c r="I252"/>
  <c r="H252"/>
  <c r="G252"/>
  <c r="F252"/>
  <c r="E252"/>
  <c r="D252"/>
  <c r="C252"/>
  <c r="B252"/>
  <c r="C234"/>
  <c r="D234"/>
  <c r="E234"/>
  <c r="F234"/>
  <c r="G234"/>
  <c r="H234"/>
  <c r="I234"/>
  <c r="J234"/>
  <c r="K234"/>
  <c r="L234"/>
  <c r="L251"/>
  <c r="K251"/>
  <c r="J251"/>
  <c r="I251"/>
  <c r="H251"/>
  <c r="G251"/>
  <c r="F251"/>
  <c r="E251"/>
  <c r="D251"/>
  <c r="C251"/>
  <c r="B251"/>
  <c r="C233"/>
  <c r="D233"/>
  <c r="E233"/>
  <c r="F233"/>
  <c r="G233"/>
  <c r="H233"/>
  <c r="I233"/>
  <c r="J233"/>
  <c r="K233"/>
  <c r="L233"/>
  <c r="L250"/>
  <c r="K250"/>
  <c r="J250"/>
  <c r="I250"/>
  <c r="H250"/>
  <c r="G250"/>
  <c r="F250"/>
  <c r="E250"/>
  <c r="D250"/>
  <c r="C250"/>
  <c r="B250"/>
  <c r="C232"/>
  <c r="D232"/>
  <c r="E232"/>
  <c r="F232"/>
  <c r="G232"/>
  <c r="H232"/>
  <c r="I232"/>
  <c r="J232"/>
  <c r="K232"/>
  <c r="L232"/>
  <c r="L249"/>
  <c r="K249"/>
  <c r="J249"/>
  <c r="I249"/>
  <c r="H249"/>
  <c r="G249"/>
  <c r="F249"/>
  <c r="E249"/>
  <c r="D249"/>
  <c r="C249"/>
  <c r="B249"/>
  <c r="C231"/>
  <c r="D231"/>
  <c r="E231"/>
  <c r="F231"/>
  <c r="G231"/>
  <c r="H231"/>
  <c r="I231"/>
  <c r="J231"/>
  <c r="K231"/>
  <c r="L231"/>
  <c r="L248"/>
  <c r="K248"/>
  <c r="J248"/>
  <c r="I248"/>
  <c r="H248"/>
  <c r="G248"/>
  <c r="F248"/>
  <c r="E248"/>
  <c r="D248"/>
  <c r="C248"/>
  <c r="B248"/>
  <c r="C230"/>
  <c r="D230"/>
  <c r="E230"/>
  <c r="F230"/>
  <c r="G230"/>
  <c r="H230"/>
  <c r="I230"/>
  <c r="J230"/>
  <c r="K230"/>
  <c r="L230"/>
  <c r="M230"/>
  <c r="N230"/>
  <c r="O230"/>
  <c r="P230"/>
  <c r="P247"/>
  <c r="O247"/>
  <c r="N247"/>
  <c r="M247"/>
  <c r="L247"/>
  <c r="K247"/>
  <c r="J247"/>
  <c r="I247"/>
  <c r="H247"/>
  <c r="G247"/>
  <c r="F247"/>
  <c r="E247"/>
  <c r="D247"/>
  <c r="C247"/>
  <c r="B247"/>
  <c r="C229"/>
  <c r="D229"/>
  <c r="E229"/>
  <c r="F229"/>
  <c r="G229"/>
  <c r="H229"/>
  <c r="I229"/>
  <c r="J229"/>
  <c r="K229"/>
  <c r="L229"/>
  <c r="M229"/>
  <c r="N229"/>
  <c r="O229"/>
  <c r="P229"/>
  <c r="P246"/>
  <c r="O246"/>
  <c r="N246"/>
  <c r="M246"/>
  <c r="L246"/>
  <c r="K246"/>
  <c r="J246"/>
  <c r="I246"/>
  <c r="H246"/>
  <c r="G246"/>
  <c r="F246"/>
  <c r="E246"/>
  <c r="D246"/>
  <c r="C246"/>
  <c r="B246"/>
  <c r="C228"/>
  <c r="D228"/>
  <c r="E228"/>
  <c r="F228"/>
  <c r="G228"/>
  <c r="H228"/>
  <c r="I228"/>
  <c r="J228"/>
  <c r="K228"/>
  <c r="L228"/>
  <c r="M228"/>
  <c r="N228"/>
  <c r="O228"/>
  <c r="P228"/>
  <c r="P245"/>
  <c r="O245"/>
  <c r="N245"/>
  <c r="M245"/>
  <c r="L245"/>
  <c r="K245"/>
  <c r="J245"/>
  <c r="I245"/>
  <c r="H245"/>
  <c r="G245"/>
  <c r="F245"/>
  <c r="E245"/>
  <c r="D245"/>
  <c r="C245"/>
  <c r="B245"/>
  <c r="C227"/>
  <c r="D227"/>
  <c r="E227"/>
  <c r="F227"/>
  <c r="G227"/>
  <c r="H227"/>
  <c r="I227"/>
  <c r="J227"/>
  <c r="K227"/>
  <c r="L227"/>
  <c r="M227"/>
  <c r="N227"/>
  <c r="O227"/>
  <c r="P227"/>
  <c r="P244"/>
  <c r="O244"/>
  <c r="N244"/>
  <c r="M244"/>
  <c r="L244"/>
  <c r="K244"/>
  <c r="J244"/>
  <c r="I244"/>
  <c r="H244"/>
  <c r="G244"/>
  <c r="F244"/>
  <c r="E244"/>
  <c r="D244"/>
  <c r="C244"/>
  <c r="B244"/>
  <c r="C226"/>
  <c r="D226"/>
  <c r="E226"/>
  <c r="F226"/>
  <c r="G226"/>
  <c r="H226"/>
  <c r="I226"/>
  <c r="J226"/>
  <c r="K226"/>
  <c r="L226"/>
  <c r="M226"/>
  <c r="N226"/>
  <c r="O226"/>
  <c r="P226"/>
  <c r="P243"/>
  <c r="O243"/>
  <c r="N243"/>
  <c r="M243"/>
  <c r="L243"/>
  <c r="K243"/>
  <c r="J243"/>
  <c r="I243"/>
  <c r="H243"/>
  <c r="G243"/>
  <c r="F243"/>
  <c r="E243"/>
  <c r="D243"/>
  <c r="C243"/>
  <c r="B243"/>
  <c r="C225"/>
  <c r="D225"/>
  <c r="E225"/>
  <c r="F225"/>
  <c r="G225"/>
  <c r="H225"/>
  <c r="I225"/>
  <c r="J225"/>
  <c r="K225"/>
  <c r="L225"/>
  <c r="M225"/>
  <c r="N225"/>
  <c r="O225"/>
  <c r="P225"/>
  <c r="P242"/>
  <c r="O242"/>
  <c r="N242"/>
  <c r="M242"/>
  <c r="L242"/>
  <c r="K242"/>
  <c r="J242"/>
  <c r="I242"/>
  <c r="H242"/>
  <c r="G242"/>
  <c r="F242"/>
  <c r="E242"/>
  <c r="D242"/>
  <c r="C242"/>
  <c r="B242"/>
  <c r="C224"/>
  <c r="D224"/>
  <c r="E224"/>
  <c r="F224"/>
  <c r="G224"/>
  <c r="H224"/>
  <c r="I224"/>
  <c r="J224"/>
  <c r="K224"/>
  <c r="L224"/>
  <c r="M224"/>
  <c r="N224"/>
  <c r="O224"/>
  <c r="P224"/>
  <c r="P241"/>
  <c r="O241"/>
  <c r="N241"/>
  <c r="M241"/>
  <c r="L241"/>
  <c r="K241"/>
  <c r="J241"/>
  <c r="I241"/>
  <c r="H241"/>
  <c r="G241"/>
  <c r="F241"/>
  <c r="E241"/>
  <c r="D241"/>
  <c r="C241"/>
  <c r="B241"/>
  <c r="C223"/>
  <c r="D223"/>
  <c r="E223"/>
  <c r="F223"/>
  <c r="G223"/>
  <c r="H223"/>
  <c r="I223"/>
  <c r="J223"/>
  <c r="K223"/>
  <c r="L223"/>
  <c r="M223"/>
  <c r="N223"/>
  <c r="O223"/>
  <c r="P223"/>
  <c r="P240"/>
  <c r="O240"/>
  <c r="N240"/>
  <c r="M240"/>
  <c r="L240"/>
  <c r="K240"/>
  <c r="J240"/>
  <c r="I240"/>
  <c r="H240"/>
  <c r="G240"/>
  <c r="F240"/>
  <c r="E240"/>
  <c r="D240"/>
  <c r="C240"/>
  <c r="B240"/>
  <c r="C222"/>
  <c r="D222"/>
  <c r="E222"/>
  <c r="F222"/>
  <c r="G222"/>
  <c r="H222"/>
  <c r="I222"/>
  <c r="J222"/>
  <c r="K222"/>
  <c r="L222"/>
  <c r="M222"/>
  <c r="N222"/>
  <c r="O222"/>
  <c r="P222"/>
  <c r="P239"/>
  <c r="O239"/>
  <c r="N239"/>
  <c r="M239"/>
  <c r="L239"/>
  <c r="K239"/>
  <c r="J239"/>
  <c r="I239"/>
  <c r="H239"/>
  <c r="G239"/>
  <c r="F239"/>
  <c r="E239"/>
  <c r="D239"/>
  <c r="C239"/>
  <c r="B239"/>
  <c r="D238"/>
  <c r="E238"/>
  <c r="F238"/>
  <c r="G238"/>
  <c r="H238"/>
  <c r="I238"/>
  <c r="J238"/>
  <c r="K238"/>
  <c r="L238"/>
  <c r="M238"/>
  <c r="N238"/>
  <c r="O238"/>
  <c r="P238"/>
  <c r="M235"/>
  <c r="M234"/>
  <c r="M233"/>
  <c r="M232"/>
  <c r="M231"/>
  <c r="N231"/>
  <c r="O231"/>
  <c r="P231"/>
  <c r="D221"/>
  <c r="E221"/>
  <c r="F221"/>
  <c r="G221"/>
  <c r="H221"/>
  <c r="I221"/>
  <c r="J221"/>
  <c r="K221"/>
  <c r="L221"/>
  <c r="M221"/>
  <c r="N221"/>
  <c r="O221"/>
  <c r="P221"/>
  <c r="C198"/>
  <c r="D198"/>
  <c r="E198"/>
  <c r="F198"/>
  <c r="G198"/>
  <c r="G217"/>
  <c r="F217"/>
  <c r="E217"/>
  <c r="D217"/>
  <c r="C217"/>
  <c r="B217"/>
  <c r="C197"/>
  <c r="D197"/>
  <c r="E197"/>
  <c r="F197"/>
  <c r="G197"/>
  <c r="G216"/>
  <c r="F216"/>
  <c r="E216"/>
  <c r="D216"/>
  <c r="C216"/>
  <c r="B216"/>
  <c r="C196"/>
  <c r="D196"/>
  <c r="E196"/>
  <c r="F196"/>
  <c r="G196"/>
  <c r="H196"/>
  <c r="I196"/>
  <c r="J196"/>
  <c r="J215"/>
  <c r="I215"/>
  <c r="H215"/>
  <c r="G215"/>
  <c r="F215"/>
  <c r="E215"/>
  <c r="D215"/>
  <c r="C215"/>
  <c r="B215"/>
  <c r="C195"/>
  <c r="D195"/>
  <c r="E195"/>
  <c r="F195"/>
  <c r="G195"/>
  <c r="H195"/>
  <c r="I195"/>
  <c r="J195"/>
  <c r="J214"/>
  <c r="I214"/>
  <c r="H214"/>
  <c r="G214"/>
  <c r="F214"/>
  <c r="E214"/>
  <c r="D214"/>
  <c r="C214"/>
  <c r="B214"/>
  <c r="C194"/>
  <c r="D194"/>
  <c r="E194"/>
  <c r="F194"/>
  <c r="G194"/>
  <c r="H194"/>
  <c r="I194"/>
  <c r="J194"/>
  <c r="J213"/>
  <c r="I213"/>
  <c r="H213"/>
  <c r="G213"/>
  <c r="F213"/>
  <c r="E213"/>
  <c r="D213"/>
  <c r="C213"/>
  <c r="B213"/>
  <c r="C193"/>
  <c r="D193"/>
  <c r="E193"/>
  <c r="F193"/>
  <c r="G193"/>
  <c r="H193"/>
  <c r="I193"/>
  <c r="J193"/>
  <c r="J212"/>
  <c r="I212"/>
  <c r="H212"/>
  <c r="G212"/>
  <c r="F212"/>
  <c r="E212"/>
  <c r="D212"/>
  <c r="C212"/>
  <c r="B212"/>
  <c r="C192"/>
  <c r="D192"/>
  <c r="E192"/>
  <c r="F192"/>
  <c r="G192"/>
  <c r="H192"/>
  <c r="I192"/>
  <c r="J192"/>
  <c r="K192"/>
  <c r="L192"/>
  <c r="M192"/>
  <c r="N192"/>
  <c r="O192"/>
  <c r="P192"/>
  <c r="P211"/>
  <c r="O211"/>
  <c r="N211"/>
  <c r="M211"/>
  <c r="L211"/>
  <c r="K211"/>
  <c r="J211"/>
  <c r="I211"/>
  <c r="H211"/>
  <c r="G211"/>
  <c r="F211"/>
  <c r="E211"/>
  <c r="D211"/>
  <c r="C211"/>
  <c r="B211"/>
  <c r="C191"/>
  <c r="D191"/>
  <c r="E191"/>
  <c r="F191"/>
  <c r="G191"/>
  <c r="H191"/>
  <c r="I191"/>
  <c r="J191"/>
  <c r="K191"/>
  <c r="L191"/>
  <c r="M191"/>
  <c r="N191"/>
  <c r="O191"/>
  <c r="P191"/>
  <c r="P210"/>
  <c r="O210"/>
  <c r="N210"/>
  <c r="M210"/>
  <c r="L210"/>
  <c r="K210"/>
  <c r="J210"/>
  <c r="I210"/>
  <c r="H210"/>
  <c r="G210"/>
  <c r="F210"/>
  <c r="E210"/>
  <c r="D210"/>
  <c r="C210"/>
  <c r="B210"/>
  <c r="C190"/>
  <c r="D190"/>
  <c r="E190"/>
  <c r="F190"/>
  <c r="G190"/>
  <c r="H190"/>
  <c r="I190"/>
  <c r="J190"/>
  <c r="K190"/>
  <c r="L190"/>
  <c r="M190"/>
  <c r="N190"/>
  <c r="O190"/>
  <c r="P190"/>
  <c r="P209"/>
  <c r="O209"/>
  <c r="N209"/>
  <c r="M209"/>
  <c r="L209"/>
  <c r="K209"/>
  <c r="J209"/>
  <c r="I209"/>
  <c r="H209"/>
  <c r="G209"/>
  <c r="F209"/>
  <c r="E209"/>
  <c r="D209"/>
  <c r="C209"/>
  <c r="B209"/>
  <c r="C189"/>
  <c r="D189"/>
  <c r="E189"/>
  <c r="F189"/>
  <c r="G189"/>
  <c r="H189"/>
  <c r="I189"/>
  <c r="J189"/>
  <c r="K189"/>
  <c r="L189"/>
  <c r="M189"/>
  <c r="N189"/>
  <c r="O189"/>
  <c r="P189"/>
  <c r="P208"/>
  <c r="O208"/>
  <c r="N208"/>
  <c r="M208"/>
  <c r="L208"/>
  <c r="K208"/>
  <c r="J208"/>
  <c r="I208"/>
  <c r="H208"/>
  <c r="G208"/>
  <c r="F208"/>
  <c r="E208"/>
  <c r="D208"/>
  <c r="C208"/>
  <c r="B208"/>
  <c r="C188"/>
  <c r="D188"/>
  <c r="E188"/>
  <c r="F188"/>
  <c r="G188"/>
  <c r="H188"/>
  <c r="I188"/>
  <c r="J188"/>
  <c r="K188"/>
  <c r="L188"/>
  <c r="M188"/>
  <c r="N188"/>
  <c r="O188"/>
  <c r="P188"/>
  <c r="P207"/>
  <c r="O207"/>
  <c r="N207"/>
  <c r="M207"/>
  <c r="L207"/>
  <c r="K207"/>
  <c r="J207"/>
  <c r="I207"/>
  <c r="H207"/>
  <c r="G207"/>
  <c r="F207"/>
  <c r="E207"/>
  <c r="D207"/>
  <c r="C207"/>
  <c r="B207"/>
  <c r="C187"/>
  <c r="D187"/>
  <c r="E187"/>
  <c r="F187"/>
  <c r="G187"/>
  <c r="H187"/>
  <c r="I187"/>
  <c r="J187"/>
  <c r="K187"/>
  <c r="L187"/>
  <c r="M187"/>
  <c r="N187"/>
  <c r="O187"/>
  <c r="P187"/>
  <c r="P206"/>
  <c r="O206"/>
  <c r="N206"/>
  <c r="M206"/>
  <c r="L206"/>
  <c r="K206"/>
  <c r="J206"/>
  <c r="I206"/>
  <c r="H206"/>
  <c r="G206"/>
  <c r="F206"/>
  <c r="E206"/>
  <c r="D206"/>
  <c r="C206"/>
  <c r="B206"/>
  <c r="C186"/>
  <c r="D186"/>
  <c r="E186"/>
  <c r="F186"/>
  <c r="G186"/>
  <c r="H186"/>
  <c r="I186"/>
  <c r="J186"/>
  <c r="K186"/>
  <c r="L186"/>
  <c r="M186"/>
  <c r="N186"/>
  <c r="O186"/>
  <c r="P186"/>
  <c r="P205"/>
  <c r="O205"/>
  <c r="N205"/>
  <c r="M205"/>
  <c r="L205"/>
  <c r="K205"/>
  <c r="J205"/>
  <c r="I205"/>
  <c r="H205"/>
  <c r="G205"/>
  <c r="F205"/>
  <c r="E205"/>
  <c r="D205"/>
  <c r="C205"/>
  <c r="B205"/>
  <c r="C185"/>
  <c r="D185"/>
  <c r="E185"/>
  <c r="F185"/>
  <c r="G185"/>
  <c r="H185"/>
  <c r="I185"/>
  <c r="J185"/>
  <c r="K185"/>
  <c r="L185"/>
  <c r="M185"/>
  <c r="N185"/>
  <c r="O185"/>
  <c r="P185"/>
  <c r="P204"/>
  <c r="O204"/>
  <c r="N204"/>
  <c r="M204"/>
  <c r="L204"/>
  <c r="K204"/>
  <c r="J204"/>
  <c r="I204"/>
  <c r="H204"/>
  <c r="G204"/>
  <c r="F204"/>
  <c r="E204"/>
  <c r="D204"/>
  <c r="C204"/>
  <c r="B204"/>
  <c r="C184"/>
  <c r="D184"/>
  <c r="E184"/>
  <c r="F184"/>
  <c r="G184"/>
  <c r="H184"/>
  <c r="I184"/>
  <c r="J184"/>
  <c r="K184"/>
  <c r="L184"/>
  <c r="M184"/>
  <c r="N184"/>
  <c r="O184"/>
  <c r="P184"/>
  <c r="P203"/>
  <c r="O203"/>
  <c r="N203"/>
  <c r="M203"/>
  <c r="L203"/>
  <c r="K203"/>
  <c r="J203"/>
  <c r="I203"/>
  <c r="H203"/>
  <c r="G203"/>
  <c r="F203"/>
  <c r="E203"/>
  <c r="D203"/>
  <c r="C203"/>
  <c r="B203"/>
  <c r="C183"/>
  <c r="D183"/>
  <c r="E183"/>
  <c r="F183"/>
  <c r="G183"/>
  <c r="H183"/>
  <c r="I183"/>
  <c r="J183"/>
  <c r="K183"/>
  <c r="L183"/>
  <c r="M183"/>
  <c r="N183"/>
  <c r="O183"/>
  <c r="P183"/>
  <c r="P202"/>
  <c r="O202"/>
  <c r="N202"/>
  <c r="M202"/>
  <c r="L202"/>
  <c r="K202"/>
  <c r="J202"/>
  <c r="I202"/>
  <c r="H202"/>
  <c r="G202"/>
  <c r="F202"/>
  <c r="E202"/>
  <c r="D202"/>
  <c r="C202"/>
  <c r="B202"/>
  <c r="D201"/>
  <c r="E201"/>
  <c r="F201"/>
  <c r="G201"/>
  <c r="H201"/>
  <c r="I201"/>
  <c r="J201"/>
  <c r="K201"/>
  <c r="L201"/>
  <c r="M201"/>
  <c r="N201"/>
  <c r="O201"/>
  <c r="P201"/>
  <c r="H198"/>
  <c r="I198"/>
  <c r="H197"/>
  <c r="I197"/>
  <c r="K196"/>
  <c r="L196"/>
  <c r="M196"/>
  <c r="K195"/>
  <c r="L195"/>
  <c r="M195"/>
  <c r="K194"/>
  <c r="L194"/>
  <c r="M194"/>
  <c r="K193"/>
  <c r="L193"/>
  <c r="M193"/>
  <c r="D182"/>
  <c r="E182"/>
  <c r="F182"/>
  <c r="G182"/>
  <c r="H182"/>
  <c r="I182"/>
  <c r="J182"/>
  <c r="K182"/>
  <c r="L182"/>
  <c r="M182"/>
  <c r="N182"/>
  <c r="O182"/>
  <c r="P182"/>
  <c r="C178"/>
  <c r="D178"/>
  <c r="E178"/>
  <c r="F178"/>
  <c r="G178"/>
  <c r="H178"/>
  <c r="I178"/>
  <c r="J178"/>
  <c r="C177"/>
  <c r="D177"/>
  <c r="E177"/>
  <c r="F177"/>
  <c r="G177"/>
  <c r="H177"/>
  <c r="I177"/>
  <c r="J177"/>
  <c r="C176"/>
  <c r="D176"/>
  <c r="E176"/>
  <c r="F176"/>
  <c r="G176"/>
  <c r="H176"/>
  <c r="I176"/>
  <c r="J176"/>
  <c r="K176"/>
  <c r="L176"/>
  <c r="M176"/>
  <c r="C175"/>
  <c r="D175"/>
  <c r="E175"/>
  <c r="F175"/>
  <c r="G175"/>
  <c r="H175"/>
  <c r="I175"/>
  <c r="J175"/>
  <c r="K175"/>
  <c r="L175"/>
  <c r="M175"/>
  <c r="C174"/>
  <c r="D174"/>
  <c r="E174"/>
  <c r="F174"/>
  <c r="G174"/>
  <c r="H174"/>
  <c r="I174"/>
  <c r="J174"/>
  <c r="K174"/>
  <c r="L174"/>
  <c r="M174"/>
  <c r="C173"/>
  <c r="D173"/>
  <c r="E173"/>
  <c r="F173"/>
  <c r="G173"/>
  <c r="H173"/>
  <c r="I173"/>
  <c r="J173"/>
  <c r="K173"/>
  <c r="L173"/>
  <c r="M173"/>
  <c r="C172"/>
  <c r="D172"/>
  <c r="E172"/>
  <c r="F172"/>
  <c r="G172"/>
  <c r="H172"/>
  <c r="I172"/>
  <c r="J172"/>
  <c r="K172"/>
  <c r="L172"/>
  <c r="M172"/>
  <c r="N172"/>
  <c r="O172"/>
  <c r="P172"/>
  <c r="C171"/>
  <c r="D171"/>
  <c r="E171"/>
  <c r="F171"/>
  <c r="G171"/>
  <c r="H171"/>
  <c r="I171"/>
  <c r="J171"/>
  <c r="K171"/>
  <c r="L171"/>
  <c r="M171"/>
  <c r="N171"/>
  <c r="O171"/>
  <c r="P171"/>
  <c r="C170"/>
  <c r="D170"/>
  <c r="E170"/>
  <c r="F170"/>
  <c r="G170"/>
  <c r="H170"/>
  <c r="I170"/>
  <c r="J170"/>
  <c r="K170"/>
  <c r="L170"/>
  <c r="M170"/>
  <c r="N170"/>
  <c r="O170"/>
  <c r="P170"/>
  <c r="C169"/>
  <c r="D169"/>
  <c r="E169"/>
  <c r="F169"/>
  <c r="G169"/>
  <c r="H169"/>
  <c r="I169"/>
  <c r="J169"/>
  <c r="K169"/>
  <c r="L169"/>
  <c r="M169"/>
  <c r="N169"/>
  <c r="O169"/>
  <c r="P169"/>
  <c r="C168"/>
  <c r="D168"/>
  <c r="E168"/>
  <c r="F168"/>
  <c r="G168"/>
  <c r="H168"/>
  <c r="I168"/>
  <c r="J168"/>
  <c r="K168"/>
  <c r="L168"/>
  <c r="M168"/>
  <c r="N168"/>
  <c r="O168"/>
  <c r="P168"/>
  <c r="C167"/>
  <c r="D167"/>
  <c r="E167"/>
  <c r="F167"/>
  <c r="G167"/>
  <c r="H167"/>
  <c r="I167"/>
  <c r="J167"/>
  <c r="K167"/>
  <c r="L167"/>
  <c r="M167"/>
  <c r="N167"/>
  <c r="O167"/>
  <c r="P167"/>
  <c r="C166"/>
  <c r="D166"/>
  <c r="E166"/>
  <c r="F166"/>
  <c r="G166"/>
  <c r="H166"/>
  <c r="I166"/>
  <c r="J166"/>
  <c r="K166"/>
  <c r="L166"/>
  <c r="M166"/>
  <c r="N166"/>
  <c r="O166"/>
  <c r="P166"/>
  <c r="C165"/>
  <c r="D165"/>
  <c r="E165"/>
  <c r="F165"/>
  <c r="G165"/>
  <c r="H165"/>
  <c r="I165"/>
  <c r="J165"/>
  <c r="K165"/>
  <c r="L165"/>
  <c r="M165"/>
  <c r="N165"/>
  <c r="O165"/>
  <c r="P165"/>
  <c r="C164"/>
  <c r="D164"/>
  <c r="E164"/>
  <c r="F164"/>
  <c r="G164"/>
  <c r="H164"/>
  <c r="I164"/>
  <c r="J164"/>
  <c r="K164"/>
  <c r="L164"/>
  <c r="M164"/>
  <c r="N164"/>
  <c r="O164"/>
  <c r="P164"/>
  <c r="C163"/>
  <c r="D163"/>
  <c r="E163"/>
  <c r="F163"/>
  <c r="G163"/>
  <c r="H163"/>
  <c r="I163"/>
  <c r="J163"/>
  <c r="K163"/>
  <c r="L163"/>
  <c r="M163"/>
  <c r="N163"/>
  <c r="O163"/>
  <c r="P163"/>
  <c r="D162"/>
  <c r="E162"/>
  <c r="F162"/>
  <c r="G162"/>
  <c r="H162"/>
  <c r="I162"/>
  <c r="J162"/>
  <c r="K162"/>
  <c r="L162"/>
  <c r="M162"/>
  <c r="N162"/>
  <c r="O162"/>
  <c r="P162"/>
  <c r="D142"/>
  <c r="E142"/>
  <c r="F142"/>
  <c r="G142"/>
  <c r="H142"/>
  <c r="I142"/>
  <c r="J142"/>
  <c r="K142"/>
  <c r="L142"/>
  <c r="M142"/>
  <c r="N142"/>
  <c r="O142"/>
  <c r="P142"/>
  <c r="C138"/>
  <c r="D138"/>
  <c r="E138"/>
  <c r="F138"/>
  <c r="G138"/>
  <c r="H138"/>
  <c r="I138"/>
  <c r="J138"/>
  <c r="C137"/>
  <c r="D137"/>
  <c r="E137"/>
  <c r="F137"/>
  <c r="G137"/>
  <c r="H137"/>
  <c r="I137"/>
  <c r="J137"/>
  <c r="C136"/>
  <c r="D136"/>
  <c r="E136"/>
  <c r="F136"/>
  <c r="G136"/>
  <c r="H136"/>
  <c r="I136"/>
  <c r="J136"/>
  <c r="K136"/>
  <c r="L136"/>
  <c r="M136"/>
  <c r="C135"/>
  <c r="D135"/>
  <c r="E135"/>
  <c r="F135"/>
  <c r="G135"/>
  <c r="H135"/>
  <c r="I135"/>
  <c r="J135"/>
  <c r="K135"/>
  <c r="L135"/>
  <c r="M135"/>
  <c r="C134"/>
  <c r="D134"/>
  <c r="E134"/>
  <c r="F134"/>
  <c r="G134"/>
  <c r="H134"/>
  <c r="I134"/>
  <c r="J134"/>
  <c r="K134"/>
  <c r="L134"/>
  <c r="M134"/>
  <c r="C133"/>
  <c r="D133"/>
  <c r="E133"/>
  <c r="F133"/>
  <c r="G133"/>
  <c r="H133"/>
  <c r="I133"/>
  <c r="J133"/>
  <c r="K133"/>
  <c r="L133"/>
  <c r="M133"/>
  <c r="C132"/>
  <c r="D132"/>
  <c r="E132"/>
  <c r="F132"/>
  <c r="G132"/>
  <c r="H132"/>
  <c r="I132"/>
  <c r="J132"/>
  <c r="K132"/>
  <c r="L132"/>
  <c r="M132"/>
  <c r="N132"/>
  <c r="O132"/>
  <c r="P132"/>
  <c r="C131"/>
  <c r="D131"/>
  <c r="E131"/>
  <c r="F131"/>
  <c r="G131"/>
  <c r="H131"/>
  <c r="I131"/>
  <c r="J131"/>
  <c r="K131"/>
  <c r="L131"/>
  <c r="M131"/>
  <c r="N131"/>
  <c r="O131"/>
  <c r="P131"/>
  <c r="C130"/>
  <c r="D130"/>
  <c r="E130"/>
  <c r="F130"/>
  <c r="G130"/>
  <c r="H130"/>
  <c r="I130"/>
  <c r="J130"/>
  <c r="K130"/>
  <c r="L130"/>
  <c r="M130"/>
  <c r="N130"/>
  <c r="O130"/>
  <c r="P130"/>
  <c r="C129"/>
  <c r="D129"/>
  <c r="E129"/>
  <c r="F129"/>
  <c r="G129"/>
  <c r="H129"/>
  <c r="I129"/>
  <c r="J129"/>
  <c r="K129"/>
  <c r="L129"/>
  <c r="M129"/>
  <c r="N129"/>
  <c r="O129"/>
  <c r="P129"/>
  <c r="C128"/>
  <c r="D128"/>
  <c r="E128"/>
  <c r="F128"/>
  <c r="G128"/>
  <c r="H128"/>
  <c r="I128"/>
  <c r="J128"/>
  <c r="K128"/>
  <c r="L128"/>
  <c r="M128"/>
  <c r="N128"/>
  <c r="O128"/>
  <c r="P128"/>
  <c r="C127"/>
  <c r="D127"/>
  <c r="E127"/>
  <c r="F127"/>
  <c r="G127"/>
  <c r="H127"/>
  <c r="I127"/>
  <c r="J127"/>
  <c r="K127"/>
  <c r="L127"/>
  <c r="M127"/>
  <c r="N127"/>
  <c r="O127"/>
  <c r="P127"/>
  <c r="C126"/>
  <c r="D126"/>
  <c r="E126"/>
  <c r="F126"/>
  <c r="G126"/>
  <c r="H126"/>
  <c r="I126"/>
  <c r="J126"/>
  <c r="K126"/>
  <c r="L126"/>
  <c r="M126"/>
  <c r="N126"/>
  <c r="O126"/>
  <c r="P126"/>
  <c r="C125"/>
  <c r="D125"/>
  <c r="E125"/>
  <c r="F125"/>
  <c r="G125"/>
  <c r="H125"/>
  <c r="I125"/>
  <c r="J125"/>
  <c r="K125"/>
  <c r="L125"/>
  <c r="M125"/>
  <c r="N125"/>
  <c r="O125"/>
  <c r="P125"/>
  <c r="C124"/>
  <c r="D124"/>
  <c r="E124"/>
  <c r="F124"/>
  <c r="G124"/>
  <c r="H124"/>
  <c r="I124"/>
  <c r="J124"/>
  <c r="K124"/>
  <c r="L124"/>
  <c r="M124"/>
  <c r="N124"/>
  <c r="O124"/>
  <c r="P124"/>
  <c r="C123"/>
  <c r="D123"/>
  <c r="E123"/>
  <c r="F123"/>
  <c r="G123"/>
  <c r="H123"/>
  <c r="I123"/>
  <c r="J123"/>
  <c r="K123"/>
  <c r="L123"/>
  <c r="M123"/>
  <c r="N123"/>
  <c r="O123"/>
  <c r="P123"/>
  <c r="D122"/>
  <c r="E122"/>
  <c r="F122"/>
  <c r="G122"/>
  <c r="H122"/>
  <c r="I122"/>
  <c r="J122"/>
  <c r="K122"/>
  <c r="L122"/>
  <c r="M122"/>
  <c r="N122"/>
  <c r="O122"/>
  <c r="P122"/>
  <c r="C118"/>
  <c r="D118"/>
  <c r="E118"/>
  <c r="F118"/>
  <c r="G118"/>
  <c r="H118"/>
  <c r="I118"/>
  <c r="J118"/>
  <c r="K118"/>
  <c r="L118"/>
  <c r="M118"/>
  <c r="N118"/>
  <c r="O118"/>
  <c r="P118"/>
  <c r="C117"/>
  <c r="D117"/>
  <c r="E117"/>
  <c r="F117"/>
  <c r="G117"/>
  <c r="H117"/>
  <c r="I117"/>
  <c r="J117"/>
  <c r="K117"/>
  <c r="L117"/>
  <c r="M117"/>
  <c r="N117"/>
  <c r="O117"/>
  <c r="P117"/>
  <c r="C116"/>
  <c r="D116"/>
  <c r="E116"/>
  <c r="F116"/>
  <c r="G116"/>
  <c r="H116"/>
  <c r="I116"/>
  <c r="J116"/>
  <c r="K116"/>
  <c r="L116"/>
  <c r="M116"/>
  <c r="N116"/>
  <c r="O116"/>
  <c r="P116"/>
  <c r="C115"/>
  <c r="D115"/>
  <c r="E115"/>
  <c r="F115"/>
  <c r="G115"/>
  <c r="H115"/>
  <c r="I115"/>
  <c r="J115"/>
  <c r="K115"/>
  <c r="L115"/>
  <c r="M115"/>
  <c r="N115"/>
  <c r="O115"/>
  <c r="P115"/>
  <c r="C114"/>
  <c r="D114"/>
  <c r="E114"/>
  <c r="F114"/>
  <c r="G114"/>
  <c r="H114"/>
  <c r="I114"/>
  <c r="J114"/>
  <c r="K114"/>
  <c r="L114"/>
  <c r="M114"/>
  <c r="N114"/>
  <c r="O114"/>
  <c r="P114"/>
  <c r="C113"/>
  <c r="D113"/>
  <c r="E113"/>
  <c r="F113"/>
  <c r="G113"/>
  <c r="H113"/>
  <c r="I113"/>
  <c r="J113"/>
  <c r="K113"/>
  <c r="L113"/>
  <c r="M113"/>
  <c r="N113"/>
  <c r="O113"/>
  <c r="P113"/>
  <c r="C112"/>
  <c r="D112"/>
  <c r="E112"/>
  <c r="F112"/>
  <c r="G112"/>
  <c r="H112"/>
  <c r="I112"/>
  <c r="J112"/>
  <c r="K112"/>
  <c r="L112"/>
  <c r="M112"/>
  <c r="N112"/>
  <c r="O112"/>
  <c r="P112"/>
  <c r="C111"/>
  <c r="D111"/>
  <c r="E111"/>
  <c r="F111"/>
  <c r="G111"/>
  <c r="H111"/>
  <c r="I111"/>
  <c r="J111"/>
  <c r="K111"/>
  <c r="L111"/>
  <c r="M111"/>
  <c r="N111"/>
  <c r="O111"/>
  <c r="P111"/>
  <c r="C110"/>
  <c r="D110"/>
  <c r="E110"/>
  <c r="F110"/>
  <c r="G110"/>
  <c r="H110"/>
  <c r="I110"/>
  <c r="J110"/>
  <c r="K110"/>
  <c r="L110"/>
  <c r="M110"/>
  <c r="N110"/>
  <c r="O110"/>
  <c r="P110"/>
  <c r="C109"/>
  <c r="D109"/>
  <c r="E109"/>
  <c r="F109"/>
  <c r="G109"/>
  <c r="H109"/>
  <c r="I109"/>
  <c r="J109"/>
  <c r="K109"/>
  <c r="L109"/>
  <c r="M109"/>
  <c r="N109"/>
  <c r="O109"/>
  <c r="P109"/>
  <c r="C108"/>
  <c r="D108"/>
  <c r="E108"/>
  <c r="F108"/>
  <c r="G108"/>
  <c r="H108"/>
  <c r="I108"/>
  <c r="J108"/>
  <c r="K108"/>
  <c r="L108"/>
  <c r="M108"/>
  <c r="N108"/>
  <c r="O108"/>
  <c r="P108"/>
  <c r="C107"/>
  <c r="D107"/>
  <c r="E107"/>
  <c r="F107"/>
  <c r="G107"/>
  <c r="H107"/>
  <c r="I107"/>
  <c r="J107"/>
  <c r="K107"/>
  <c r="L107"/>
  <c r="M107"/>
  <c r="N107"/>
  <c r="O107"/>
  <c r="P107"/>
  <c r="C106"/>
  <c r="D106"/>
  <c r="E106"/>
  <c r="F106"/>
  <c r="G106"/>
  <c r="H106"/>
  <c r="I106"/>
  <c r="J106"/>
  <c r="K106"/>
  <c r="L106"/>
  <c r="M106"/>
  <c r="N106"/>
  <c r="O106"/>
  <c r="P106"/>
  <c r="C105"/>
  <c r="D105"/>
  <c r="E105"/>
  <c r="F105"/>
  <c r="G105"/>
  <c r="H105"/>
  <c r="I105"/>
  <c r="J105"/>
  <c r="K105"/>
  <c r="L105"/>
  <c r="M105"/>
  <c r="N105"/>
  <c r="O105"/>
  <c r="P105"/>
  <c r="C104"/>
  <c r="D104"/>
  <c r="E104"/>
  <c r="F104"/>
  <c r="G104"/>
  <c r="H104"/>
  <c r="I104"/>
  <c r="J104"/>
  <c r="K104"/>
  <c r="L104"/>
  <c r="M104"/>
  <c r="N104"/>
  <c r="O104"/>
  <c r="P104"/>
  <c r="C103"/>
  <c r="D103"/>
  <c r="E103"/>
  <c r="F103"/>
  <c r="G103"/>
  <c r="H103"/>
  <c r="I103"/>
  <c r="J103"/>
  <c r="K103"/>
  <c r="L103"/>
  <c r="M103"/>
  <c r="N103"/>
  <c r="O103"/>
  <c r="P103"/>
  <c r="D102"/>
  <c r="E102"/>
  <c r="F102"/>
  <c r="G102"/>
  <c r="H102"/>
  <c r="I102"/>
  <c r="J102"/>
  <c r="K102"/>
  <c r="L102"/>
  <c r="M102"/>
  <c r="N102"/>
  <c r="O102"/>
  <c r="P102"/>
  <c r="P38"/>
  <c r="O38"/>
  <c r="N38"/>
  <c r="M38"/>
  <c r="L38"/>
  <c r="K38"/>
  <c r="J38"/>
  <c r="I38"/>
  <c r="H38"/>
  <c r="G38"/>
  <c r="F38"/>
  <c r="E38"/>
  <c r="D38"/>
  <c r="C38"/>
  <c r="B38"/>
  <c r="P37"/>
  <c r="O37"/>
  <c r="N37"/>
  <c r="M37"/>
  <c r="L37"/>
  <c r="K37"/>
  <c r="J37"/>
  <c r="I37"/>
  <c r="H37"/>
  <c r="G37"/>
  <c r="F37"/>
  <c r="E37"/>
  <c r="D37"/>
  <c r="C37"/>
  <c r="B37"/>
  <c r="P36"/>
  <c r="O36"/>
  <c r="N36"/>
  <c r="M36"/>
  <c r="L36"/>
  <c r="K36"/>
  <c r="J36"/>
  <c r="I36"/>
  <c r="H36"/>
  <c r="G36"/>
  <c r="F36"/>
  <c r="E36"/>
  <c r="D36"/>
  <c r="C36"/>
  <c r="B36"/>
  <c r="P35"/>
  <c r="O35"/>
  <c r="N35"/>
  <c r="M35"/>
  <c r="L35"/>
  <c r="K35"/>
  <c r="J35"/>
  <c r="I35"/>
  <c r="H35"/>
  <c r="G35"/>
  <c r="F35"/>
  <c r="E35"/>
  <c r="D35"/>
  <c r="C35"/>
  <c r="B35"/>
  <c r="P34"/>
  <c r="O34"/>
  <c r="N34"/>
  <c r="M34"/>
  <c r="L34"/>
  <c r="K34"/>
  <c r="J34"/>
  <c r="I34"/>
  <c r="H34"/>
  <c r="G34"/>
  <c r="F34"/>
  <c r="E34"/>
  <c r="D34"/>
  <c r="C34"/>
  <c r="B34"/>
  <c r="P33"/>
  <c r="O33"/>
  <c r="N33"/>
  <c r="M33"/>
  <c r="L33"/>
  <c r="K33"/>
  <c r="J33"/>
  <c r="I33"/>
  <c r="H33"/>
  <c r="G33"/>
  <c r="F33"/>
  <c r="E33"/>
  <c r="D33"/>
  <c r="C33"/>
  <c r="B33"/>
  <c r="P32"/>
  <c r="O32"/>
  <c r="N32"/>
  <c r="M32"/>
  <c r="L32"/>
  <c r="K32"/>
  <c r="J32"/>
  <c r="I32"/>
  <c r="H32"/>
  <c r="G32"/>
  <c r="F32"/>
  <c r="E32"/>
  <c r="D32"/>
  <c r="C32"/>
  <c r="B32"/>
  <c r="P31"/>
  <c r="O31"/>
  <c r="N31"/>
  <c r="M31"/>
  <c r="L31"/>
  <c r="K31"/>
  <c r="J31"/>
  <c r="I31"/>
  <c r="H31"/>
  <c r="G31"/>
  <c r="F31"/>
  <c r="E31"/>
  <c r="D31"/>
  <c r="C31"/>
  <c r="B31"/>
  <c r="P30"/>
  <c r="O30"/>
  <c r="N30"/>
  <c r="M30"/>
  <c r="L30"/>
  <c r="K30"/>
  <c r="J30"/>
  <c r="I30"/>
  <c r="H30"/>
  <c r="G30"/>
  <c r="F30"/>
  <c r="E30"/>
  <c r="D30"/>
  <c r="C30"/>
  <c r="B30"/>
  <c r="P29"/>
  <c r="O29"/>
  <c r="N29"/>
  <c r="M29"/>
  <c r="L29"/>
  <c r="K29"/>
  <c r="J29"/>
  <c r="I29"/>
  <c r="H29"/>
  <c r="G29"/>
  <c r="F29"/>
  <c r="E29"/>
  <c r="D29"/>
  <c r="C29"/>
  <c r="B29"/>
  <c r="P28"/>
  <c r="O28"/>
  <c r="N28"/>
  <c r="M28"/>
  <c r="L28"/>
  <c r="K28"/>
  <c r="J28"/>
  <c r="I28"/>
  <c r="H28"/>
  <c r="G28"/>
  <c r="F28"/>
  <c r="E28"/>
  <c r="D28"/>
  <c r="C28"/>
  <c r="B28"/>
  <c r="P27"/>
  <c r="O27"/>
  <c r="N27"/>
  <c r="M27"/>
  <c r="L27"/>
  <c r="K27"/>
  <c r="J27"/>
  <c r="I27"/>
  <c r="H27"/>
  <c r="G27"/>
  <c r="F27"/>
  <c r="E27"/>
  <c r="D27"/>
  <c r="C27"/>
  <c r="B27"/>
  <c r="P26"/>
  <c r="O26"/>
  <c r="N26"/>
  <c r="M26"/>
  <c r="L26"/>
  <c r="K26"/>
  <c r="J26"/>
  <c r="I26"/>
  <c r="H26"/>
  <c r="G26"/>
  <c r="F26"/>
  <c r="E26"/>
  <c r="D26"/>
  <c r="C26"/>
  <c r="B26"/>
  <c r="P25"/>
  <c r="O25"/>
  <c r="N25"/>
  <c r="M25"/>
  <c r="L25"/>
  <c r="K25"/>
  <c r="J25"/>
  <c r="I25"/>
  <c r="H25"/>
  <c r="G25"/>
  <c r="F25"/>
  <c r="E25"/>
  <c r="D25"/>
  <c r="C25"/>
  <c r="B25"/>
  <c r="P24"/>
  <c r="O24"/>
  <c r="N24"/>
  <c r="M24"/>
  <c r="L24"/>
  <c r="K24"/>
  <c r="J24"/>
  <c r="I24"/>
  <c r="H24"/>
  <c r="G24"/>
  <c r="F24"/>
  <c r="E24"/>
  <c r="D24"/>
  <c r="C24"/>
  <c r="B24"/>
  <c r="P23"/>
  <c r="O23"/>
  <c r="N23"/>
  <c r="M23"/>
  <c r="L23"/>
  <c r="K23"/>
  <c r="J23"/>
  <c r="I23"/>
  <c r="H23"/>
  <c r="G23"/>
  <c r="F23"/>
  <c r="E23"/>
  <c r="D23"/>
  <c r="C23"/>
  <c r="B23"/>
  <c r="D5724" i="11"/>
  <c r="E5724"/>
  <c r="F5724"/>
  <c r="F5723"/>
  <c r="F5722"/>
  <c r="F5721"/>
  <c r="F5720"/>
  <c r="D5719"/>
  <c r="E5719"/>
  <c r="D5718"/>
  <c r="E5718"/>
  <c r="D5717"/>
  <c r="E5717"/>
  <c r="D5716"/>
  <c r="E5716"/>
  <c r="D5715"/>
  <c r="E5715"/>
  <c r="D5714"/>
  <c r="E5714"/>
  <c r="D5711"/>
  <c r="E5711"/>
  <c r="D5710"/>
  <c r="E5710"/>
  <c r="D5709"/>
  <c r="E5709"/>
  <c r="D5706"/>
  <c r="E5706"/>
  <c r="D5405"/>
  <c r="E5405"/>
  <c r="D5403"/>
  <c r="E5403"/>
  <c r="D5402"/>
  <c r="E5402"/>
  <c r="D5401"/>
  <c r="E5401"/>
  <c r="D5400"/>
  <c r="E5400"/>
  <c r="D5399"/>
  <c r="E5399"/>
  <c r="D5398"/>
  <c r="E5398"/>
  <c r="D5397"/>
  <c r="E5397"/>
  <c r="D5394"/>
  <c r="E5394"/>
  <c r="D5393"/>
  <c r="E5393"/>
  <c r="D5392"/>
  <c r="E5392"/>
  <c r="D5390"/>
  <c r="E5390"/>
  <c r="D5389"/>
  <c r="E5389"/>
  <c r="D5619"/>
  <c r="E5619"/>
  <c r="D5618"/>
  <c r="E5618"/>
  <c r="D5616"/>
  <c r="E5616"/>
  <c r="D5615"/>
  <c r="E5615"/>
  <c r="D5614"/>
  <c r="E5614"/>
  <c r="D5613"/>
  <c r="E5613"/>
  <c r="D5612"/>
  <c r="E5612"/>
  <c r="D5611"/>
  <c r="E5611"/>
  <c r="D5608"/>
  <c r="E5608"/>
  <c r="D5607"/>
  <c r="E5607"/>
  <c r="D5606"/>
  <c r="E5606"/>
  <c r="D5604"/>
  <c r="E5604"/>
  <c r="D5603"/>
  <c r="E5603"/>
  <c r="A5585"/>
  <c r="A5586"/>
  <c r="H5584"/>
  <c r="I5584"/>
  <c r="M5367"/>
  <c r="M5359"/>
  <c r="M5351"/>
  <c r="M5348"/>
  <c r="M5338"/>
  <c r="M5324"/>
  <c r="M5320"/>
  <c r="M5314"/>
  <c r="M5313"/>
  <c r="M5309"/>
  <c r="M5301"/>
  <c r="M5291"/>
  <c r="M5272"/>
  <c r="M5271"/>
  <c r="M5270"/>
  <c r="M5235"/>
  <c r="A5352"/>
  <c r="A5353"/>
  <c r="A5354"/>
  <c r="A5355"/>
  <c r="A5356"/>
  <c r="A5357"/>
  <c r="A5358"/>
  <c r="A5360"/>
  <c r="A5361"/>
  <c r="A5362"/>
  <c r="A5363"/>
  <c r="A5364"/>
  <c r="A5365"/>
  <c r="A5366"/>
  <c r="A5350"/>
  <c r="H5377"/>
  <c r="I5377"/>
  <c r="H5373"/>
  <c r="I5373"/>
  <c r="H7781"/>
  <c r="I7781"/>
  <c r="H7530"/>
  <c r="I7530"/>
  <c r="H7529"/>
  <c r="I7529"/>
  <c r="H6344"/>
  <c r="I6344"/>
  <c r="H6343"/>
  <c r="I6343"/>
  <c r="H6258"/>
  <c r="I6258"/>
  <c r="H6177"/>
  <c r="I6177"/>
  <c r="H6175"/>
  <c r="I6175"/>
  <c r="H6171"/>
  <c r="I6171"/>
  <c r="H6170"/>
  <c r="I6170"/>
  <c r="H6176"/>
  <c r="I6176"/>
  <c r="H6173"/>
  <c r="I6173"/>
  <c r="H6172"/>
  <c r="I6172"/>
  <c r="H5689"/>
  <c r="I5689"/>
  <c r="H5688"/>
  <c r="I5688"/>
  <c r="H5188"/>
  <c r="I5188"/>
  <c r="H5054"/>
  <c r="I5054"/>
  <c r="H4942"/>
  <c r="I4942"/>
  <c r="H4149"/>
  <c r="I4149"/>
  <c r="H3909"/>
  <c r="I3909"/>
  <c r="H2469"/>
  <c r="I2469"/>
  <c r="A2469"/>
  <c r="H1524"/>
  <c r="I1524"/>
  <c r="H1466"/>
  <c r="I1466"/>
  <c r="H1465"/>
  <c r="I1465"/>
  <c r="A1463"/>
  <c r="A1118"/>
  <c r="A1043"/>
  <c r="H935"/>
  <c r="I935"/>
  <c r="H934"/>
  <c r="I934"/>
  <c r="A934"/>
  <c r="A813"/>
  <c r="A577"/>
  <c r="A492"/>
  <c r="A386"/>
  <c r="H290"/>
  <c r="I290"/>
  <c r="A288"/>
  <c r="H106"/>
  <c r="I106"/>
  <c r="A104"/>
  <c r="M3579"/>
  <c r="F3579"/>
  <c r="J5584"/>
  <c r="J5373"/>
  <c r="F2182" i="23"/>
  <c r="F2181"/>
  <c r="F2180"/>
  <c r="F2179"/>
  <c r="F2178"/>
  <c r="F2177"/>
  <c r="F2176"/>
  <c r="F2175"/>
  <c r="F2174"/>
  <c r="F2173"/>
  <c r="F2172"/>
  <c r="F2171"/>
  <c r="F2170"/>
  <c r="I2184"/>
  <c r="H2186"/>
  <c r="G2184"/>
  <c r="G2186"/>
  <c r="E2186"/>
  <c r="D2186"/>
  <c r="I2157"/>
  <c r="H2159"/>
  <c r="G2157"/>
  <c r="F2157"/>
  <c r="F2159"/>
  <c r="G2159"/>
  <c r="E2159"/>
  <c r="D2159"/>
  <c r="F2073"/>
  <c r="F2072"/>
  <c r="F2071"/>
  <c r="F2070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1"/>
  <c r="A2062"/>
  <c r="A2063"/>
  <c r="A2064"/>
  <c r="A2065"/>
  <c r="A2066"/>
  <c r="A2067"/>
  <c r="A2068"/>
  <c r="A2069"/>
  <c r="A2070"/>
  <c r="A2071"/>
  <c r="A2072"/>
  <c r="A2073"/>
  <c r="G2040"/>
  <c r="A1476"/>
  <c r="A1477"/>
  <c r="A1478"/>
  <c r="A1479"/>
  <c r="A1480"/>
  <c r="A1481"/>
  <c r="A1482"/>
  <c r="A1483"/>
  <c r="A1484"/>
  <c r="A1485"/>
  <c r="A1486"/>
  <c r="A1487"/>
  <c r="A1488"/>
  <c r="A1489"/>
  <c r="F1489"/>
  <c r="H1229"/>
  <c r="M3944" i="11"/>
  <c r="F3944"/>
  <c r="H859"/>
  <c r="H321"/>
  <c r="H3044"/>
  <c r="F2184" i="23"/>
  <c r="F2186"/>
  <c r="F2074"/>
  <c r="H3753" i="11"/>
  <c r="A1747"/>
  <c r="F4870"/>
  <c r="F5081"/>
  <c r="D1746" i="23"/>
  <c r="E1746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A1653"/>
  <c r="A1654"/>
  <c r="A1655"/>
  <c r="A1656"/>
  <c r="I21" i="9"/>
  <c r="I82"/>
  <c r="I81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F2299" i="23"/>
  <c r="A2294"/>
  <c r="A2295"/>
  <c r="A2296"/>
  <c r="A2297"/>
  <c r="A2298"/>
  <c r="A2299"/>
  <c r="H2303"/>
  <c r="G2301"/>
  <c r="G2303"/>
  <c r="E2303"/>
  <c r="D2303"/>
  <c r="C2303"/>
  <c r="F2298"/>
  <c r="F2297"/>
  <c r="F2296"/>
  <c r="F2295"/>
  <c r="F2294"/>
  <c r="F2293"/>
  <c r="F2292"/>
  <c r="F2291"/>
  <c r="F2290"/>
  <c r="F2289"/>
  <c r="A2289"/>
  <c r="A2290"/>
  <c r="F2288"/>
  <c r="F2287"/>
  <c r="F2286"/>
  <c r="A2286"/>
  <c r="F2285"/>
  <c r="I2303"/>
  <c r="E2274"/>
  <c r="D2274"/>
  <c r="C2274"/>
  <c r="F2270"/>
  <c r="F2269"/>
  <c r="F2268"/>
  <c r="F2267"/>
  <c r="F2266"/>
  <c r="A2266"/>
  <c r="A2267"/>
  <c r="A2268"/>
  <c r="A2269"/>
  <c r="A2270"/>
  <c r="F2265"/>
  <c r="F2264"/>
  <c r="F2263"/>
  <c r="F2262"/>
  <c r="F2261"/>
  <c r="A2261"/>
  <c r="A2262"/>
  <c r="F2260"/>
  <c r="F2259"/>
  <c r="F2257"/>
  <c r="F2258"/>
  <c r="F2272"/>
  <c r="F2274"/>
  <c r="A2258"/>
  <c r="F2214"/>
  <c r="F2213"/>
  <c r="A2206"/>
  <c r="A2207"/>
  <c r="A2208"/>
  <c r="A2209"/>
  <c r="A2210"/>
  <c r="A2211"/>
  <c r="A2212"/>
  <c r="A2213"/>
  <c r="A2214"/>
  <c r="I2216"/>
  <c r="G2216"/>
  <c r="F2210"/>
  <c r="F2212"/>
  <c r="F2215"/>
  <c r="F2196"/>
  <c r="G876"/>
  <c r="I226"/>
  <c r="I228"/>
  <c r="F1744"/>
  <c r="F1746"/>
  <c r="F2301"/>
  <c r="F2303"/>
  <c r="F101"/>
  <c r="I1887"/>
  <c r="G1887"/>
  <c r="G8480" i="11"/>
  <c r="G8451"/>
  <c r="G8412"/>
  <c r="G8381"/>
  <c r="G8339"/>
  <c r="G8301"/>
  <c r="G8233"/>
  <c r="G8193"/>
  <c r="G8094"/>
  <c r="G8060"/>
  <c r="G8015"/>
  <c r="G7975"/>
  <c r="G7840"/>
  <c r="G7813"/>
  <c r="G7706"/>
  <c r="G7710"/>
  <c r="G7561"/>
  <c r="G7525"/>
  <c r="G7467"/>
  <c r="G7429"/>
  <c r="G7344"/>
  <c r="G7311"/>
  <c r="G7208"/>
  <c r="G7176"/>
  <c r="G7121"/>
  <c r="G7083"/>
  <c r="G6959"/>
  <c r="G6924"/>
  <c r="G6853"/>
  <c r="G6819"/>
  <c r="G6702"/>
  <c r="G6670"/>
  <c r="G6554"/>
  <c r="G6376"/>
  <c r="G6340"/>
  <c r="G6286"/>
  <c r="G6255"/>
  <c r="G6190"/>
  <c r="G6215"/>
  <c r="G6167"/>
  <c r="G5790"/>
  <c r="G5751"/>
  <c r="G5726"/>
  <c r="G5685"/>
  <c r="G5615"/>
  <c r="G5621"/>
  <c r="G5578"/>
  <c r="G5399"/>
  <c r="G5392"/>
  <c r="G5367"/>
  <c r="G5228"/>
  <c r="G5184"/>
  <c r="G5083"/>
  <c r="G5051"/>
  <c r="G4967"/>
  <c r="G4975"/>
  <c r="G4939"/>
  <c r="G4872"/>
  <c r="G4832"/>
  <c r="G4727"/>
  <c r="G4680"/>
  <c r="G4538"/>
  <c r="G4488"/>
  <c r="G4145"/>
  <c r="G4075"/>
  <c r="G4033"/>
  <c r="G3942"/>
  <c r="G3940"/>
  <c r="G3938"/>
  <c r="G3937"/>
  <c r="G3936"/>
  <c r="G3934"/>
  <c r="G3932"/>
  <c r="G3928"/>
  <c r="G3927"/>
  <c r="G3903"/>
  <c r="G3743"/>
  <c r="G3753"/>
  <c r="G3711"/>
  <c r="G3565"/>
  <c r="G3562"/>
  <c r="G3554"/>
  <c r="G3522"/>
  <c r="G3358"/>
  <c r="G3327"/>
  <c r="G3282"/>
  <c r="G3241"/>
  <c r="G3151"/>
  <c r="G3117"/>
  <c r="G3044"/>
  <c r="G3003"/>
  <c r="G2885"/>
  <c r="G2843"/>
  <c r="G2605"/>
  <c r="G2572"/>
  <c r="G2538"/>
  <c r="G2500"/>
  <c r="G2466"/>
  <c r="G2437"/>
  <c r="G2405"/>
  <c r="G2363"/>
  <c r="G2327"/>
  <c r="G2250"/>
  <c r="G2216"/>
  <c r="G2035"/>
  <c r="G2000"/>
  <c r="G1966"/>
  <c r="G1854"/>
  <c r="G1863"/>
  <c r="G1824"/>
  <c r="G1736"/>
  <c r="G1705"/>
  <c r="G1639"/>
  <c r="G1607"/>
  <c r="G1517"/>
  <c r="G1498"/>
  <c r="G1460"/>
  <c r="G1409"/>
  <c r="G1403"/>
  <c r="G1378"/>
  <c r="G1313"/>
  <c r="G1280"/>
  <c r="G1114"/>
  <c r="G1075"/>
  <c r="G1040"/>
  <c r="G1001"/>
  <c r="G930"/>
  <c r="G859"/>
  <c r="G809"/>
  <c r="G722"/>
  <c r="G690"/>
  <c r="G609"/>
  <c r="G573"/>
  <c r="G526"/>
  <c r="G488"/>
  <c r="G427"/>
  <c r="G382"/>
  <c r="G314"/>
  <c r="G321"/>
  <c r="G284"/>
  <c r="G171"/>
  <c r="G101"/>
  <c r="H2218" i="23"/>
  <c r="H2076"/>
  <c r="H2013"/>
  <c r="H1973"/>
  <c r="H1943"/>
  <c r="H1889"/>
  <c r="H1832"/>
  <c r="H1805"/>
  <c r="H1775"/>
  <c r="H1719"/>
  <c r="H1689"/>
  <c r="H1606"/>
  <c r="H1579"/>
  <c r="H1549"/>
  <c r="H1430"/>
  <c r="H1401"/>
  <c r="H1261"/>
  <c r="H1114"/>
  <c r="H1086"/>
  <c r="H1057"/>
  <c r="H1023"/>
  <c r="H993"/>
  <c r="H939"/>
  <c r="H878"/>
  <c r="H851"/>
  <c r="H819"/>
  <c r="H792"/>
  <c r="H724"/>
  <c r="H695"/>
  <c r="H666"/>
  <c r="H637"/>
  <c r="H610"/>
  <c r="H554"/>
  <c r="H526"/>
  <c r="H498"/>
  <c r="H470"/>
  <c r="H437"/>
  <c r="H404"/>
  <c r="H376"/>
  <c r="H346"/>
  <c r="H319"/>
  <c r="H289"/>
  <c r="H261"/>
  <c r="H228"/>
  <c r="H192"/>
  <c r="H105"/>
  <c r="I2218"/>
  <c r="I2076"/>
  <c r="I289"/>
  <c r="F976" i="11"/>
  <c r="F975"/>
  <c r="F974"/>
  <c r="F4073"/>
  <c r="I7" i="9"/>
  <c r="I10"/>
  <c r="I12"/>
  <c r="I13"/>
  <c r="I14"/>
  <c r="I18"/>
  <c r="I22"/>
  <c r="E1229" i="23"/>
  <c r="M7870" i="11"/>
  <c r="F973"/>
  <c r="F7343"/>
  <c r="I7710"/>
  <c r="I4975"/>
  <c r="I5406"/>
  <c r="I6286"/>
  <c r="I4872"/>
  <c r="I4727"/>
  <c r="I4538"/>
  <c r="I4075"/>
  <c r="I3753"/>
  <c r="I3358"/>
  <c r="I3044"/>
  <c r="I2363"/>
  <c r="I2000"/>
  <c r="H1736"/>
  <c r="I1001"/>
  <c r="I609"/>
  <c r="C9" i="2"/>
  <c r="I8233" i="11"/>
  <c r="H8233"/>
  <c r="I8015"/>
  <c r="I7467"/>
  <c r="H7208"/>
  <c r="E7121"/>
  <c r="I7088"/>
  <c r="I6959"/>
  <c r="E6702"/>
  <c r="I6675"/>
  <c r="I6589"/>
  <c r="M6223"/>
  <c r="J6223"/>
  <c r="I6215"/>
  <c r="E5406"/>
  <c r="I5379"/>
  <c r="E5228"/>
  <c r="I5192"/>
  <c r="E1498"/>
  <c r="I1471"/>
  <c r="E1150"/>
  <c r="I1123"/>
  <c r="F2242" i="23"/>
  <c r="F2241"/>
  <c r="F2240"/>
  <c r="F2239"/>
  <c r="F2238"/>
  <c r="F2237"/>
  <c r="F2236"/>
  <c r="F2235"/>
  <c r="F2234"/>
  <c r="F2233"/>
  <c r="F2232"/>
  <c r="F2231"/>
  <c r="F2230"/>
  <c r="F2229"/>
  <c r="G2244"/>
  <c r="A2238"/>
  <c r="A2239"/>
  <c r="A2240"/>
  <c r="A2241"/>
  <c r="A2242"/>
  <c r="A2233"/>
  <c r="A2234"/>
  <c r="A2230"/>
  <c r="I80" i="9"/>
  <c r="F1939" i="23"/>
  <c r="F1938"/>
  <c r="F1912"/>
  <c r="F1911"/>
  <c r="F1828"/>
  <c r="F1827"/>
  <c r="F1763"/>
  <c r="E1775"/>
  <c r="D1775"/>
  <c r="F1770"/>
  <c r="F1769"/>
  <c r="F1768"/>
  <c r="F1767"/>
  <c r="F1766"/>
  <c r="F1765"/>
  <c r="F1764"/>
  <c r="F1762"/>
  <c r="F1761"/>
  <c r="F1760"/>
  <c r="F1759"/>
  <c r="F1758"/>
  <c r="F1757"/>
  <c r="F1715"/>
  <c r="F1714"/>
  <c r="E1633"/>
  <c r="D1633"/>
  <c r="F1629"/>
  <c r="F1628"/>
  <c r="F1624"/>
  <c r="F1623"/>
  <c r="F1619"/>
  <c r="F1656"/>
  <c r="F1655"/>
  <c r="F1545"/>
  <c r="G1227"/>
  <c r="G1229"/>
  <c r="D1229"/>
  <c r="F1225"/>
  <c r="F1224"/>
  <c r="F1223"/>
  <c r="F1222"/>
  <c r="F1221"/>
  <c r="F1220"/>
  <c r="F1219"/>
  <c r="F1218"/>
  <c r="F1217"/>
  <c r="F1216"/>
  <c r="F1215"/>
  <c r="F1214"/>
  <c r="F1213"/>
  <c r="F1212"/>
  <c r="F1211"/>
  <c r="F522"/>
  <c r="D65"/>
  <c r="C23" i="2"/>
  <c r="D690" i="11"/>
  <c r="F690"/>
  <c r="D8451"/>
  <c r="F8451"/>
  <c r="D8381"/>
  <c r="F8381"/>
  <c r="D8301"/>
  <c r="F8301"/>
  <c r="D8060"/>
  <c r="F8060"/>
  <c r="D7840"/>
  <c r="F7840"/>
  <c r="D7525"/>
  <c r="F7525"/>
  <c r="D7429"/>
  <c r="F7429"/>
  <c r="D7311"/>
  <c r="F7311"/>
  <c r="D7176"/>
  <c r="F7176"/>
  <c r="D7083"/>
  <c r="F7083"/>
  <c r="F6924"/>
  <c r="F6819"/>
  <c r="D6554"/>
  <c r="F6554"/>
  <c r="D6255"/>
  <c r="F6255"/>
  <c r="D6167"/>
  <c r="F6167"/>
  <c r="D5751"/>
  <c r="F5751"/>
  <c r="D5685"/>
  <c r="F5685"/>
  <c r="D5184"/>
  <c r="F5184"/>
  <c r="D5051"/>
  <c r="F5051"/>
  <c r="D4939"/>
  <c r="F4939"/>
  <c r="D4832"/>
  <c r="F4832"/>
  <c r="D4145"/>
  <c r="F4145"/>
  <c r="D3903"/>
  <c r="F3903"/>
  <c r="D3522"/>
  <c r="F3522"/>
  <c r="D3327"/>
  <c r="F3327"/>
  <c r="D3241"/>
  <c r="F3241"/>
  <c r="D3117"/>
  <c r="F3117"/>
  <c r="D3003"/>
  <c r="F3003"/>
  <c r="D2538"/>
  <c r="F2538"/>
  <c r="F2466"/>
  <c r="D2405"/>
  <c r="F2405"/>
  <c r="D2327"/>
  <c r="F2327"/>
  <c r="D2216"/>
  <c r="F2216"/>
  <c r="D2035"/>
  <c r="F2035"/>
  <c r="D1966"/>
  <c r="F1966"/>
  <c r="D1824"/>
  <c r="F1824"/>
  <c r="D1607"/>
  <c r="F1607"/>
  <c r="D1517"/>
  <c r="F1517"/>
  <c r="D1114"/>
  <c r="F1114"/>
  <c r="D7975"/>
  <c r="F7975"/>
  <c r="E2132" i="23"/>
  <c r="D2132"/>
  <c r="F2121"/>
  <c r="F2120"/>
  <c r="F2116"/>
  <c r="F2115"/>
  <c r="I2130"/>
  <c r="E2103"/>
  <c r="D2103"/>
  <c r="F2094"/>
  <c r="F2093"/>
  <c r="F2089"/>
  <c r="F2088"/>
  <c r="I2101"/>
  <c r="D2042"/>
  <c r="F2039"/>
  <c r="F2038"/>
  <c r="F2031"/>
  <c r="F2030"/>
  <c r="F2026"/>
  <c r="F2025"/>
  <c r="I2040"/>
  <c r="I2042"/>
  <c r="E2013"/>
  <c r="D2013"/>
  <c r="F2010"/>
  <c r="F2009"/>
  <c r="F2008"/>
  <c r="F2007"/>
  <c r="F2006"/>
  <c r="F2005"/>
  <c r="F2004"/>
  <c r="F2003"/>
  <c r="F2002"/>
  <c r="F2001"/>
  <c r="F2000"/>
  <c r="F1999"/>
  <c r="F1998"/>
  <c r="F1991"/>
  <c r="F1990"/>
  <c r="F1986"/>
  <c r="I2011"/>
  <c r="I2013"/>
  <c r="D1973"/>
  <c r="F1961"/>
  <c r="F1960"/>
  <c r="F1956"/>
  <c r="I1971"/>
  <c r="I1973"/>
  <c r="E1943"/>
  <c r="D1943"/>
  <c r="F1935"/>
  <c r="F1934"/>
  <c r="F1933"/>
  <c r="F1929"/>
  <c r="F1928"/>
  <c r="I1941"/>
  <c r="I1943"/>
  <c r="D1916"/>
  <c r="F1907"/>
  <c r="F1906"/>
  <c r="F1902"/>
  <c r="I1914"/>
  <c r="I1916"/>
  <c r="E1889"/>
  <c r="D1889"/>
  <c r="F1873"/>
  <c r="F1872"/>
  <c r="I1889"/>
  <c r="E1860"/>
  <c r="D1860"/>
  <c r="F1850"/>
  <c r="F1849"/>
  <c r="F1845"/>
  <c r="I1858"/>
  <c r="I1860"/>
  <c r="E1832"/>
  <c r="D1832"/>
  <c r="F1823"/>
  <c r="F1822"/>
  <c r="F1818"/>
  <c r="I1830"/>
  <c r="I1832"/>
  <c r="E1805"/>
  <c r="D1805"/>
  <c r="F1793"/>
  <c r="F1792"/>
  <c r="F1788"/>
  <c r="I1803"/>
  <c r="I1805"/>
  <c r="F1707"/>
  <c r="F1706"/>
  <c r="F1702"/>
  <c r="F1701"/>
  <c r="I1717"/>
  <c r="I1719"/>
  <c r="E1689"/>
  <c r="D1689"/>
  <c r="F1678"/>
  <c r="F1677"/>
  <c r="F1673"/>
  <c r="I1687"/>
  <c r="I1689"/>
  <c r="D1660"/>
  <c r="I1658"/>
  <c r="I1660"/>
  <c r="E1606"/>
  <c r="D1606"/>
  <c r="F1597"/>
  <c r="F1596"/>
  <c r="F1592"/>
  <c r="I1604"/>
  <c r="I1606"/>
  <c r="E1579"/>
  <c r="D1579"/>
  <c r="F1571"/>
  <c r="F1567"/>
  <c r="F1566"/>
  <c r="F1562"/>
  <c r="F1561"/>
  <c r="I1577"/>
  <c r="I1579"/>
  <c r="E1549"/>
  <c r="D1549"/>
  <c r="F1544"/>
  <c r="F1543"/>
  <c r="F1539"/>
  <c r="F1538"/>
  <c r="F1534"/>
  <c r="F1533"/>
  <c r="I1547"/>
  <c r="I1549"/>
  <c r="E1520"/>
  <c r="D1520"/>
  <c r="F1516"/>
  <c r="F1515"/>
  <c r="F1502"/>
  <c r="I1518"/>
  <c r="I1520"/>
  <c r="D1493"/>
  <c r="F1486"/>
  <c r="F1469"/>
  <c r="I1491"/>
  <c r="I1493"/>
  <c r="E1457"/>
  <c r="D1457"/>
  <c r="F1453"/>
  <c r="F1452"/>
  <c r="F1448"/>
  <c r="F1443"/>
  <c r="I1455"/>
  <c r="I1457"/>
  <c r="E1430"/>
  <c r="D1430"/>
  <c r="F1426"/>
  <c r="F1425"/>
  <c r="F1424"/>
  <c r="F1423"/>
  <c r="F1422"/>
  <c r="F1421"/>
  <c r="F1420"/>
  <c r="F1419"/>
  <c r="F1418"/>
  <c r="F1417"/>
  <c r="F1416"/>
  <c r="F1415"/>
  <c r="F1414"/>
  <c r="F1413"/>
  <c r="F1412"/>
  <c r="I1428"/>
  <c r="I1430"/>
  <c r="E1401"/>
  <c r="D1401"/>
  <c r="F1390"/>
  <c r="F1388"/>
  <c r="F1387"/>
  <c r="F1383"/>
  <c r="F1382"/>
  <c r="I1399"/>
  <c r="I1401"/>
  <c r="E1370"/>
  <c r="D1370"/>
  <c r="F1361"/>
  <c r="F1360"/>
  <c r="F1356"/>
  <c r="I1368"/>
  <c r="I1370"/>
  <c r="E1343"/>
  <c r="D1343"/>
  <c r="F1337"/>
  <c r="I1341"/>
  <c r="I1343"/>
  <c r="E1315"/>
  <c r="D1315"/>
  <c r="F1311"/>
  <c r="F1310"/>
  <c r="I1313"/>
  <c r="I1315"/>
  <c r="F1284"/>
  <c r="F1283"/>
  <c r="E1288"/>
  <c r="D1288"/>
  <c r="I1286"/>
  <c r="I1288"/>
  <c r="E1261"/>
  <c r="D1261"/>
  <c r="F1247"/>
  <c r="F1246"/>
  <c r="F1242"/>
  <c r="I1259"/>
  <c r="I1261"/>
  <c r="F1209"/>
  <c r="E1171"/>
  <c r="D1171"/>
  <c r="F1159"/>
  <c r="F1158"/>
  <c r="F1154"/>
  <c r="I1169"/>
  <c r="I1171"/>
  <c r="D1141"/>
  <c r="I1139"/>
  <c r="I1141"/>
  <c r="M4072" i="11"/>
  <c r="F4072"/>
  <c r="E1114" i="23"/>
  <c r="D1114"/>
  <c r="F1104"/>
  <c r="F1103"/>
  <c r="F1099"/>
  <c r="F1098"/>
  <c r="I1112"/>
  <c r="I1114"/>
  <c r="E1086"/>
  <c r="D1086"/>
  <c r="F1079"/>
  <c r="F1075"/>
  <c r="F1074"/>
  <c r="F1070"/>
  <c r="I1084"/>
  <c r="I1086"/>
  <c r="E1057"/>
  <c r="D1057"/>
  <c r="F1052"/>
  <c r="F1041"/>
  <c r="F1040"/>
  <c r="F1036"/>
  <c r="I1055"/>
  <c r="I1057"/>
  <c r="E1023"/>
  <c r="D1023"/>
  <c r="F1011"/>
  <c r="F1010"/>
  <c r="F1006"/>
  <c r="I1021"/>
  <c r="I1023"/>
  <c r="E993"/>
  <c r="D993"/>
  <c r="F984"/>
  <c r="F983"/>
  <c r="F979"/>
  <c r="I991"/>
  <c r="I993"/>
  <c r="D966"/>
  <c r="I964"/>
  <c r="I966"/>
  <c r="E939"/>
  <c r="D939"/>
  <c r="F930"/>
  <c r="F923"/>
  <c r="F922"/>
  <c r="F918"/>
  <c r="I937"/>
  <c r="I939"/>
  <c r="F896"/>
  <c r="F895"/>
  <c r="F891"/>
  <c r="F890"/>
  <c r="I903"/>
  <c r="I905"/>
  <c r="E878"/>
  <c r="D878"/>
  <c r="F869"/>
  <c r="F868"/>
  <c r="F864"/>
  <c r="I876"/>
  <c r="I878"/>
  <c r="E851"/>
  <c r="D851"/>
  <c r="F837"/>
  <c r="F836"/>
  <c r="F832"/>
  <c r="I849"/>
  <c r="I851"/>
  <c r="D819"/>
  <c r="I817"/>
  <c r="I819"/>
  <c r="F788"/>
  <c r="F787"/>
  <c r="F786"/>
  <c r="F785"/>
  <c r="F784"/>
  <c r="F783"/>
  <c r="F782"/>
  <c r="F780"/>
  <c r="F779"/>
  <c r="F777"/>
  <c r="F775"/>
  <c r="F774"/>
  <c r="F771"/>
  <c r="F770"/>
  <c r="F769"/>
  <c r="F765"/>
  <c r="F764"/>
  <c r="I790"/>
  <c r="I792"/>
  <c r="E753"/>
  <c r="D753"/>
  <c r="F742"/>
  <c r="F741"/>
  <c r="F737"/>
  <c r="I751"/>
  <c r="I753"/>
  <c r="E724"/>
  <c r="D724"/>
  <c r="F721"/>
  <c r="F720"/>
  <c r="F719"/>
  <c r="F718"/>
  <c r="F717"/>
  <c r="F716"/>
  <c r="F715"/>
  <c r="F714"/>
  <c r="F713"/>
  <c r="F712"/>
  <c r="F711"/>
  <c r="F710"/>
  <c r="F709"/>
  <c r="F708"/>
  <c r="F707"/>
  <c r="F706"/>
  <c r="I722"/>
  <c r="I724"/>
  <c r="E695"/>
  <c r="D695"/>
  <c r="F684"/>
  <c r="F683"/>
  <c r="F679"/>
  <c r="I693"/>
  <c r="I695"/>
  <c r="E666"/>
  <c r="D666"/>
  <c r="F661"/>
  <c r="F655"/>
  <c r="F654"/>
  <c r="F650"/>
  <c r="I662"/>
  <c r="I664"/>
  <c r="I666"/>
  <c r="D637"/>
  <c r="F628"/>
  <c r="F627"/>
  <c r="F623"/>
  <c r="F622"/>
  <c r="I635"/>
  <c r="I637"/>
  <c r="E610"/>
  <c r="D610"/>
  <c r="F606"/>
  <c r="F605"/>
  <c r="F604"/>
  <c r="F603"/>
  <c r="F599"/>
  <c r="F598"/>
  <c r="F594"/>
  <c r="F593"/>
  <c r="I608"/>
  <c r="I610"/>
  <c r="I579"/>
  <c r="I581"/>
  <c r="F573"/>
  <c r="F572"/>
  <c r="F571"/>
  <c r="F570"/>
  <c r="F566"/>
  <c r="I552"/>
  <c r="I554"/>
  <c r="G552"/>
  <c r="G554"/>
  <c r="E554"/>
  <c r="D554"/>
  <c r="F550"/>
  <c r="F549"/>
  <c r="F548"/>
  <c r="F547"/>
  <c r="F546"/>
  <c r="F545"/>
  <c r="F544"/>
  <c r="F543"/>
  <c r="F542"/>
  <c r="F541"/>
  <c r="F540"/>
  <c r="F539"/>
  <c r="F538"/>
  <c r="A538"/>
  <c r="A539"/>
  <c r="A540"/>
  <c r="A541"/>
  <c r="A542"/>
  <c r="A543"/>
  <c r="A544"/>
  <c r="A545"/>
  <c r="A546"/>
  <c r="A547"/>
  <c r="A548"/>
  <c r="A549"/>
  <c r="A550"/>
  <c r="F537"/>
  <c r="F535"/>
  <c r="I524"/>
  <c r="I526"/>
  <c r="E526"/>
  <c r="D526"/>
  <c r="F516"/>
  <c r="F515"/>
  <c r="E498"/>
  <c r="D498"/>
  <c r="F494"/>
  <c r="F493"/>
  <c r="F492"/>
  <c r="F491"/>
  <c r="F490"/>
  <c r="F489"/>
  <c r="F488"/>
  <c r="F487"/>
  <c r="F486"/>
  <c r="F485"/>
  <c r="F484"/>
  <c r="F483"/>
  <c r="F482"/>
  <c r="F481"/>
  <c r="I496"/>
  <c r="I498"/>
  <c r="E470"/>
  <c r="D470"/>
  <c r="F461"/>
  <c r="F459"/>
  <c r="F455"/>
  <c r="F454"/>
  <c r="F450"/>
  <c r="F449"/>
  <c r="I468"/>
  <c r="I470"/>
  <c r="E437"/>
  <c r="D437"/>
  <c r="F422"/>
  <c r="F421"/>
  <c r="F417"/>
  <c r="I435"/>
  <c r="I437"/>
  <c r="D404"/>
  <c r="F394"/>
  <c r="F393"/>
  <c r="F389"/>
  <c r="I402"/>
  <c r="I404"/>
  <c r="E376"/>
  <c r="D376"/>
  <c r="F364"/>
  <c r="F363"/>
  <c r="F358"/>
  <c r="I374"/>
  <c r="I376"/>
  <c r="D346"/>
  <c r="F337"/>
  <c r="F336"/>
  <c r="F332"/>
  <c r="I344"/>
  <c r="I346"/>
  <c r="E319"/>
  <c r="D319"/>
  <c r="F311"/>
  <c r="F307"/>
  <c r="F306"/>
  <c r="F302"/>
  <c r="I317"/>
  <c r="I319"/>
  <c r="G289"/>
  <c r="E289"/>
  <c r="D289"/>
  <c r="F286"/>
  <c r="F285"/>
  <c r="F279"/>
  <c r="F278"/>
  <c r="F274"/>
  <c r="E261"/>
  <c r="D261"/>
  <c r="F246"/>
  <c r="F245"/>
  <c r="F241"/>
  <c r="I259"/>
  <c r="I261"/>
  <c r="D228"/>
  <c r="F211"/>
  <c r="F210"/>
  <c r="F206"/>
  <c r="E192"/>
  <c r="D192"/>
  <c r="F177"/>
  <c r="F176"/>
  <c r="F172"/>
  <c r="I190"/>
  <c r="I192"/>
  <c r="G31"/>
  <c r="G63"/>
  <c r="G65"/>
  <c r="E65"/>
  <c r="G103"/>
  <c r="D105"/>
  <c r="E132"/>
  <c r="D132"/>
  <c r="E159"/>
  <c r="D159"/>
  <c r="F150"/>
  <c r="F149"/>
  <c r="F145"/>
  <c r="F144"/>
  <c r="I157"/>
  <c r="I159"/>
  <c r="F129"/>
  <c r="F128"/>
  <c r="I130"/>
  <c r="I132"/>
  <c r="F97"/>
  <c r="F96"/>
  <c r="F93"/>
  <c r="F91"/>
  <c r="F90"/>
  <c r="F89"/>
  <c r="F83"/>
  <c r="F82"/>
  <c r="F78"/>
  <c r="I103"/>
  <c r="I105"/>
  <c r="F62"/>
  <c r="F58"/>
  <c r="F57"/>
  <c r="F51"/>
  <c r="F50"/>
  <c r="F46"/>
  <c r="F45"/>
  <c r="F43"/>
  <c r="I63"/>
  <c r="I65"/>
  <c r="C554"/>
  <c r="I31"/>
  <c r="F168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8"/>
  <c r="M1638" i="11"/>
  <c r="E4521"/>
  <c r="E4520"/>
  <c r="E4519"/>
  <c r="E4518"/>
  <c r="E4517"/>
  <c r="E4516"/>
  <c r="E4515"/>
  <c r="E4513"/>
  <c r="E4511"/>
  <c r="E4510"/>
  <c r="E4507"/>
  <c r="E4506"/>
  <c r="E4505"/>
  <c r="E4502"/>
  <c r="E3581"/>
  <c r="I3531"/>
  <c r="E2643"/>
  <c r="I2613"/>
  <c r="I6853"/>
  <c r="E3044"/>
  <c r="I3011"/>
  <c r="I8094"/>
  <c r="H2500"/>
  <c r="D2500"/>
  <c r="H2472"/>
  <c r="E2570"/>
  <c r="E2569"/>
  <c r="F2569"/>
  <c r="E2568"/>
  <c r="E2567"/>
  <c r="E2565"/>
  <c r="E2564"/>
  <c r="E2563"/>
  <c r="E2562"/>
  <c r="E2561"/>
  <c r="E2558"/>
  <c r="E2557"/>
  <c r="E2556"/>
  <c r="E2553"/>
  <c r="I2572"/>
  <c r="I5790"/>
  <c r="M5619"/>
  <c r="E6215"/>
  <c r="I6180"/>
  <c r="M6214"/>
  <c r="F6214"/>
  <c r="E8412"/>
  <c r="I8387"/>
  <c r="E2363"/>
  <c r="I2332"/>
  <c r="E7205"/>
  <c r="E7204"/>
  <c r="E7203"/>
  <c r="E7202"/>
  <c r="E7201"/>
  <c r="E7200"/>
  <c r="E7199"/>
  <c r="E7196"/>
  <c r="E7195"/>
  <c r="E7194"/>
  <c r="E7192"/>
  <c r="E7191"/>
  <c r="E321"/>
  <c r="I294"/>
  <c r="E609"/>
  <c r="I582"/>
  <c r="I7813"/>
  <c r="I3945"/>
  <c r="E3945"/>
  <c r="I3910"/>
  <c r="C7" i="2"/>
  <c r="F9138" i="10"/>
  <c r="F9137"/>
  <c r="F9136"/>
  <c r="F9135"/>
  <c r="F9134"/>
  <c r="F9133"/>
  <c r="F9132"/>
  <c r="F9131"/>
  <c r="F9130"/>
  <c r="F9129"/>
  <c r="F9128"/>
  <c r="F9127"/>
  <c r="F8478" i="11"/>
  <c r="F8477"/>
  <c r="F8476"/>
  <c r="F8475"/>
  <c r="F8474"/>
  <c r="F8473"/>
  <c r="F8472"/>
  <c r="F8471"/>
  <c r="F8470"/>
  <c r="F8469"/>
  <c r="F8468"/>
  <c r="F8467"/>
  <c r="F8466"/>
  <c r="F9126" i="10"/>
  <c r="J9116"/>
  <c r="J9115"/>
  <c r="J9113"/>
  <c r="J9112"/>
  <c r="J9111"/>
  <c r="J9110"/>
  <c r="J9109"/>
  <c r="F9065"/>
  <c r="F9064"/>
  <c r="F9063"/>
  <c r="F9062"/>
  <c r="F9061"/>
  <c r="F9060"/>
  <c r="F9059"/>
  <c r="F9058"/>
  <c r="F9057"/>
  <c r="F9056"/>
  <c r="F9055"/>
  <c r="F9054"/>
  <c r="F9053"/>
  <c r="F9052"/>
  <c r="F8411" i="11"/>
  <c r="F8410"/>
  <c r="F8409"/>
  <c r="F8408"/>
  <c r="F8407"/>
  <c r="F8406"/>
  <c r="F8405"/>
  <c r="F8404"/>
  <c r="F8403"/>
  <c r="F8402"/>
  <c r="F8401"/>
  <c r="F8400"/>
  <c r="F8399"/>
  <c r="F8398"/>
  <c r="F8397"/>
  <c r="F9051" i="10"/>
  <c r="J9041"/>
  <c r="J9040"/>
  <c r="J9037"/>
  <c r="J9036"/>
  <c r="J9035"/>
  <c r="J9034"/>
  <c r="J9033"/>
  <c r="J9032"/>
  <c r="J9031"/>
  <c r="J9030"/>
  <c r="J9029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337" i="11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964" i="10"/>
  <c r="J8952"/>
  <c r="J8951"/>
  <c r="J8947"/>
  <c r="J8946"/>
  <c r="J8945"/>
  <c r="J8944"/>
  <c r="J8943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230" i="11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848" i="10"/>
  <c r="J8838"/>
  <c r="J8837"/>
  <c r="J8834"/>
  <c r="J8833"/>
  <c r="J8832"/>
  <c r="J8831"/>
  <c r="J8830"/>
  <c r="F8193" i="11"/>
  <c r="F8725" i="10"/>
  <c r="F8724"/>
  <c r="F8723"/>
  <c r="F8722"/>
  <c r="F8721"/>
  <c r="F8720"/>
  <c r="F8719"/>
  <c r="F8718"/>
  <c r="F8717"/>
  <c r="F8716"/>
  <c r="F8715"/>
  <c r="F8714"/>
  <c r="F8713"/>
  <c r="F8712"/>
  <c r="F8711"/>
  <c r="F8090" i="11"/>
  <c r="F8089"/>
  <c r="F8088"/>
  <c r="F8087"/>
  <c r="F8086"/>
  <c r="F8085"/>
  <c r="F8084"/>
  <c r="F8083"/>
  <c r="F8082"/>
  <c r="F8081"/>
  <c r="F8080"/>
  <c r="F8079"/>
  <c r="F8078"/>
  <c r="F8077"/>
  <c r="F8076"/>
  <c r="F8075"/>
  <c r="F8710" i="10"/>
  <c r="I8697"/>
  <c r="H8697"/>
  <c r="G8697"/>
  <c r="J8700"/>
  <c r="J8699"/>
  <c r="J8695"/>
  <c r="J8694"/>
  <c r="J8693"/>
  <c r="J8692"/>
  <c r="J8691"/>
  <c r="J8690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010" i="11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8621" i="10"/>
  <c r="J8609"/>
  <c r="J8608"/>
  <c r="J8605"/>
  <c r="J8604"/>
  <c r="J8603"/>
  <c r="J8602"/>
  <c r="J8601"/>
  <c r="J8600"/>
  <c r="J8599"/>
  <c r="M7915" i="11"/>
  <c r="F8486" i="10"/>
  <c r="F8485"/>
  <c r="F8484"/>
  <c r="F8483"/>
  <c r="F8482"/>
  <c r="F8481"/>
  <c r="F8480"/>
  <c r="F8479"/>
  <c r="F8478"/>
  <c r="F8477"/>
  <c r="F8476"/>
  <c r="F8475"/>
  <c r="F8474"/>
  <c r="F7868" i="11"/>
  <c r="F7867"/>
  <c r="F7866"/>
  <c r="F7865"/>
  <c r="F7864"/>
  <c r="F7863"/>
  <c r="F7862"/>
  <c r="F7861"/>
  <c r="F7860"/>
  <c r="F7859"/>
  <c r="F7858"/>
  <c r="F7857"/>
  <c r="F7856"/>
  <c r="F7855"/>
  <c r="F8473" i="10"/>
  <c r="J8463"/>
  <c r="J8462"/>
  <c r="J8459"/>
  <c r="J8458"/>
  <c r="J8457"/>
  <c r="J8456"/>
  <c r="J8455"/>
  <c r="F7809" i="11"/>
  <c r="F7808"/>
  <c r="F7807"/>
  <c r="F7806"/>
  <c r="F7805"/>
  <c r="F7804"/>
  <c r="F7803"/>
  <c r="F7802"/>
  <c r="F7801"/>
  <c r="F7800"/>
  <c r="F7799"/>
  <c r="F7798"/>
  <c r="F7797"/>
  <c r="F7796"/>
  <c r="F7795"/>
  <c r="J7781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J7530"/>
  <c r="J7529"/>
  <c r="F7464"/>
  <c r="F7463"/>
  <c r="F7462"/>
  <c r="F7461"/>
  <c r="F7460"/>
  <c r="F7459"/>
  <c r="F7457"/>
  <c r="F7456"/>
  <c r="F7455"/>
  <c r="F7454"/>
  <c r="F7453"/>
  <c r="F7452"/>
  <c r="F7451"/>
  <c r="F7450"/>
  <c r="F7449"/>
  <c r="F7448"/>
  <c r="F7447"/>
  <c r="F7446"/>
  <c r="F7342"/>
  <c r="F7341"/>
  <c r="F7340"/>
  <c r="F7339"/>
  <c r="F7338"/>
  <c r="F7337"/>
  <c r="F7336"/>
  <c r="F7335"/>
  <c r="F7334"/>
  <c r="F7333"/>
  <c r="F7332"/>
  <c r="F7331"/>
  <c r="F7330"/>
  <c r="F7329"/>
  <c r="F7198"/>
  <c r="F7197"/>
  <c r="F7193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6954"/>
  <c r="F6953"/>
  <c r="F6952"/>
  <c r="F6951"/>
  <c r="F6950"/>
  <c r="F6949"/>
  <c r="F6948"/>
  <c r="F6947"/>
  <c r="F6946"/>
  <c r="F6945"/>
  <c r="F6944"/>
  <c r="F6943"/>
  <c r="F6942"/>
  <c r="F6851"/>
  <c r="F6850"/>
  <c r="F6849"/>
  <c r="F6848"/>
  <c r="F6847"/>
  <c r="F6846"/>
  <c r="F6845"/>
  <c r="F6844"/>
  <c r="F6843"/>
  <c r="F6842"/>
  <c r="F6841"/>
  <c r="F6840"/>
  <c r="F6839"/>
  <c r="F6838"/>
  <c r="F6837"/>
  <c r="F6700"/>
  <c r="F6699"/>
  <c r="F6698"/>
  <c r="F6697"/>
  <c r="F6696"/>
  <c r="F6695"/>
  <c r="F6694"/>
  <c r="F6693"/>
  <c r="F6692"/>
  <c r="F6691"/>
  <c r="F6690"/>
  <c r="F6689"/>
  <c r="F6688"/>
  <c r="F6687"/>
  <c r="F6686"/>
  <c r="F6670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374"/>
  <c r="F6373"/>
  <c r="F6372"/>
  <c r="F6371"/>
  <c r="F6370"/>
  <c r="F6369"/>
  <c r="F6368"/>
  <c r="F6367"/>
  <c r="F6366"/>
  <c r="F6365"/>
  <c r="F6364"/>
  <c r="F6363"/>
  <c r="F6362"/>
  <c r="F6361"/>
  <c r="J6344"/>
  <c r="J6343"/>
  <c r="F6340"/>
  <c r="F6283"/>
  <c r="F6282"/>
  <c r="F6281"/>
  <c r="F6280"/>
  <c r="F6279"/>
  <c r="F6278"/>
  <c r="F6277"/>
  <c r="F6276"/>
  <c r="F6275"/>
  <c r="F6274"/>
  <c r="F6273"/>
  <c r="F6272"/>
  <c r="F6271"/>
  <c r="J6258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J6177"/>
  <c r="J6176"/>
  <c r="J6175"/>
  <c r="J6173"/>
  <c r="J6172"/>
  <c r="J6171"/>
  <c r="J6170"/>
  <c r="M5921"/>
  <c r="F5785"/>
  <c r="F5784"/>
  <c r="F5783"/>
  <c r="F5782"/>
  <c r="F5781"/>
  <c r="F5780"/>
  <c r="F5779"/>
  <c r="F5778"/>
  <c r="F5777"/>
  <c r="F5776"/>
  <c r="F5775"/>
  <c r="F5774"/>
  <c r="F5773"/>
  <c r="F5772"/>
  <c r="F5719"/>
  <c r="F5718"/>
  <c r="F5717"/>
  <c r="F5716"/>
  <c r="F5715"/>
  <c r="F5714"/>
  <c r="F5713"/>
  <c r="F5712"/>
  <c r="F5711"/>
  <c r="F5710"/>
  <c r="F5709"/>
  <c r="F5708"/>
  <c r="F5707"/>
  <c r="F5706"/>
  <c r="J5689"/>
  <c r="J5688"/>
  <c r="E5685"/>
  <c r="C5685"/>
  <c r="M5685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578"/>
  <c r="F5396"/>
  <c r="F5395"/>
  <c r="F5391"/>
  <c r="F5390"/>
  <c r="F5367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J5188"/>
  <c r="F5080"/>
  <c r="F5079"/>
  <c r="F5078"/>
  <c r="F5077"/>
  <c r="F5076"/>
  <c r="F5075"/>
  <c r="F5074"/>
  <c r="F5073"/>
  <c r="F5072"/>
  <c r="F5071"/>
  <c r="F5070"/>
  <c r="F5069"/>
  <c r="F5068"/>
  <c r="F5067"/>
  <c r="D5083"/>
  <c r="H5057"/>
  <c r="J505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J4942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80"/>
  <c r="F4530"/>
  <c r="F4512"/>
  <c r="F4504"/>
  <c r="F4503"/>
  <c r="F4488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J4149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33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J3909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11"/>
  <c r="F3580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355"/>
  <c r="F3354"/>
  <c r="F3353"/>
  <c r="F3352"/>
  <c r="F3351"/>
  <c r="F3350"/>
  <c r="F3349"/>
  <c r="F3348"/>
  <c r="F3347"/>
  <c r="F3346"/>
  <c r="F3345"/>
  <c r="F3344"/>
  <c r="F3343"/>
  <c r="F3342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147"/>
  <c r="F3146"/>
  <c r="F3145"/>
  <c r="F3144"/>
  <c r="F3143"/>
  <c r="F3142"/>
  <c r="F3141"/>
  <c r="F3140"/>
  <c r="F3139"/>
  <c r="F3138"/>
  <c r="F3137"/>
  <c r="F3136"/>
  <c r="F3135"/>
  <c r="F313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J3007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43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05"/>
  <c r="F2566"/>
  <c r="F2560"/>
  <c r="F2559"/>
  <c r="F2555"/>
  <c r="F2554"/>
  <c r="E2500"/>
  <c r="I2472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J2469"/>
  <c r="F2433"/>
  <c r="F2432"/>
  <c r="F2431"/>
  <c r="F2430"/>
  <c r="F2429"/>
  <c r="F2428"/>
  <c r="F2427"/>
  <c r="F2426"/>
  <c r="F2425"/>
  <c r="F2424"/>
  <c r="F2423"/>
  <c r="F2422"/>
  <c r="F2421"/>
  <c r="F2420"/>
  <c r="I2437"/>
  <c r="H2437"/>
  <c r="D2437"/>
  <c r="H2410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H2250"/>
  <c r="F2064"/>
  <c r="F2063"/>
  <c r="F2062"/>
  <c r="F2061"/>
  <c r="F2060"/>
  <c r="F2059"/>
  <c r="F2058"/>
  <c r="F2057"/>
  <c r="F2056"/>
  <c r="F2055"/>
  <c r="F2054"/>
  <c r="F2053"/>
  <c r="F2052"/>
  <c r="F1997"/>
  <c r="F1996"/>
  <c r="F1995"/>
  <c r="F1994"/>
  <c r="F1993"/>
  <c r="F1992"/>
  <c r="F1991"/>
  <c r="F1990"/>
  <c r="F1989"/>
  <c r="F1988"/>
  <c r="F1987"/>
  <c r="F1986"/>
  <c r="F1985"/>
  <c r="F1984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733"/>
  <c r="F1732"/>
  <c r="F1731"/>
  <c r="F1730"/>
  <c r="F1729"/>
  <c r="F1728"/>
  <c r="F1727"/>
  <c r="F1726"/>
  <c r="F1725"/>
  <c r="F1724"/>
  <c r="F1723"/>
  <c r="F1722"/>
  <c r="F1721"/>
  <c r="F1720"/>
  <c r="E1736"/>
  <c r="I1710"/>
  <c r="F1705"/>
  <c r="F1637"/>
  <c r="F1636"/>
  <c r="F1635"/>
  <c r="F1634"/>
  <c r="F1633"/>
  <c r="F1632"/>
  <c r="F1631"/>
  <c r="F1630"/>
  <c r="F1629"/>
  <c r="F1628"/>
  <c r="F1627"/>
  <c r="F1626"/>
  <c r="F1625"/>
  <c r="F1624"/>
  <c r="F1623"/>
  <c r="J1524"/>
  <c r="F1496"/>
  <c r="F1495"/>
  <c r="F1494"/>
  <c r="F1493"/>
  <c r="F1492"/>
  <c r="F1491"/>
  <c r="F1490"/>
  <c r="F1489"/>
  <c r="F1488"/>
  <c r="F1487"/>
  <c r="F1486"/>
  <c r="F1485"/>
  <c r="F1484"/>
  <c r="F1483"/>
  <c r="F1482"/>
  <c r="H1498"/>
  <c r="J1466"/>
  <c r="J1465"/>
  <c r="F146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H1410"/>
  <c r="F1378"/>
  <c r="F1312"/>
  <c r="F1311"/>
  <c r="F1310"/>
  <c r="F1309"/>
  <c r="F1308"/>
  <c r="F1307"/>
  <c r="F1306"/>
  <c r="F1305"/>
  <c r="F1304"/>
  <c r="F1303"/>
  <c r="F1302"/>
  <c r="F1301"/>
  <c r="F1300"/>
  <c r="F1299"/>
  <c r="F1298"/>
  <c r="H1313"/>
  <c r="F1280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H1150"/>
  <c r="F1072"/>
  <c r="F1071"/>
  <c r="F1070"/>
  <c r="F1069"/>
  <c r="F1068"/>
  <c r="F1067"/>
  <c r="F1066"/>
  <c r="F1065"/>
  <c r="F1064"/>
  <c r="F1063"/>
  <c r="F1062"/>
  <c r="F1061"/>
  <c r="F1060"/>
  <c r="F1059"/>
  <c r="F1058"/>
  <c r="H1075"/>
  <c r="F1040"/>
  <c r="F998"/>
  <c r="J998"/>
  <c r="F997"/>
  <c r="J997"/>
  <c r="F996"/>
  <c r="J996"/>
  <c r="F995"/>
  <c r="J995"/>
  <c r="F994"/>
  <c r="J994"/>
  <c r="F993"/>
  <c r="J993"/>
  <c r="F992"/>
  <c r="J992"/>
  <c r="F991"/>
  <c r="J991"/>
  <c r="F990"/>
  <c r="J990"/>
  <c r="F989"/>
  <c r="J989"/>
  <c r="F988"/>
  <c r="J988"/>
  <c r="F987"/>
  <c r="J987"/>
  <c r="F986"/>
  <c r="H1001"/>
  <c r="E1001"/>
  <c r="F971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J935"/>
  <c r="J934"/>
  <c r="F930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I815"/>
  <c r="F809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608"/>
  <c r="F607"/>
  <c r="F606"/>
  <c r="F605"/>
  <c r="F604"/>
  <c r="F603"/>
  <c r="F602"/>
  <c r="F601"/>
  <c r="F600"/>
  <c r="F599"/>
  <c r="F598"/>
  <c r="F597"/>
  <c r="F596"/>
  <c r="F595"/>
  <c r="F594"/>
  <c r="F593"/>
  <c r="F573"/>
  <c r="F523"/>
  <c r="F522"/>
  <c r="F521"/>
  <c r="F520"/>
  <c r="F519"/>
  <c r="F518"/>
  <c r="F517"/>
  <c r="F516"/>
  <c r="F515"/>
  <c r="F514"/>
  <c r="F513"/>
  <c r="F512"/>
  <c r="F511"/>
  <c r="F510"/>
  <c r="F488"/>
  <c r="E427"/>
  <c r="I394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382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284"/>
  <c r="H171"/>
  <c r="E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01"/>
  <c r="F2204" i="23"/>
  <c r="F2203"/>
  <c r="F2199"/>
  <c r="F2198"/>
  <c r="G2218"/>
  <c r="F2211"/>
  <c r="F2209"/>
  <c r="F2208"/>
  <c r="F2207"/>
  <c r="F2206"/>
  <c r="F2205"/>
  <c r="F2202"/>
  <c r="F2201"/>
  <c r="A2201"/>
  <c r="A2202"/>
  <c r="F2200"/>
  <c r="A2198"/>
  <c r="F2197"/>
  <c r="F2216"/>
  <c r="F2195"/>
  <c r="A2179"/>
  <c r="A2180"/>
  <c r="A2181"/>
  <c r="A2182"/>
  <c r="A2174"/>
  <c r="A2175"/>
  <c r="A2171"/>
  <c r="I79" i="9"/>
  <c r="D4535" i="11"/>
  <c r="E4535"/>
  <c r="M1647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5"/>
  <c r="A1676"/>
  <c r="A1677"/>
  <c r="A1678"/>
  <c r="A1679"/>
  <c r="A1680"/>
  <c r="A1681"/>
  <c r="A1682"/>
  <c r="A1685"/>
  <c r="A1686"/>
  <c r="A168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6"/>
  <c r="A47"/>
  <c r="A49"/>
  <c r="A50"/>
  <c r="A51"/>
  <c r="A52"/>
  <c r="A54"/>
  <c r="A55"/>
  <c r="A56"/>
  <c r="A57"/>
  <c r="A58"/>
  <c r="A59"/>
  <c r="A60"/>
  <c r="A61"/>
  <c r="A62"/>
  <c r="A63"/>
  <c r="A65"/>
  <c r="A66"/>
  <c r="A67"/>
  <c r="A68"/>
  <c r="A70"/>
  <c r="A71"/>
  <c r="A72"/>
  <c r="A73"/>
  <c r="A74"/>
  <c r="A75"/>
  <c r="A76"/>
  <c r="A77"/>
  <c r="A78"/>
  <c r="A79"/>
  <c r="A80"/>
  <c r="A81"/>
  <c r="A82"/>
  <c r="A83"/>
  <c r="A84"/>
  <c r="A85"/>
  <c r="A86"/>
  <c r="A89"/>
  <c r="A90"/>
  <c r="A91"/>
  <c r="A92"/>
  <c r="A94"/>
  <c r="A95"/>
  <c r="A96"/>
  <c r="A97"/>
  <c r="A98"/>
  <c r="A99"/>
  <c r="A100"/>
  <c r="M53"/>
  <c r="M64"/>
  <c r="M69"/>
  <c r="I101"/>
  <c r="H101"/>
  <c r="D101"/>
  <c r="E101"/>
  <c r="M101"/>
  <c r="M102"/>
  <c r="A105"/>
  <c r="A106"/>
  <c r="M103"/>
  <c r="M104"/>
  <c r="M105"/>
  <c r="M106"/>
  <c r="M107"/>
  <c r="M108"/>
  <c r="M109"/>
  <c r="M110"/>
  <c r="A111"/>
  <c r="M111"/>
  <c r="M112"/>
  <c r="M113"/>
  <c r="M114"/>
  <c r="M115"/>
  <c r="M116"/>
  <c r="M117"/>
  <c r="M121"/>
  <c r="M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I111"/>
  <c r="M143"/>
  <c r="M144"/>
  <c r="M145"/>
  <c r="M146"/>
  <c r="M147"/>
  <c r="M151"/>
  <c r="M152"/>
  <c r="A153"/>
  <c r="A154"/>
  <c r="A155"/>
  <c r="A156"/>
  <c r="A157"/>
  <c r="A158"/>
  <c r="A159"/>
  <c r="A160"/>
  <c r="A161"/>
  <c r="A162"/>
  <c r="A163"/>
  <c r="A164"/>
  <c r="A165"/>
  <c r="A166"/>
  <c r="A167"/>
  <c r="A168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1"/>
  <c r="D171"/>
  <c r="M172"/>
  <c r="M173"/>
  <c r="M174"/>
  <c r="M175"/>
  <c r="M176"/>
  <c r="M179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4"/>
  <c r="A215"/>
  <c r="A216"/>
  <c r="A217"/>
  <c r="A218"/>
  <c r="A219"/>
  <c r="A220"/>
  <c r="A221"/>
  <c r="A222"/>
  <c r="A223"/>
  <c r="A225"/>
  <c r="A226"/>
  <c r="A227"/>
  <c r="A229"/>
  <c r="A230"/>
  <c r="A231"/>
  <c r="A232"/>
  <c r="A233"/>
  <c r="A234"/>
  <c r="A235"/>
  <c r="A236"/>
  <c r="A237"/>
  <c r="A238"/>
  <c r="A239"/>
  <c r="A240"/>
  <c r="A241"/>
  <c r="A242"/>
  <c r="A243"/>
  <c r="A244"/>
  <c r="A246"/>
  <c r="A247"/>
  <c r="A248"/>
  <c r="A249"/>
  <c r="A250"/>
  <c r="A251"/>
  <c r="A252"/>
  <c r="A253"/>
  <c r="A256"/>
  <c r="A257"/>
  <c r="A258"/>
  <c r="A259"/>
  <c r="A260"/>
  <c r="A261"/>
  <c r="A262"/>
  <c r="A263"/>
  <c r="A264"/>
  <c r="A265"/>
  <c r="A266"/>
  <c r="A267"/>
  <c r="A268"/>
  <c r="A270"/>
  <c r="A271"/>
  <c r="A272"/>
  <c r="A273"/>
  <c r="A274"/>
  <c r="A275"/>
  <c r="A276"/>
  <c r="A277"/>
  <c r="A278"/>
  <c r="A279"/>
  <c r="A280"/>
  <c r="A281"/>
  <c r="A282"/>
  <c r="A283"/>
  <c r="M213"/>
  <c r="M224"/>
  <c r="M228"/>
  <c r="M245"/>
  <c r="M269"/>
  <c r="I284"/>
  <c r="H284"/>
  <c r="D284"/>
  <c r="E284"/>
  <c r="M284"/>
  <c r="M285"/>
  <c r="M286"/>
  <c r="A289"/>
  <c r="A290"/>
  <c r="M287"/>
  <c r="M288"/>
  <c r="M289"/>
  <c r="M290"/>
  <c r="M291"/>
  <c r="M292"/>
  <c r="M293"/>
  <c r="A294"/>
  <c r="M294"/>
  <c r="M295"/>
  <c r="M296"/>
  <c r="M297"/>
  <c r="M298"/>
  <c r="M299"/>
  <c r="M303"/>
  <c r="M304"/>
  <c r="A305"/>
  <c r="A306"/>
  <c r="A307"/>
  <c r="A308"/>
  <c r="A309"/>
  <c r="A310"/>
  <c r="A311"/>
  <c r="A312"/>
  <c r="A313"/>
  <c r="A314"/>
  <c r="A315"/>
  <c r="A316"/>
  <c r="A317"/>
  <c r="A318"/>
  <c r="A319"/>
  <c r="A320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D321"/>
  <c r="H294"/>
  <c r="M322"/>
  <c r="M323"/>
  <c r="M324"/>
  <c r="M325"/>
  <c r="M328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M354"/>
  <c r="A356"/>
  <c r="A357"/>
  <c r="A358"/>
  <c r="A359"/>
  <c r="A360"/>
  <c r="A361"/>
  <c r="A363"/>
  <c r="A364"/>
  <c r="A365"/>
  <c r="A366"/>
  <c r="A367"/>
  <c r="A368"/>
  <c r="A369"/>
  <c r="A371"/>
  <c r="A372"/>
  <c r="A373"/>
  <c r="A374"/>
  <c r="A376"/>
  <c r="A377"/>
  <c r="A378"/>
  <c r="A379"/>
  <c r="A380"/>
  <c r="M362"/>
  <c r="M370"/>
  <c r="M375"/>
  <c r="M381"/>
  <c r="I382"/>
  <c r="H382"/>
  <c r="D382"/>
  <c r="E382"/>
  <c r="M382"/>
  <c r="M383"/>
  <c r="M384"/>
  <c r="A387"/>
  <c r="M385"/>
  <c r="M386"/>
  <c r="M387"/>
  <c r="H388"/>
  <c r="I388"/>
  <c r="M388"/>
  <c r="M389"/>
  <c r="M390"/>
  <c r="M391"/>
  <c r="M392"/>
  <c r="M393"/>
  <c r="A394"/>
  <c r="M394"/>
  <c r="M395"/>
  <c r="M396"/>
  <c r="M397"/>
  <c r="M398"/>
  <c r="M399"/>
  <c r="M400"/>
  <c r="M404"/>
  <c r="M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6"/>
  <c r="M427"/>
  <c r="H427"/>
  <c r="D427"/>
  <c r="H394"/>
  <c r="M428"/>
  <c r="M429"/>
  <c r="M430"/>
  <c r="M431"/>
  <c r="A434"/>
  <c r="A435"/>
  <c r="A437"/>
  <c r="A438"/>
  <c r="A439"/>
  <c r="A440"/>
  <c r="A441"/>
  <c r="A442"/>
  <c r="A443"/>
  <c r="A444"/>
  <c r="A445"/>
  <c r="A446"/>
  <c r="A447"/>
  <c r="A448"/>
  <c r="A449"/>
  <c r="A450"/>
  <c r="A452"/>
  <c r="A453"/>
  <c r="A454"/>
  <c r="A455"/>
  <c r="A457"/>
  <c r="A458"/>
  <c r="A459"/>
  <c r="A460"/>
  <c r="A461"/>
  <c r="A463"/>
  <c r="A464"/>
  <c r="A465"/>
  <c r="A466"/>
  <c r="A468"/>
  <c r="A469"/>
  <c r="A470"/>
  <c r="A471"/>
  <c r="A472"/>
  <c r="A473"/>
  <c r="A475"/>
  <c r="A476"/>
  <c r="A477"/>
  <c r="A478"/>
  <c r="A480"/>
  <c r="A481"/>
  <c r="A482"/>
  <c r="A483"/>
  <c r="A484"/>
  <c r="A485"/>
  <c r="A486"/>
  <c r="A487"/>
  <c r="M434"/>
  <c r="J434"/>
  <c r="M435"/>
  <c r="M436"/>
  <c r="M451"/>
  <c r="M456"/>
  <c r="M462"/>
  <c r="M467"/>
  <c r="M474"/>
  <c r="M479"/>
  <c r="I488"/>
  <c r="H488"/>
  <c r="D488"/>
  <c r="E488"/>
  <c r="M488"/>
  <c r="M489"/>
  <c r="M490"/>
  <c r="M491"/>
  <c r="M492"/>
  <c r="M493"/>
  <c r="M494"/>
  <c r="M495"/>
  <c r="M496"/>
  <c r="M497"/>
  <c r="M498"/>
  <c r="A499"/>
  <c r="M499"/>
  <c r="M500"/>
  <c r="M501"/>
  <c r="M502"/>
  <c r="M503"/>
  <c r="M504"/>
  <c r="M505"/>
  <c r="M509"/>
  <c r="M510"/>
  <c r="A511"/>
  <c r="A512"/>
  <c r="A513"/>
  <c r="A514"/>
  <c r="A515"/>
  <c r="A516"/>
  <c r="A517"/>
  <c r="A518"/>
  <c r="A519"/>
  <c r="A520"/>
  <c r="A521"/>
  <c r="A522"/>
  <c r="M511"/>
  <c r="M512"/>
  <c r="M513"/>
  <c r="M514"/>
  <c r="M515"/>
  <c r="M516"/>
  <c r="M517"/>
  <c r="M518"/>
  <c r="M519"/>
  <c r="M520"/>
  <c r="M521"/>
  <c r="M522"/>
  <c r="M523"/>
  <c r="M524"/>
  <c r="M525"/>
  <c r="M526"/>
  <c r="I526"/>
  <c r="E526"/>
  <c r="I499"/>
  <c r="H526"/>
  <c r="D526"/>
  <c r="H499"/>
  <c r="M527"/>
  <c r="M528"/>
  <c r="M529"/>
  <c r="M530"/>
  <c r="M531"/>
  <c r="M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4"/>
  <c r="A565"/>
  <c r="A566"/>
  <c r="A567"/>
  <c r="A569"/>
  <c r="A570"/>
  <c r="A571"/>
  <c r="A572"/>
  <c r="M535"/>
  <c r="M536"/>
  <c r="M563"/>
  <c r="M568"/>
  <c r="I573"/>
  <c r="H573"/>
  <c r="D573"/>
  <c r="E573"/>
  <c r="M573"/>
  <c r="M574"/>
  <c r="M575"/>
  <c r="M576"/>
  <c r="M577"/>
  <c r="M578"/>
  <c r="M579"/>
  <c r="M580"/>
  <c r="M581"/>
  <c r="A582"/>
  <c r="M582"/>
  <c r="M583"/>
  <c r="M584"/>
  <c r="M585"/>
  <c r="M586"/>
  <c r="M587"/>
  <c r="M588"/>
  <c r="M592"/>
  <c r="M593"/>
  <c r="A594"/>
  <c r="A595"/>
  <c r="A596"/>
  <c r="A597"/>
  <c r="A598"/>
  <c r="A599"/>
  <c r="A600"/>
  <c r="A601"/>
  <c r="A602"/>
  <c r="A603"/>
  <c r="A604"/>
  <c r="A605"/>
  <c r="M594"/>
  <c r="M595"/>
  <c r="M596"/>
  <c r="M597"/>
  <c r="M598"/>
  <c r="M599"/>
  <c r="M600"/>
  <c r="M601"/>
  <c r="M602"/>
  <c r="M603"/>
  <c r="M604"/>
  <c r="M605"/>
  <c r="M606"/>
  <c r="M608"/>
  <c r="M609"/>
  <c r="H609"/>
  <c r="D609"/>
  <c r="H582"/>
  <c r="M610"/>
  <c r="M611"/>
  <c r="M612"/>
  <c r="M613"/>
  <c r="M614"/>
  <c r="A665"/>
  <c r="A666"/>
  <c r="A667"/>
  <c r="A668"/>
  <c r="A669"/>
  <c r="A670"/>
  <c r="A671"/>
  <c r="A672"/>
  <c r="A673"/>
  <c r="A674"/>
  <c r="A676"/>
  <c r="A677"/>
  <c r="A678"/>
  <c r="A679"/>
  <c r="A680"/>
  <c r="A681"/>
  <c r="M641"/>
  <c r="M664"/>
  <c r="M675"/>
  <c r="M682"/>
  <c r="A684"/>
  <c r="A685"/>
  <c r="A686"/>
  <c r="A687"/>
  <c r="A688"/>
  <c r="A689"/>
  <c r="I690"/>
  <c r="H690"/>
  <c r="E690"/>
  <c r="M690"/>
  <c r="M691"/>
  <c r="M692"/>
  <c r="M693"/>
  <c r="M694"/>
  <c r="A695"/>
  <c r="M695"/>
  <c r="M696"/>
  <c r="M697"/>
  <c r="M698"/>
  <c r="M699"/>
  <c r="M700"/>
  <c r="M704"/>
  <c r="M705"/>
  <c r="A706"/>
  <c r="A707"/>
  <c r="A708"/>
  <c r="A709"/>
  <c r="A710"/>
  <c r="A711"/>
  <c r="A712"/>
  <c r="A713"/>
  <c r="A714"/>
  <c r="A715"/>
  <c r="A716"/>
  <c r="A717"/>
  <c r="A718"/>
  <c r="A719"/>
  <c r="A720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E722"/>
  <c r="I695"/>
  <c r="H722"/>
  <c r="D722"/>
  <c r="H695"/>
  <c r="M723"/>
  <c r="M724"/>
  <c r="M725"/>
  <c r="M726"/>
  <c r="M729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7"/>
  <c r="A758"/>
  <c r="A759"/>
  <c r="A760"/>
  <c r="A761"/>
  <c r="A762"/>
  <c r="A763"/>
  <c r="A764"/>
  <c r="A765"/>
  <c r="A768"/>
  <c r="A769"/>
  <c r="A770"/>
  <c r="A772"/>
  <c r="A773"/>
  <c r="A774"/>
  <c r="A775"/>
  <c r="A776"/>
  <c r="A777"/>
  <c r="A778"/>
  <c r="A780"/>
  <c r="A781"/>
  <c r="A782"/>
  <c r="A783"/>
  <c r="A784"/>
  <c r="M756"/>
  <c r="M771"/>
  <c r="M779"/>
  <c r="M785"/>
  <c r="M799"/>
  <c r="I809"/>
  <c r="H809"/>
  <c r="D809"/>
  <c r="E809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9"/>
  <c r="M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8"/>
  <c r="M859"/>
  <c r="E859"/>
  <c r="I818"/>
  <c r="D859"/>
  <c r="H818"/>
  <c r="M860"/>
  <c r="M861"/>
  <c r="M866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M897"/>
  <c r="A898"/>
  <c r="A899"/>
  <c r="A900"/>
  <c r="A901"/>
  <c r="A902"/>
  <c r="A905"/>
  <c r="M906"/>
  <c r="A908"/>
  <c r="A909"/>
  <c r="A910"/>
  <c r="A911"/>
  <c r="A912"/>
  <c r="A913"/>
  <c r="A914"/>
  <c r="A915"/>
  <c r="M916"/>
  <c r="A918"/>
  <c r="A919"/>
  <c r="A920"/>
  <c r="A921"/>
  <c r="M922"/>
  <c r="A924"/>
  <c r="A925"/>
  <c r="A926"/>
  <c r="A927"/>
  <c r="A928"/>
  <c r="A929"/>
  <c r="M929"/>
  <c r="I930"/>
  <c r="H930"/>
  <c r="D930"/>
  <c r="E930"/>
  <c r="M930"/>
  <c r="M931"/>
  <c r="M932"/>
  <c r="A935"/>
  <c r="M933"/>
  <c r="M934"/>
  <c r="M935"/>
  <c r="M936"/>
  <c r="M937"/>
  <c r="M938"/>
  <c r="M939"/>
  <c r="M940"/>
  <c r="M941"/>
  <c r="M942"/>
  <c r="M943"/>
  <c r="M944"/>
  <c r="M945"/>
  <c r="M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70"/>
  <c r="M971"/>
  <c r="M972"/>
  <c r="M977"/>
  <c r="M978"/>
  <c r="M979"/>
  <c r="M980"/>
  <c r="M981"/>
  <c r="M985"/>
  <c r="M986"/>
  <c r="A987"/>
  <c r="A988"/>
  <c r="A989"/>
  <c r="A990"/>
  <c r="A991"/>
  <c r="A992"/>
  <c r="A993"/>
  <c r="A994"/>
  <c r="A995"/>
  <c r="A996"/>
  <c r="A997"/>
  <c r="A998"/>
  <c r="M987"/>
  <c r="M988"/>
  <c r="M989"/>
  <c r="M990"/>
  <c r="M991"/>
  <c r="M992"/>
  <c r="M993"/>
  <c r="M994"/>
  <c r="M995"/>
  <c r="M996"/>
  <c r="M997"/>
  <c r="M998"/>
  <c r="M999"/>
  <c r="M1000"/>
  <c r="M1001"/>
  <c r="D1001"/>
  <c r="M1002"/>
  <c r="M1003"/>
  <c r="M1004"/>
  <c r="M1005"/>
  <c r="M1008"/>
  <c r="M1009"/>
  <c r="A1010"/>
  <c r="A1011"/>
  <c r="A1012"/>
  <c r="M1010"/>
  <c r="M1011"/>
  <c r="M1012"/>
  <c r="M1013"/>
  <c r="A1015"/>
  <c r="A1016"/>
  <c r="A1017"/>
  <c r="A1018"/>
  <c r="A1019"/>
  <c r="A1020"/>
  <c r="A1021"/>
  <c r="A1023"/>
  <c r="A1024"/>
  <c r="A1025"/>
  <c r="A1026"/>
  <c r="A1027"/>
  <c r="A1028"/>
  <c r="A1029"/>
  <c r="A1030"/>
  <c r="A1031"/>
  <c r="A1033"/>
  <c r="A1034"/>
  <c r="A1035"/>
  <c r="A1037"/>
  <c r="A1038"/>
  <c r="A1039"/>
  <c r="M1022"/>
  <c r="M1032"/>
  <c r="M1036"/>
  <c r="I1040"/>
  <c r="H1040"/>
  <c r="D1040"/>
  <c r="E1040"/>
  <c r="M1040"/>
  <c r="M1041"/>
  <c r="A1044"/>
  <c r="M1042"/>
  <c r="M1043"/>
  <c r="M1044"/>
  <c r="M1045"/>
  <c r="M1046"/>
  <c r="M1047"/>
  <c r="M1048"/>
  <c r="M1049"/>
  <c r="M1050"/>
  <c r="M1051"/>
  <c r="M1052"/>
  <c r="M1053"/>
  <c r="M1057"/>
  <c r="M1058"/>
  <c r="A1059"/>
  <c r="A1060"/>
  <c r="A1061"/>
  <c r="A1062"/>
  <c r="A1063"/>
  <c r="A1064"/>
  <c r="A1065"/>
  <c r="A1066"/>
  <c r="A1067"/>
  <c r="A1068"/>
  <c r="A1069"/>
  <c r="A1070"/>
  <c r="A1071"/>
  <c r="A1072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E1075"/>
  <c r="I1047"/>
  <c r="D1075"/>
  <c r="H1047"/>
  <c r="M1076"/>
  <c r="M1077"/>
  <c r="M1078"/>
  <c r="M1079"/>
  <c r="M1080"/>
  <c r="M1083"/>
  <c r="M1084"/>
  <c r="A1085"/>
  <c r="A1086"/>
  <c r="A1088"/>
  <c r="A1089"/>
  <c r="A1090"/>
  <c r="A1091"/>
  <c r="A1092"/>
  <c r="A1093"/>
  <c r="A1094"/>
  <c r="A1095"/>
  <c r="A1097"/>
  <c r="A1098"/>
  <c r="A1099"/>
  <c r="A1100"/>
  <c r="A1101"/>
  <c r="A1102"/>
  <c r="A1103"/>
  <c r="A1104"/>
  <c r="A1106"/>
  <c r="A1107"/>
  <c r="A1108"/>
  <c r="A1110"/>
  <c r="A1111"/>
  <c r="A1112"/>
  <c r="M1085"/>
  <c r="M1086"/>
  <c r="M1087"/>
  <c r="M1096"/>
  <c r="M1105"/>
  <c r="M1109"/>
  <c r="M1113"/>
  <c r="I1114"/>
  <c r="H1114"/>
  <c r="E1114"/>
  <c r="M1114"/>
  <c r="M1115"/>
  <c r="M1116"/>
  <c r="A1119"/>
  <c r="M1117"/>
  <c r="M1118"/>
  <c r="M1119"/>
  <c r="M1120"/>
  <c r="M1121"/>
  <c r="M1122"/>
  <c r="M1123"/>
  <c r="M1124"/>
  <c r="M1125"/>
  <c r="M1126"/>
  <c r="M1127"/>
  <c r="M1132"/>
  <c r="M1133"/>
  <c r="A1134"/>
  <c r="A1135"/>
  <c r="A1136"/>
  <c r="A1137"/>
  <c r="A1138"/>
  <c r="M1134"/>
  <c r="M1135"/>
  <c r="M1136"/>
  <c r="M1137"/>
  <c r="M1138"/>
  <c r="M1139"/>
  <c r="M1140"/>
  <c r="A1141"/>
  <c r="A1142"/>
  <c r="A1143"/>
  <c r="M1141"/>
  <c r="M1142"/>
  <c r="M1143"/>
  <c r="M1144"/>
  <c r="M1145"/>
  <c r="M1146"/>
  <c r="M1147"/>
  <c r="M1148"/>
  <c r="M1149"/>
  <c r="M1150"/>
  <c r="D1150"/>
  <c r="H1123"/>
  <c r="M1151"/>
  <c r="M1152"/>
  <c r="M1154"/>
  <c r="M1158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2"/>
  <c r="A1193"/>
  <c r="A1194"/>
  <c r="A1197"/>
  <c r="A1198"/>
  <c r="A1199"/>
  <c r="A1200"/>
  <c r="A1202"/>
  <c r="A1203"/>
  <c r="A1204"/>
  <c r="A1205"/>
  <c r="A1206"/>
  <c r="A1207"/>
  <c r="A1208"/>
  <c r="A1209"/>
  <c r="A1210"/>
  <c r="A1211"/>
  <c r="A1212"/>
  <c r="A1213"/>
  <c r="A1214"/>
  <c r="A1216"/>
  <c r="A1217"/>
  <c r="A1218"/>
  <c r="A1219"/>
  <c r="A1220"/>
  <c r="A1222"/>
  <c r="A1223"/>
  <c r="A1224"/>
  <c r="A1225"/>
  <c r="A1226"/>
  <c r="A1227"/>
  <c r="A1229"/>
  <c r="A1230"/>
  <c r="A1231"/>
  <c r="A1232"/>
  <c r="A1234"/>
  <c r="A1235"/>
  <c r="A1236"/>
  <c r="A1240"/>
  <c r="A1241"/>
  <c r="A1242"/>
  <c r="A1243"/>
  <c r="A1244"/>
  <c r="A1245"/>
  <c r="A1246"/>
  <c r="A1247"/>
  <c r="A1248"/>
  <c r="A1249"/>
  <c r="A1250"/>
  <c r="A1251"/>
  <c r="A1252"/>
  <c r="A1254"/>
  <c r="A1255"/>
  <c r="A1256"/>
  <c r="A1257"/>
  <c r="A1258"/>
  <c r="A1259"/>
  <c r="A1260"/>
  <c r="A1261"/>
  <c r="A1262"/>
  <c r="A1263"/>
  <c r="A1265"/>
  <c r="A1266"/>
  <c r="A1267"/>
  <c r="A1268"/>
  <c r="A1269"/>
  <c r="A1270"/>
  <c r="A1272"/>
  <c r="A1273"/>
  <c r="A1274"/>
  <c r="A1276"/>
  <c r="A1277"/>
  <c r="A1278"/>
  <c r="A1279"/>
  <c r="M1201"/>
  <c r="M1215"/>
  <c r="M1221"/>
  <c r="M1228"/>
  <c r="M1233"/>
  <c r="M1239"/>
  <c r="M1253"/>
  <c r="M1264"/>
  <c r="M1271"/>
  <c r="M1275"/>
  <c r="I1280"/>
  <c r="H1280"/>
  <c r="D1280"/>
  <c r="E1280"/>
  <c r="M1280"/>
  <c r="M1281"/>
  <c r="M1282"/>
  <c r="M1283"/>
  <c r="M1284"/>
  <c r="M1285"/>
  <c r="M1286"/>
  <c r="M1287"/>
  <c r="A1288"/>
  <c r="M1288"/>
  <c r="M1289"/>
  <c r="M1290"/>
  <c r="M1291"/>
  <c r="M1292"/>
  <c r="M1293"/>
  <c r="M1297"/>
  <c r="M1298"/>
  <c r="A1299"/>
  <c r="A1300"/>
  <c r="A1301"/>
  <c r="A1302"/>
  <c r="A1303"/>
  <c r="M1299"/>
  <c r="M1300"/>
  <c r="M1301"/>
  <c r="M1302"/>
  <c r="M1303"/>
  <c r="M1304"/>
  <c r="M1305"/>
  <c r="A1306"/>
  <c r="A1307"/>
  <c r="A1308"/>
  <c r="A1309"/>
  <c r="A1310"/>
  <c r="A1311"/>
  <c r="A1312"/>
  <c r="M1306"/>
  <c r="M1307"/>
  <c r="M1308"/>
  <c r="M1309"/>
  <c r="M1310"/>
  <c r="M1311"/>
  <c r="M1312"/>
  <c r="M1313"/>
  <c r="E1313"/>
  <c r="I1288"/>
  <c r="D1313"/>
  <c r="H1288"/>
  <c r="M1314"/>
  <c r="M1315"/>
  <c r="M1316"/>
  <c r="M1317"/>
  <c r="M1320"/>
  <c r="M1321"/>
  <c r="J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8"/>
  <c r="A1359"/>
  <c r="A1360"/>
  <c r="A1361"/>
  <c r="M1322"/>
  <c r="J1322"/>
  <c r="M1323"/>
  <c r="J1323"/>
  <c r="M1324"/>
  <c r="J1324"/>
  <c r="M1325"/>
  <c r="J1325"/>
  <c r="M1326"/>
  <c r="J1326"/>
  <c r="M1327"/>
  <c r="J1327"/>
  <c r="M1328"/>
  <c r="J1328"/>
  <c r="M1329"/>
  <c r="J1329"/>
  <c r="M1330"/>
  <c r="J1330"/>
  <c r="M1331"/>
  <c r="J1331"/>
  <c r="M1332"/>
  <c r="J1332"/>
  <c r="M1333"/>
  <c r="J1333"/>
  <c r="M1334"/>
  <c r="J1334"/>
  <c r="M1335"/>
  <c r="J1335"/>
  <c r="M1336"/>
  <c r="J1336"/>
  <c r="M1337"/>
  <c r="J1337"/>
  <c r="M1338"/>
  <c r="J1338"/>
  <c r="M1339"/>
  <c r="J1339"/>
  <c r="M1340"/>
  <c r="J1340"/>
  <c r="M1341"/>
  <c r="J1341"/>
  <c r="M1342"/>
  <c r="J1342"/>
  <c r="M1343"/>
  <c r="J1343"/>
  <c r="M1344"/>
  <c r="J1344"/>
  <c r="M1345"/>
  <c r="J1345"/>
  <c r="M1346"/>
  <c r="J1346"/>
  <c r="M1347"/>
  <c r="J1347"/>
  <c r="M1348"/>
  <c r="J1348"/>
  <c r="M1349"/>
  <c r="J1349"/>
  <c r="M1350"/>
  <c r="J1350"/>
  <c r="M1351"/>
  <c r="J1351"/>
  <c r="M1352"/>
  <c r="J1352"/>
  <c r="M1353"/>
  <c r="J1353"/>
  <c r="M1354"/>
  <c r="J1354"/>
  <c r="M1355"/>
  <c r="J1355"/>
  <c r="M1358"/>
  <c r="J1358"/>
  <c r="M1359"/>
  <c r="J1359"/>
  <c r="M1360"/>
  <c r="J1360"/>
  <c r="M1361"/>
  <c r="J1361"/>
  <c r="M1362"/>
  <c r="A1364"/>
  <c r="A1365"/>
  <c r="A1366"/>
  <c r="A1367"/>
  <c r="A1368"/>
  <c r="A1370"/>
  <c r="A1372"/>
  <c r="A1373"/>
  <c r="A1374"/>
  <c r="A1375"/>
  <c r="A1376"/>
  <c r="M1377"/>
  <c r="I1378"/>
  <c r="H1378"/>
  <c r="D1378"/>
  <c r="E1378"/>
  <c r="M1378"/>
  <c r="M1379"/>
  <c r="M1380"/>
  <c r="M1381"/>
  <c r="M1382"/>
  <c r="A1383"/>
  <c r="M1383"/>
  <c r="M1384"/>
  <c r="M1385"/>
  <c r="M1386"/>
  <c r="M1387"/>
  <c r="M1388"/>
  <c r="M1392"/>
  <c r="M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E1410"/>
  <c r="I1383"/>
  <c r="D1410"/>
  <c r="H1383"/>
  <c r="M1411"/>
  <c r="M1412"/>
  <c r="M1413"/>
  <c r="M1414"/>
  <c r="M1415"/>
  <c r="M1418"/>
  <c r="M1419"/>
  <c r="A1420"/>
  <c r="A1421"/>
  <c r="A1422"/>
  <c r="A1423"/>
  <c r="A1424"/>
  <c r="A1425"/>
  <c r="A1426"/>
  <c r="A1427"/>
  <c r="A1428"/>
  <c r="A1429"/>
  <c r="A1430"/>
  <c r="A1431"/>
  <c r="A1432"/>
  <c r="A1433"/>
  <c r="M1420"/>
  <c r="M1421"/>
  <c r="M1434"/>
  <c r="A1436"/>
  <c r="A1437"/>
  <c r="A1438"/>
  <c r="M1439"/>
  <c r="A1445"/>
  <c r="A1447"/>
  <c r="A1448"/>
  <c r="A1449"/>
  <c r="A1450"/>
  <c r="A1451"/>
  <c r="A1454"/>
  <c r="A1455"/>
  <c r="A1456"/>
  <c r="A1457"/>
  <c r="A1458"/>
  <c r="A1459"/>
  <c r="M1446"/>
  <c r="I1460"/>
  <c r="H1460"/>
  <c r="D1460"/>
  <c r="E1460"/>
  <c r="M1460"/>
  <c r="M1461"/>
  <c r="A1464"/>
  <c r="M1462"/>
  <c r="M1463"/>
  <c r="M1464"/>
  <c r="M1465"/>
  <c r="M1466"/>
  <c r="M1467"/>
  <c r="M1468"/>
  <c r="M1469"/>
  <c r="M1470"/>
  <c r="A1471"/>
  <c r="M1471"/>
  <c r="M1472"/>
  <c r="M1473"/>
  <c r="M1474"/>
  <c r="M1475"/>
  <c r="M1476"/>
  <c r="M1477"/>
  <c r="M1481"/>
  <c r="M1482"/>
  <c r="A1483"/>
  <c r="A1484"/>
  <c r="A1485"/>
  <c r="A1486"/>
  <c r="A1487"/>
  <c r="A1488"/>
  <c r="A1489"/>
  <c r="A1490"/>
  <c r="A1491"/>
  <c r="A1492"/>
  <c r="A1493"/>
  <c r="A1494"/>
  <c r="A1495"/>
  <c r="A1496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D1498"/>
  <c r="H1471"/>
  <c r="M1499"/>
  <c r="M1500"/>
  <c r="M1501"/>
  <c r="M1502"/>
  <c r="M1505"/>
  <c r="M1506"/>
  <c r="A1507"/>
  <c r="A1508"/>
  <c r="A1509"/>
  <c r="A1510"/>
  <c r="A1511"/>
  <c r="A1512"/>
  <c r="A1513"/>
  <c r="A1514"/>
  <c r="A1515"/>
  <c r="A1516"/>
  <c r="M1507"/>
  <c r="M1508"/>
  <c r="I1517"/>
  <c r="H1517"/>
  <c r="E1517"/>
  <c r="M1517"/>
  <c r="M1519"/>
  <c r="M1520"/>
  <c r="M1521"/>
  <c r="M1522"/>
  <c r="M1523"/>
  <c r="M1524"/>
  <c r="M1525"/>
  <c r="M1526"/>
  <c r="M1527"/>
  <c r="M1528"/>
  <c r="A1529"/>
  <c r="M1529"/>
  <c r="M1530"/>
  <c r="M1531"/>
  <c r="M1532"/>
  <c r="M1533"/>
  <c r="M1534"/>
  <c r="M1535"/>
  <c r="M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M1540"/>
  <c r="M1541"/>
  <c r="M1542"/>
  <c r="M1543"/>
  <c r="M1544"/>
  <c r="M1545"/>
  <c r="M1546"/>
  <c r="M1547"/>
  <c r="M1548"/>
  <c r="M1549"/>
  <c r="M1550"/>
  <c r="M1551"/>
  <c r="M1552"/>
  <c r="M1553"/>
  <c r="M1554"/>
  <c r="M1556"/>
  <c r="M1557"/>
  <c r="M1558"/>
  <c r="M1561"/>
  <c r="I1529"/>
  <c r="M1562"/>
  <c r="M1563"/>
  <c r="M1564"/>
  <c r="M1565"/>
  <c r="M1566"/>
  <c r="M1569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8"/>
  <c r="A1599"/>
  <c r="A1600"/>
  <c r="A1601"/>
  <c r="A1602"/>
  <c r="A1603"/>
  <c r="A1605"/>
  <c r="A1606"/>
  <c r="M1597"/>
  <c r="M1604"/>
  <c r="I1607"/>
  <c r="H1607"/>
  <c r="E1607"/>
  <c r="M1607"/>
  <c r="M1608"/>
  <c r="M1609"/>
  <c r="M1610"/>
  <c r="M1611"/>
  <c r="M1612"/>
  <c r="A1613"/>
  <c r="M1613"/>
  <c r="M1614"/>
  <c r="M1615"/>
  <c r="M1616"/>
  <c r="M1617"/>
  <c r="M1618"/>
  <c r="M1622"/>
  <c r="M1623"/>
  <c r="A1624"/>
  <c r="A1625"/>
  <c r="A1626"/>
  <c r="A1627"/>
  <c r="A1628"/>
  <c r="A1629"/>
  <c r="A1630"/>
  <c r="A1631"/>
  <c r="A1632"/>
  <c r="A1633"/>
  <c r="A1634"/>
  <c r="A1635"/>
  <c r="M1624"/>
  <c r="M1625"/>
  <c r="M1626"/>
  <c r="M1627"/>
  <c r="M1628"/>
  <c r="M1629"/>
  <c r="M1630"/>
  <c r="M1631"/>
  <c r="M1632"/>
  <c r="M1633"/>
  <c r="M1634"/>
  <c r="M1635"/>
  <c r="M1636"/>
  <c r="M1637"/>
  <c r="M1639"/>
  <c r="E1639"/>
  <c r="I1613"/>
  <c r="H1639"/>
  <c r="D1639"/>
  <c r="H1613"/>
  <c r="M1640"/>
  <c r="M1641"/>
  <c r="M1642"/>
  <c r="M1643"/>
  <c r="M1674"/>
  <c r="M1687"/>
  <c r="M1693"/>
  <c r="A1695"/>
  <c r="A1696"/>
  <c r="A1697"/>
  <c r="A1698"/>
  <c r="A1701"/>
  <c r="A1702"/>
  <c r="A1703"/>
  <c r="A1704"/>
  <c r="M1699"/>
  <c r="I1705"/>
  <c r="H1705"/>
  <c r="D1705"/>
  <c r="E1705"/>
  <c r="M1705"/>
  <c r="M1706"/>
  <c r="M1707"/>
  <c r="M1708"/>
  <c r="M1709"/>
  <c r="A1710"/>
  <c r="M1710"/>
  <c r="M1711"/>
  <c r="M1712"/>
  <c r="M1713"/>
  <c r="M1714"/>
  <c r="M1715"/>
  <c r="M1719"/>
  <c r="M1720"/>
  <c r="A1721"/>
  <c r="A1722"/>
  <c r="A1723"/>
  <c r="A1724"/>
  <c r="A1725"/>
  <c r="A1726"/>
  <c r="A1727"/>
  <c r="A1728"/>
  <c r="A1729"/>
  <c r="A1730"/>
  <c r="A1731"/>
  <c r="A1732"/>
  <c r="A1733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I1736"/>
  <c r="D1736"/>
  <c r="H1710"/>
  <c r="M1738"/>
  <c r="M1739"/>
  <c r="M1740"/>
  <c r="M1741"/>
  <c r="M1744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M1778"/>
  <c r="M1789"/>
  <c r="M1792"/>
  <c r="M1800"/>
  <c r="A1802"/>
  <c r="A1803"/>
  <c r="A1804"/>
  <c r="A1805"/>
  <c r="A1806"/>
  <c r="A1807"/>
  <c r="A1808"/>
  <c r="A1810"/>
  <c r="A1811"/>
  <c r="A1812"/>
  <c r="A1813"/>
  <c r="A1814"/>
  <c r="A1815"/>
  <c r="A1816"/>
  <c r="A1817"/>
  <c r="A1818"/>
  <c r="A1820"/>
  <c r="A1821"/>
  <c r="A1822"/>
  <c r="A1823"/>
  <c r="M1809"/>
  <c r="M1819"/>
  <c r="I1824"/>
  <c r="H1824"/>
  <c r="E1824"/>
  <c r="M1824"/>
  <c r="M1825"/>
  <c r="M1826"/>
  <c r="M1827"/>
  <c r="M1828"/>
  <c r="M1829"/>
  <c r="A1830"/>
  <c r="M1830"/>
  <c r="M1831"/>
  <c r="M1832"/>
  <c r="M1833"/>
  <c r="M1834"/>
  <c r="M1835"/>
  <c r="M1839"/>
  <c r="A1857"/>
  <c r="A1858"/>
  <c r="A1859"/>
  <c r="A1860"/>
  <c r="A1861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E1863"/>
  <c r="I1830"/>
  <c r="H1863"/>
  <c r="D1863"/>
  <c r="H1830"/>
  <c r="M1864"/>
  <c r="M1865"/>
  <c r="M1866"/>
  <c r="M1867"/>
  <c r="M1870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3"/>
  <c r="A1904"/>
  <c r="A1905"/>
  <c r="A1906"/>
  <c r="A1909"/>
  <c r="A1910"/>
  <c r="A1911"/>
  <c r="A1912"/>
  <c r="A1913"/>
  <c r="A1914"/>
  <c r="A1915"/>
  <c r="A1916"/>
  <c r="A1917"/>
  <c r="A1918"/>
  <c r="A1919"/>
  <c r="A1920"/>
  <c r="A1922"/>
  <c r="A1923"/>
  <c r="A1924"/>
  <c r="A1925"/>
  <c r="A1926"/>
  <c r="A1927"/>
  <c r="A1928"/>
  <c r="A1929"/>
  <c r="A1930"/>
  <c r="A1931"/>
  <c r="A1932"/>
  <c r="A1934"/>
  <c r="A1935"/>
  <c r="A1936"/>
  <c r="A1937"/>
  <c r="A1938"/>
  <c r="A1939"/>
  <c r="A1940"/>
  <c r="A1941"/>
  <c r="A1942"/>
  <c r="A1943"/>
  <c r="A1944"/>
  <c r="A1946"/>
  <c r="A1947"/>
  <c r="A1948"/>
  <c r="A1949"/>
  <c r="A1952"/>
  <c r="A1953"/>
  <c r="A1955"/>
  <c r="A1956"/>
  <c r="A1957"/>
  <c r="A1958"/>
  <c r="A1959"/>
  <c r="A1960"/>
  <c r="A1961"/>
  <c r="A1962"/>
  <c r="A1963"/>
  <c r="A1964"/>
  <c r="A1965"/>
  <c r="M1902"/>
  <c r="M1921"/>
  <c r="M1933"/>
  <c r="M1945"/>
  <c r="M1954"/>
  <c r="I1966"/>
  <c r="H1966"/>
  <c r="E1966"/>
  <c r="M1966"/>
  <c r="M1967"/>
  <c r="M1968"/>
  <c r="M1969"/>
  <c r="M1970"/>
  <c r="M1971"/>
  <c r="M1972"/>
  <c r="M1973"/>
  <c r="A1974"/>
  <c r="M1974"/>
  <c r="M1975"/>
  <c r="M1976"/>
  <c r="M1977"/>
  <c r="M1978"/>
  <c r="M1979"/>
  <c r="M1980"/>
  <c r="M1984"/>
  <c r="A1985"/>
  <c r="A1986"/>
  <c r="A1987"/>
  <c r="A1988"/>
  <c r="A1989"/>
  <c r="A1990"/>
  <c r="A1991"/>
  <c r="A1992"/>
  <c r="A1993"/>
  <c r="A1994"/>
  <c r="A1995"/>
  <c r="A1996"/>
  <c r="A1997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E2000"/>
  <c r="I1974"/>
  <c r="H2000"/>
  <c r="D2000"/>
  <c r="H1974"/>
  <c r="M2007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1"/>
  <c r="A2032"/>
  <c r="A2033"/>
  <c r="A2034"/>
  <c r="M2030"/>
  <c r="I2035"/>
  <c r="H2035"/>
  <c r="E2035"/>
  <c r="M2044"/>
  <c r="M2045"/>
  <c r="M2046"/>
  <c r="M2047"/>
  <c r="M2051"/>
  <c r="M2052"/>
  <c r="A2053"/>
  <c r="A2054"/>
  <c r="A2055"/>
  <c r="A2056"/>
  <c r="A2057"/>
  <c r="A2058"/>
  <c r="A2059"/>
  <c r="A2060"/>
  <c r="A2061"/>
  <c r="A2062"/>
  <c r="A2063"/>
  <c r="A2064"/>
  <c r="M2053"/>
  <c r="M2054"/>
  <c r="M2055"/>
  <c r="M2056"/>
  <c r="M2057"/>
  <c r="M2058"/>
  <c r="M2059"/>
  <c r="M2060"/>
  <c r="M2061"/>
  <c r="M2062"/>
  <c r="M2063"/>
  <c r="M2064"/>
  <c r="M2065"/>
  <c r="M2066"/>
  <c r="M2067"/>
  <c r="E2067"/>
  <c r="I2041"/>
  <c r="H2067"/>
  <c r="D2067"/>
  <c r="H2041"/>
  <c r="M2068"/>
  <c r="M2069"/>
  <c r="M2070"/>
  <c r="M2071"/>
  <c r="M2074"/>
  <c r="A2076"/>
  <c r="A2077"/>
  <c r="A2078"/>
  <c r="A2079"/>
  <c r="A2080"/>
  <c r="A2081"/>
  <c r="A2082"/>
  <c r="A2083"/>
  <c r="A2084"/>
  <c r="A2085"/>
  <c r="A2086"/>
  <c r="A2087"/>
  <c r="M2097"/>
  <c r="M2102"/>
  <c r="M2103"/>
  <c r="M2106"/>
  <c r="M2109"/>
  <c r="M2111"/>
  <c r="M2131"/>
  <c r="M2148"/>
  <c r="A2150"/>
  <c r="A2151"/>
  <c r="A2154"/>
  <c r="A2155"/>
  <c r="A2156"/>
  <c r="A2157"/>
  <c r="A2158"/>
  <c r="A2159"/>
  <c r="A2160"/>
  <c r="A2161"/>
  <c r="A2162"/>
  <c r="A2163"/>
  <c r="M2164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M2187"/>
  <c r="M2200"/>
  <c r="I2216"/>
  <c r="H2216"/>
  <c r="E2216"/>
  <c r="M2216"/>
  <c r="M2217"/>
  <c r="M2218"/>
  <c r="M2219"/>
  <c r="M2220"/>
  <c r="M2221"/>
  <c r="M2222"/>
  <c r="M2223"/>
  <c r="M2224"/>
  <c r="M2225"/>
  <c r="M2226"/>
  <c r="M2230"/>
  <c r="M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E2250"/>
  <c r="I2221"/>
  <c r="D2250"/>
  <c r="H2221"/>
  <c r="M2251"/>
  <c r="M2252"/>
  <c r="M2253"/>
  <c r="M2254"/>
  <c r="M2255"/>
  <c r="M2258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2"/>
  <c r="A2283"/>
  <c r="A2284"/>
  <c r="A2285"/>
  <c r="A2287"/>
  <c r="A2288"/>
  <c r="A2290"/>
  <c r="A2291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7"/>
  <c r="A2318"/>
  <c r="A2319"/>
  <c r="A2320"/>
  <c r="A2321"/>
  <c r="A2322"/>
  <c r="A2323"/>
  <c r="A2324"/>
  <c r="A2325"/>
  <c r="A2326"/>
  <c r="M2281"/>
  <c r="M2286"/>
  <c r="M2289"/>
  <c r="M2294"/>
  <c r="M2316"/>
  <c r="M2326"/>
  <c r="J2326"/>
  <c r="I2327"/>
  <c r="H2327"/>
  <c r="E2327"/>
  <c r="M2327"/>
  <c r="M2328"/>
  <c r="M2329"/>
  <c r="M2330"/>
  <c r="A2332"/>
  <c r="M2331"/>
  <c r="M2332"/>
  <c r="M2333"/>
  <c r="M2334"/>
  <c r="M2335"/>
  <c r="M2336"/>
  <c r="M2337"/>
  <c r="M2338"/>
  <c r="M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H2363"/>
  <c r="D2363"/>
  <c r="H2332"/>
  <c r="M2364"/>
  <c r="M2365"/>
  <c r="M2366"/>
  <c r="M2371"/>
  <c r="M2372"/>
  <c r="A2373"/>
  <c r="A2374"/>
  <c r="A2375"/>
  <c r="A2376"/>
  <c r="A2378"/>
  <c r="A2379"/>
  <c r="A2380"/>
  <c r="A2381"/>
  <c r="A2382"/>
  <c r="A2383"/>
  <c r="A2384"/>
  <c r="A2385"/>
  <c r="A2386"/>
  <c r="A2387"/>
  <c r="M2373"/>
  <c r="M2374"/>
  <c r="M2375"/>
  <c r="M2389"/>
  <c r="M2397"/>
  <c r="A2398"/>
  <c r="A2399"/>
  <c r="A2400"/>
  <c r="A2402"/>
  <c r="A2403"/>
  <c r="A2404"/>
  <c r="M2398"/>
  <c r="J2398"/>
  <c r="M2399"/>
  <c r="J2399"/>
  <c r="M2400"/>
  <c r="J2400"/>
  <c r="M2401"/>
  <c r="M2402"/>
  <c r="J2402"/>
  <c r="M2403"/>
  <c r="J2403"/>
  <c r="M2404"/>
  <c r="J2404"/>
  <c r="I2405"/>
  <c r="H2405"/>
  <c r="E2405"/>
  <c r="M2405"/>
  <c r="M2406"/>
  <c r="M2407"/>
  <c r="M2408"/>
  <c r="M2409"/>
  <c r="A2410"/>
  <c r="M2410"/>
  <c r="M2411"/>
  <c r="M2412"/>
  <c r="M2413"/>
  <c r="M2414"/>
  <c r="M2415"/>
  <c r="M2419"/>
  <c r="M2420"/>
  <c r="A2421"/>
  <c r="A2422"/>
  <c r="A2423"/>
  <c r="A2424"/>
  <c r="A2425"/>
  <c r="A2426"/>
  <c r="A2427"/>
  <c r="A2428"/>
  <c r="A2429"/>
  <c r="A2430"/>
  <c r="A2431"/>
  <c r="A2432"/>
  <c r="A2433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E2437"/>
  <c r="I2410"/>
  <c r="M2438"/>
  <c r="M2439"/>
  <c r="M2440"/>
  <c r="M2441"/>
  <c r="M2442"/>
  <c r="M2445"/>
  <c r="A2446"/>
  <c r="A2447"/>
  <c r="A2448"/>
  <c r="A2449"/>
  <c r="A2450"/>
  <c r="A2451"/>
  <c r="A2452"/>
  <c r="A2453"/>
  <c r="A2454"/>
  <c r="A2455"/>
  <c r="A2456"/>
  <c r="A2457"/>
  <c r="A2458"/>
  <c r="A2460"/>
  <c r="A2461"/>
  <c r="A2462"/>
  <c r="A2463"/>
  <c r="A2464"/>
  <c r="A2465"/>
  <c r="M2446"/>
  <c r="M2447"/>
  <c r="M2448"/>
  <c r="M2449"/>
  <c r="M2450"/>
  <c r="M2451"/>
  <c r="M2452"/>
  <c r="M2453"/>
  <c r="M2455"/>
  <c r="M2456"/>
  <c r="M2457"/>
  <c r="M2458"/>
  <c r="M2459"/>
  <c r="I2466"/>
  <c r="H2466"/>
  <c r="D2466"/>
  <c r="E2466"/>
  <c r="M2466"/>
  <c r="M2467"/>
  <c r="M2468"/>
  <c r="M2470"/>
  <c r="M2471"/>
  <c r="M2472"/>
  <c r="M2473"/>
  <c r="M2474"/>
  <c r="M2475"/>
  <c r="M2476"/>
  <c r="M2477"/>
  <c r="M2481"/>
  <c r="A2482"/>
  <c r="A2483"/>
  <c r="A2484"/>
  <c r="A2485"/>
  <c r="A2486"/>
  <c r="A2487"/>
  <c r="A2488"/>
  <c r="A2489"/>
  <c r="A2490"/>
  <c r="A2491"/>
  <c r="A2492"/>
  <c r="A2493"/>
  <c r="A2494"/>
  <c r="M2482"/>
  <c r="M2483"/>
  <c r="M2484"/>
  <c r="M2485"/>
  <c r="M2486"/>
  <c r="M2487"/>
  <c r="M2488"/>
  <c r="M2489"/>
  <c r="M2490"/>
  <c r="M2491"/>
  <c r="M2492"/>
  <c r="M2493"/>
  <c r="M2494"/>
  <c r="M2495"/>
  <c r="M2500"/>
  <c r="M2501"/>
  <c r="M2502"/>
  <c r="M2503"/>
  <c r="M2504"/>
  <c r="M2505"/>
  <c r="M2508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2"/>
  <c r="A2533"/>
  <c r="A2534"/>
  <c r="A2535"/>
  <c r="A2536"/>
  <c r="A2537"/>
  <c r="M2531"/>
  <c r="I2538"/>
  <c r="H2538"/>
  <c r="E2538"/>
  <c r="M2538"/>
  <c r="M2539"/>
  <c r="M2540"/>
  <c r="M2541"/>
  <c r="M2542"/>
  <c r="M2543"/>
  <c r="M2544"/>
  <c r="M2545"/>
  <c r="M2546"/>
  <c r="M2547"/>
  <c r="M2548"/>
  <c r="M2552"/>
  <c r="D2553"/>
  <c r="M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M2554"/>
  <c r="M2555"/>
  <c r="D2556"/>
  <c r="M2556"/>
  <c r="D2557"/>
  <c r="M2557"/>
  <c r="D2558"/>
  <c r="M2558"/>
  <c r="M2559"/>
  <c r="M2560"/>
  <c r="D2561"/>
  <c r="M2561"/>
  <c r="D2562"/>
  <c r="M2562"/>
  <c r="D2563"/>
  <c r="M2563"/>
  <c r="D2564"/>
  <c r="M2564"/>
  <c r="D2565"/>
  <c r="M2565"/>
  <c r="M2566"/>
  <c r="D2567"/>
  <c r="M2567"/>
  <c r="D2568"/>
  <c r="M2568"/>
  <c r="M2569"/>
  <c r="D2570"/>
  <c r="M2570"/>
  <c r="M2571"/>
  <c r="M2572"/>
  <c r="H2572"/>
  <c r="M2573"/>
  <c r="M2574"/>
  <c r="M2575"/>
  <c r="M2576"/>
  <c r="M2577"/>
  <c r="M2580"/>
  <c r="A2582"/>
  <c r="A2583"/>
  <c r="A2584"/>
  <c r="A2585"/>
  <c r="A2586"/>
  <c r="A2587"/>
  <c r="A2588"/>
  <c r="A2589"/>
  <c r="A2590"/>
  <c r="A2591"/>
  <c r="M2593"/>
  <c r="M2597"/>
  <c r="M2603"/>
  <c r="M2604"/>
  <c r="I2605"/>
  <c r="H2605"/>
  <c r="D2605"/>
  <c r="E2605"/>
  <c r="M2605"/>
  <c r="M2606"/>
  <c r="M2607"/>
  <c r="M2608"/>
  <c r="M2609"/>
  <c r="M2610"/>
  <c r="M2611"/>
  <c r="A2612"/>
  <c r="A2613"/>
  <c r="M2612"/>
  <c r="M2613"/>
  <c r="M2614"/>
  <c r="M2615"/>
  <c r="M2616"/>
  <c r="M2617"/>
  <c r="M2618"/>
  <c r="M2619"/>
  <c r="M2623"/>
  <c r="M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H2643"/>
  <c r="D2643"/>
  <c r="H2613"/>
  <c r="M2644"/>
  <c r="M2645"/>
  <c r="M2646"/>
  <c r="M2647"/>
  <c r="M2648"/>
  <c r="M2651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700"/>
  <c r="A2701"/>
  <c r="A2702"/>
  <c r="A2703"/>
  <c r="A2704"/>
  <c r="A2705"/>
  <c r="M2681"/>
  <c r="M2699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8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2"/>
  <c r="A2813"/>
  <c r="A2814"/>
  <c r="A2815"/>
  <c r="A2816"/>
  <c r="A2817"/>
  <c r="A2818"/>
  <c r="A2819"/>
  <c r="A2820"/>
  <c r="A2821"/>
  <c r="A2822"/>
  <c r="A2823"/>
  <c r="A2824"/>
  <c r="A2825"/>
  <c r="M2708"/>
  <c r="M2712"/>
  <c r="M2718"/>
  <c r="M2743"/>
  <c r="M2769"/>
  <c r="M2788"/>
  <c r="M2826"/>
  <c r="A2828"/>
  <c r="A2829"/>
  <c r="A2830"/>
  <c r="A2831"/>
  <c r="A2832"/>
  <c r="A2833"/>
  <c r="A2834"/>
  <c r="A2835"/>
  <c r="A2836"/>
  <c r="A2837"/>
  <c r="A2838"/>
  <c r="A2839"/>
  <c r="A2840"/>
  <c r="A2841"/>
  <c r="A2842"/>
  <c r="I2843"/>
  <c r="H2843"/>
  <c r="D2843"/>
  <c r="E2843"/>
  <c r="M2843"/>
  <c r="M2844"/>
  <c r="M2845"/>
  <c r="M2846"/>
  <c r="M2847"/>
  <c r="M2848"/>
  <c r="M2849"/>
  <c r="A2850"/>
  <c r="M2850"/>
  <c r="M2851"/>
  <c r="M2852"/>
  <c r="M2853"/>
  <c r="M2854"/>
  <c r="M2855"/>
  <c r="M2859"/>
  <c r="M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5"/>
  <c r="E2885"/>
  <c r="I2850"/>
  <c r="H2885"/>
  <c r="D2885"/>
  <c r="H2850"/>
  <c r="M2886"/>
  <c r="M2887"/>
  <c r="M2888"/>
  <c r="M2889"/>
  <c r="M2892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1"/>
  <c r="A2922"/>
  <c r="A2923"/>
  <c r="A2925"/>
  <c r="A2926"/>
  <c r="A2927"/>
  <c r="A2928"/>
  <c r="A2931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1"/>
  <c r="A2954"/>
  <c r="M2920"/>
  <c r="M2924"/>
  <c r="M2929"/>
  <c r="M2932"/>
  <c r="M2950"/>
  <c r="A2953"/>
  <c r="M2967"/>
  <c r="A2969"/>
  <c r="A2970"/>
  <c r="A2971"/>
  <c r="A2974"/>
  <c r="A2975"/>
  <c r="A2976"/>
  <c r="A2977"/>
  <c r="A2978"/>
  <c r="A2979"/>
  <c r="A2980"/>
  <c r="A2982"/>
  <c r="A2983"/>
  <c r="A2985"/>
  <c r="A2986"/>
  <c r="M2981"/>
  <c r="M2993"/>
  <c r="I3003"/>
  <c r="H3003"/>
  <c r="E3003"/>
  <c r="M3003"/>
  <c r="M3004"/>
  <c r="M3005"/>
  <c r="A3007"/>
  <c r="M3006"/>
  <c r="M3007"/>
  <c r="M3008"/>
  <c r="M3009"/>
  <c r="M3010"/>
  <c r="A3011"/>
  <c r="M3011"/>
  <c r="M3012"/>
  <c r="M3013"/>
  <c r="M3014"/>
  <c r="M3015"/>
  <c r="M3016"/>
  <c r="M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D3044"/>
  <c r="H3011"/>
  <c r="M3045"/>
  <c r="M3046"/>
  <c r="M3047"/>
  <c r="M3048"/>
  <c r="M3051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4"/>
  <c r="A3075"/>
  <c r="A3076"/>
  <c r="A3078"/>
  <c r="A3079"/>
  <c r="A3080"/>
  <c r="A3081"/>
  <c r="A3082"/>
  <c r="A3084"/>
  <c r="A3085"/>
  <c r="A3086"/>
  <c r="A3087"/>
  <c r="A3090"/>
  <c r="A3091"/>
  <c r="A3092"/>
  <c r="A3093"/>
  <c r="A3094"/>
  <c r="A3095"/>
  <c r="A3096"/>
  <c r="A3097"/>
  <c r="A3098"/>
  <c r="A3099"/>
  <c r="A3100"/>
  <c r="A3101"/>
  <c r="A3102"/>
  <c r="A3103"/>
  <c r="A3105"/>
  <c r="A3106"/>
  <c r="A3107"/>
  <c r="A3108"/>
  <c r="A3109"/>
  <c r="A3110"/>
  <c r="A3111"/>
  <c r="A3112"/>
  <c r="A3113"/>
  <c r="M3073"/>
  <c r="M3077"/>
  <c r="M3083"/>
  <c r="M3104"/>
  <c r="M3114"/>
  <c r="M3115"/>
  <c r="M3116"/>
  <c r="I3117"/>
  <c r="H3117"/>
  <c r="E3117"/>
  <c r="M3117"/>
  <c r="M3118"/>
  <c r="M3119"/>
  <c r="M3120"/>
  <c r="M3121"/>
  <c r="M3122"/>
  <c r="M3123"/>
  <c r="A3124"/>
  <c r="M3124"/>
  <c r="M3125"/>
  <c r="M3126"/>
  <c r="M3127"/>
  <c r="M3128"/>
  <c r="M3129"/>
  <c r="M3133"/>
  <c r="M3134"/>
  <c r="A3135"/>
  <c r="A3136"/>
  <c r="A3137"/>
  <c r="A3138"/>
  <c r="A3139"/>
  <c r="A3140"/>
  <c r="A3141"/>
  <c r="A3142"/>
  <c r="A3143"/>
  <c r="A3144"/>
  <c r="A3145"/>
  <c r="A3146"/>
  <c r="A3147"/>
  <c r="M3135"/>
  <c r="M3136"/>
  <c r="M3137"/>
  <c r="M3138"/>
  <c r="M3139"/>
  <c r="M3140"/>
  <c r="M3141"/>
  <c r="M3142"/>
  <c r="M3143"/>
  <c r="M3144"/>
  <c r="M3145"/>
  <c r="M3146"/>
  <c r="M3147"/>
  <c r="E3151"/>
  <c r="I3124"/>
  <c r="M3148"/>
  <c r="M3149"/>
  <c r="M3150"/>
  <c r="M3151"/>
  <c r="H3151"/>
  <c r="M3152"/>
  <c r="M3153"/>
  <c r="M3154"/>
  <c r="M3155"/>
  <c r="M3156"/>
  <c r="M3159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M3191"/>
  <c r="A3193"/>
  <c r="A3194"/>
  <c r="A3195"/>
  <c r="A3198"/>
  <c r="A3199"/>
  <c r="A3200"/>
  <c r="A3201"/>
  <c r="A3202"/>
  <c r="A3203"/>
  <c r="A3204"/>
  <c r="A3205"/>
  <c r="A3206"/>
  <c r="A3207"/>
  <c r="A3208"/>
  <c r="A3209"/>
  <c r="A3210"/>
  <c r="A3212"/>
  <c r="A3213"/>
  <c r="A3214"/>
  <c r="A3215"/>
  <c r="A3216"/>
  <c r="A3217"/>
  <c r="A3218"/>
  <c r="A3219"/>
  <c r="A3220"/>
  <c r="A3221"/>
  <c r="A3222"/>
  <c r="A3223"/>
  <c r="A3224"/>
  <c r="M3211"/>
  <c r="M3225"/>
  <c r="A3227"/>
  <c r="A3228"/>
  <c r="A3229"/>
  <c r="A3230"/>
  <c r="A3231"/>
  <c r="A3232"/>
  <c r="A3233"/>
  <c r="A3234"/>
  <c r="A3235"/>
  <c r="A3236"/>
  <c r="A3237"/>
  <c r="A3238"/>
  <c r="A3239"/>
  <c r="A3240"/>
  <c r="I3241"/>
  <c r="H3241"/>
  <c r="E3241"/>
  <c r="M3241"/>
  <c r="M3242"/>
  <c r="M3243"/>
  <c r="M3244"/>
  <c r="M3245"/>
  <c r="M3246"/>
  <c r="M3247"/>
  <c r="A3248"/>
  <c r="A3249"/>
  <c r="M3248"/>
  <c r="M3249"/>
  <c r="M3250"/>
  <c r="M3251"/>
  <c r="M3252"/>
  <c r="M3253"/>
  <c r="M3254"/>
  <c r="M3255"/>
  <c r="M3256"/>
  <c r="M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E3282"/>
  <c r="I3249"/>
  <c r="H3282"/>
  <c r="D3282"/>
  <c r="H3249"/>
  <c r="M3283"/>
  <c r="M3284"/>
  <c r="M3285"/>
  <c r="M3286"/>
  <c r="M3287"/>
  <c r="M3290"/>
  <c r="A3292"/>
  <c r="A3293"/>
  <c r="A3294"/>
  <c r="A3295"/>
  <c r="A3296"/>
  <c r="A3297"/>
  <c r="A3298"/>
  <c r="M3301"/>
  <c r="A3303"/>
  <c r="A3304"/>
  <c r="M3305"/>
  <c r="M3312"/>
  <c r="M3320"/>
  <c r="A3322"/>
  <c r="A3323"/>
  <c r="A3324"/>
  <c r="A3325"/>
  <c r="A3326"/>
  <c r="M3321"/>
  <c r="J3321"/>
  <c r="M3322"/>
  <c r="J3322"/>
  <c r="M3323"/>
  <c r="J3323"/>
  <c r="M3324"/>
  <c r="J3324"/>
  <c r="M3325"/>
  <c r="J3325"/>
  <c r="M3326"/>
  <c r="J3326"/>
  <c r="I3327"/>
  <c r="H3327"/>
  <c r="E3327"/>
  <c r="M3327"/>
  <c r="M3328"/>
  <c r="M3329"/>
  <c r="M3330"/>
  <c r="M3331"/>
  <c r="M3332"/>
  <c r="M3333"/>
  <c r="M3334"/>
  <c r="M3335"/>
  <c r="M3336"/>
  <c r="M3337"/>
  <c r="M3338"/>
  <c r="M3341"/>
  <c r="M3342"/>
  <c r="A3343"/>
  <c r="A3344"/>
  <c r="A3345"/>
  <c r="A3346"/>
  <c r="A3347"/>
  <c r="A3348"/>
  <c r="A3349"/>
  <c r="A3350"/>
  <c r="A3351"/>
  <c r="A3352"/>
  <c r="A3353"/>
  <c r="A3354"/>
  <c r="A3355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E3358"/>
  <c r="I3332"/>
  <c r="H3358"/>
  <c r="D3358"/>
  <c r="H3332"/>
  <c r="M3359"/>
  <c r="M3360"/>
  <c r="M3361"/>
  <c r="M3362"/>
  <c r="M3363"/>
  <c r="M3364"/>
  <c r="M3367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402"/>
  <c r="A3403"/>
  <c r="A3406"/>
  <c r="A3407"/>
  <c r="A3408"/>
  <c r="A3409"/>
  <c r="A3410"/>
  <c r="A3411"/>
  <c r="A3412"/>
  <c r="A3414"/>
  <c r="A3415"/>
  <c r="A3416"/>
  <c r="A3417"/>
  <c r="A3418"/>
  <c r="A3419"/>
  <c r="A3420"/>
  <c r="A3421"/>
  <c r="A3422"/>
  <c r="A3423"/>
  <c r="A3425"/>
  <c r="A3426"/>
  <c r="A3427"/>
  <c r="A3428"/>
  <c r="M3401"/>
  <c r="M3413"/>
  <c r="M3424"/>
  <c r="M3429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9"/>
  <c r="A3450"/>
  <c r="M3451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M3484"/>
  <c r="A3486"/>
  <c r="A3487"/>
  <c r="A3488"/>
  <c r="M3491"/>
  <c r="A3493"/>
  <c r="A3494"/>
  <c r="A3495"/>
  <c r="A3496"/>
  <c r="A3497"/>
  <c r="A3498"/>
  <c r="A3499"/>
  <c r="A3500"/>
  <c r="A3501"/>
  <c r="A3502"/>
  <c r="A3503"/>
  <c r="A3504"/>
  <c r="A3505"/>
  <c r="A3506"/>
  <c r="A3507"/>
  <c r="A3509"/>
  <c r="A3510"/>
  <c r="A3511"/>
  <c r="A3512"/>
  <c r="A3514"/>
  <c r="A3515"/>
  <c r="A3516"/>
  <c r="M3508"/>
  <c r="M3513"/>
  <c r="M3518"/>
  <c r="A3519"/>
  <c r="A3520"/>
  <c r="A3521"/>
  <c r="I3522"/>
  <c r="H3522"/>
  <c r="E3522"/>
  <c r="M3522"/>
  <c r="M3524"/>
  <c r="M3525"/>
  <c r="M3528"/>
  <c r="M3529"/>
  <c r="M3530"/>
  <c r="M3531"/>
  <c r="M3532"/>
  <c r="M3533"/>
  <c r="M3535"/>
  <c r="M3536"/>
  <c r="M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80"/>
  <c r="M3581"/>
  <c r="H3581"/>
  <c r="D3581"/>
  <c r="H3531"/>
  <c r="M3582"/>
  <c r="M3583"/>
  <c r="M3584"/>
  <c r="M3585"/>
  <c r="M3588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2"/>
  <c r="A3623"/>
  <c r="A3624"/>
  <c r="A3627"/>
  <c r="A3628"/>
  <c r="A3629"/>
  <c r="A3631"/>
  <c r="A3632"/>
  <c r="A3633"/>
  <c r="A3634"/>
  <c r="A3635"/>
  <c r="A3636"/>
  <c r="A3637"/>
  <c r="A3638"/>
  <c r="A3639"/>
  <c r="M3621"/>
  <c r="M3630"/>
  <c r="M3640"/>
  <c r="A3642"/>
  <c r="A3643"/>
  <c r="A3644"/>
  <c r="A3646"/>
  <c r="A3647"/>
  <c r="A3648"/>
  <c r="A3649"/>
  <c r="A3650"/>
  <c r="A3651"/>
  <c r="A3652"/>
  <c r="A3654"/>
  <c r="A3655"/>
  <c r="A3656"/>
  <c r="A3657"/>
  <c r="A3659"/>
  <c r="A3660"/>
  <c r="A3661"/>
  <c r="A3662"/>
  <c r="A3663"/>
  <c r="A3664"/>
  <c r="A3665"/>
  <c r="A3666"/>
  <c r="A3667"/>
  <c r="A3671"/>
  <c r="A3672"/>
  <c r="A3673"/>
  <c r="A3674"/>
  <c r="A3675"/>
  <c r="A3676"/>
  <c r="A3677"/>
  <c r="A3678"/>
  <c r="A3680"/>
  <c r="A3681"/>
  <c r="A3682"/>
  <c r="A3683"/>
  <c r="A3684"/>
  <c r="A3685"/>
  <c r="A3686"/>
  <c r="A3687"/>
  <c r="A3689"/>
  <c r="A3690"/>
  <c r="A3691"/>
  <c r="A3692"/>
  <c r="A3693"/>
  <c r="A3694"/>
  <c r="A3695"/>
  <c r="A3696"/>
  <c r="A3698"/>
  <c r="A3699"/>
  <c r="A3700"/>
  <c r="A3701"/>
  <c r="A3702"/>
  <c r="A3703"/>
  <c r="A3704"/>
  <c r="A3705"/>
  <c r="A3707"/>
  <c r="A3708"/>
  <c r="A3709"/>
  <c r="A3710"/>
  <c r="M3645"/>
  <c r="M3653"/>
  <c r="M3658"/>
  <c r="M3670"/>
  <c r="M3679"/>
  <c r="M3688"/>
  <c r="M3697"/>
  <c r="M3706"/>
  <c r="I3711"/>
  <c r="H3711"/>
  <c r="D3711"/>
  <c r="E3711"/>
  <c r="M3711"/>
  <c r="M3712"/>
  <c r="M3713"/>
  <c r="M3715"/>
  <c r="M3716"/>
  <c r="M3717"/>
  <c r="M3718"/>
  <c r="M3719"/>
  <c r="M3720"/>
  <c r="M3721"/>
  <c r="M3722"/>
  <c r="M3723"/>
  <c r="M3724"/>
  <c r="M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E3753"/>
  <c r="I3719"/>
  <c r="D3753"/>
  <c r="H3719"/>
  <c r="M3754"/>
  <c r="M3755"/>
  <c r="M3756"/>
  <c r="M3757"/>
  <c r="M3760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4"/>
  <c r="A3795"/>
  <c r="A3796"/>
  <c r="A3799"/>
  <c r="A3800"/>
  <c r="A3801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20"/>
  <c r="A3821"/>
  <c r="A3822"/>
  <c r="A3823"/>
  <c r="M3793"/>
  <c r="M3802"/>
  <c r="M3819"/>
  <c r="A3826"/>
  <c r="A3827"/>
  <c r="A3828"/>
  <c r="A3829"/>
  <c r="A3830"/>
  <c r="A3832"/>
  <c r="M3831"/>
  <c r="M3832"/>
  <c r="M3833"/>
  <c r="A3836"/>
  <c r="A3837"/>
  <c r="A3838"/>
  <c r="A3839"/>
  <c r="A3842"/>
  <c r="A3843"/>
  <c r="A3844"/>
  <c r="A3845"/>
  <c r="A3846"/>
  <c r="A3847"/>
  <c r="A3848"/>
  <c r="A3849"/>
  <c r="A3850"/>
  <c r="A3851"/>
  <c r="A3852"/>
  <c r="A3853"/>
  <c r="A3854"/>
  <c r="A3855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4"/>
  <c r="A3875"/>
  <c r="A3876"/>
  <c r="A3877"/>
  <c r="A3878"/>
  <c r="A3879"/>
  <c r="A3880"/>
  <c r="A3881"/>
  <c r="A3882"/>
  <c r="A3885"/>
  <c r="A3886"/>
  <c r="A3887"/>
  <c r="A3888"/>
  <c r="A3889"/>
  <c r="A3890"/>
  <c r="A3891"/>
  <c r="A3893"/>
  <c r="A3894"/>
  <c r="A3895"/>
  <c r="A3896"/>
  <c r="A3897"/>
  <c r="A3898"/>
  <c r="A3899"/>
  <c r="A3900"/>
  <c r="A3901"/>
  <c r="A3902"/>
  <c r="M3856"/>
  <c r="M3873"/>
  <c r="M3892"/>
  <c r="M3893"/>
  <c r="I3903"/>
  <c r="H3903"/>
  <c r="E3903"/>
  <c r="M3903"/>
  <c r="M3904"/>
  <c r="M3905"/>
  <c r="M3906"/>
  <c r="M3907"/>
  <c r="M3908"/>
  <c r="M3909"/>
  <c r="M3910"/>
  <c r="M3911"/>
  <c r="M3912"/>
  <c r="M3913"/>
  <c r="M3914"/>
  <c r="M3915"/>
  <c r="M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38"/>
  <c r="M3939"/>
  <c r="M3940"/>
  <c r="M3941"/>
  <c r="M3942"/>
  <c r="M3943"/>
  <c r="M3945"/>
  <c r="H3945"/>
  <c r="D3945"/>
  <c r="H3910"/>
  <c r="M3946"/>
  <c r="M3947"/>
  <c r="M3948"/>
  <c r="M3949"/>
  <c r="M3952"/>
  <c r="A3954"/>
  <c r="A3955"/>
  <c r="A3956"/>
  <c r="A3957"/>
  <c r="A3958"/>
  <c r="A3959"/>
  <c r="A3960"/>
  <c r="A3961"/>
  <c r="A3962"/>
  <c r="A3963"/>
  <c r="A3964"/>
  <c r="A3967"/>
  <c r="A3968"/>
  <c r="A3969"/>
  <c r="A3970"/>
  <c r="A3971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91"/>
  <c r="A3992"/>
  <c r="A3993"/>
  <c r="A3994"/>
  <c r="A3995"/>
  <c r="A3997"/>
  <c r="A3998"/>
  <c r="A3999"/>
  <c r="A4000"/>
  <c r="A4001"/>
  <c r="A4002"/>
  <c r="A4003"/>
  <c r="A4004"/>
  <c r="A4005"/>
  <c r="A4006"/>
  <c r="A4007"/>
  <c r="M3966"/>
  <c r="M3972"/>
  <c r="M3996"/>
  <c r="M4019"/>
  <c r="I4033"/>
  <c r="H4033"/>
  <c r="D4033"/>
  <c r="E4033"/>
  <c r="M4033"/>
  <c r="M4034"/>
  <c r="M4035"/>
  <c r="M4036"/>
  <c r="M4037"/>
  <c r="M4038"/>
  <c r="M4039"/>
  <c r="M4040"/>
  <c r="M4041"/>
  <c r="M4043"/>
  <c r="M4044"/>
  <c r="M4045"/>
  <c r="M4046"/>
  <c r="M4050"/>
  <c r="M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M4052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4"/>
  <c r="M4075"/>
  <c r="E4075"/>
  <c r="I4040"/>
  <c r="H4075"/>
  <c r="D4075"/>
  <c r="H4040"/>
  <c r="M4076"/>
  <c r="M4077"/>
  <c r="M4078"/>
  <c r="M4079"/>
  <c r="M4082"/>
  <c r="A4084"/>
  <c r="A4085"/>
  <c r="A4086"/>
  <c r="A4087"/>
  <c r="A4088"/>
  <c r="A4089"/>
  <c r="A4090"/>
  <c r="A4091"/>
  <c r="A4092"/>
  <c r="A4093"/>
  <c r="A4094"/>
  <c r="A4097"/>
  <c r="A4098"/>
  <c r="A4099"/>
  <c r="A4100"/>
  <c r="A4101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21"/>
  <c r="A4122"/>
  <c r="A4123"/>
  <c r="A4124"/>
  <c r="A4125"/>
  <c r="M4096"/>
  <c r="M4102"/>
  <c r="M4126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I4145"/>
  <c r="H4145"/>
  <c r="E4145"/>
  <c r="M4145"/>
  <c r="M4146"/>
  <c r="M4147"/>
  <c r="M4148"/>
  <c r="M4149"/>
  <c r="M4150"/>
  <c r="M4151"/>
  <c r="M4152"/>
  <c r="M4153"/>
  <c r="M4154"/>
  <c r="M4155"/>
  <c r="M4156"/>
  <c r="M4157"/>
  <c r="M4158"/>
  <c r="M4159"/>
  <c r="M4163"/>
  <c r="M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E4184"/>
  <c r="I4154"/>
  <c r="H4184"/>
  <c r="D4184"/>
  <c r="H4154"/>
  <c r="M4185"/>
  <c r="M4186"/>
  <c r="M4187"/>
  <c r="M4188"/>
  <c r="M4191"/>
  <c r="A4193"/>
  <c r="A4194"/>
  <c r="A4195"/>
  <c r="A4196"/>
  <c r="A4197"/>
  <c r="A4198"/>
  <c r="A4199"/>
  <c r="A4200"/>
  <c r="A4201"/>
  <c r="A4202"/>
  <c r="A4203"/>
  <c r="A4204"/>
  <c r="A4205"/>
  <c r="A4206"/>
  <c r="A4210"/>
  <c r="A4211"/>
  <c r="A4212"/>
  <c r="A4213"/>
  <c r="A4214"/>
  <c r="A4216"/>
  <c r="A4217"/>
  <c r="A4218"/>
  <c r="A4219"/>
  <c r="A4220"/>
  <c r="A4221"/>
  <c r="A4222"/>
  <c r="A4223"/>
  <c r="A4224"/>
  <c r="A4228"/>
  <c r="A4229"/>
  <c r="A4230"/>
  <c r="A4231"/>
  <c r="A4232"/>
  <c r="A4233"/>
  <c r="A4234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9"/>
  <c r="A4260"/>
  <c r="A4261"/>
  <c r="A4262"/>
  <c r="A4263"/>
  <c r="A4264"/>
  <c r="A4265"/>
  <c r="A4266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90"/>
  <c r="A4291"/>
  <c r="A4292"/>
  <c r="A4293"/>
  <c r="A4294"/>
  <c r="A4295"/>
  <c r="A4296"/>
  <c r="A4298"/>
  <c r="A4299"/>
  <c r="A4300"/>
  <c r="A4301"/>
  <c r="A4302"/>
  <c r="A4303"/>
  <c r="A4304"/>
  <c r="A4306"/>
  <c r="A4307"/>
  <c r="A4308"/>
  <c r="A4309"/>
  <c r="A4312"/>
  <c r="A4314"/>
  <c r="A4316"/>
  <c r="A4317"/>
  <c r="A4318"/>
  <c r="A4319"/>
  <c r="A4320"/>
  <c r="A4322"/>
  <c r="A4323"/>
  <c r="A4324"/>
  <c r="A4325"/>
  <c r="M4215"/>
  <c r="M4227"/>
  <c r="M4235"/>
  <c r="M4258"/>
  <c r="M4269"/>
  <c r="M4289"/>
  <c r="M4297"/>
  <c r="M4305"/>
  <c r="M4313"/>
  <c r="M4315"/>
  <c r="M4326"/>
  <c r="M4339"/>
  <c r="A4341"/>
  <c r="A4343"/>
  <c r="A4344"/>
  <c r="A4345"/>
  <c r="A4346"/>
  <c r="A4347"/>
  <c r="A4348"/>
  <c r="A4350"/>
  <c r="A4351"/>
  <c r="A4352"/>
  <c r="M4342"/>
  <c r="M4349"/>
  <c r="A4357"/>
  <c r="A4358"/>
  <c r="A4359"/>
  <c r="A4360"/>
  <c r="A4361"/>
  <c r="A4362"/>
  <c r="A4364"/>
  <c r="A4365"/>
  <c r="A4366"/>
  <c r="A4367"/>
  <c r="A4368"/>
  <c r="A4369"/>
  <c r="A4370"/>
  <c r="M4363"/>
  <c r="M4371"/>
  <c r="A4373"/>
  <c r="A4374"/>
  <c r="A4375"/>
  <c r="A4376"/>
  <c r="A4377"/>
  <c r="A4378"/>
  <c r="A4379"/>
  <c r="A4380"/>
  <c r="A4382"/>
  <c r="A4383"/>
  <c r="A4384"/>
  <c r="A4385"/>
  <c r="A4386"/>
  <c r="A4387"/>
  <c r="A4388"/>
  <c r="A4389"/>
  <c r="A4390"/>
  <c r="A4392"/>
  <c r="A4393"/>
  <c r="A4394"/>
  <c r="A4395"/>
  <c r="A4396"/>
  <c r="A4399"/>
  <c r="A4400"/>
  <c r="A4402"/>
  <c r="A4403"/>
  <c r="A4404"/>
  <c r="A4405"/>
  <c r="A4406"/>
  <c r="A4407"/>
  <c r="A4408"/>
  <c r="A4409"/>
  <c r="A4410"/>
  <c r="A4412"/>
  <c r="A4413"/>
  <c r="A4414"/>
  <c r="A4415"/>
  <c r="A4416"/>
  <c r="A4417"/>
  <c r="A4418"/>
  <c r="A4419"/>
  <c r="A4420"/>
  <c r="A4421"/>
  <c r="A4422"/>
  <c r="A4423"/>
  <c r="A4424"/>
  <c r="M4381"/>
  <c r="M4391"/>
  <c r="M4401"/>
  <c r="M4411"/>
  <c r="A4427"/>
  <c r="A4428"/>
  <c r="A4429"/>
  <c r="A4430"/>
  <c r="A4431"/>
  <c r="A4432"/>
  <c r="A4433"/>
  <c r="A4434"/>
  <c r="A4435"/>
  <c r="A4436"/>
  <c r="A4437"/>
  <c r="A4441"/>
  <c r="A4442"/>
  <c r="A4443"/>
  <c r="A4444"/>
  <c r="A4445"/>
  <c r="A4446"/>
  <c r="A4447"/>
  <c r="A4449"/>
  <c r="A4450"/>
  <c r="A4451"/>
  <c r="A4452"/>
  <c r="A4453"/>
  <c r="A4454"/>
  <c r="A4455"/>
  <c r="A4457"/>
  <c r="A4458"/>
  <c r="A4459"/>
  <c r="A4460"/>
  <c r="A4461"/>
  <c r="A4463"/>
  <c r="A4464"/>
  <c r="A4465"/>
  <c r="A4466"/>
  <c r="A4467"/>
  <c r="A4469"/>
  <c r="A4470"/>
  <c r="A4471"/>
  <c r="A4472"/>
  <c r="A4473"/>
  <c r="A4474"/>
  <c r="A4475"/>
  <c r="A4476"/>
  <c r="A4477"/>
  <c r="A4478"/>
  <c r="A4480"/>
  <c r="A4481"/>
  <c r="A4482"/>
  <c r="A4483"/>
  <c r="A4484"/>
  <c r="A4485"/>
  <c r="A4486"/>
  <c r="A4487"/>
  <c r="M4440"/>
  <c r="M4448"/>
  <c r="M4456"/>
  <c r="M4462"/>
  <c r="M4468"/>
  <c r="M4479"/>
  <c r="M4480"/>
  <c r="J4480"/>
  <c r="M4481"/>
  <c r="J4481"/>
  <c r="M4482"/>
  <c r="J4482"/>
  <c r="M4483"/>
  <c r="J4483"/>
  <c r="M4484"/>
  <c r="J4484"/>
  <c r="M4485"/>
  <c r="J4485"/>
  <c r="M4486"/>
  <c r="J4486"/>
  <c r="M4487"/>
  <c r="J4487"/>
  <c r="I4488"/>
  <c r="H4488"/>
  <c r="D4488"/>
  <c r="E4488"/>
  <c r="M4488"/>
  <c r="M4489"/>
  <c r="M4490"/>
  <c r="M4491"/>
  <c r="M4492"/>
  <c r="M4493"/>
  <c r="M4494"/>
  <c r="M4495"/>
  <c r="M4496"/>
  <c r="M4497"/>
  <c r="M4498"/>
  <c r="D4502"/>
  <c r="M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6"/>
  <c r="A4527"/>
  <c r="A4528"/>
  <c r="A4529"/>
  <c r="A4530"/>
  <c r="A4531"/>
  <c r="A4532"/>
  <c r="A4533"/>
  <c r="A4534"/>
  <c r="A4535"/>
  <c r="A4536"/>
  <c r="M4503"/>
  <c r="M4504"/>
  <c r="D4505"/>
  <c r="M4505"/>
  <c r="D4506"/>
  <c r="M4506"/>
  <c r="D4507"/>
  <c r="M4507"/>
  <c r="M4508"/>
  <c r="M4509"/>
  <c r="D4510"/>
  <c r="M4510"/>
  <c r="D4511"/>
  <c r="M4511"/>
  <c r="M4512"/>
  <c r="D4513"/>
  <c r="M4513"/>
  <c r="M4514"/>
  <c r="D4515"/>
  <c r="M4515"/>
  <c r="D4516"/>
  <c r="M4516"/>
  <c r="D4517"/>
  <c r="M4517"/>
  <c r="D4518"/>
  <c r="M4518"/>
  <c r="D4519"/>
  <c r="M4519"/>
  <c r="D4520"/>
  <c r="M4520"/>
  <c r="D4521"/>
  <c r="M4521"/>
  <c r="D4526"/>
  <c r="E4526"/>
  <c r="M4526"/>
  <c r="D4527"/>
  <c r="E4527"/>
  <c r="M4527"/>
  <c r="D4528"/>
  <c r="E4528"/>
  <c r="M4528"/>
  <c r="D4529"/>
  <c r="E4529"/>
  <c r="M4529"/>
  <c r="M4530"/>
  <c r="M4538"/>
  <c r="D4533"/>
  <c r="E4533"/>
  <c r="D4534"/>
  <c r="E4534"/>
  <c r="M4534"/>
  <c r="M4537"/>
  <c r="H4538"/>
  <c r="M4539"/>
  <c r="M4540"/>
  <c r="M4541"/>
  <c r="M4542"/>
  <c r="M4545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80"/>
  <c r="A4581"/>
  <c r="A4584"/>
  <c r="A4585"/>
  <c r="A4586"/>
  <c r="A4587"/>
  <c r="A4588"/>
  <c r="A4589"/>
  <c r="A4590"/>
  <c r="A4591"/>
  <c r="A4592"/>
  <c r="A4593"/>
  <c r="A4594"/>
  <c r="A4595"/>
  <c r="A4596"/>
  <c r="A4598"/>
  <c r="A4599"/>
  <c r="A4600"/>
  <c r="A4601"/>
  <c r="A4602"/>
  <c r="A4603"/>
  <c r="A4604"/>
  <c r="A4605"/>
  <c r="A4606"/>
  <c r="A4607"/>
  <c r="A4608"/>
  <c r="A4609"/>
  <c r="A4610"/>
  <c r="A4612"/>
  <c r="A4613"/>
  <c r="A4614"/>
  <c r="A4615"/>
  <c r="A4616"/>
  <c r="A4617"/>
  <c r="A4618"/>
  <c r="A4619"/>
  <c r="A4620"/>
  <c r="A4621"/>
  <c r="A4622"/>
  <c r="A4623"/>
  <c r="A4624"/>
  <c r="A4627"/>
  <c r="A4628"/>
  <c r="A4629"/>
  <c r="A4630"/>
  <c r="A4631"/>
  <c r="A4632"/>
  <c r="A4634"/>
  <c r="A4635"/>
  <c r="A4636"/>
  <c r="A4637"/>
  <c r="A4638"/>
  <c r="A4639"/>
  <c r="A4640"/>
  <c r="A4641"/>
  <c r="A4642"/>
  <c r="A4643"/>
  <c r="A4644"/>
  <c r="A4646"/>
  <c r="A4647"/>
  <c r="A4648"/>
  <c r="A4649"/>
  <c r="A4650"/>
  <c r="A4651"/>
  <c r="A4652"/>
  <c r="A4653"/>
  <c r="A4654"/>
  <c r="A4655"/>
  <c r="A4656"/>
  <c r="A4657"/>
  <c r="A4658"/>
  <c r="A4659"/>
  <c r="A4661"/>
  <c r="A4662"/>
  <c r="A4663"/>
  <c r="A4664"/>
  <c r="A4665"/>
  <c r="A4666"/>
  <c r="A4667"/>
  <c r="A4670"/>
  <c r="A4671"/>
  <c r="A4672"/>
  <c r="A4673"/>
  <c r="A4674"/>
  <c r="A4675"/>
  <c r="A4676"/>
  <c r="A4677"/>
  <c r="A4678"/>
  <c r="A4679"/>
  <c r="M4579"/>
  <c r="M4597"/>
  <c r="M4611"/>
  <c r="M4633"/>
  <c r="M4645"/>
  <c r="M4660"/>
  <c r="I4680"/>
  <c r="H4680"/>
  <c r="D4680"/>
  <c r="E4680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M4700"/>
  <c r="M4701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5"/>
  <c r="M4727"/>
  <c r="E4727"/>
  <c r="I4688"/>
  <c r="H4727"/>
  <c r="D4727"/>
  <c r="H4688"/>
  <c r="M4728"/>
  <c r="M4731"/>
  <c r="M4734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7"/>
  <c r="M4766"/>
  <c r="M4797"/>
  <c r="M4806"/>
  <c r="I4832"/>
  <c r="H4832"/>
  <c r="E4832"/>
  <c r="M4832"/>
  <c r="M4833"/>
  <c r="M4834"/>
  <c r="M4835"/>
  <c r="M4836"/>
  <c r="A4837"/>
  <c r="M4837"/>
  <c r="M4838"/>
  <c r="M4839"/>
  <c r="M4840"/>
  <c r="M4841"/>
  <c r="M4842"/>
  <c r="M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1"/>
  <c r="M4872"/>
  <c r="E4872"/>
  <c r="I4837"/>
  <c r="H4872"/>
  <c r="D4872"/>
  <c r="H4837"/>
  <c r="M4873"/>
  <c r="M4874"/>
  <c r="A4880"/>
  <c r="A4881"/>
  <c r="A4882"/>
  <c r="A4883"/>
  <c r="A4884"/>
  <c r="A4885"/>
  <c r="A4886"/>
  <c r="A4887"/>
  <c r="A4888"/>
  <c r="A4889"/>
  <c r="A4891"/>
  <c r="A4892"/>
  <c r="A4893"/>
  <c r="A4894"/>
  <c r="A4895"/>
  <c r="A4897"/>
  <c r="A4898"/>
  <c r="A4899"/>
  <c r="A4900"/>
  <c r="A4901"/>
  <c r="A4902"/>
  <c r="A4903"/>
  <c r="A4904"/>
  <c r="A4905"/>
  <c r="A4906"/>
  <c r="A4908"/>
  <c r="A4909"/>
  <c r="A4910"/>
  <c r="A4911"/>
  <c r="A4912"/>
  <c r="A4913"/>
  <c r="A4914"/>
  <c r="A4915"/>
  <c r="A4919"/>
  <c r="A4920"/>
  <c r="M4890"/>
  <c r="M4896"/>
  <c r="M4907"/>
  <c r="M4918"/>
  <c r="M4926"/>
  <c r="M4935"/>
  <c r="I4939"/>
  <c r="H4939"/>
  <c r="E4939"/>
  <c r="M4939"/>
  <c r="M4940"/>
  <c r="M4941"/>
  <c r="M4942"/>
  <c r="M4943"/>
  <c r="M4944"/>
  <c r="A4945"/>
  <c r="M4945"/>
  <c r="M4946"/>
  <c r="M4947"/>
  <c r="M4948"/>
  <c r="M4949"/>
  <c r="M4950"/>
  <c r="M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E4975"/>
  <c r="I4945"/>
  <c r="H4975"/>
  <c r="D4975"/>
  <c r="H4945"/>
  <c r="M4976"/>
  <c r="M4977"/>
  <c r="M4978"/>
  <c r="M4982"/>
  <c r="A4983"/>
  <c r="A4984"/>
  <c r="A4985"/>
  <c r="A4986"/>
  <c r="A4987"/>
  <c r="A4988"/>
  <c r="A4989"/>
  <c r="A4990"/>
  <c r="A4991"/>
  <c r="A4992"/>
  <c r="A4993"/>
  <c r="A4995"/>
  <c r="A4996"/>
  <c r="A4997"/>
  <c r="A4998"/>
  <c r="A4999"/>
  <c r="A5000"/>
  <c r="A5001"/>
  <c r="A5002"/>
  <c r="A5003"/>
  <c r="A5004"/>
  <c r="A5005"/>
  <c r="A5006"/>
  <c r="A5007"/>
  <c r="A5009"/>
  <c r="A5010"/>
  <c r="A5011"/>
  <c r="A5012"/>
  <c r="A5013"/>
  <c r="A5014"/>
  <c r="A5015"/>
  <c r="A5016"/>
  <c r="A5017"/>
  <c r="A5018"/>
  <c r="A5021"/>
  <c r="A5022"/>
  <c r="A5023"/>
  <c r="M4994"/>
  <c r="M5008"/>
  <c r="M5024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M5043"/>
  <c r="A5045"/>
  <c r="A5046"/>
  <c r="A5048"/>
  <c r="A5049"/>
  <c r="A5050"/>
  <c r="M5047"/>
  <c r="I5051"/>
  <c r="H5051"/>
  <c r="E5051"/>
  <c r="M5051"/>
  <c r="M5052"/>
  <c r="M5053"/>
  <c r="M5054"/>
  <c r="M5055"/>
  <c r="M5056"/>
  <c r="A5057"/>
  <c r="M5057"/>
  <c r="M5058"/>
  <c r="M5059"/>
  <c r="M5060"/>
  <c r="M5061"/>
  <c r="M5062"/>
  <c r="M5066"/>
  <c r="M5067"/>
  <c r="A5068"/>
  <c r="A5069"/>
  <c r="A5070"/>
  <c r="A5071"/>
  <c r="A5072"/>
  <c r="A5073"/>
  <c r="A5074"/>
  <c r="A5075"/>
  <c r="A5076"/>
  <c r="A5077"/>
  <c r="A5078"/>
  <c r="A5079"/>
  <c r="A5080"/>
  <c r="A5081"/>
  <c r="M5068"/>
  <c r="M5069"/>
  <c r="M5070"/>
  <c r="M5071"/>
  <c r="M5072"/>
  <c r="M5073"/>
  <c r="M5074"/>
  <c r="M5075"/>
  <c r="M5076"/>
  <c r="M5077"/>
  <c r="M5078"/>
  <c r="M5079"/>
  <c r="M5082"/>
  <c r="M5083"/>
  <c r="E5083"/>
  <c r="I5057"/>
  <c r="H5083"/>
  <c r="M5084"/>
  <c r="M5086"/>
  <c r="M5087"/>
  <c r="M5090"/>
  <c r="A5091"/>
  <c r="A5092"/>
  <c r="A5093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2"/>
  <c r="A5123"/>
  <c r="A5124"/>
  <c r="A5125"/>
  <c r="A5126"/>
  <c r="A5129"/>
  <c r="A5131"/>
  <c r="A5132"/>
  <c r="A5133"/>
  <c r="A5134"/>
  <c r="A5135"/>
  <c r="A5136"/>
  <c r="A5137"/>
  <c r="A5138"/>
  <c r="A5139"/>
  <c r="A5140"/>
  <c r="A5141"/>
  <c r="A5142"/>
  <c r="A5143"/>
  <c r="A5145"/>
  <c r="A5146"/>
  <c r="A5147"/>
  <c r="A5148"/>
  <c r="A5149"/>
  <c r="A5150"/>
  <c r="A5151"/>
  <c r="A5152"/>
  <c r="A5154"/>
  <c r="A5155"/>
  <c r="A5156"/>
  <c r="A5157"/>
  <c r="A5158"/>
  <c r="A5160"/>
  <c r="A5161"/>
  <c r="A5162"/>
  <c r="A5163"/>
  <c r="A5164"/>
  <c r="A5165"/>
  <c r="M5091"/>
  <c r="M5094"/>
  <c r="M5121"/>
  <c r="M5127"/>
  <c r="M5128"/>
  <c r="M5130"/>
  <c r="M5144"/>
  <c r="M5159"/>
  <c r="M5170"/>
  <c r="M5179"/>
  <c r="I5184"/>
  <c r="H5184"/>
  <c r="E5184"/>
  <c r="M5184"/>
  <c r="M5185"/>
  <c r="M5186"/>
  <c r="M5187"/>
  <c r="M5188"/>
  <c r="M5189"/>
  <c r="M5191"/>
  <c r="M5192"/>
  <c r="M5193"/>
  <c r="M5194"/>
  <c r="M5195"/>
  <c r="M5196"/>
  <c r="M5197"/>
  <c r="M5198"/>
  <c r="M5199"/>
  <c r="M5203"/>
  <c r="M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H5228"/>
  <c r="D5228"/>
  <c r="H5192"/>
  <c r="M5229"/>
  <c r="M5231"/>
  <c r="M5232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3"/>
  <c r="A5294"/>
  <c r="A5295"/>
  <c r="A5296"/>
  <c r="A5297"/>
  <c r="A5298"/>
  <c r="A5299"/>
  <c r="A5300"/>
  <c r="A5302"/>
  <c r="A5303"/>
  <c r="A5304"/>
  <c r="A5305"/>
  <c r="A5306"/>
  <c r="A5307"/>
  <c r="A5308"/>
  <c r="A5311"/>
  <c r="A5312"/>
  <c r="A5315"/>
  <c r="A5316"/>
  <c r="A5317"/>
  <c r="A5318"/>
  <c r="A5319"/>
  <c r="A5322"/>
  <c r="A5323"/>
  <c r="A5325"/>
  <c r="A5326"/>
  <c r="A5327"/>
  <c r="A5328"/>
  <c r="A5329"/>
  <c r="A5330"/>
  <c r="A5331"/>
  <c r="A5332"/>
  <c r="A5333"/>
  <c r="A5340"/>
  <c r="A5341"/>
  <c r="A5342"/>
  <c r="A5343"/>
  <c r="A5344"/>
  <c r="A5345"/>
  <c r="A5346"/>
  <c r="A5347"/>
  <c r="I5367"/>
  <c r="H5367"/>
  <c r="D5367"/>
  <c r="E5367"/>
  <c r="M5368"/>
  <c r="A5374"/>
  <c r="A5375"/>
  <c r="M5369"/>
  <c r="M5370"/>
  <c r="M5374"/>
  <c r="M5375"/>
  <c r="M5376"/>
  <c r="M5378"/>
  <c r="M5379"/>
  <c r="M5380"/>
  <c r="M5381"/>
  <c r="M5382"/>
  <c r="M5383"/>
  <c r="M5384"/>
  <c r="M5388"/>
  <c r="M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M5390"/>
  <c r="M5391"/>
  <c r="M5392"/>
  <c r="M5393"/>
  <c r="M5394"/>
  <c r="M5395"/>
  <c r="M5396"/>
  <c r="M5397"/>
  <c r="M5398"/>
  <c r="M5399"/>
  <c r="M5400"/>
  <c r="M5401"/>
  <c r="M5402"/>
  <c r="M5403"/>
  <c r="M5404"/>
  <c r="M5405"/>
  <c r="M5406"/>
  <c r="H5406"/>
  <c r="D5406"/>
  <c r="H5379"/>
  <c r="M5407"/>
  <c r="M5409"/>
  <c r="M5410"/>
  <c r="M5413"/>
  <c r="M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2"/>
  <c r="A5483"/>
  <c r="A5484"/>
  <c r="A5485"/>
  <c r="A5486"/>
  <c r="A5487"/>
  <c r="A5488"/>
  <c r="A5489"/>
  <c r="A5490"/>
  <c r="A5494"/>
  <c r="A5495"/>
  <c r="M5452"/>
  <c r="M5481"/>
  <c r="M5493"/>
  <c r="M5507"/>
  <c r="M5516"/>
  <c r="M5524"/>
  <c r="M5535"/>
  <c r="M5566"/>
  <c r="I5578"/>
  <c r="H5578"/>
  <c r="D5578"/>
  <c r="E5578"/>
  <c r="M5578"/>
  <c r="M5579"/>
  <c r="M5580"/>
  <c r="M5581"/>
  <c r="M5582"/>
  <c r="M5587"/>
  <c r="M5588"/>
  <c r="M5589"/>
  <c r="M5590"/>
  <c r="M5591"/>
  <c r="M5592"/>
  <c r="M5593"/>
  <c r="M5594"/>
  <c r="M5595"/>
  <c r="M5596"/>
  <c r="M5597"/>
  <c r="M5598"/>
  <c r="M5602"/>
  <c r="M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M5604"/>
  <c r="M5605"/>
  <c r="M5606"/>
  <c r="M5607"/>
  <c r="M5608"/>
  <c r="M5609"/>
  <c r="M5610"/>
  <c r="M5611"/>
  <c r="M5612"/>
  <c r="M5613"/>
  <c r="M5614"/>
  <c r="M5615"/>
  <c r="M5616"/>
  <c r="M5617"/>
  <c r="M5618"/>
  <c r="M5620"/>
  <c r="M5621"/>
  <c r="E5621"/>
  <c r="I5591"/>
  <c r="H5621"/>
  <c r="D5621"/>
  <c r="H5591"/>
  <c r="M5622"/>
  <c r="M5624"/>
  <c r="M5625"/>
  <c r="M5628"/>
  <c r="A5629"/>
  <c r="A5630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8"/>
  <c r="A5659"/>
  <c r="A5660"/>
  <c r="A5661"/>
  <c r="A5662"/>
  <c r="A5663"/>
  <c r="A5664"/>
  <c r="A5667"/>
  <c r="A5668"/>
  <c r="A5669"/>
  <c r="A5670"/>
  <c r="A5672"/>
  <c r="A5673"/>
  <c r="A5674"/>
  <c r="A5675"/>
  <c r="A5676"/>
  <c r="A5677"/>
  <c r="A5678"/>
  <c r="A5680"/>
  <c r="A5681"/>
  <c r="A5682"/>
  <c r="A5683"/>
  <c r="M5630"/>
  <c r="M5631"/>
  <c r="M5657"/>
  <c r="M5671"/>
  <c r="M5679"/>
  <c r="M5684"/>
  <c r="I5685"/>
  <c r="H5685"/>
  <c r="M5686"/>
  <c r="A5689"/>
  <c r="M5687"/>
  <c r="M5688"/>
  <c r="M5689"/>
  <c r="M5690"/>
  <c r="M5691"/>
  <c r="M5692"/>
  <c r="M5693"/>
  <c r="M5694"/>
  <c r="M5695"/>
  <c r="M5696"/>
  <c r="M5697"/>
  <c r="M5698"/>
  <c r="M5699"/>
  <c r="M5700"/>
  <c r="M5701"/>
  <c r="M5705"/>
  <c r="M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M5707"/>
  <c r="M5708"/>
  <c r="M5709"/>
  <c r="M5710"/>
  <c r="M5711"/>
  <c r="M5712"/>
  <c r="M5713"/>
  <c r="M5714"/>
  <c r="M5715"/>
  <c r="M5716"/>
  <c r="M5717"/>
  <c r="M5718"/>
  <c r="M5719"/>
  <c r="M5725"/>
  <c r="M5726"/>
  <c r="E5726"/>
  <c r="I5694"/>
  <c r="H5726"/>
  <c r="D5726"/>
  <c r="H5694"/>
  <c r="M5727"/>
  <c r="M5728"/>
  <c r="M5729"/>
  <c r="M5730"/>
  <c r="M5733"/>
  <c r="M5734"/>
  <c r="M5735"/>
  <c r="M5736"/>
  <c r="A5738"/>
  <c r="A5739"/>
  <c r="A5740"/>
  <c r="A5741"/>
  <c r="A5742"/>
  <c r="A5743"/>
  <c r="A5744"/>
  <c r="A5745"/>
  <c r="A5746"/>
  <c r="A5747"/>
  <c r="A5749"/>
  <c r="M5748"/>
  <c r="M5750"/>
  <c r="I5751"/>
  <c r="H5751"/>
  <c r="E5751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71"/>
  <c r="M5772"/>
  <c r="A5773"/>
  <c r="A5774"/>
  <c r="A5775"/>
  <c r="A5776"/>
  <c r="A5777"/>
  <c r="A5778"/>
  <c r="A5779"/>
  <c r="A5780"/>
  <c r="A5781"/>
  <c r="A5782"/>
  <c r="A5783"/>
  <c r="A5784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E5790"/>
  <c r="I5760"/>
  <c r="H5790"/>
  <c r="D5790"/>
  <c r="H5760"/>
  <c r="M5791"/>
  <c r="M5792"/>
  <c r="M5793"/>
  <c r="M5794"/>
  <c r="M5795"/>
  <c r="M5798"/>
  <c r="A5799"/>
  <c r="A5800"/>
  <c r="A5801"/>
  <c r="A5802"/>
  <c r="A5803"/>
  <c r="A5804"/>
  <c r="A5805"/>
  <c r="A5807"/>
  <c r="A5808"/>
  <c r="A5809"/>
  <c r="A5810"/>
  <c r="A5811"/>
  <c r="A5812"/>
  <c r="A5813"/>
  <c r="A5814"/>
  <c r="A5815"/>
  <c r="A5816"/>
  <c r="A5817"/>
  <c r="A5819"/>
  <c r="A5820"/>
  <c r="A5821"/>
  <c r="A5822"/>
  <c r="A5823"/>
  <c r="A5824"/>
  <c r="A5825"/>
  <c r="A5827"/>
  <c r="A5828"/>
  <c r="A5829"/>
  <c r="A5830"/>
  <c r="A5831"/>
  <c r="A5833"/>
  <c r="A5834"/>
  <c r="A5837"/>
  <c r="A5838"/>
  <c r="A5839"/>
  <c r="A5841"/>
  <c r="A5842"/>
  <c r="A5843"/>
  <c r="A5844"/>
  <c r="A5846"/>
  <c r="A5847"/>
  <c r="A5848"/>
  <c r="A5849"/>
  <c r="A5851"/>
  <c r="A5852"/>
  <c r="A5853"/>
  <c r="A5854"/>
  <c r="A5855"/>
  <c r="A5856"/>
  <c r="A5857"/>
  <c r="A5858"/>
  <c r="A5860"/>
  <c r="A5861"/>
  <c r="A5863"/>
  <c r="A5864"/>
  <c r="A5865"/>
  <c r="A5866"/>
  <c r="A5867"/>
  <c r="A5868"/>
  <c r="A5869"/>
  <c r="A5870"/>
  <c r="A5872"/>
  <c r="A5873"/>
  <c r="A5874"/>
  <c r="A5875"/>
  <c r="A5876"/>
  <c r="A5877"/>
  <c r="A5880"/>
  <c r="A5882"/>
  <c r="A5883"/>
  <c r="A5884"/>
  <c r="A5885"/>
  <c r="A5886"/>
  <c r="A5889"/>
  <c r="A5890"/>
  <c r="A5891"/>
  <c r="A5892"/>
  <c r="A5893"/>
  <c r="A5896"/>
  <c r="A5897"/>
  <c r="A5898"/>
  <c r="A5899"/>
  <c r="A5900"/>
  <c r="A5901"/>
  <c r="A5902"/>
  <c r="A5903"/>
  <c r="A5904"/>
  <c r="A5905"/>
  <c r="A5906"/>
  <c r="A5909"/>
  <c r="A5910"/>
  <c r="A5911"/>
  <c r="A5913"/>
  <c r="A5914"/>
  <c r="A5915"/>
  <c r="A5917"/>
  <c r="A5918"/>
  <c r="A5919"/>
  <c r="A5920"/>
  <c r="A5924"/>
  <c r="A5925"/>
  <c r="A5926"/>
  <c r="A5927"/>
  <c r="A5928"/>
  <c r="A5929"/>
  <c r="M5799"/>
  <c r="M5800"/>
  <c r="M5801"/>
  <c r="M5802"/>
  <c r="M5803"/>
  <c r="M5804"/>
  <c r="M5805"/>
  <c r="M5806"/>
  <c r="M5818"/>
  <c r="M5826"/>
  <c r="M5832"/>
  <c r="M5840"/>
  <c r="M5845"/>
  <c r="M5850"/>
  <c r="M5859"/>
  <c r="M5862"/>
  <c r="M5871"/>
  <c r="M5881"/>
  <c r="M5887"/>
  <c r="M5888"/>
  <c r="M5894"/>
  <c r="M5895"/>
  <c r="M5907"/>
  <c r="M5908"/>
  <c r="M5912"/>
  <c r="M5916"/>
  <c r="M5923"/>
  <c r="M5935"/>
  <c r="M5939"/>
  <c r="M5954"/>
  <c r="M6023"/>
  <c r="A6025"/>
  <c r="A6026"/>
  <c r="A6027"/>
  <c r="A6028"/>
  <c r="A6029"/>
  <c r="A6030"/>
  <c r="A6032"/>
  <c r="A6033"/>
  <c r="A6034"/>
  <c r="A6035"/>
  <c r="A6036"/>
  <c r="A6038"/>
  <c r="A6039"/>
  <c r="A6040"/>
  <c r="A6041"/>
  <c r="A6042"/>
  <c r="A6043"/>
  <c r="A6044"/>
  <c r="A6045"/>
  <c r="A6046"/>
  <c r="A6047"/>
  <c r="A6048"/>
  <c r="A6049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4"/>
  <c r="A6075"/>
  <c r="A6076"/>
  <c r="A6077"/>
  <c r="A6078"/>
  <c r="A6079"/>
  <c r="A6080"/>
  <c r="M6031"/>
  <c r="M6037"/>
  <c r="M6073"/>
  <c r="M6081"/>
  <c r="M6082"/>
  <c r="M6085"/>
  <c r="M6095"/>
  <c r="M6104"/>
  <c r="M6119"/>
  <c r="M6130"/>
  <c r="M6145"/>
  <c r="M6157"/>
  <c r="I6167"/>
  <c r="H6167"/>
  <c r="E6167"/>
  <c r="M6167"/>
  <c r="M6168"/>
  <c r="A6173"/>
  <c r="M6169"/>
  <c r="M6170"/>
  <c r="M6171"/>
  <c r="M6172"/>
  <c r="M6173"/>
  <c r="M6175"/>
  <c r="M6176"/>
  <c r="M6177"/>
  <c r="M6178"/>
  <c r="M6179"/>
  <c r="A6180"/>
  <c r="M6180"/>
  <c r="M6181"/>
  <c r="M6182"/>
  <c r="M6183"/>
  <c r="M6184"/>
  <c r="M6185"/>
  <c r="M6189"/>
  <c r="M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5"/>
  <c r="H6215"/>
  <c r="D6215"/>
  <c r="H6180"/>
  <c r="M6216"/>
  <c r="M6217"/>
  <c r="M6219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9"/>
  <c r="A6250"/>
  <c r="A6251"/>
  <c r="A6252"/>
  <c r="A6253"/>
  <c r="A6254"/>
  <c r="M6224"/>
  <c r="J6224"/>
  <c r="M6225"/>
  <c r="J6225"/>
  <c r="M6248"/>
  <c r="I6255"/>
  <c r="H6255"/>
  <c r="E6255"/>
  <c r="M6255"/>
  <c r="M6256"/>
  <c r="M6257"/>
  <c r="M6258"/>
  <c r="M6259"/>
  <c r="M6260"/>
  <c r="M6261"/>
  <c r="M6262"/>
  <c r="M6263"/>
  <c r="M6264"/>
  <c r="M6265"/>
  <c r="M6266"/>
  <c r="M6270"/>
  <c r="M6271"/>
  <c r="A6272"/>
  <c r="A6273"/>
  <c r="A6274"/>
  <c r="A6275"/>
  <c r="A6276"/>
  <c r="A6277"/>
  <c r="A6278"/>
  <c r="A6279"/>
  <c r="A6280"/>
  <c r="A6281"/>
  <c r="A6282"/>
  <c r="A6283"/>
  <c r="M6272"/>
  <c r="M6273"/>
  <c r="M6274"/>
  <c r="M6275"/>
  <c r="M6276"/>
  <c r="M6277"/>
  <c r="M6278"/>
  <c r="M6279"/>
  <c r="M6280"/>
  <c r="M6281"/>
  <c r="M6282"/>
  <c r="M6283"/>
  <c r="M6284"/>
  <c r="M6285"/>
  <c r="M6286"/>
  <c r="E6286"/>
  <c r="I6261"/>
  <c r="H6286"/>
  <c r="D6286"/>
  <c r="H6261"/>
  <c r="M6287"/>
  <c r="M6288"/>
  <c r="M6290"/>
  <c r="M6291"/>
  <c r="M6294"/>
  <c r="M6295"/>
  <c r="M6296"/>
  <c r="M6297"/>
  <c r="A6299"/>
  <c r="A6300"/>
  <c r="A6301"/>
  <c r="A6302"/>
  <c r="A6303"/>
  <c r="A6304"/>
  <c r="A6305"/>
  <c r="A6306"/>
  <c r="A6307"/>
  <c r="A6308"/>
  <c r="M6309"/>
  <c r="A6311"/>
  <c r="A6312"/>
  <c r="A6313"/>
  <c r="A6314"/>
  <c r="A6315"/>
  <c r="A6316"/>
  <c r="M6317"/>
  <c r="A6319"/>
  <c r="A6320"/>
  <c r="A6321"/>
  <c r="A6322"/>
  <c r="A6323"/>
  <c r="A6324"/>
  <c r="A6325"/>
  <c r="A6326"/>
  <c r="A6327"/>
  <c r="A6328"/>
  <c r="A6329"/>
  <c r="A6330"/>
  <c r="A6333"/>
  <c r="A6334"/>
  <c r="A6335"/>
  <c r="A6336"/>
  <c r="A6337"/>
  <c r="A6338"/>
  <c r="A6339"/>
  <c r="I6340"/>
  <c r="H6340"/>
  <c r="D6340"/>
  <c r="E6340"/>
  <c r="M6340"/>
  <c r="M6341"/>
  <c r="A6344"/>
  <c r="M6342"/>
  <c r="M6343"/>
  <c r="M6344"/>
  <c r="M6345"/>
  <c r="M6346"/>
  <c r="M6347"/>
  <c r="M6348"/>
  <c r="M6349"/>
  <c r="M6350"/>
  <c r="M6351"/>
  <c r="M6352"/>
  <c r="M6353"/>
  <c r="M6354"/>
  <c r="M6355"/>
  <c r="M6356"/>
  <c r="M6360"/>
  <c r="M6361"/>
  <c r="A6362"/>
  <c r="A6363"/>
  <c r="A6364"/>
  <c r="A6365"/>
  <c r="A6366"/>
  <c r="A6367"/>
  <c r="A6368"/>
  <c r="A6369"/>
  <c r="A6370"/>
  <c r="A6371"/>
  <c r="A6372"/>
  <c r="A6373"/>
  <c r="M6362"/>
  <c r="M6363"/>
  <c r="M6364"/>
  <c r="M6365"/>
  <c r="M6366"/>
  <c r="M6367"/>
  <c r="M6368"/>
  <c r="M6369"/>
  <c r="M6370"/>
  <c r="M6371"/>
  <c r="M6372"/>
  <c r="M6373"/>
  <c r="M6374"/>
  <c r="M6375"/>
  <c r="E6376"/>
  <c r="I6349"/>
  <c r="H6376"/>
  <c r="D6376"/>
  <c r="H6349"/>
  <c r="M6377"/>
  <c r="M6378"/>
  <c r="M6379"/>
  <c r="M6380"/>
  <c r="M6381"/>
  <c r="M6384"/>
  <c r="A6388"/>
  <c r="A6389"/>
  <c r="A6390"/>
  <c r="A6391"/>
  <c r="A6392"/>
  <c r="A6393"/>
  <c r="A6394"/>
  <c r="A6395"/>
  <c r="A6396"/>
  <c r="A6397"/>
  <c r="A6398"/>
  <c r="A6399"/>
  <c r="A6400"/>
  <c r="M6401"/>
  <c r="A6403"/>
  <c r="A6404"/>
  <c r="A6406"/>
  <c r="A6407"/>
  <c r="A6409"/>
  <c r="A6410"/>
  <c r="A6411"/>
  <c r="A6413"/>
  <c r="A6414"/>
  <c r="A6415"/>
  <c r="A6416"/>
  <c r="A6417"/>
  <c r="A6418"/>
  <c r="A6419"/>
  <c r="A6420"/>
  <c r="A6423"/>
  <c r="A6424"/>
  <c r="A6425"/>
  <c r="A6426"/>
  <c r="A6427"/>
  <c r="A6428"/>
  <c r="A6429"/>
  <c r="A6430"/>
  <c r="A6431"/>
  <c r="A6432"/>
  <c r="A6433"/>
  <c r="A6434"/>
  <c r="A6435"/>
  <c r="M6405"/>
  <c r="M6408"/>
  <c r="M6412"/>
  <c r="M6436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M6458"/>
  <c r="M6459"/>
  <c r="A6461"/>
  <c r="A6462"/>
  <c r="A6463"/>
  <c r="A6466"/>
  <c r="A6467"/>
  <c r="A6468"/>
  <c r="A6470"/>
  <c r="A6471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9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9"/>
  <c r="A6530"/>
  <c r="A6531"/>
  <c r="A6532"/>
  <c r="A6533"/>
  <c r="A6534"/>
  <c r="A6535"/>
  <c r="M6472"/>
  <c r="M6510"/>
  <c r="M6528"/>
  <c r="M6545"/>
  <c r="I6554"/>
  <c r="H6554"/>
  <c r="E6554"/>
  <c r="M6554"/>
  <c r="M6555"/>
  <c r="M6556"/>
  <c r="M6557"/>
  <c r="M6558"/>
  <c r="M6559"/>
  <c r="M6560"/>
  <c r="M6562"/>
  <c r="M6563"/>
  <c r="M6564"/>
  <c r="M6565"/>
  <c r="M6569"/>
  <c r="M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87"/>
  <c r="M6588"/>
  <c r="M6589"/>
  <c r="E6589"/>
  <c r="I6559"/>
  <c r="H6589"/>
  <c r="D6589"/>
  <c r="H6559"/>
  <c r="M6590"/>
  <c r="M6591"/>
  <c r="M6592"/>
  <c r="M6596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M6615"/>
  <c r="A6617"/>
  <c r="A6618"/>
  <c r="A6620"/>
  <c r="A6621"/>
  <c r="A6623"/>
  <c r="A6624"/>
  <c r="A6625"/>
  <c r="M6619"/>
  <c r="M6622"/>
  <c r="M6626"/>
  <c r="A6628"/>
  <c r="A6629"/>
  <c r="A6630"/>
  <c r="A6631"/>
  <c r="A6632"/>
  <c r="A6635"/>
  <c r="A6636"/>
  <c r="A6637"/>
  <c r="A6638"/>
  <c r="A6639"/>
  <c r="A6640"/>
  <c r="A6641"/>
  <c r="A6642"/>
  <c r="A6643"/>
  <c r="A6644"/>
  <c r="A6645"/>
  <c r="A6646"/>
  <c r="A6647"/>
  <c r="A6648"/>
  <c r="A6649"/>
  <c r="M6650"/>
  <c r="A6652"/>
  <c r="A6653"/>
  <c r="A6654"/>
  <c r="A6655"/>
  <c r="A6656"/>
  <c r="A6657"/>
  <c r="A6658"/>
  <c r="M6659"/>
  <c r="A6661"/>
  <c r="A6662"/>
  <c r="A6663"/>
  <c r="A6664"/>
  <c r="A6665"/>
  <c r="A6666"/>
  <c r="A6667"/>
  <c r="A6668"/>
  <c r="A6669"/>
  <c r="I6670"/>
  <c r="H6670"/>
  <c r="D6670"/>
  <c r="E6670"/>
  <c r="M6670"/>
  <c r="M6671"/>
  <c r="M6672"/>
  <c r="M6673"/>
  <c r="M6674"/>
  <c r="M6675"/>
  <c r="M6676"/>
  <c r="M6677"/>
  <c r="M6678"/>
  <c r="M6679"/>
  <c r="M6680"/>
  <c r="M6681"/>
  <c r="M6685"/>
  <c r="M6686"/>
  <c r="A6687"/>
  <c r="A6688"/>
  <c r="A6689"/>
  <c r="A6690"/>
  <c r="A6691"/>
  <c r="A6692"/>
  <c r="A6693"/>
  <c r="A6694"/>
  <c r="A6695"/>
  <c r="A6696"/>
  <c r="A6697"/>
  <c r="A6698"/>
  <c r="A6699"/>
  <c r="A6700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H6702"/>
  <c r="D6702"/>
  <c r="H6675"/>
  <c r="M6703"/>
  <c r="M6704"/>
  <c r="M6705"/>
  <c r="M6706"/>
  <c r="M6709"/>
  <c r="A6712"/>
  <c r="A6713"/>
  <c r="A6715"/>
  <c r="A6717"/>
  <c r="A6718"/>
  <c r="A6719"/>
  <c r="A6720"/>
  <c r="A6716"/>
  <c r="A6722"/>
  <c r="M6725"/>
  <c r="A6727"/>
  <c r="A6728"/>
  <c r="A6729"/>
  <c r="A6731"/>
  <c r="A6732"/>
  <c r="A6733"/>
  <c r="A6734"/>
  <c r="A6735"/>
  <c r="A6737"/>
  <c r="A6738"/>
  <c r="A6739"/>
  <c r="A6740"/>
  <c r="A6741"/>
  <c r="A6742"/>
  <c r="A6743"/>
  <c r="A6744"/>
  <c r="A6745"/>
  <c r="A6748"/>
  <c r="A6749"/>
  <c r="A6751"/>
  <c r="A6752"/>
  <c r="A6753"/>
  <c r="A6754"/>
  <c r="A6755"/>
  <c r="A6756"/>
  <c r="A6757"/>
  <c r="A6758"/>
  <c r="A6759"/>
  <c r="A6760"/>
  <c r="A6761"/>
  <c r="M6730"/>
  <c r="M6736"/>
  <c r="M6750"/>
  <c r="M6762"/>
  <c r="A6764"/>
  <c r="A6765"/>
  <c r="A6766"/>
  <c r="A6767"/>
  <c r="A6768"/>
  <c r="A6769"/>
  <c r="A6771"/>
  <c r="A6772"/>
  <c r="A6773"/>
  <c r="A6774"/>
  <c r="A6775"/>
  <c r="A6776"/>
  <c r="A6777"/>
  <c r="A6778"/>
  <c r="A6779"/>
  <c r="A6780"/>
  <c r="A6781"/>
  <c r="A6782"/>
  <c r="A6784"/>
  <c r="A6785"/>
  <c r="A6786"/>
  <c r="A6787"/>
  <c r="A6788"/>
  <c r="A6791"/>
  <c r="M6770"/>
  <c r="M6771"/>
  <c r="J6771"/>
  <c r="M6772"/>
  <c r="J6772"/>
  <c r="M6773"/>
  <c r="J6773"/>
  <c r="M6774"/>
  <c r="J6774"/>
  <c r="M6775"/>
  <c r="J6775"/>
  <c r="M6776"/>
  <c r="J6776"/>
  <c r="M6777"/>
  <c r="J6777"/>
  <c r="M6778"/>
  <c r="J6778"/>
  <c r="M6779"/>
  <c r="J6779"/>
  <c r="M6780"/>
  <c r="J6780"/>
  <c r="M6781"/>
  <c r="J6781"/>
  <c r="M6782"/>
  <c r="J6782"/>
  <c r="M6783"/>
  <c r="M6784"/>
  <c r="J6784"/>
  <c r="M6785"/>
  <c r="J6785"/>
  <c r="M6786"/>
  <c r="J6786"/>
  <c r="M6787"/>
  <c r="J6787"/>
  <c r="M6788"/>
  <c r="J6788"/>
  <c r="M6791"/>
  <c r="J6791"/>
  <c r="M6792"/>
  <c r="J6792"/>
  <c r="M6793"/>
  <c r="J6793"/>
  <c r="M6794"/>
  <c r="J6794"/>
  <c r="M6795"/>
  <c r="J6795"/>
  <c r="M6796"/>
  <c r="J6796"/>
  <c r="M6797"/>
  <c r="J6797"/>
  <c r="M6798"/>
  <c r="J6798"/>
  <c r="M6799"/>
  <c r="J6799"/>
  <c r="M6800"/>
  <c r="M6801"/>
  <c r="J6801"/>
  <c r="M6802"/>
  <c r="J6802"/>
  <c r="M6803"/>
  <c r="J6803"/>
  <c r="M6804"/>
  <c r="J6804"/>
  <c r="M6805"/>
  <c r="J6805"/>
  <c r="M6806"/>
  <c r="J6806"/>
  <c r="M6807"/>
  <c r="J6807"/>
  <c r="M6808"/>
  <c r="J6808"/>
  <c r="M6809"/>
  <c r="J6809"/>
  <c r="M6810"/>
  <c r="J6810"/>
  <c r="M6811"/>
  <c r="J6811"/>
  <c r="M6812"/>
  <c r="J6812"/>
  <c r="M6813"/>
  <c r="J6813"/>
  <c r="M6814"/>
  <c r="J6814"/>
  <c r="M6815"/>
  <c r="J6815"/>
  <c r="M6816"/>
  <c r="J6816"/>
  <c r="M6817"/>
  <c r="J6817"/>
  <c r="M6818"/>
  <c r="J6818"/>
  <c r="I6819"/>
  <c r="H6819"/>
  <c r="D6819"/>
  <c r="E6819"/>
  <c r="M6819"/>
  <c r="M6820"/>
  <c r="M6821"/>
  <c r="M6822"/>
  <c r="M6823"/>
  <c r="M6824"/>
  <c r="M6825"/>
  <c r="M6826"/>
  <c r="M6827"/>
  <c r="M6829"/>
  <c r="M6830"/>
  <c r="M6831"/>
  <c r="M6832"/>
  <c r="M6836"/>
  <c r="M6837"/>
  <c r="A6838"/>
  <c r="A6839"/>
  <c r="A6840"/>
  <c r="A6841"/>
  <c r="A6842"/>
  <c r="A6843"/>
  <c r="A6844"/>
  <c r="A6845"/>
  <c r="A6846"/>
  <c r="A6847"/>
  <c r="A6848"/>
  <c r="A6849"/>
  <c r="A6850"/>
  <c r="A6851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E6853"/>
  <c r="I6826"/>
  <c r="H6853"/>
  <c r="D6853"/>
  <c r="H6826"/>
  <c r="A6864"/>
  <c r="A6865"/>
  <c r="A6873"/>
  <c r="M6877"/>
  <c r="A6879"/>
  <c r="A6880"/>
  <c r="A6881"/>
  <c r="A6883"/>
  <c r="A6884"/>
  <c r="A6885"/>
  <c r="A6886"/>
  <c r="A6887"/>
  <c r="A6890"/>
  <c r="A6891"/>
  <c r="A6892"/>
  <c r="A6893"/>
  <c r="A6894"/>
  <c r="A6895"/>
  <c r="A6896"/>
  <c r="A6897"/>
  <c r="A6900"/>
  <c r="A6901"/>
  <c r="A6902"/>
  <c r="A6904"/>
  <c r="A6905"/>
  <c r="A6906"/>
  <c r="A6907"/>
  <c r="A6908"/>
  <c r="A6909"/>
  <c r="A6910"/>
  <c r="A6911"/>
  <c r="A6912"/>
  <c r="A6913"/>
  <c r="A6914"/>
  <c r="A6917"/>
  <c r="A6918"/>
  <c r="M6882"/>
  <c r="M6888"/>
  <c r="M6889"/>
  <c r="M6903"/>
  <c r="M6915"/>
  <c r="M6916"/>
  <c r="I6924"/>
  <c r="H6924"/>
  <c r="D6924"/>
  <c r="E6924"/>
  <c r="A6943"/>
  <c r="A6944"/>
  <c r="A6945"/>
  <c r="A6946"/>
  <c r="A6947"/>
  <c r="A6948"/>
  <c r="A6949"/>
  <c r="A6950"/>
  <c r="A6951"/>
  <c r="A6952"/>
  <c r="A6953"/>
  <c r="A6954"/>
  <c r="E6959"/>
  <c r="I6931"/>
  <c r="H6959"/>
  <c r="D6959"/>
  <c r="H6931"/>
  <c r="M6962"/>
  <c r="M6963"/>
  <c r="M6964"/>
  <c r="M6968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2"/>
  <c r="A6993"/>
  <c r="A6994"/>
  <c r="A6995"/>
  <c r="A6996"/>
  <c r="A6997"/>
  <c r="A6998"/>
  <c r="A6999"/>
  <c r="A7000"/>
  <c r="A7001"/>
  <c r="A7002"/>
  <c r="A7003"/>
  <c r="A7004"/>
  <c r="A7007"/>
  <c r="A7008"/>
  <c r="A7009"/>
  <c r="A7010"/>
  <c r="A7011"/>
  <c r="A7012"/>
  <c r="A7013"/>
  <c r="A7014"/>
  <c r="A7015"/>
  <c r="A7016"/>
  <c r="M6991"/>
  <c r="M7017"/>
  <c r="A7019"/>
  <c r="A7020"/>
  <c r="A7021"/>
  <c r="M7035"/>
  <c r="A7037"/>
  <c r="A7038"/>
  <c r="A7039"/>
  <c r="M7054"/>
  <c r="A7056"/>
  <c r="A7057"/>
  <c r="A7060"/>
  <c r="A7062"/>
  <c r="A7063"/>
  <c r="A7064"/>
  <c r="A7067"/>
  <c r="A7068"/>
  <c r="A7069"/>
  <c r="A7070"/>
  <c r="A7071"/>
  <c r="A7072"/>
  <c r="A7073"/>
  <c r="A7074"/>
  <c r="A7075"/>
  <c r="A7076"/>
  <c r="A7077"/>
  <c r="M7078"/>
  <c r="A7080"/>
  <c r="A7081"/>
  <c r="A7082"/>
  <c r="I7083"/>
  <c r="H7083"/>
  <c r="E7083"/>
  <c r="M7083"/>
  <c r="M7084"/>
  <c r="M7085"/>
  <c r="M7086"/>
  <c r="M7087"/>
  <c r="M7088"/>
  <c r="M7089"/>
  <c r="M7090"/>
  <c r="M7091"/>
  <c r="M7092"/>
  <c r="M7093"/>
  <c r="M7097"/>
  <c r="M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H7121"/>
  <c r="D7121"/>
  <c r="H7088"/>
  <c r="M7122"/>
  <c r="M7123"/>
  <c r="M7124"/>
  <c r="M7125"/>
  <c r="M7126"/>
  <c r="M7129"/>
  <c r="A7131"/>
  <c r="A7132"/>
  <c r="A7133"/>
  <c r="A7134"/>
  <c r="A7135"/>
  <c r="A7136"/>
  <c r="A7137"/>
  <c r="A7138"/>
  <c r="A7140"/>
  <c r="A7141"/>
  <c r="A7142"/>
  <c r="A7143"/>
  <c r="A7144"/>
  <c r="A7145"/>
  <c r="A7146"/>
  <c r="A7147"/>
  <c r="A7148"/>
  <c r="A7149"/>
  <c r="A7150"/>
  <c r="A7151"/>
  <c r="M7139"/>
  <c r="M7152"/>
  <c r="A7154"/>
  <c r="A7155"/>
  <c r="A7156"/>
  <c r="A7157"/>
  <c r="A7158"/>
  <c r="M7169"/>
  <c r="A7171"/>
  <c r="A7172"/>
  <c r="A7173"/>
  <c r="A7174"/>
  <c r="A7175"/>
  <c r="I7176"/>
  <c r="H7176"/>
  <c r="E7176"/>
  <c r="M7176"/>
  <c r="M7177"/>
  <c r="M7178"/>
  <c r="M7179"/>
  <c r="M7180"/>
  <c r="M7181"/>
  <c r="M7182"/>
  <c r="M7183"/>
  <c r="M7184"/>
  <c r="M7185"/>
  <c r="M7186"/>
  <c r="M7190"/>
  <c r="D7191"/>
  <c r="M7191"/>
  <c r="A7192"/>
  <c r="A7193"/>
  <c r="A7194"/>
  <c r="A7195"/>
  <c r="A7196"/>
  <c r="A7197"/>
  <c r="A7198"/>
  <c r="A7199"/>
  <c r="A7200"/>
  <c r="A7201"/>
  <c r="A7202"/>
  <c r="A7203"/>
  <c r="A7204"/>
  <c r="A7205"/>
  <c r="D7192"/>
  <c r="M7192"/>
  <c r="M7193"/>
  <c r="D7194"/>
  <c r="M7194"/>
  <c r="D7195"/>
  <c r="M7195"/>
  <c r="D7196"/>
  <c r="M7196"/>
  <c r="M7197"/>
  <c r="M7198"/>
  <c r="D7199"/>
  <c r="M7199"/>
  <c r="D7200"/>
  <c r="M7200"/>
  <c r="D7201"/>
  <c r="M7201"/>
  <c r="D7202"/>
  <c r="M7202"/>
  <c r="D7203"/>
  <c r="M7203"/>
  <c r="D7204"/>
  <c r="M7204"/>
  <c r="D7205"/>
  <c r="M7205"/>
  <c r="M7206"/>
  <c r="M7207"/>
  <c r="M7209"/>
  <c r="M7210"/>
  <c r="M7211"/>
  <c r="M7212"/>
  <c r="M7213"/>
  <c r="M7214"/>
  <c r="M7217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3"/>
  <c r="A7244"/>
  <c r="A7245"/>
  <c r="M7242"/>
  <c r="M7248"/>
  <c r="M7261"/>
  <c r="M7273"/>
  <c r="M7297"/>
  <c r="M7298"/>
  <c r="A7302"/>
  <c r="A7303"/>
  <c r="A7304"/>
  <c r="A7305"/>
  <c r="A7306"/>
  <c r="A7307"/>
  <c r="A7308"/>
  <c r="A7309"/>
  <c r="M7310"/>
  <c r="I7311"/>
  <c r="H7311"/>
  <c r="E7311"/>
  <c r="M7311"/>
  <c r="M7312"/>
  <c r="M7313"/>
  <c r="M7314"/>
  <c r="M7315"/>
  <c r="M7316"/>
  <c r="M7317"/>
  <c r="M7318"/>
  <c r="M7319"/>
  <c r="M7320"/>
  <c r="M7321"/>
  <c r="M7322"/>
  <c r="M7323"/>
  <c r="M7324"/>
  <c r="M7328"/>
  <c r="M7329"/>
  <c r="A7330"/>
  <c r="A7331"/>
  <c r="A7332"/>
  <c r="A7333"/>
  <c r="A7334"/>
  <c r="A7335"/>
  <c r="A7336"/>
  <c r="A7337"/>
  <c r="A7338"/>
  <c r="A7339"/>
  <c r="A7340"/>
  <c r="A7341"/>
  <c r="A7342"/>
  <c r="M7330"/>
  <c r="M7331"/>
  <c r="M7332"/>
  <c r="M7333"/>
  <c r="M7334"/>
  <c r="M7335"/>
  <c r="M7336"/>
  <c r="M7337"/>
  <c r="M7338"/>
  <c r="M7339"/>
  <c r="M7340"/>
  <c r="M7341"/>
  <c r="M7342"/>
  <c r="M7343"/>
  <c r="M7344"/>
  <c r="E7344"/>
  <c r="I7318"/>
  <c r="H7344"/>
  <c r="D7344"/>
  <c r="H7318"/>
  <c r="M7345"/>
  <c r="M7346"/>
  <c r="M7347"/>
  <c r="M7348"/>
  <c r="M7349"/>
  <c r="M7352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91"/>
  <c r="A7392"/>
  <c r="A7393"/>
  <c r="A7394"/>
  <c r="A7395"/>
  <c r="A7396"/>
  <c r="A7397"/>
  <c r="M7398"/>
  <c r="A7400"/>
  <c r="A7401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M7423"/>
  <c r="A7425"/>
  <c r="A7426"/>
  <c r="A7427"/>
  <c r="M7428"/>
  <c r="I7429"/>
  <c r="H7429"/>
  <c r="E7429"/>
  <c r="M7429"/>
  <c r="M7430"/>
  <c r="M7431"/>
  <c r="M7432"/>
  <c r="M7433"/>
  <c r="M7434"/>
  <c r="M7435"/>
  <c r="M7436"/>
  <c r="M7437"/>
  <c r="M7438"/>
  <c r="M7439"/>
  <c r="M7440"/>
  <c r="M7441"/>
  <c r="M7445"/>
  <c r="M7446"/>
  <c r="M7447"/>
  <c r="M7448"/>
  <c r="M7449"/>
  <c r="M7450"/>
  <c r="M7451"/>
  <c r="M7452"/>
  <c r="M7453"/>
  <c r="M7454"/>
  <c r="M7455"/>
  <c r="M7456"/>
  <c r="M7457"/>
  <c r="M7459"/>
  <c r="M7460"/>
  <c r="M7461"/>
  <c r="M7462"/>
  <c r="M7463"/>
  <c r="M7464"/>
  <c r="M7465"/>
  <c r="M7466"/>
  <c r="M7467"/>
  <c r="E7467"/>
  <c r="I7434"/>
  <c r="D7467"/>
  <c r="H7434"/>
  <c r="M7468"/>
  <c r="M7470"/>
  <c r="M7474"/>
  <c r="A7476"/>
  <c r="A7477"/>
  <c r="A7478"/>
  <c r="A7480"/>
  <c r="A7481"/>
  <c r="A7482"/>
  <c r="A7483"/>
  <c r="A7484"/>
  <c r="A7485"/>
  <c r="A7486"/>
  <c r="A7487"/>
  <c r="A7488"/>
  <c r="A7489"/>
  <c r="A7490"/>
  <c r="A7491"/>
  <c r="A7492"/>
  <c r="A7494"/>
  <c r="A7495"/>
  <c r="A7496"/>
  <c r="M7493"/>
  <c r="M7521"/>
  <c r="I7525"/>
  <c r="H7525"/>
  <c r="E7525"/>
  <c r="M7525"/>
  <c r="M7526"/>
  <c r="M7527"/>
  <c r="M7528"/>
  <c r="A7530"/>
  <c r="M7529"/>
  <c r="M7530"/>
  <c r="M7531"/>
  <c r="M7532"/>
  <c r="M7533"/>
  <c r="M7534"/>
  <c r="M7535"/>
  <c r="M7536"/>
  <c r="M7537"/>
  <c r="M7538"/>
  <c r="M7542"/>
  <c r="M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M7544"/>
  <c r="M7545"/>
  <c r="M7546"/>
  <c r="M7547"/>
  <c r="M7548"/>
  <c r="M7549"/>
  <c r="M7550"/>
  <c r="M7551"/>
  <c r="M7552"/>
  <c r="M7553"/>
  <c r="M7554"/>
  <c r="M7555"/>
  <c r="M7556"/>
  <c r="M7557"/>
  <c r="M7558"/>
  <c r="M7560"/>
  <c r="M7561"/>
  <c r="E7561"/>
  <c r="I7533"/>
  <c r="H7561"/>
  <c r="D7561"/>
  <c r="H7533"/>
  <c r="M7562"/>
  <c r="M7563"/>
  <c r="M7564"/>
  <c r="M7565"/>
  <c r="M7566"/>
  <c r="M7569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5"/>
  <c r="A7596"/>
  <c r="A7597"/>
  <c r="A7598"/>
  <c r="A7599"/>
  <c r="A7600"/>
  <c r="A7604"/>
  <c r="A7605"/>
  <c r="A7606"/>
  <c r="A7607"/>
  <c r="A7608"/>
  <c r="A7609"/>
  <c r="A7610"/>
  <c r="A7611"/>
  <c r="A7612"/>
  <c r="A7613"/>
  <c r="A7614"/>
  <c r="A7615"/>
  <c r="A7616"/>
  <c r="A7617"/>
  <c r="A7618"/>
  <c r="M7594"/>
  <c r="M7603"/>
  <c r="M7619"/>
  <c r="M7634"/>
  <c r="H7673"/>
  <c r="E7673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92"/>
  <c r="M7693"/>
  <c r="A7694"/>
  <c r="A7695"/>
  <c r="A7696"/>
  <c r="A7697"/>
  <c r="A7698"/>
  <c r="A7699"/>
  <c r="A7700"/>
  <c r="A7701"/>
  <c r="A7702"/>
  <c r="A7703"/>
  <c r="A7704"/>
  <c r="A7705"/>
  <c r="A7706"/>
  <c r="A7707"/>
  <c r="A7708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E7710"/>
  <c r="I7681"/>
  <c r="H7710"/>
  <c r="D7710"/>
  <c r="H7681"/>
  <c r="M7711"/>
  <c r="M7712"/>
  <c r="M7713"/>
  <c r="M7714"/>
  <c r="M7715"/>
  <c r="M7718"/>
  <c r="M7719"/>
  <c r="M7720"/>
  <c r="A7722"/>
  <c r="A7723"/>
  <c r="A7724"/>
  <c r="A7725"/>
  <c r="A7726"/>
  <c r="A7727"/>
  <c r="A7728"/>
  <c r="A7729"/>
  <c r="A7730"/>
  <c r="A7731"/>
  <c r="A7732"/>
  <c r="A7733"/>
  <c r="A7734"/>
  <c r="A7735"/>
  <c r="M7746"/>
  <c r="M7764"/>
  <c r="H7778"/>
  <c r="E7778"/>
  <c r="M7778"/>
  <c r="M7779"/>
  <c r="M7780"/>
  <c r="M7781"/>
  <c r="M7782"/>
  <c r="M7783"/>
  <c r="M7784"/>
  <c r="M7785"/>
  <c r="M7786"/>
  <c r="M7787"/>
  <c r="M7788"/>
  <c r="M7789"/>
  <c r="M7790"/>
  <c r="M7794"/>
  <c r="M7795"/>
  <c r="A7796"/>
  <c r="A7797"/>
  <c r="A7798"/>
  <c r="A7799"/>
  <c r="A7800"/>
  <c r="A7801"/>
  <c r="A7802"/>
  <c r="A7803"/>
  <c r="A7804"/>
  <c r="A7805"/>
  <c r="A7806"/>
  <c r="A7807"/>
  <c r="A7808"/>
  <c r="A7809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E7813"/>
  <c r="I7784"/>
  <c r="H7813"/>
  <c r="D7813"/>
  <c r="H7784"/>
  <c r="M7814"/>
  <c r="M7815"/>
  <c r="M7816"/>
  <c r="M7817"/>
  <c r="M7820"/>
  <c r="A7821"/>
  <c r="A7822"/>
  <c r="A7824"/>
  <c r="M7821"/>
  <c r="M7823"/>
  <c r="A7827"/>
  <c r="A7828"/>
  <c r="A7829"/>
  <c r="A7830"/>
  <c r="A7831"/>
  <c r="A7832"/>
  <c r="A7833"/>
  <c r="A7834"/>
  <c r="A7835"/>
  <c r="A7836"/>
  <c r="A7837"/>
  <c r="A7838"/>
  <c r="A7839"/>
  <c r="M7836"/>
  <c r="I7840"/>
  <c r="H7840"/>
  <c r="E7840"/>
  <c r="M7840"/>
  <c r="M7841"/>
  <c r="M7842"/>
  <c r="M7843"/>
  <c r="M7844"/>
  <c r="M7845"/>
  <c r="M7846"/>
  <c r="M7847"/>
  <c r="M7848"/>
  <c r="M7849"/>
  <c r="M7850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D7870"/>
  <c r="H7845"/>
  <c r="E7870"/>
  <c r="I7845"/>
  <c r="H7870"/>
  <c r="M7871"/>
  <c r="M7872"/>
  <c r="M7873"/>
  <c r="M7874"/>
  <c r="M7875"/>
  <c r="M7878"/>
  <c r="M7879"/>
  <c r="J7879"/>
  <c r="M7880"/>
  <c r="A7881"/>
  <c r="A7882"/>
  <c r="A7883"/>
  <c r="A7885"/>
  <c r="A7886"/>
  <c r="A7887"/>
  <c r="A7888"/>
  <c r="A7889"/>
  <c r="A7890"/>
  <c r="A7891"/>
  <c r="A7892"/>
  <c r="A7893"/>
  <c r="A7894"/>
  <c r="A7895"/>
  <c r="A7896"/>
  <c r="M7897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5"/>
  <c r="A7936"/>
  <c r="A7937"/>
  <c r="A7938"/>
  <c r="A7939"/>
  <c r="A7940"/>
  <c r="A7941"/>
  <c r="A7942"/>
  <c r="A7943"/>
  <c r="A7944"/>
  <c r="A7946"/>
  <c r="A7947"/>
  <c r="A7948"/>
  <c r="A7949"/>
  <c r="A7950"/>
  <c r="A7951"/>
  <c r="A7952"/>
  <c r="A7953"/>
  <c r="A7954"/>
  <c r="A7955"/>
  <c r="A7956"/>
  <c r="A7957"/>
  <c r="A7960"/>
  <c r="A7961"/>
  <c r="A7962"/>
  <c r="A7964"/>
  <c r="A7965"/>
  <c r="A7966"/>
  <c r="A7967"/>
  <c r="A7968"/>
  <c r="A7969"/>
  <c r="A7970"/>
  <c r="A7971"/>
  <c r="A7972"/>
  <c r="A7973"/>
  <c r="A7974"/>
  <c r="M7917"/>
  <c r="M7934"/>
  <c r="M7945"/>
  <c r="M7963"/>
  <c r="C7975"/>
  <c r="M7975"/>
  <c r="I7975"/>
  <c r="H7975"/>
  <c r="E7975"/>
  <c r="M7976"/>
  <c r="A7978"/>
  <c r="M7977"/>
  <c r="M7978"/>
  <c r="M7979"/>
  <c r="M7980"/>
  <c r="M7981"/>
  <c r="M7982"/>
  <c r="M7983"/>
  <c r="M7984"/>
  <c r="M7985"/>
  <c r="M7986"/>
  <c r="M7987"/>
  <c r="M7988"/>
  <c r="M7989"/>
  <c r="M7993"/>
  <c r="M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E8015"/>
  <c r="I7982"/>
  <c r="H8015"/>
  <c r="D8015"/>
  <c r="H7982"/>
  <c r="M8016"/>
  <c r="M8017"/>
  <c r="M8018"/>
  <c r="M8019"/>
  <c r="M8020"/>
  <c r="M8023"/>
  <c r="M8024"/>
  <c r="A8025"/>
  <c r="A8026"/>
  <c r="A8027"/>
  <c r="A8028"/>
  <c r="A8029"/>
  <c r="M8025"/>
  <c r="M8030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M8057"/>
  <c r="I8060"/>
  <c r="H8060"/>
  <c r="E8060"/>
  <c r="M8060"/>
  <c r="M8061"/>
  <c r="M8062"/>
  <c r="M8063"/>
  <c r="M8064"/>
  <c r="M8065"/>
  <c r="M8066"/>
  <c r="M8067"/>
  <c r="M8068"/>
  <c r="M8069"/>
  <c r="M8070"/>
  <c r="M8074"/>
  <c r="M8075"/>
  <c r="A8076"/>
  <c r="A8077"/>
  <c r="A8078"/>
  <c r="A8079"/>
  <c r="A8080"/>
  <c r="A8081"/>
  <c r="A8082"/>
  <c r="A8083"/>
  <c r="A8084"/>
  <c r="A8085"/>
  <c r="A8086"/>
  <c r="A8087"/>
  <c r="A8088"/>
  <c r="A8089"/>
  <c r="A8090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E8094"/>
  <c r="I8065"/>
  <c r="H8094"/>
  <c r="D8094"/>
  <c r="H8065"/>
  <c r="M8095"/>
  <c r="M8096"/>
  <c r="M8097"/>
  <c r="M8098"/>
  <c r="M8099"/>
  <c r="M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41"/>
  <c r="A8142"/>
  <c r="A8144"/>
  <c r="A8145"/>
  <c r="A8146"/>
  <c r="A8148"/>
  <c r="A8149"/>
  <c r="A8150"/>
  <c r="A8151"/>
  <c r="A8152"/>
  <c r="A8153"/>
  <c r="A8155"/>
  <c r="A8156"/>
  <c r="A8157"/>
  <c r="A8159"/>
  <c r="A8160"/>
  <c r="A8161"/>
  <c r="A8162"/>
  <c r="A8163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M8143"/>
  <c r="M8147"/>
  <c r="M8154"/>
  <c r="M8158"/>
  <c r="M8164"/>
  <c r="M8184"/>
  <c r="A8186"/>
  <c r="A8187"/>
  <c r="A8188"/>
  <c r="A8189"/>
  <c r="A8190"/>
  <c r="A8191"/>
  <c r="A8192"/>
  <c r="I8193"/>
  <c r="H8193"/>
  <c r="D8193"/>
  <c r="E8193"/>
  <c r="M8193"/>
  <c r="M8194"/>
  <c r="M8195"/>
  <c r="M8196"/>
  <c r="M8197"/>
  <c r="M8198"/>
  <c r="M8199"/>
  <c r="M8200"/>
  <c r="M8201"/>
  <c r="M8202"/>
  <c r="M8203"/>
  <c r="M8207"/>
  <c r="M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A8226"/>
  <c r="A8227"/>
  <c r="A8228"/>
  <c r="A8229"/>
  <c r="A8230"/>
  <c r="M8226"/>
  <c r="M8227"/>
  <c r="M8228"/>
  <c r="M8229"/>
  <c r="M8230"/>
  <c r="M8231"/>
  <c r="M8232"/>
  <c r="M8233"/>
  <c r="E8233"/>
  <c r="I8198"/>
  <c r="D8233"/>
  <c r="H8198"/>
  <c r="M8234"/>
  <c r="M8235"/>
  <c r="M8236"/>
  <c r="M8237"/>
  <c r="M8240"/>
  <c r="A8241"/>
  <c r="A8242"/>
  <c r="A8243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5"/>
  <c r="A8266"/>
  <c r="A8267"/>
  <c r="A8268"/>
  <c r="A8269"/>
  <c r="A8271"/>
  <c r="A8272"/>
  <c r="A8273"/>
  <c r="A8275"/>
  <c r="A8276"/>
  <c r="A8279"/>
  <c r="A8281"/>
  <c r="A8282"/>
  <c r="A8283"/>
  <c r="A8284"/>
  <c r="A8286"/>
  <c r="A8287"/>
  <c r="A8289"/>
  <c r="A8290"/>
  <c r="A8291"/>
  <c r="A8293"/>
  <c r="A8294"/>
  <c r="A8295"/>
  <c r="A8296"/>
  <c r="A8298"/>
  <c r="A8299"/>
  <c r="M8241"/>
  <c r="M8242"/>
  <c r="M8244"/>
  <c r="M8264"/>
  <c r="M8270"/>
  <c r="M8274"/>
  <c r="M8280"/>
  <c r="M8285"/>
  <c r="M8288"/>
  <c r="M8292"/>
  <c r="M8297"/>
  <c r="M8300"/>
  <c r="I8301"/>
  <c r="H8301"/>
  <c r="E8301"/>
  <c r="M8301"/>
  <c r="M8302"/>
  <c r="M8303"/>
  <c r="M8304"/>
  <c r="M8305"/>
  <c r="M8306"/>
  <c r="M8307"/>
  <c r="M8308"/>
  <c r="M8309"/>
  <c r="M8310"/>
  <c r="M8311"/>
  <c r="M8312"/>
  <c r="M8313"/>
  <c r="M8317"/>
  <c r="M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E8339"/>
  <c r="I8306"/>
  <c r="H8339"/>
  <c r="D8339"/>
  <c r="H8306"/>
  <c r="M8340"/>
  <c r="M8341"/>
  <c r="M8342"/>
  <c r="M8343"/>
  <c r="M8346"/>
  <c r="M8347"/>
  <c r="J8347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3"/>
  <c r="A8374"/>
  <c r="A8375"/>
  <c r="A8376"/>
  <c r="A8377"/>
  <c r="M8372"/>
  <c r="M8373"/>
  <c r="M8374"/>
  <c r="M8375"/>
  <c r="M8376"/>
  <c r="M8377"/>
  <c r="M8378"/>
  <c r="A8380"/>
  <c r="I8381"/>
  <c r="H8381"/>
  <c r="E8381"/>
  <c r="M8381"/>
  <c r="M8382"/>
  <c r="M8383"/>
  <c r="M8384"/>
  <c r="M8385"/>
  <c r="M8386"/>
  <c r="M8387"/>
  <c r="M8388"/>
  <c r="M8389"/>
  <c r="M8390"/>
  <c r="M8391"/>
  <c r="M8392"/>
  <c r="M8396"/>
  <c r="M8397"/>
  <c r="M8398"/>
  <c r="M8399"/>
  <c r="M8400"/>
  <c r="M8401"/>
  <c r="M8402"/>
  <c r="M8403"/>
  <c r="M8404"/>
  <c r="M8405"/>
  <c r="M8406"/>
  <c r="M8407"/>
  <c r="M8408"/>
  <c r="M8409"/>
  <c r="M8410"/>
  <c r="M8411"/>
  <c r="M8412"/>
  <c r="H8412"/>
  <c r="D8412"/>
  <c r="H8387"/>
  <c r="M8413"/>
  <c r="M8414"/>
  <c r="M8415"/>
  <c r="M8416"/>
  <c r="M8419"/>
  <c r="M8420"/>
  <c r="A8421"/>
  <c r="A8422"/>
  <c r="A8423"/>
  <c r="A8424"/>
  <c r="A8425"/>
  <c r="M8421"/>
  <c r="M8426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M8448"/>
  <c r="I8451"/>
  <c r="H8451"/>
  <c r="E8451"/>
  <c r="M8451"/>
  <c r="M8452"/>
  <c r="M8453"/>
  <c r="M8454"/>
  <c r="M8455"/>
  <c r="M8456"/>
  <c r="M8457"/>
  <c r="M8458"/>
  <c r="M8459"/>
  <c r="M8460"/>
  <c r="M8461"/>
  <c r="M8465"/>
  <c r="M8466"/>
  <c r="A8467"/>
  <c r="A8468"/>
  <c r="A8469"/>
  <c r="A8470"/>
  <c r="A8471"/>
  <c r="A8472"/>
  <c r="A8473"/>
  <c r="A8474"/>
  <c r="A8475"/>
  <c r="A8476"/>
  <c r="A8477"/>
  <c r="A8478"/>
  <c r="M8467"/>
  <c r="M8468"/>
  <c r="M8469"/>
  <c r="M8470"/>
  <c r="M8471"/>
  <c r="M8472"/>
  <c r="M8473"/>
  <c r="M8474"/>
  <c r="M8475"/>
  <c r="M8476"/>
  <c r="M8477"/>
  <c r="M8478"/>
  <c r="M8479"/>
  <c r="M8480"/>
  <c r="E8480"/>
  <c r="I8456"/>
  <c r="H8480"/>
  <c r="D8480"/>
  <c r="H8456"/>
  <c r="D101" i="10"/>
  <c r="D114"/>
  <c r="D122"/>
  <c r="D132"/>
  <c r="D144"/>
  <c r="D157"/>
  <c r="D169"/>
  <c r="D182"/>
  <c r="D197"/>
  <c r="E197"/>
  <c r="E263"/>
  <c r="F197"/>
  <c r="D214"/>
  <c r="E214"/>
  <c r="E264"/>
  <c r="D223"/>
  <c r="D249"/>
  <c r="E223"/>
  <c r="E249"/>
  <c r="E265"/>
  <c r="E254"/>
  <c r="E255"/>
  <c r="E256"/>
  <c r="E257"/>
  <c r="E258"/>
  <c r="E259"/>
  <c r="E260"/>
  <c r="E261"/>
  <c r="E262"/>
  <c r="E266"/>
  <c r="D267"/>
  <c r="D294"/>
  <c r="E294"/>
  <c r="A11" i="23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G33"/>
  <c r="F42"/>
  <c r="F44"/>
  <c r="A45"/>
  <c r="A46"/>
  <c r="A47"/>
  <c r="A48"/>
  <c r="A49"/>
  <c r="A50"/>
  <c r="A51"/>
  <c r="A52"/>
  <c r="A53"/>
  <c r="A54"/>
  <c r="A55"/>
  <c r="A56"/>
  <c r="A57"/>
  <c r="A58"/>
  <c r="A59"/>
  <c r="A60"/>
  <c r="A61"/>
  <c r="F47"/>
  <c r="F48"/>
  <c r="F49"/>
  <c r="F52"/>
  <c r="F53"/>
  <c r="F54"/>
  <c r="F55"/>
  <c r="F56"/>
  <c r="F59"/>
  <c r="F60"/>
  <c r="F74"/>
  <c r="F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F77"/>
  <c r="F79"/>
  <c r="F80"/>
  <c r="F81"/>
  <c r="F84"/>
  <c r="F85"/>
  <c r="F86"/>
  <c r="F87"/>
  <c r="F88"/>
  <c r="F92"/>
  <c r="F94"/>
  <c r="F95"/>
  <c r="F98"/>
  <c r="F99"/>
  <c r="F100"/>
  <c r="G105"/>
  <c r="F115"/>
  <c r="A116"/>
  <c r="A117"/>
  <c r="A118"/>
  <c r="A119"/>
  <c r="A120"/>
  <c r="A121"/>
  <c r="A122"/>
  <c r="A123"/>
  <c r="A124"/>
  <c r="A125"/>
  <c r="A126"/>
  <c r="A127"/>
  <c r="A128"/>
  <c r="F116"/>
  <c r="F117"/>
  <c r="F118"/>
  <c r="F119"/>
  <c r="F120"/>
  <c r="F121"/>
  <c r="F122"/>
  <c r="F123"/>
  <c r="F124"/>
  <c r="F125"/>
  <c r="G130"/>
  <c r="G132"/>
  <c r="F141"/>
  <c r="F143"/>
  <c r="A144"/>
  <c r="A145"/>
  <c r="A146"/>
  <c r="A147"/>
  <c r="A148"/>
  <c r="A149"/>
  <c r="A150"/>
  <c r="A151"/>
  <c r="A152"/>
  <c r="A153"/>
  <c r="A154"/>
  <c r="A155"/>
  <c r="F146"/>
  <c r="F147"/>
  <c r="F148"/>
  <c r="F151"/>
  <c r="F152"/>
  <c r="F153"/>
  <c r="F154"/>
  <c r="F155"/>
  <c r="G157"/>
  <c r="G159"/>
  <c r="F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F171"/>
  <c r="F173"/>
  <c r="F174"/>
  <c r="F175"/>
  <c r="F178"/>
  <c r="F179"/>
  <c r="F180"/>
  <c r="F181"/>
  <c r="F182"/>
  <c r="F183"/>
  <c r="F184"/>
  <c r="F185"/>
  <c r="F186"/>
  <c r="F187"/>
  <c r="F188"/>
  <c r="G190"/>
  <c r="G192"/>
  <c r="F202"/>
  <c r="F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F205"/>
  <c r="F207"/>
  <c r="F208"/>
  <c r="F209"/>
  <c r="F212"/>
  <c r="F213"/>
  <c r="F214"/>
  <c r="F215"/>
  <c r="F216"/>
  <c r="F217"/>
  <c r="F218"/>
  <c r="F219"/>
  <c r="F220"/>
  <c r="F221"/>
  <c r="F222"/>
  <c r="G226"/>
  <c r="G228"/>
  <c r="F239"/>
  <c r="A240"/>
  <c r="F240"/>
  <c r="F242"/>
  <c r="A243"/>
  <c r="A244"/>
  <c r="A245"/>
  <c r="A246"/>
  <c r="A247"/>
  <c r="A248"/>
  <c r="A249"/>
  <c r="A250"/>
  <c r="A251"/>
  <c r="A252"/>
  <c r="A253"/>
  <c r="A254"/>
  <c r="A255"/>
  <c r="A256"/>
  <c r="A257"/>
  <c r="F243"/>
  <c r="F244"/>
  <c r="F247"/>
  <c r="F248"/>
  <c r="F249"/>
  <c r="F250"/>
  <c r="F251"/>
  <c r="F252"/>
  <c r="F253"/>
  <c r="F254"/>
  <c r="F255"/>
  <c r="F256"/>
  <c r="F257"/>
  <c r="G259"/>
  <c r="G261"/>
  <c r="F270"/>
  <c r="F272"/>
  <c r="A273"/>
  <c r="A274"/>
  <c r="A275"/>
  <c r="A276"/>
  <c r="A277"/>
  <c r="A278"/>
  <c r="A279"/>
  <c r="A280"/>
  <c r="A281"/>
  <c r="A282"/>
  <c r="A283"/>
  <c r="A284"/>
  <c r="F273"/>
  <c r="F275"/>
  <c r="F276"/>
  <c r="F277"/>
  <c r="F280"/>
  <c r="F281"/>
  <c r="F282"/>
  <c r="F283"/>
  <c r="F284"/>
  <c r="F298"/>
  <c r="F300"/>
  <c r="A301"/>
  <c r="A302"/>
  <c r="A303"/>
  <c r="A304"/>
  <c r="A305"/>
  <c r="A306"/>
  <c r="A307"/>
  <c r="A308"/>
  <c r="A309"/>
  <c r="A310"/>
  <c r="A311"/>
  <c r="A312"/>
  <c r="A313"/>
  <c r="A314"/>
  <c r="A315"/>
  <c r="F301"/>
  <c r="F303"/>
  <c r="F304"/>
  <c r="F305"/>
  <c r="F308"/>
  <c r="F309"/>
  <c r="F310"/>
  <c r="F312"/>
  <c r="F313"/>
  <c r="F314"/>
  <c r="F315"/>
  <c r="G317"/>
  <c r="G319"/>
  <c r="F328"/>
  <c r="F330"/>
  <c r="A331"/>
  <c r="A332"/>
  <c r="A333"/>
  <c r="A334"/>
  <c r="A335"/>
  <c r="A336"/>
  <c r="A337"/>
  <c r="A338"/>
  <c r="A339"/>
  <c r="A340"/>
  <c r="A341"/>
  <c r="A342"/>
  <c r="F331"/>
  <c r="F333"/>
  <c r="F334"/>
  <c r="F335"/>
  <c r="F338"/>
  <c r="F339"/>
  <c r="F340"/>
  <c r="F341"/>
  <c r="F342"/>
  <c r="G344"/>
  <c r="G346"/>
  <c r="F355"/>
  <c r="F357"/>
  <c r="A358"/>
  <c r="A359"/>
  <c r="A360"/>
  <c r="A361"/>
  <c r="A362"/>
  <c r="A363"/>
  <c r="A364"/>
  <c r="A365"/>
  <c r="A366"/>
  <c r="A367"/>
  <c r="A368"/>
  <c r="A369"/>
  <c r="A370"/>
  <c r="A371"/>
  <c r="A372"/>
  <c r="F359"/>
  <c r="F360"/>
  <c r="F361"/>
  <c r="F362"/>
  <c r="F365"/>
  <c r="F366"/>
  <c r="F367"/>
  <c r="F368"/>
  <c r="F369"/>
  <c r="F370"/>
  <c r="G374"/>
  <c r="G376"/>
  <c r="F385"/>
  <c r="F387"/>
  <c r="A388"/>
  <c r="A389"/>
  <c r="A390"/>
  <c r="A391"/>
  <c r="A392"/>
  <c r="A393"/>
  <c r="A394"/>
  <c r="A395"/>
  <c r="A396"/>
  <c r="A397"/>
  <c r="A398"/>
  <c r="A399"/>
  <c r="A400"/>
  <c r="F388"/>
  <c r="F390"/>
  <c r="F391"/>
  <c r="F392"/>
  <c r="F395"/>
  <c r="F396"/>
  <c r="F397"/>
  <c r="F398"/>
  <c r="F399"/>
  <c r="F400"/>
  <c r="G402"/>
  <c r="G404"/>
  <c r="F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F416"/>
  <c r="F418"/>
  <c r="F419"/>
  <c r="F420"/>
  <c r="F423"/>
  <c r="F424"/>
  <c r="F425"/>
  <c r="F426"/>
  <c r="F427"/>
  <c r="F428"/>
  <c r="F429"/>
  <c r="F430"/>
  <c r="F431"/>
  <c r="F432"/>
  <c r="G435"/>
  <c r="G437"/>
  <c r="F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F451"/>
  <c r="F452"/>
  <c r="F453"/>
  <c r="F456"/>
  <c r="F457"/>
  <c r="F458"/>
  <c r="F460"/>
  <c r="F462"/>
  <c r="F463"/>
  <c r="F464"/>
  <c r="F465"/>
  <c r="F466"/>
  <c r="G468"/>
  <c r="G470"/>
  <c r="F479"/>
  <c r="A482"/>
  <c r="A483"/>
  <c r="A484"/>
  <c r="A485"/>
  <c r="A486"/>
  <c r="A487"/>
  <c r="A488"/>
  <c r="A489"/>
  <c r="A490"/>
  <c r="A491"/>
  <c r="A492"/>
  <c r="A493"/>
  <c r="A494"/>
  <c r="G496"/>
  <c r="G498"/>
  <c r="C498"/>
  <c r="F509"/>
  <c r="A510"/>
  <c r="A511"/>
  <c r="A512"/>
  <c r="A513"/>
  <c r="A514"/>
  <c r="A515"/>
  <c r="A516"/>
  <c r="A517"/>
  <c r="A518"/>
  <c r="A519"/>
  <c r="A520"/>
  <c r="A521"/>
  <c r="A522"/>
  <c r="F510"/>
  <c r="F511"/>
  <c r="F512"/>
  <c r="F513"/>
  <c r="F514"/>
  <c r="F517"/>
  <c r="F518"/>
  <c r="F519"/>
  <c r="F520"/>
  <c r="F521"/>
  <c r="G524"/>
  <c r="G526"/>
  <c r="F562"/>
  <c r="F564"/>
  <c r="A565"/>
  <c r="A566"/>
  <c r="A567"/>
  <c r="A568"/>
  <c r="A569"/>
  <c r="A570"/>
  <c r="A571"/>
  <c r="A572"/>
  <c r="A573"/>
  <c r="A574"/>
  <c r="A575"/>
  <c r="A576"/>
  <c r="A577"/>
  <c r="F565"/>
  <c r="F567"/>
  <c r="F568"/>
  <c r="F569"/>
  <c r="F574"/>
  <c r="F575"/>
  <c r="F576"/>
  <c r="F577"/>
  <c r="G579"/>
  <c r="G581"/>
  <c r="F590"/>
  <c r="F592"/>
  <c r="A593"/>
  <c r="A594"/>
  <c r="A595"/>
  <c r="A596"/>
  <c r="A597"/>
  <c r="A598"/>
  <c r="A599"/>
  <c r="A600"/>
  <c r="A601"/>
  <c r="A602"/>
  <c r="A603"/>
  <c r="A604"/>
  <c r="A605"/>
  <c r="A606"/>
  <c r="F595"/>
  <c r="F596"/>
  <c r="F597"/>
  <c r="F600"/>
  <c r="F601"/>
  <c r="F602"/>
  <c r="G608"/>
  <c r="G610"/>
  <c r="F619"/>
  <c r="F621"/>
  <c r="A622"/>
  <c r="A623"/>
  <c r="A624"/>
  <c r="A625"/>
  <c r="A626"/>
  <c r="A627"/>
  <c r="A628"/>
  <c r="A629"/>
  <c r="A630"/>
  <c r="A631"/>
  <c r="A632"/>
  <c r="A633"/>
  <c r="F624"/>
  <c r="F625"/>
  <c r="F626"/>
  <c r="F629"/>
  <c r="F630"/>
  <c r="F631"/>
  <c r="F632"/>
  <c r="F633"/>
  <c r="G635"/>
  <c r="G637"/>
  <c r="F646"/>
  <c r="F648"/>
  <c r="A649"/>
  <c r="A650"/>
  <c r="A651"/>
  <c r="A652"/>
  <c r="A653"/>
  <c r="F649"/>
  <c r="F651"/>
  <c r="F652"/>
  <c r="F653"/>
  <c r="A656"/>
  <c r="A657"/>
  <c r="A658"/>
  <c r="A659"/>
  <c r="A660"/>
  <c r="A661"/>
  <c r="F656"/>
  <c r="F657"/>
  <c r="F658"/>
  <c r="F659"/>
  <c r="F660"/>
  <c r="G664"/>
  <c r="G666"/>
  <c r="F675"/>
  <c r="F677"/>
  <c r="A678"/>
  <c r="A679"/>
  <c r="A680"/>
  <c r="A681"/>
  <c r="A682"/>
  <c r="A683"/>
  <c r="A684"/>
  <c r="A685"/>
  <c r="A686"/>
  <c r="A687"/>
  <c r="A688"/>
  <c r="A689"/>
  <c r="A690"/>
  <c r="A691"/>
  <c r="F678"/>
  <c r="F680"/>
  <c r="F681"/>
  <c r="F682"/>
  <c r="F685"/>
  <c r="F686"/>
  <c r="F687"/>
  <c r="F688"/>
  <c r="F689"/>
  <c r="F690"/>
  <c r="F691"/>
  <c r="G693"/>
  <c r="G695"/>
  <c r="F704"/>
  <c r="A707"/>
  <c r="A708"/>
  <c r="A709"/>
  <c r="A710"/>
  <c r="A711"/>
  <c r="A712"/>
  <c r="A713"/>
  <c r="A714"/>
  <c r="A715"/>
  <c r="A716"/>
  <c r="A717"/>
  <c r="A718"/>
  <c r="A719"/>
  <c r="A720"/>
  <c r="A721"/>
  <c r="G722"/>
  <c r="G724"/>
  <c r="C724"/>
  <c r="F735"/>
  <c r="A736"/>
  <c r="A737"/>
  <c r="A738"/>
  <c r="A739"/>
  <c r="A740"/>
  <c r="A741"/>
  <c r="A742"/>
  <c r="A743"/>
  <c r="A744"/>
  <c r="A745"/>
  <c r="A746"/>
  <c r="A747"/>
  <c r="A748"/>
  <c r="A749"/>
  <c r="F736"/>
  <c r="F738"/>
  <c r="F739"/>
  <c r="F740"/>
  <c r="F743"/>
  <c r="F744"/>
  <c r="F745"/>
  <c r="F746"/>
  <c r="F747"/>
  <c r="F748"/>
  <c r="F749"/>
  <c r="G751"/>
  <c r="G753"/>
  <c r="F762"/>
  <c r="F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F766"/>
  <c r="F767"/>
  <c r="F768"/>
  <c r="F772"/>
  <c r="F773"/>
  <c r="F776"/>
  <c r="F778"/>
  <c r="F781"/>
  <c r="G790"/>
  <c r="G792"/>
  <c r="F802"/>
  <c r="A803"/>
  <c r="A804"/>
  <c r="A805"/>
  <c r="A806"/>
  <c r="A807"/>
  <c r="A808"/>
  <c r="A809"/>
  <c r="A810"/>
  <c r="A811"/>
  <c r="A812"/>
  <c r="A813"/>
  <c r="A814"/>
  <c r="A815"/>
  <c r="F803"/>
  <c r="F804"/>
  <c r="F805"/>
  <c r="F806"/>
  <c r="F807"/>
  <c r="F808"/>
  <c r="F809"/>
  <c r="F810"/>
  <c r="F811"/>
  <c r="F812"/>
  <c r="F813"/>
  <c r="F814"/>
  <c r="F815"/>
  <c r="G817"/>
  <c r="G819"/>
  <c r="F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F831"/>
  <c r="F833"/>
  <c r="F834"/>
  <c r="F835"/>
  <c r="F838"/>
  <c r="F839"/>
  <c r="F840"/>
  <c r="F841"/>
  <c r="F842"/>
  <c r="F843"/>
  <c r="F844"/>
  <c r="F845"/>
  <c r="F846"/>
  <c r="F847"/>
  <c r="G849"/>
  <c r="G851"/>
  <c r="F860"/>
  <c r="F862"/>
  <c r="A863"/>
  <c r="A864"/>
  <c r="A865"/>
  <c r="A866"/>
  <c r="A867"/>
  <c r="A868"/>
  <c r="A869"/>
  <c r="A870"/>
  <c r="A871"/>
  <c r="A872"/>
  <c r="A873"/>
  <c r="A874"/>
  <c r="F863"/>
  <c r="F865"/>
  <c r="F866"/>
  <c r="F867"/>
  <c r="F870"/>
  <c r="F871"/>
  <c r="F872"/>
  <c r="F873"/>
  <c r="F874"/>
  <c r="G878"/>
  <c r="F887"/>
  <c r="F889"/>
  <c r="A890"/>
  <c r="A891"/>
  <c r="A892"/>
  <c r="A893"/>
  <c r="A894"/>
  <c r="A895"/>
  <c r="A896"/>
  <c r="A897"/>
  <c r="A898"/>
  <c r="A899"/>
  <c r="A900"/>
  <c r="A901"/>
  <c r="F892"/>
  <c r="F893"/>
  <c r="F894"/>
  <c r="F897"/>
  <c r="F898"/>
  <c r="F899"/>
  <c r="F900"/>
  <c r="F901"/>
  <c r="G903"/>
  <c r="G905"/>
  <c r="F914"/>
  <c r="F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F917"/>
  <c r="F919"/>
  <c r="F920"/>
  <c r="F921"/>
  <c r="F924"/>
  <c r="F925"/>
  <c r="F926"/>
  <c r="F927"/>
  <c r="F928"/>
  <c r="F929"/>
  <c r="F931"/>
  <c r="F932"/>
  <c r="F933"/>
  <c r="F934"/>
  <c r="G937"/>
  <c r="G939"/>
  <c r="F950"/>
  <c r="A951"/>
  <c r="A952"/>
  <c r="A953"/>
  <c r="A954"/>
  <c r="A955"/>
  <c r="A956"/>
  <c r="A957"/>
  <c r="A958"/>
  <c r="A959"/>
  <c r="A960"/>
  <c r="A961"/>
  <c r="A962"/>
  <c r="A963"/>
  <c r="F951"/>
  <c r="F952"/>
  <c r="F953"/>
  <c r="F954"/>
  <c r="F955"/>
  <c r="F956"/>
  <c r="F957"/>
  <c r="F958"/>
  <c r="F959"/>
  <c r="F960"/>
  <c r="F961"/>
  <c r="G964"/>
  <c r="G966"/>
  <c r="F977"/>
  <c r="A978"/>
  <c r="A979"/>
  <c r="A980"/>
  <c r="A981"/>
  <c r="A982"/>
  <c r="A983"/>
  <c r="A984"/>
  <c r="A985"/>
  <c r="A986"/>
  <c r="A987"/>
  <c r="A988"/>
  <c r="A989"/>
  <c r="F978"/>
  <c r="F980"/>
  <c r="F981"/>
  <c r="F982"/>
  <c r="F985"/>
  <c r="F986"/>
  <c r="F987"/>
  <c r="F988"/>
  <c r="F989"/>
  <c r="G991"/>
  <c r="G993"/>
  <c r="F1004"/>
  <c r="A1005"/>
  <c r="A1006"/>
  <c r="A1007"/>
  <c r="A1008"/>
  <c r="A1009"/>
  <c r="A1010"/>
  <c r="A1011"/>
  <c r="A1012"/>
  <c r="A1013"/>
  <c r="A1014"/>
  <c r="A1015"/>
  <c r="A1016"/>
  <c r="A1017"/>
  <c r="A1018"/>
  <c r="A1019"/>
  <c r="F1005"/>
  <c r="F1007"/>
  <c r="F1008"/>
  <c r="F1009"/>
  <c r="F1012"/>
  <c r="F1013"/>
  <c r="F1014"/>
  <c r="F1015"/>
  <c r="F1016"/>
  <c r="F1017"/>
  <c r="G1021"/>
  <c r="G1023"/>
  <c r="F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F1035"/>
  <c r="F1037"/>
  <c r="F1038"/>
  <c r="F1039"/>
  <c r="F1042"/>
  <c r="F1043"/>
  <c r="F1044"/>
  <c r="F1045"/>
  <c r="F1046"/>
  <c r="F1047"/>
  <c r="F1048"/>
  <c r="F1049"/>
  <c r="F1050"/>
  <c r="F1051"/>
  <c r="F1053"/>
  <c r="G1055"/>
  <c r="G1057"/>
  <c r="F1066"/>
  <c r="F1068"/>
  <c r="A1069"/>
  <c r="A1070"/>
  <c r="A1071"/>
  <c r="A1072"/>
  <c r="A1073"/>
  <c r="A1074"/>
  <c r="A1075"/>
  <c r="A1076"/>
  <c r="A1077"/>
  <c r="A1078"/>
  <c r="A1079"/>
  <c r="A1080"/>
  <c r="A1081"/>
  <c r="A1082"/>
  <c r="F1069"/>
  <c r="F1071"/>
  <c r="F1072"/>
  <c r="F1073"/>
  <c r="F1076"/>
  <c r="F1077"/>
  <c r="F1078"/>
  <c r="F1080"/>
  <c r="F1081"/>
  <c r="F1082"/>
  <c r="G1084"/>
  <c r="G1086"/>
  <c r="F1097"/>
  <c r="A1098"/>
  <c r="A1099"/>
  <c r="A1100"/>
  <c r="A1101"/>
  <c r="A1102"/>
  <c r="A1103"/>
  <c r="A1104"/>
  <c r="A1105"/>
  <c r="A1106"/>
  <c r="A1107"/>
  <c r="A1108"/>
  <c r="A1109"/>
  <c r="A1110"/>
  <c r="F1100"/>
  <c r="F1101"/>
  <c r="F1102"/>
  <c r="F1105"/>
  <c r="F1106"/>
  <c r="F1107"/>
  <c r="F1108"/>
  <c r="F1109"/>
  <c r="F1110"/>
  <c r="G1112"/>
  <c r="G1114"/>
  <c r="F1123"/>
  <c r="F1125"/>
  <c r="F1126"/>
  <c r="F1127"/>
  <c r="F1128"/>
  <c r="F1129"/>
  <c r="F1130"/>
  <c r="A1131"/>
  <c r="A1132"/>
  <c r="A1133"/>
  <c r="A1134"/>
  <c r="A1135"/>
  <c r="A1136"/>
  <c r="A1137"/>
  <c r="F1131"/>
  <c r="F1132"/>
  <c r="F1133"/>
  <c r="F1134"/>
  <c r="F1135"/>
  <c r="F1136"/>
  <c r="F1137"/>
  <c r="G1139"/>
  <c r="G1141"/>
  <c r="F1150"/>
  <c r="F1152"/>
  <c r="A1153"/>
  <c r="A1154"/>
  <c r="A1155"/>
  <c r="A1156"/>
  <c r="A1157"/>
  <c r="A1158"/>
  <c r="A1159"/>
  <c r="A1160"/>
  <c r="A1161"/>
  <c r="A1162"/>
  <c r="A1163"/>
  <c r="A1164"/>
  <c r="A1165"/>
  <c r="A1166"/>
  <c r="F1153"/>
  <c r="F1155"/>
  <c r="F1156"/>
  <c r="F1157"/>
  <c r="F1160"/>
  <c r="F1161"/>
  <c r="F1162"/>
  <c r="F1163"/>
  <c r="F1164"/>
  <c r="F1165"/>
  <c r="F1166"/>
  <c r="G1169"/>
  <c r="G1171"/>
  <c r="A1184"/>
  <c r="A1185"/>
  <c r="A1186"/>
  <c r="A1187"/>
  <c r="A1188"/>
  <c r="A1189"/>
  <c r="A1190"/>
  <c r="A1191"/>
  <c r="A1192"/>
  <c r="A1193"/>
  <c r="A1194"/>
  <c r="A1195"/>
  <c r="A1212"/>
  <c r="A1213"/>
  <c r="A1214"/>
  <c r="A1215"/>
  <c r="A1216"/>
  <c r="A1217"/>
  <c r="A1218"/>
  <c r="A1219"/>
  <c r="A1220"/>
  <c r="A1221"/>
  <c r="A1222"/>
  <c r="A1223"/>
  <c r="A1224"/>
  <c r="A1225"/>
  <c r="F1238"/>
  <c r="F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F1241"/>
  <c r="F1243"/>
  <c r="F1244"/>
  <c r="F1245"/>
  <c r="F1248"/>
  <c r="F1249"/>
  <c r="F1250"/>
  <c r="F1251"/>
  <c r="F1252"/>
  <c r="F1253"/>
  <c r="F1254"/>
  <c r="F1255"/>
  <c r="F1256"/>
  <c r="F1257"/>
  <c r="G1259"/>
  <c r="G1261"/>
  <c r="F1270"/>
  <c r="F1272"/>
  <c r="A1273"/>
  <c r="A1274"/>
  <c r="A1275"/>
  <c r="A1276"/>
  <c r="A1277"/>
  <c r="A1278"/>
  <c r="A1279"/>
  <c r="A1280"/>
  <c r="A1281"/>
  <c r="A1282"/>
  <c r="F1273"/>
  <c r="F1274"/>
  <c r="F1275"/>
  <c r="F1276"/>
  <c r="F1277"/>
  <c r="F1278"/>
  <c r="F1279"/>
  <c r="F1280"/>
  <c r="F1281"/>
  <c r="F1282"/>
  <c r="G1286"/>
  <c r="G1288"/>
  <c r="F1297"/>
  <c r="F1299"/>
  <c r="A1300"/>
  <c r="A1301"/>
  <c r="A1302"/>
  <c r="A1303"/>
  <c r="A1304"/>
  <c r="A1305"/>
  <c r="A1306"/>
  <c r="A1307"/>
  <c r="A1308"/>
  <c r="A1309"/>
  <c r="F1300"/>
  <c r="F1301"/>
  <c r="F1302"/>
  <c r="F1303"/>
  <c r="F1304"/>
  <c r="F1307"/>
  <c r="F1309"/>
  <c r="G1313"/>
  <c r="G1315"/>
  <c r="F1324"/>
  <c r="F1326"/>
  <c r="A1327"/>
  <c r="A1328"/>
  <c r="A1329"/>
  <c r="A1330"/>
  <c r="A1331"/>
  <c r="A1332"/>
  <c r="A1333"/>
  <c r="A1334"/>
  <c r="A1335"/>
  <c r="A1336"/>
  <c r="A1337"/>
  <c r="A1338"/>
  <c r="A1339"/>
  <c r="F1327"/>
  <c r="F1328"/>
  <c r="F1329"/>
  <c r="F1330"/>
  <c r="F1331"/>
  <c r="F1332"/>
  <c r="F1333"/>
  <c r="F1334"/>
  <c r="F1335"/>
  <c r="F1336"/>
  <c r="F1338"/>
  <c r="F1339"/>
  <c r="G1341"/>
  <c r="G1343"/>
  <c r="F1354"/>
  <c r="A1355"/>
  <c r="A1356"/>
  <c r="A1357"/>
  <c r="A1358"/>
  <c r="A1359"/>
  <c r="A1360"/>
  <c r="A1361"/>
  <c r="A1362"/>
  <c r="A1363"/>
  <c r="A1364"/>
  <c r="A1365"/>
  <c r="A1366"/>
  <c r="F1355"/>
  <c r="F1357"/>
  <c r="F1358"/>
  <c r="F1359"/>
  <c r="F1362"/>
  <c r="F1363"/>
  <c r="F1364"/>
  <c r="F1365"/>
  <c r="G1368"/>
  <c r="G1370"/>
  <c r="F1379"/>
  <c r="F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F1384"/>
  <c r="F1385"/>
  <c r="F1386"/>
  <c r="F1389"/>
  <c r="F1391"/>
  <c r="F1392"/>
  <c r="F1393"/>
  <c r="F1394"/>
  <c r="F1395"/>
  <c r="F1396"/>
  <c r="G1399"/>
  <c r="G1401"/>
  <c r="A1413"/>
  <c r="A1414"/>
  <c r="A1415"/>
  <c r="A1416"/>
  <c r="A1417"/>
  <c r="A1418"/>
  <c r="A1419"/>
  <c r="A1420"/>
  <c r="A1421"/>
  <c r="A1422"/>
  <c r="A1423"/>
  <c r="A1424"/>
  <c r="A1425"/>
  <c r="A1426"/>
  <c r="G1428"/>
  <c r="G1430"/>
  <c r="F1441"/>
  <c r="A1442"/>
  <c r="A1443"/>
  <c r="A1444"/>
  <c r="A1445"/>
  <c r="A1446"/>
  <c r="A1447"/>
  <c r="A1448"/>
  <c r="A1449"/>
  <c r="A1450"/>
  <c r="A1451"/>
  <c r="A1452"/>
  <c r="A1453"/>
  <c r="F1442"/>
  <c r="F1444"/>
  <c r="F1445"/>
  <c r="F1446"/>
  <c r="F1447"/>
  <c r="F1449"/>
  <c r="F1450"/>
  <c r="F1451"/>
  <c r="G1455"/>
  <c r="G1457"/>
  <c r="F1467"/>
  <c r="A1468"/>
  <c r="F1468"/>
  <c r="F1470"/>
  <c r="A1471"/>
  <c r="A1472"/>
  <c r="F1471"/>
  <c r="F1472"/>
  <c r="F1475"/>
  <c r="F1476"/>
  <c r="F1477"/>
  <c r="F1478"/>
  <c r="F1479"/>
  <c r="F1480"/>
  <c r="F1481"/>
  <c r="F1482"/>
  <c r="F1483"/>
  <c r="F1484"/>
  <c r="F1485"/>
  <c r="F1487"/>
  <c r="F1488"/>
  <c r="G1491"/>
  <c r="G1493"/>
  <c r="F1504"/>
  <c r="A1505"/>
  <c r="F1505"/>
  <c r="F1506"/>
  <c r="F1507"/>
  <c r="A1508"/>
  <c r="A1509"/>
  <c r="F1508"/>
  <c r="F1509"/>
  <c r="F1510"/>
  <c r="F1511"/>
  <c r="F1512"/>
  <c r="A1513"/>
  <c r="A1514"/>
  <c r="A1515"/>
  <c r="A1516"/>
  <c r="F1513"/>
  <c r="F1514"/>
  <c r="G1518"/>
  <c r="G1520"/>
  <c r="F1532"/>
  <c r="A1533"/>
  <c r="F1535"/>
  <c r="A1536"/>
  <c r="A1537"/>
  <c r="F1536"/>
  <c r="F1537"/>
  <c r="F1540"/>
  <c r="A1541"/>
  <c r="A1542"/>
  <c r="A1543"/>
  <c r="A1544"/>
  <c r="A1545"/>
  <c r="F1541"/>
  <c r="F1542"/>
  <c r="G1547"/>
  <c r="G1549"/>
  <c r="F1560"/>
  <c r="A1561"/>
  <c r="F1563"/>
  <c r="A1564"/>
  <c r="A1565"/>
  <c r="F1564"/>
  <c r="F1565"/>
  <c r="F1568"/>
  <c r="A1569"/>
  <c r="A1570"/>
  <c r="A1571"/>
  <c r="A1572"/>
  <c r="A1573"/>
  <c r="F1569"/>
  <c r="F1570"/>
  <c r="F1572"/>
  <c r="F1573"/>
  <c r="G1577"/>
  <c r="G1579"/>
  <c r="F1588"/>
  <c r="F1590"/>
  <c r="A1591"/>
  <c r="F1591"/>
  <c r="F1593"/>
  <c r="A1594"/>
  <c r="A1595"/>
  <c r="F1594"/>
  <c r="F1595"/>
  <c r="F1598"/>
  <c r="A1599"/>
  <c r="A1600"/>
  <c r="A1601"/>
  <c r="A1602"/>
  <c r="F1599"/>
  <c r="F1600"/>
  <c r="G1604"/>
  <c r="G1606"/>
  <c r="F1615"/>
  <c r="F1617"/>
  <c r="A1618"/>
  <c r="F1618"/>
  <c r="F1620"/>
  <c r="A1621"/>
  <c r="A1622"/>
  <c r="F1621"/>
  <c r="F1622"/>
  <c r="F1625"/>
  <c r="A1626"/>
  <c r="A1627"/>
  <c r="A1628"/>
  <c r="A1629"/>
  <c r="F1626"/>
  <c r="F1627"/>
  <c r="G1631"/>
  <c r="G1633"/>
  <c r="F1644"/>
  <c r="A1645"/>
  <c r="F1645"/>
  <c r="F1646"/>
  <c r="F1647"/>
  <c r="A1648"/>
  <c r="A1649"/>
  <c r="F1648"/>
  <c r="F1649"/>
  <c r="F1650"/>
  <c r="F1651"/>
  <c r="F1652"/>
  <c r="F1653"/>
  <c r="F1654"/>
  <c r="G1658"/>
  <c r="G1660"/>
  <c r="F1671"/>
  <c r="A1672"/>
  <c r="F1672"/>
  <c r="F1674"/>
  <c r="A1675"/>
  <c r="A1676"/>
  <c r="F1675"/>
  <c r="F1676"/>
  <c r="F1679"/>
  <c r="A1680"/>
  <c r="A1681"/>
  <c r="A1682"/>
  <c r="A1683"/>
  <c r="A1684"/>
  <c r="A1685"/>
  <c r="F1680"/>
  <c r="F1681"/>
  <c r="F1682"/>
  <c r="F1683"/>
  <c r="F1684"/>
  <c r="F1685"/>
  <c r="G1687"/>
  <c r="G1689"/>
  <c r="F1698"/>
  <c r="F1700"/>
  <c r="A1701"/>
  <c r="F1703"/>
  <c r="A1704"/>
  <c r="A1705"/>
  <c r="F1704"/>
  <c r="F1705"/>
  <c r="F1708"/>
  <c r="A1709"/>
  <c r="A1710"/>
  <c r="A1711"/>
  <c r="A1712"/>
  <c r="A1713"/>
  <c r="A1714"/>
  <c r="A1715"/>
  <c r="F1709"/>
  <c r="F1710"/>
  <c r="F1711"/>
  <c r="F1712"/>
  <c r="F1713"/>
  <c r="G1717"/>
  <c r="G1719"/>
  <c r="A1731"/>
  <c r="A1734"/>
  <c r="A1735"/>
  <c r="A1739"/>
  <c r="A1740"/>
  <c r="A1741"/>
  <c r="A1742"/>
  <c r="G1744"/>
  <c r="G1746"/>
  <c r="F1755"/>
  <c r="A1758"/>
  <c r="A1761"/>
  <c r="A1762"/>
  <c r="A1766"/>
  <c r="A1767"/>
  <c r="A1768"/>
  <c r="A1769"/>
  <c r="A1770"/>
  <c r="A1771"/>
  <c r="F1784"/>
  <c r="F1786"/>
  <c r="A1787"/>
  <c r="F1787"/>
  <c r="F1789"/>
  <c r="A1790"/>
  <c r="A1791"/>
  <c r="F1790"/>
  <c r="F1791"/>
  <c r="F1794"/>
  <c r="A1795"/>
  <c r="A1796"/>
  <c r="A1797"/>
  <c r="A1798"/>
  <c r="A1799"/>
  <c r="A1800"/>
  <c r="F1795"/>
  <c r="F1796"/>
  <c r="F1797"/>
  <c r="F1798"/>
  <c r="F1799"/>
  <c r="F1800"/>
  <c r="G1803"/>
  <c r="G1805"/>
  <c r="F1814"/>
  <c r="F1816"/>
  <c r="A1817"/>
  <c r="F1817"/>
  <c r="F1819"/>
  <c r="A1820"/>
  <c r="A1821"/>
  <c r="F1820"/>
  <c r="F1821"/>
  <c r="F1824"/>
  <c r="A1825"/>
  <c r="A1826"/>
  <c r="A1827"/>
  <c r="A1828"/>
  <c r="F1825"/>
  <c r="F1826"/>
  <c r="G1830"/>
  <c r="G1832"/>
  <c r="F1843"/>
  <c r="A1844"/>
  <c r="F1844"/>
  <c r="F1846"/>
  <c r="A1847"/>
  <c r="A1848"/>
  <c r="F1847"/>
  <c r="F1848"/>
  <c r="F1851"/>
  <c r="A1852"/>
  <c r="A1853"/>
  <c r="A1854"/>
  <c r="A1855"/>
  <c r="A1856"/>
  <c r="F1852"/>
  <c r="F1853"/>
  <c r="F1854"/>
  <c r="F1855"/>
  <c r="F1856"/>
  <c r="G1858"/>
  <c r="G1860"/>
  <c r="F1869"/>
  <c r="F1871"/>
  <c r="A1872"/>
  <c r="F1874"/>
  <c r="A1875"/>
  <c r="A1876"/>
  <c r="F1875"/>
  <c r="F1876"/>
  <c r="F1878"/>
  <c r="F1879"/>
  <c r="A1880"/>
  <c r="A1881"/>
  <c r="F1880"/>
  <c r="F1881"/>
  <c r="F1882"/>
  <c r="F1883"/>
  <c r="F1884"/>
  <c r="G1889"/>
  <c r="F1898"/>
  <c r="F1900"/>
  <c r="A1901"/>
  <c r="F1901"/>
  <c r="F1903"/>
  <c r="A1904"/>
  <c r="A1905"/>
  <c r="F1904"/>
  <c r="F1905"/>
  <c r="F1908"/>
  <c r="A1909"/>
  <c r="A1910"/>
  <c r="A1911"/>
  <c r="A1912"/>
  <c r="F1909"/>
  <c r="F1910"/>
  <c r="G1914"/>
  <c r="G1916"/>
  <c r="F1925"/>
  <c r="F1927"/>
  <c r="A1928"/>
  <c r="F1930"/>
  <c r="A1931"/>
  <c r="A1932"/>
  <c r="F1931"/>
  <c r="F1932"/>
  <c r="A1936"/>
  <c r="A1937"/>
  <c r="A1938"/>
  <c r="A1939"/>
  <c r="F1936"/>
  <c r="F1937"/>
  <c r="G1941"/>
  <c r="G1943"/>
  <c r="F1952"/>
  <c r="F1954"/>
  <c r="A1955"/>
  <c r="F1955"/>
  <c r="F1957"/>
  <c r="A1958"/>
  <c r="A1959"/>
  <c r="F1958"/>
  <c r="F1959"/>
  <c r="F1962"/>
  <c r="A1963"/>
  <c r="A1964"/>
  <c r="A1965"/>
  <c r="A1966"/>
  <c r="A1967"/>
  <c r="A1968"/>
  <c r="F1963"/>
  <c r="F1964"/>
  <c r="F1965"/>
  <c r="F1966"/>
  <c r="F1968"/>
  <c r="G1971"/>
  <c r="G1973"/>
  <c r="F1982"/>
  <c r="F1984"/>
  <c r="A1985"/>
  <c r="F1985"/>
  <c r="F1987"/>
  <c r="A1988"/>
  <c r="A1989"/>
  <c r="F1988"/>
  <c r="F1989"/>
  <c r="F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F1993"/>
  <c r="F1994"/>
  <c r="F1995"/>
  <c r="F1996"/>
  <c r="F1997"/>
  <c r="G2011"/>
  <c r="G2013"/>
  <c r="F2022"/>
  <c r="F2024"/>
  <c r="A2025"/>
  <c r="F2027"/>
  <c r="A2028"/>
  <c r="A2029"/>
  <c r="F2028"/>
  <c r="F2029"/>
  <c r="F2032"/>
  <c r="A2033"/>
  <c r="A2034"/>
  <c r="A2035"/>
  <c r="A2036"/>
  <c r="A2037"/>
  <c r="A2038"/>
  <c r="A2039"/>
  <c r="F2033"/>
  <c r="F2034"/>
  <c r="F2035"/>
  <c r="F2036"/>
  <c r="F2037"/>
  <c r="G2042"/>
  <c r="A2054"/>
  <c r="A2057"/>
  <c r="A2058"/>
  <c r="G2074"/>
  <c r="G2076"/>
  <c r="F2085"/>
  <c r="F2087"/>
  <c r="A2088"/>
  <c r="F2090"/>
  <c r="A2091"/>
  <c r="A2092"/>
  <c r="F2091"/>
  <c r="F2092"/>
  <c r="F2095"/>
  <c r="A2096"/>
  <c r="A2097"/>
  <c r="A2098"/>
  <c r="A2099"/>
  <c r="F2096"/>
  <c r="F2097"/>
  <c r="F2098"/>
  <c r="F2099"/>
  <c r="G2101"/>
  <c r="G2103"/>
  <c r="F2112"/>
  <c r="F2114"/>
  <c r="A2115"/>
  <c r="F2117"/>
  <c r="A2118"/>
  <c r="A2119"/>
  <c r="F2118"/>
  <c r="F2119"/>
  <c r="F2122"/>
  <c r="A2123"/>
  <c r="A2124"/>
  <c r="A2125"/>
  <c r="A2126"/>
  <c r="A2127"/>
  <c r="A2128"/>
  <c r="F2123"/>
  <c r="F2124"/>
  <c r="F2125"/>
  <c r="F2126"/>
  <c r="F2127"/>
  <c r="F2128"/>
  <c r="G2130"/>
  <c r="G2132"/>
  <c r="A2143"/>
  <c r="A2146"/>
  <c r="A2147"/>
  <c r="A2151"/>
  <c r="A2152"/>
  <c r="A2153"/>
  <c r="A2154"/>
  <c r="A2155"/>
  <c r="A6" i="9"/>
  <c r="A7"/>
  <c r="A8"/>
  <c r="A9"/>
  <c r="A10"/>
  <c r="A11"/>
  <c r="A12"/>
  <c r="A13"/>
  <c r="A14"/>
  <c r="A15"/>
  <c r="A16"/>
  <c r="A17"/>
  <c r="A19"/>
  <c r="I15" i="8"/>
  <c r="I17"/>
  <c r="I19"/>
  <c r="I21"/>
  <c r="I23"/>
  <c r="I25"/>
  <c r="I26"/>
  <c r="E8" i="2"/>
  <c r="G9" i="8"/>
  <c r="C8" i="2"/>
  <c r="E7"/>
  <c r="M6376" i="11"/>
  <c r="M2437"/>
  <c r="F635" i="23"/>
  <c r="F637"/>
  <c r="F1084"/>
  <c r="F1086"/>
  <c r="F876"/>
  <c r="F878"/>
  <c r="F693"/>
  <c r="F695"/>
  <c r="F524"/>
  <c r="F526"/>
  <c r="F402"/>
  <c r="F404"/>
  <c r="C470"/>
  <c r="C666"/>
  <c r="C319"/>
  <c r="I63" i="9"/>
  <c r="J8697" i="10"/>
  <c r="M7208" i="11"/>
  <c r="D4536"/>
  <c r="E4536"/>
  <c r="F1967" i="23"/>
  <c r="C2013"/>
  <c r="C346"/>
  <c r="I74" i="9"/>
  <c r="I76"/>
  <c r="F1032" i="23"/>
  <c r="F1002"/>
  <c r="C1057"/>
  <c r="I75" i="9"/>
  <c r="I72"/>
  <c r="I50"/>
  <c r="I23"/>
  <c r="I65"/>
  <c r="I44"/>
  <c r="I40"/>
  <c r="I38"/>
  <c r="I26"/>
  <c r="I20"/>
  <c r="F1841" i="23"/>
  <c r="F1669"/>
  <c r="F1642"/>
  <c r="F1558"/>
  <c r="F1530"/>
  <c r="F1465"/>
  <c r="F1352"/>
  <c r="F1095"/>
  <c r="F948"/>
  <c r="I57" i="9"/>
  <c r="I51"/>
  <c r="I46"/>
  <c r="I37"/>
  <c r="I29"/>
  <c r="F975" i="23"/>
  <c r="F828"/>
  <c r="F800"/>
  <c r="I31" i="9"/>
  <c r="F446" i="23"/>
  <c r="C1805"/>
  <c r="C376"/>
  <c r="F733"/>
  <c r="F413"/>
  <c r="F237"/>
  <c r="C2076"/>
  <c r="C1171"/>
  <c r="C65"/>
  <c r="C526"/>
  <c r="C404"/>
  <c r="C289"/>
  <c r="C105"/>
  <c r="I68" i="9"/>
  <c r="I49"/>
  <c r="I34"/>
  <c r="I28"/>
  <c r="I27"/>
  <c r="I25"/>
  <c r="D4531" i="11"/>
  <c r="E4531"/>
  <c r="F4532"/>
  <c r="H1529"/>
  <c r="I62" i="9"/>
  <c r="I56"/>
  <c r="I43"/>
  <c r="I41"/>
  <c r="I39"/>
  <c r="I33"/>
  <c r="I32"/>
  <c r="I30"/>
  <c r="D3151" i="11"/>
  <c r="H3124"/>
  <c r="J1639"/>
  <c r="I70" i="9"/>
  <c r="E6" i="2"/>
  <c r="J290" i="11"/>
  <c r="A5334"/>
  <c r="A5335"/>
  <c r="A5336"/>
  <c r="A5337"/>
  <c r="A6176"/>
  <c r="A6177"/>
  <c r="F4535"/>
  <c r="A3620"/>
  <c r="A2377"/>
  <c r="F2567"/>
  <c r="F4502"/>
  <c r="F7205"/>
  <c r="F4506"/>
  <c r="F7195"/>
  <c r="F2570"/>
  <c r="A1369"/>
  <c r="A1371"/>
  <c r="F7199"/>
  <c r="F7202"/>
  <c r="A7022"/>
  <c r="A7024"/>
  <c r="A7025"/>
  <c r="A7026"/>
  <c r="A7027"/>
  <c r="A7028"/>
  <c r="A7029"/>
  <c r="F4507"/>
  <c r="A7041"/>
  <c r="F7196"/>
  <c r="F4518"/>
  <c r="F2562"/>
  <c r="F4528"/>
  <c r="A4327"/>
  <c r="A4328"/>
  <c r="A4329"/>
  <c r="A4330"/>
  <c r="A4331"/>
  <c r="A4332"/>
  <c r="A4333"/>
  <c r="A4334"/>
  <c r="A4335"/>
  <c r="A4336"/>
  <c r="A4337"/>
  <c r="A4338"/>
  <c r="A7040"/>
  <c r="A7042"/>
  <c r="A7043"/>
  <c r="A7044"/>
  <c r="A7045"/>
  <c r="A7050"/>
  <c r="A7051"/>
  <c r="A7052"/>
  <c r="A7053"/>
  <c r="A1465"/>
  <c r="A1466"/>
  <c r="F2553"/>
  <c r="F4521"/>
  <c r="F4513"/>
  <c r="F2565"/>
  <c r="A2984"/>
  <c r="F7201"/>
  <c r="F2564"/>
  <c r="F4520"/>
  <c r="F4511"/>
  <c r="F7191"/>
  <c r="J818"/>
  <c r="F4514"/>
  <c r="A7402"/>
  <c r="F2556"/>
  <c r="F7192"/>
  <c r="F4515"/>
  <c r="F2557"/>
  <c r="J394"/>
  <c r="F7203"/>
  <c r="F2568"/>
  <c r="A2530"/>
  <c r="F4527"/>
  <c r="F4517"/>
  <c r="F4533"/>
  <c r="J388"/>
  <c r="F4516"/>
  <c r="F4534"/>
  <c r="A786"/>
  <c r="A787"/>
  <c r="A788"/>
  <c r="A789"/>
  <c r="A790"/>
  <c r="A791"/>
  <c r="A792"/>
  <c r="A793"/>
  <c r="A794"/>
  <c r="A795"/>
  <c r="A796"/>
  <c r="A797"/>
  <c r="A798"/>
  <c r="A800"/>
  <c r="A801"/>
  <c r="A802"/>
  <c r="A803"/>
  <c r="A804"/>
  <c r="A805"/>
  <c r="A806"/>
  <c r="A807"/>
  <c r="A808"/>
  <c r="F2558"/>
  <c r="F2250"/>
  <c r="F3581"/>
  <c r="F7710"/>
  <c r="F7204"/>
  <c r="F321"/>
  <c r="F5406"/>
  <c r="F1410"/>
  <c r="F5228"/>
  <c r="F8412"/>
  <c r="F4519"/>
  <c r="F7200"/>
  <c r="J695"/>
  <c r="F2563"/>
  <c r="F4510"/>
  <c r="F171"/>
  <c r="F427"/>
  <c r="F526"/>
  <c r="F609"/>
  <c r="F722"/>
  <c r="F859"/>
  <c r="F1001"/>
  <c r="F1313"/>
  <c r="F1498"/>
  <c r="F1639"/>
  <c r="F1736"/>
  <c r="F1863"/>
  <c r="F2000"/>
  <c r="F2067"/>
  <c r="F2363"/>
  <c r="F2437"/>
  <c r="F2500"/>
  <c r="F2643"/>
  <c r="F2885"/>
  <c r="F3044"/>
  <c r="F3151"/>
  <c r="F3282"/>
  <c r="F3753"/>
  <c r="F3945"/>
  <c r="F4184"/>
  <c r="F4727"/>
  <c r="F4872"/>
  <c r="F4975"/>
  <c r="F5083"/>
  <c r="F5726"/>
  <c r="F5790"/>
  <c r="F6215"/>
  <c r="F6286"/>
  <c r="F6376"/>
  <c r="F6589"/>
  <c r="F6702"/>
  <c r="F6853"/>
  <c r="F6959"/>
  <c r="F7121"/>
  <c r="F7344"/>
  <c r="F7467"/>
  <c r="F7561"/>
  <c r="F7813"/>
  <c r="F7870"/>
  <c r="F8015"/>
  <c r="F8094"/>
  <c r="F8233"/>
  <c r="F8339"/>
  <c r="F8480"/>
  <c r="E2572"/>
  <c r="I2543"/>
  <c r="F4505"/>
  <c r="J6675"/>
  <c r="F1075"/>
  <c r="F7194"/>
  <c r="D2572"/>
  <c r="H2543"/>
  <c r="A5153"/>
  <c r="J986"/>
  <c r="J1001"/>
  <c r="F2561"/>
  <c r="A388"/>
  <c r="A389"/>
  <c r="A7058"/>
  <c r="A7059"/>
  <c r="J7434"/>
  <c r="F4529"/>
  <c r="F4526"/>
  <c r="J5591"/>
  <c r="D7208"/>
  <c r="H7181"/>
  <c r="A2988"/>
  <c r="A2990"/>
  <c r="A2991"/>
  <c r="A2992"/>
  <c r="A2994"/>
  <c r="A2996"/>
  <c r="A2997"/>
  <c r="A2998"/>
  <c r="A2999"/>
  <c r="A3000"/>
  <c r="A3001"/>
  <c r="A3002"/>
  <c r="A2987"/>
  <c r="A2989"/>
  <c r="A8446"/>
  <c r="A8447"/>
  <c r="A8449"/>
  <c r="A8450"/>
  <c r="G5406"/>
  <c r="I940"/>
  <c r="A2594"/>
  <c r="A2595"/>
  <c r="A2596"/>
  <c r="A2598"/>
  <c r="A2599"/>
  <c r="A2600"/>
  <c r="A2601"/>
  <c r="A2602"/>
  <c r="A2592"/>
  <c r="J294"/>
  <c r="A7023"/>
  <c r="F3358"/>
  <c r="A4921"/>
  <c r="C939" i="23"/>
  <c r="I35" i="9"/>
  <c r="C2186" i="23"/>
  <c r="I78" i="9"/>
  <c r="C2159" i="23"/>
  <c r="I77" i="9"/>
  <c r="C1832" i="23"/>
  <c r="I66" i="9"/>
  <c r="C1775" i="23"/>
  <c r="I64" i="9"/>
  <c r="C1229" i="23"/>
  <c r="I45" i="9"/>
  <c r="C1493" i="23"/>
  <c r="I54" i="9"/>
  <c r="C1288" i="23"/>
  <c r="I47" i="9"/>
  <c r="C159" i="23"/>
  <c r="C1430"/>
  <c r="I52" i="9"/>
  <c r="F5621" i="11"/>
  <c r="F1150"/>
  <c r="F4075"/>
  <c r="J4154"/>
  <c r="A4769"/>
  <c r="A4773"/>
  <c r="A4768"/>
  <c r="A4770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8"/>
  <c r="A4799"/>
  <c r="A4800"/>
  <c r="A4801"/>
  <c r="A4802"/>
  <c r="A4803"/>
  <c r="A4804"/>
  <c r="A4805"/>
  <c r="A4807"/>
  <c r="A4808"/>
  <c r="A4809"/>
  <c r="A4810"/>
  <c r="A4811"/>
  <c r="A4812"/>
  <c r="A4813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2955"/>
  <c r="A2956"/>
  <c r="A2957"/>
  <c r="A2958"/>
  <c r="A2959"/>
  <c r="A2960"/>
  <c r="A2961"/>
  <c r="A2962"/>
  <c r="A2963"/>
  <c r="A2964"/>
  <c r="A2965"/>
  <c r="A2966"/>
  <c r="J4688"/>
  <c r="J2410"/>
  <c r="J2221"/>
  <c r="A6866"/>
  <c r="A6867"/>
  <c r="A6868"/>
  <c r="A6869"/>
  <c r="A6870"/>
  <c r="A6871"/>
  <c r="A1780"/>
  <c r="A1783"/>
  <c r="A1784"/>
  <c r="A1785"/>
  <c r="A1786"/>
  <c r="A1787"/>
  <c r="A1788"/>
  <c r="A1790"/>
  <c r="A1791"/>
  <c r="A1793"/>
  <c r="A1777"/>
  <c r="J499"/>
  <c r="J5760"/>
  <c r="J2850"/>
  <c r="J582"/>
  <c r="J1047"/>
  <c r="G1410"/>
  <c r="G3581"/>
  <c r="G3945"/>
  <c r="J7982"/>
  <c r="J6261"/>
  <c r="J1613"/>
  <c r="J1383"/>
  <c r="J5057"/>
  <c r="C1660" i="23"/>
  <c r="I60" i="9"/>
  <c r="C1315" i="23"/>
  <c r="I48" i="9"/>
  <c r="C1606" i="23"/>
  <c r="I58" i="9"/>
  <c r="F1169" i="23"/>
  <c r="F1171"/>
  <c r="F722"/>
  <c r="F724"/>
  <c r="C2103"/>
  <c r="I73" i="9"/>
  <c r="F1341" i="23"/>
  <c r="I2246"/>
  <c r="H132"/>
  <c r="H159"/>
  <c r="H753"/>
  <c r="H905"/>
  <c r="H966"/>
  <c r="H1171"/>
  <c r="H1288"/>
  <c r="H1315"/>
  <c r="H1343"/>
  <c r="H1370"/>
  <c r="H1457"/>
  <c r="H1493"/>
  <c r="H1520"/>
  <c r="H1633"/>
  <c r="H1660"/>
  <c r="H1746"/>
  <c r="H2042"/>
  <c r="H2103"/>
  <c r="H2132"/>
  <c r="H2246"/>
  <c r="F1877"/>
  <c r="F1887"/>
  <c r="F991"/>
  <c r="F993"/>
  <c r="F157"/>
  <c r="F159"/>
  <c r="H65"/>
  <c r="H1141"/>
  <c r="H1860"/>
  <c r="H1916"/>
  <c r="C2218"/>
  <c r="F2218"/>
  <c r="C637"/>
  <c r="F31"/>
  <c r="F1547"/>
  <c r="F552"/>
  <c r="F103"/>
  <c r="F105"/>
  <c r="F608"/>
  <c r="F610"/>
  <c r="C1261"/>
  <c r="F344"/>
  <c r="F346"/>
  <c r="F817"/>
  <c r="F819"/>
  <c r="J106" i="11"/>
  <c r="J3910"/>
  <c r="J8065"/>
  <c r="J4945"/>
  <c r="J8306"/>
  <c r="J1471"/>
  <c r="J3531"/>
  <c r="J1830"/>
  <c r="J3249"/>
  <c r="J6559"/>
  <c r="J6826"/>
  <c r="F554" i="23"/>
  <c r="F579"/>
  <c r="F581"/>
  <c r="F374"/>
  <c r="F376"/>
  <c r="F1343"/>
  <c r="F1139"/>
  <c r="F1141"/>
  <c r="F1604"/>
  <c r="F1606"/>
  <c r="F1577"/>
  <c r="F1313"/>
  <c r="F1315"/>
  <c r="F1112"/>
  <c r="F937"/>
  <c r="F939"/>
  <c r="C228"/>
  <c r="C192"/>
  <c r="C878"/>
  <c r="I61" i="9"/>
  <c r="C1943" i="23"/>
  <c r="C437"/>
  <c r="C753"/>
  <c r="C851"/>
  <c r="I42" i="9"/>
  <c r="C1401" i="23"/>
  <c r="I8" i="9"/>
  <c r="C792" i="23"/>
  <c r="C1370"/>
  <c r="E105"/>
  <c r="E228"/>
  <c r="E346"/>
  <c r="E404"/>
  <c r="E637"/>
  <c r="E819"/>
  <c r="E966"/>
  <c r="E1141"/>
  <c r="E1493"/>
  <c r="E1660"/>
  <c r="E1916"/>
  <c r="E1973"/>
  <c r="E2042"/>
  <c r="I16" i="9"/>
  <c r="I6"/>
  <c r="F226" i="23"/>
  <c r="F228"/>
  <c r="I19" i="9"/>
  <c r="I17"/>
  <c r="I15"/>
  <c r="I11"/>
  <c r="I9"/>
  <c r="I5"/>
  <c r="K7"/>
  <c r="F190" i="23"/>
  <c r="F192"/>
  <c r="F130"/>
  <c r="F1549"/>
  <c r="F1227"/>
  <c r="F1229"/>
  <c r="F1286"/>
  <c r="F1288"/>
  <c r="F1055"/>
  <c r="F1057"/>
  <c r="F751"/>
  <c r="F468"/>
  <c r="F470"/>
  <c r="F1858"/>
  <c r="F664"/>
  <c r="F666"/>
  <c r="F435"/>
  <c r="F437"/>
  <c r="F1259"/>
  <c r="F1261"/>
  <c r="C993"/>
  <c r="C1689"/>
  <c r="C261"/>
  <c r="F753"/>
  <c r="F1860"/>
  <c r="F2011"/>
  <c r="F2013"/>
  <c r="F1631"/>
  <c r="F1633"/>
  <c r="F1428"/>
  <c r="F1430"/>
  <c r="F2244"/>
  <c r="F2246"/>
  <c r="F1971"/>
  <c r="F2101"/>
  <c r="F2103"/>
  <c r="F1973"/>
  <c r="F4531" i="11"/>
  <c r="C132" i="23"/>
  <c r="F1579"/>
  <c r="F1941"/>
  <c r="F1943"/>
  <c r="F1803"/>
  <c r="F1805"/>
  <c r="C1746"/>
  <c r="F1658"/>
  <c r="F1518"/>
  <c r="F1520"/>
  <c r="F1491"/>
  <c r="F1493"/>
  <c r="F1399"/>
  <c r="F1401"/>
  <c r="F1368"/>
  <c r="F903"/>
  <c r="F905"/>
  <c r="F849"/>
  <c r="F851"/>
  <c r="F790"/>
  <c r="F792"/>
  <c r="F287"/>
  <c r="F289"/>
  <c r="F259"/>
  <c r="F261"/>
  <c r="E267" i="10"/>
  <c r="F1114" i="23"/>
  <c r="F2130"/>
  <c r="F2132"/>
  <c r="F2040"/>
  <c r="F2042"/>
  <c r="F1914"/>
  <c r="F1916"/>
  <c r="F1889"/>
  <c r="F1830"/>
  <c r="F1832"/>
  <c r="F1687"/>
  <c r="F1689"/>
  <c r="F1455"/>
  <c r="F1457"/>
  <c r="C1199"/>
  <c r="F1021"/>
  <c r="F1023"/>
  <c r="F317"/>
  <c r="F319"/>
  <c r="F63"/>
  <c r="F65"/>
  <c r="J1123" i="11"/>
  <c r="F964" i="23"/>
  <c r="F966"/>
  <c r="H6169" i="11"/>
  <c r="D2246" i="23"/>
  <c r="E7208" i="11"/>
  <c r="I7181"/>
  <c r="F496" i="23"/>
  <c r="F498"/>
  <c r="F1773"/>
  <c r="F1775"/>
  <c r="J7681" i="11"/>
  <c r="J7318"/>
  <c r="A7159"/>
  <c r="A7161"/>
  <c r="A7160"/>
  <c r="A7162"/>
  <c r="A7163"/>
  <c r="A7164"/>
  <c r="A7165"/>
  <c r="A7168"/>
  <c r="E4538"/>
  <c r="F4536"/>
  <c r="J8198"/>
  <c r="F9" i="2"/>
  <c r="F6"/>
  <c r="A2390" i="11"/>
  <c r="A2391"/>
  <c r="A2392"/>
  <c r="A2388"/>
  <c r="C6" i="2"/>
  <c r="C11"/>
  <c r="A5497" i="11"/>
  <c r="A5499"/>
  <c r="A5500"/>
  <c r="A5501"/>
  <c r="A5502"/>
  <c r="A5503"/>
  <c r="A5504"/>
  <c r="A5505"/>
  <c r="A5506"/>
  <c r="A5508"/>
  <c r="A5509"/>
  <c r="A5510"/>
  <c r="A5511"/>
  <c r="A5512"/>
  <c r="A5513"/>
  <c r="A5514"/>
  <c r="A5515"/>
  <c r="A5517"/>
  <c r="A5518"/>
  <c r="A5519"/>
  <c r="A5520"/>
  <c r="A5521"/>
  <c r="A5522"/>
  <c r="A5523"/>
  <c r="A5525"/>
  <c r="A5526"/>
  <c r="A5527"/>
  <c r="A5528"/>
  <c r="A5529"/>
  <c r="A5530"/>
  <c r="A5531"/>
  <c r="A5532"/>
  <c r="A5536"/>
  <c r="A5537"/>
  <c r="A5538"/>
  <c r="A5539"/>
  <c r="A5540"/>
  <c r="A5541"/>
  <c r="A5542"/>
  <c r="A5543"/>
  <c r="A5544"/>
  <c r="A5545"/>
  <c r="A5546"/>
  <c r="A5547"/>
  <c r="A5548"/>
  <c r="A5549"/>
  <c r="A5551"/>
  <c r="A5552"/>
  <c r="A5553"/>
  <c r="A5554"/>
  <c r="A5555"/>
  <c r="A5556"/>
  <c r="A5557"/>
  <c r="A5558"/>
  <c r="A5559"/>
  <c r="A5560"/>
  <c r="A5561"/>
  <c r="A5562"/>
  <c r="A5563"/>
  <c r="A5564"/>
  <c r="A5565"/>
  <c r="A5567"/>
  <c r="A5568"/>
  <c r="A5569"/>
  <c r="A5570"/>
  <c r="A5571"/>
  <c r="A5572"/>
  <c r="A5573"/>
  <c r="A5574"/>
  <c r="A5575"/>
  <c r="A5576"/>
  <c r="A5577"/>
  <c r="A5496"/>
  <c r="A5498"/>
  <c r="I13" i="8"/>
  <c r="I27"/>
  <c r="A8054" i="11"/>
  <c r="A8055"/>
  <c r="A7736"/>
  <c r="A7737"/>
  <c r="A7738"/>
  <c r="A7739"/>
  <c r="A7740"/>
  <c r="A7741"/>
  <c r="A7742"/>
  <c r="A7743"/>
  <c r="A7744"/>
  <c r="A7745"/>
  <c r="A7747"/>
  <c r="A7748"/>
  <c r="A7749"/>
  <c r="A7750"/>
  <c r="A7751"/>
  <c r="A7752"/>
  <c r="A7753"/>
  <c r="A7754"/>
  <c r="A7757"/>
  <c r="A7758"/>
  <c r="A7759"/>
  <c r="A7760"/>
  <c r="A7761"/>
  <c r="A7762"/>
  <c r="A7763"/>
  <c r="A7765"/>
  <c r="A7766"/>
  <c r="A7767"/>
  <c r="A7768"/>
  <c r="A7769"/>
  <c r="A7770"/>
  <c r="A7771"/>
  <c r="A7772"/>
  <c r="A7773"/>
  <c r="A7774"/>
  <c r="A7775"/>
  <c r="A7620"/>
  <c r="A7621"/>
  <c r="A7622"/>
  <c r="A7623"/>
  <c r="A7635"/>
  <c r="A7636"/>
  <c r="A7637"/>
  <c r="A7638"/>
  <c r="A7639"/>
  <c r="A7640"/>
  <c r="A7641"/>
  <c r="A7642"/>
  <c r="A7643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247"/>
  <c r="A7249"/>
  <c r="A7250"/>
  <c r="A7251"/>
  <c r="A7252"/>
  <c r="A7253"/>
  <c r="A7256"/>
  <c r="A7257"/>
  <c r="A7258"/>
  <c r="A7259"/>
  <c r="A7246"/>
  <c r="A6537"/>
  <c r="A6538"/>
  <c r="A6539"/>
  <c r="A6536"/>
  <c r="F1660" i="23"/>
  <c r="J3124" i="11"/>
  <c r="A5167"/>
  <c r="A5171"/>
  <c r="A5172"/>
  <c r="A5173"/>
  <c r="A5174"/>
  <c r="A5175"/>
  <c r="A5176"/>
  <c r="A5177"/>
  <c r="A5178"/>
  <c r="A5180"/>
  <c r="A5181"/>
  <c r="A5182"/>
  <c r="A5183"/>
  <c r="A5166"/>
  <c r="A1690"/>
  <c r="A1691"/>
  <c r="A1692"/>
  <c r="A1689"/>
  <c r="A7498"/>
  <c r="A7499"/>
  <c r="A7500"/>
  <c r="A7501"/>
  <c r="A7502"/>
  <c r="A7503"/>
  <c r="A7504"/>
  <c r="A7505"/>
  <c r="A7506"/>
  <c r="A7507"/>
  <c r="A7508"/>
  <c r="A7509"/>
  <c r="A7510"/>
  <c r="A7513"/>
  <c r="A7514"/>
  <c r="A7515"/>
  <c r="A7516"/>
  <c r="A7517"/>
  <c r="A7518"/>
  <c r="A7519"/>
  <c r="A7497"/>
  <c r="A6792"/>
  <c r="A6794"/>
  <c r="A6793"/>
  <c r="A6795"/>
  <c r="A6796"/>
  <c r="A6797"/>
  <c r="A6798"/>
  <c r="A6799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5931"/>
  <c r="A5930"/>
  <c r="A5932"/>
  <c r="F1370" i="23"/>
  <c r="H88" i="9"/>
  <c r="D4538" i="11"/>
  <c r="H4493"/>
  <c r="F113" i="23"/>
  <c r="F132"/>
  <c r="C1343"/>
  <c r="C1114"/>
  <c r="C1579"/>
  <c r="C1719"/>
  <c r="C905"/>
  <c r="C1023"/>
  <c r="C1889"/>
  <c r="G27" i="8"/>
  <c r="C819" i="23"/>
  <c r="C1086"/>
  <c r="C695"/>
  <c r="C1549"/>
  <c r="J8456" i="11"/>
  <c r="J5694"/>
  <c r="C2246" i="23"/>
  <c r="G2246"/>
  <c r="I9" i="8"/>
  <c r="H1609" i="11"/>
  <c r="A4008"/>
  <c r="A4009"/>
  <c r="A4010"/>
  <c r="A4011"/>
  <c r="A4012"/>
  <c r="A4013"/>
  <c r="A4014"/>
  <c r="A4015"/>
  <c r="A4016"/>
  <c r="A4017"/>
  <c r="C25" i="2"/>
  <c r="C15"/>
  <c r="C14"/>
  <c r="C16"/>
  <c r="C17"/>
  <c r="C18"/>
  <c r="I7" i="8"/>
  <c r="H5369" i="11"/>
  <c r="I5369"/>
  <c r="H5370"/>
  <c r="I5370"/>
  <c r="H8453"/>
  <c r="H8383"/>
  <c r="G8388"/>
  <c r="H8195"/>
  <c r="G7984"/>
  <c r="H7977"/>
  <c r="H7842"/>
  <c r="G7846"/>
  <c r="H7676"/>
  <c r="H7528"/>
  <c r="G7534"/>
  <c r="H7431"/>
  <c r="H7314"/>
  <c r="H6927"/>
  <c r="G6932"/>
  <c r="H6822"/>
  <c r="H6672"/>
  <c r="H6556"/>
  <c r="H6342"/>
  <c r="G6351"/>
  <c r="I6169"/>
  <c r="I6178"/>
  <c r="H6178"/>
  <c r="G6181"/>
  <c r="G5762"/>
  <c r="H5753"/>
  <c r="H5687"/>
  <c r="H5187"/>
  <c r="G5194"/>
  <c r="H4941"/>
  <c r="H4834"/>
  <c r="G4838"/>
  <c r="H4683"/>
  <c r="H4490"/>
  <c r="G4494"/>
  <c r="I4493"/>
  <c r="J4493"/>
  <c r="J8387"/>
  <c r="H4035"/>
  <c r="H3905"/>
  <c r="H3713"/>
  <c r="G3526"/>
  <c r="H3329"/>
  <c r="H3244"/>
  <c r="H3120"/>
  <c r="H3006"/>
  <c r="G3012"/>
  <c r="H2846"/>
  <c r="H2608"/>
  <c r="G2615"/>
  <c r="H2540"/>
  <c r="H2468"/>
  <c r="H2407"/>
  <c r="H2218"/>
  <c r="H1826"/>
  <c r="H1707"/>
  <c r="G1711"/>
  <c r="I1609"/>
  <c r="I1611"/>
  <c r="H1611"/>
  <c r="A7030"/>
  <c r="A7031"/>
  <c r="A7032"/>
  <c r="A7033"/>
  <c r="A7034"/>
  <c r="A7046"/>
  <c r="A7047"/>
  <c r="H1520"/>
  <c r="H1462"/>
  <c r="H1380"/>
  <c r="H1282"/>
  <c r="G1289"/>
  <c r="H1117"/>
  <c r="H385"/>
  <c r="H1042"/>
  <c r="H933"/>
  <c r="F2572"/>
  <c r="F7208"/>
  <c r="H694"/>
  <c r="I694"/>
  <c r="I696"/>
  <c r="G696"/>
  <c r="H692"/>
  <c r="I692"/>
  <c r="H576"/>
  <c r="I576"/>
  <c r="J576"/>
  <c r="J4040"/>
  <c r="G396"/>
  <c r="H498"/>
  <c r="J7533"/>
  <c r="H287"/>
  <c r="I287"/>
  <c r="J2543"/>
  <c r="A7061"/>
  <c r="J7088"/>
  <c r="J1288"/>
  <c r="A2995"/>
  <c r="J1974"/>
  <c r="H288"/>
  <c r="I288"/>
  <c r="J7784"/>
  <c r="A4922"/>
  <c r="A4923"/>
  <c r="A4924"/>
  <c r="A4925"/>
  <c r="A4927"/>
  <c r="A4928"/>
  <c r="A4929"/>
  <c r="A4930"/>
  <c r="A4931"/>
  <c r="A4932"/>
  <c r="A4933"/>
  <c r="A4934"/>
  <c r="A4936"/>
  <c r="A4937"/>
  <c r="A4938"/>
  <c r="J6180"/>
  <c r="A7262"/>
  <c r="A7263"/>
  <c r="A7264"/>
  <c r="A7265"/>
  <c r="A7266"/>
  <c r="A7267"/>
  <c r="A7268"/>
  <c r="A7269"/>
  <c r="A7270"/>
  <c r="A7271"/>
  <c r="A7272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9"/>
  <c r="A7300"/>
  <c r="A7260"/>
  <c r="J2472"/>
  <c r="C2042" i="23"/>
  <c r="C1973"/>
  <c r="I71" i="9"/>
  <c r="C1916" i="23"/>
  <c r="I69" i="9"/>
  <c r="C1860" i="23"/>
  <c r="I67" i="9"/>
  <c r="C1633" i="23"/>
  <c r="I59" i="9"/>
  <c r="C1520" i="23"/>
  <c r="I55" i="9"/>
  <c r="C1457" i="23"/>
  <c r="I53" i="9"/>
  <c r="C966" i="23"/>
  <c r="I36" i="9"/>
  <c r="J3011" i="11"/>
  <c r="J3332"/>
  <c r="J2332"/>
  <c r="J5379"/>
  <c r="J2041"/>
  <c r="J1710"/>
  <c r="J3719"/>
  <c r="J2613"/>
  <c r="A1794"/>
  <c r="A1795"/>
  <c r="A1796"/>
  <c r="A1797"/>
  <c r="A1798"/>
  <c r="A1799"/>
  <c r="J111"/>
  <c r="J6349"/>
  <c r="F4538"/>
  <c r="J6931"/>
  <c r="J7845"/>
  <c r="J5192"/>
  <c r="J4837"/>
  <c r="C610" i="23"/>
  <c r="C1141"/>
  <c r="G5" i="8"/>
  <c r="E9" i="2"/>
  <c r="E11"/>
  <c r="G11" i="8"/>
  <c r="A7777" i="11"/>
  <c r="A7776"/>
  <c r="A8056"/>
  <c r="A8058"/>
  <c r="A8059"/>
  <c r="E2246" i="23"/>
  <c r="F11" i="2"/>
  <c r="C2132" i="23"/>
  <c r="I385" i="11"/>
  <c r="A5934"/>
  <c r="A5933"/>
  <c r="A7520"/>
  <c r="A7522"/>
  <c r="A7523"/>
  <c r="A7524"/>
  <c r="A6546"/>
  <c r="A6547"/>
  <c r="A6548"/>
  <c r="A6549"/>
  <c r="A6550"/>
  <c r="A6551"/>
  <c r="A6552"/>
  <c r="A6553"/>
  <c r="A6540"/>
  <c r="A6541"/>
  <c r="A6542"/>
  <c r="A6543"/>
  <c r="A6544"/>
  <c r="A7624"/>
  <c r="A7625"/>
  <c r="A7626"/>
  <c r="A7627"/>
  <c r="A7628"/>
  <c r="A7629"/>
  <c r="A7630"/>
  <c r="A7631"/>
  <c r="A7632"/>
  <c r="A7633"/>
  <c r="A4020"/>
  <c r="A4021"/>
  <c r="A4022"/>
  <c r="A4023"/>
  <c r="A4024"/>
  <c r="A4025"/>
  <c r="A4026"/>
  <c r="A4027"/>
  <c r="A4028"/>
  <c r="A4029"/>
  <c r="A4030"/>
  <c r="A4031"/>
  <c r="A4032"/>
  <c r="A4018"/>
  <c r="C27" i="2"/>
  <c r="C19"/>
  <c r="H5583" i="11"/>
  <c r="I5583"/>
  <c r="H5581"/>
  <c r="I5581"/>
  <c r="J5581"/>
  <c r="H5582"/>
  <c r="I5582"/>
  <c r="H5580"/>
  <c r="I5580"/>
  <c r="H5372"/>
  <c r="I5372"/>
  <c r="H5371"/>
  <c r="I5371"/>
  <c r="H8455"/>
  <c r="G8457"/>
  <c r="I8453"/>
  <c r="I8454"/>
  <c r="H8454"/>
  <c r="I8383"/>
  <c r="I8384"/>
  <c r="H8384"/>
  <c r="H8386"/>
  <c r="H8303"/>
  <c r="I8195"/>
  <c r="H8196"/>
  <c r="H8197"/>
  <c r="G8199"/>
  <c r="H8062"/>
  <c r="H7978"/>
  <c r="I7978"/>
  <c r="I7977"/>
  <c r="J7977"/>
  <c r="H7981"/>
  <c r="I7981"/>
  <c r="I7984"/>
  <c r="I7842"/>
  <c r="I7843"/>
  <c r="H7843"/>
  <c r="H7844"/>
  <c r="H7780"/>
  <c r="I7676"/>
  <c r="I7678"/>
  <c r="H7678"/>
  <c r="H7680"/>
  <c r="G7683"/>
  <c r="I7528"/>
  <c r="H7531"/>
  <c r="H7532"/>
  <c r="I7431"/>
  <c r="H7432"/>
  <c r="H7433"/>
  <c r="G7436"/>
  <c r="H7315"/>
  <c r="I7315"/>
  <c r="J7315"/>
  <c r="I7314"/>
  <c r="H7317"/>
  <c r="G7320"/>
  <c r="H7178"/>
  <c r="H7085"/>
  <c r="I6927"/>
  <c r="H6928"/>
  <c r="H6930"/>
  <c r="I6822"/>
  <c r="I6823"/>
  <c r="H6823"/>
  <c r="H6825"/>
  <c r="G6827"/>
  <c r="I6672"/>
  <c r="H6673"/>
  <c r="H6674"/>
  <c r="G6676"/>
  <c r="I6556"/>
  <c r="H6557"/>
  <c r="H6558"/>
  <c r="G6560"/>
  <c r="I6342"/>
  <c r="H6346"/>
  <c r="H6348"/>
  <c r="H6257"/>
  <c r="J6169"/>
  <c r="J6178"/>
  <c r="H6179"/>
  <c r="H5754"/>
  <c r="I5754"/>
  <c r="I5753"/>
  <c r="H5759"/>
  <c r="I5687"/>
  <c r="I5691"/>
  <c r="H5691"/>
  <c r="H5693"/>
  <c r="G5696"/>
  <c r="I5187"/>
  <c r="H5189"/>
  <c r="H5191"/>
  <c r="H5053"/>
  <c r="I4941"/>
  <c r="I4943"/>
  <c r="H4943"/>
  <c r="H4944"/>
  <c r="G4946"/>
  <c r="I4834"/>
  <c r="H4835"/>
  <c r="H4836"/>
  <c r="I4683"/>
  <c r="H4685"/>
  <c r="H4687"/>
  <c r="G4690"/>
  <c r="I4490"/>
  <c r="H4491"/>
  <c r="H4492"/>
  <c r="H4148"/>
  <c r="H4036"/>
  <c r="I4036"/>
  <c r="I4035"/>
  <c r="H3906"/>
  <c r="I3906"/>
  <c r="I3905"/>
  <c r="I3713"/>
  <c r="H3714"/>
  <c r="I3714"/>
  <c r="H3715"/>
  <c r="I3715"/>
  <c r="H3525"/>
  <c r="H3526"/>
  <c r="I3526"/>
  <c r="I3329"/>
  <c r="H3330"/>
  <c r="H3331"/>
  <c r="G3333"/>
  <c r="I3244"/>
  <c r="I3245"/>
  <c r="H3245"/>
  <c r="H3248"/>
  <c r="G3251"/>
  <c r="I3120"/>
  <c r="H3121"/>
  <c r="H3123"/>
  <c r="G3125"/>
  <c r="I3006"/>
  <c r="H3008"/>
  <c r="H3010"/>
  <c r="I2846"/>
  <c r="H2847"/>
  <c r="H2849"/>
  <c r="G2851"/>
  <c r="I2608"/>
  <c r="I2609"/>
  <c r="H2609"/>
  <c r="H2612"/>
  <c r="I2540"/>
  <c r="I2541"/>
  <c r="H2541"/>
  <c r="H2542"/>
  <c r="G2544"/>
  <c r="I2468"/>
  <c r="H2470"/>
  <c r="H2471"/>
  <c r="G2473"/>
  <c r="I2407"/>
  <c r="I2408"/>
  <c r="H2408"/>
  <c r="H2409"/>
  <c r="G2411"/>
  <c r="H2329"/>
  <c r="H2220"/>
  <c r="G2222"/>
  <c r="I2218"/>
  <c r="I2219"/>
  <c r="H2219"/>
  <c r="H2038"/>
  <c r="H1969"/>
  <c r="H1827"/>
  <c r="I1827"/>
  <c r="I1826"/>
  <c r="J1826"/>
  <c r="J1609"/>
  <c r="J1611"/>
  <c r="I1707"/>
  <c r="I1708"/>
  <c r="H1708"/>
  <c r="H1709"/>
  <c r="H1612"/>
  <c r="G1614"/>
  <c r="I1520"/>
  <c r="H1521"/>
  <c r="I1521"/>
  <c r="I1462"/>
  <c r="H1463"/>
  <c r="I1463"/>
  <c r="J385"/>
  <c r="I1380"/>
  <c r="I1381"/>
  <c r="H1381"/>
  <c r="H1382"/>
  <c r="G1384"/>
  <c r="I1282"/>
  <c r="I1286"/>
  <c r="H1286"/>
  <c r="H1287"/>
  <c r="H1118"/>
  <c r="I1118"/>
  <c r="I1117"/>
  <c r="I1042"/>
  <c r="J1042"/>
  <c r="H1043"/>
  <c r="I1043"/>
  <c r="I933"/>
  <c r="H937"/>
  <c r="H939"/>
  <c r="I939"/>
  <c r="I941"/>
  <c r="G941"/>
  <c r="J813"/>
  <c r="J812"/>
  <c r="J694"/>
  <c r="J696"/>
  <c r="J692"/>
  <c r="J693"/>
  <c r="I693"/>
  <c r="H577"/>
  <c r="I577"/>
  <c r="I579"/>
  <c r="I393"/>
  <c r="I396"/>
  <c r="J287"/>
  <c r="H393"/>
  <c r="H396"/>
  <c r="H491"/>
  <c r="I491"/>
  <c r="J288"/>
  <c r="H289"/>
  <c r="I289"/>
  <c r="I291"/>
  <c r="H103"/>
  <c r="I103"/>
  <c r="J7181"/>
  <c r="D16" i="2"/>
  <c r="D17"/>
  <c r="D14"/>
  <c r="D15"/>
  <c r="D18"/>
  <c r="E26"/>
  <c r="G41" i="8"/>
  <c r="F26" i="2"/>
  <c r="H41" i="8"/>
  <c r="H3"/>
  <c r="E18" i="2"/>
  <c r="E15"/>
  <c r="E17"/>
  <c r="E14"/>
  <c r="E16"/>
  <c r="I5" i="8"/>
  <c r="G12"/>
  <c r="A5936" i="11"/>
  <c r="A5937"/>
  <c r="A5938"/>
  <c r="A5940"/>
  <c r="A5941"/>
  <c r="A5942"/>
  <c r="A5943"/>
  <c r="A5944"/>
  <c r="A5945"/>
  <c r="A5946"/>
  <c r="A5947"/>
  <c r="A5948"/>
  <c r="A5949"/>
  <c r="A5950"/>
  <c r="A5951"/>
  <c r="A5952"/>
  <c r="A5953"/>
  <c r="A5955"/>
  <c r="A5956"/>
  <c r="A5957"/>
  <c r="A5958"/>
  <c r="A5959"/>
  <c r="A5960"/>
  <c r="A5961"/>
  <c r="A5962"/>
  <c r="A5963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9"/>
  <c r="A6010"/>
  <c r="A6011"/>
  <c r="A6012"/>
  <c r="A6013"/>
  <c r="A6014"/>
  <c r="A6015"/>
  <c r="A6016"/>
  <c r="A6017"/>
  <c r="A6018"/>
  <c r="A6019"/>
  <c r="A6020"/>
  <c r="A6021"/>
  <c r="A6022"/>
  <c r="A6083"/>
  <c r="A6084"/>
  <c r="A6086"/>
  <c r="A6087"/>
  <c r="A6088"/>
  <c r="A6089"/>
  <c r="A6090"/>
  <c r="A6091"/>
  <c r="A6092"/>
  <c r="A6096"/>
  <c r="A6097"/>
  <c r="A6098"/>
  <c r="A6099"/>
  <c r="A6100"/>
  <c r="A6101"/>
  <c r="A6102"/>
  <c r="A6103"/>
  <c r="A6105"/>
  <c r="A6106"/>
  <c r="A6107"/>
  <c r="A6108"/>
  <c r="A6109"/>
  <c r="A6110"/>
  <c r="A6111"/>
  <c r="A6112"/>
  <c r="A6113"/>
  <c r="A6114"/>
  <c r="A6115"/>
  <c r="A6116"/>
  <c r="A6117"/>
  <c r="A6118"/>
  <c r="A6120"/>
  <c r="A6121"/>
  <c r="A6122"/>
  <c r="A6123"/>
  <c r="A6124"/>
  <c r="A6125"/>
  <c r="A6126"/>
  <c r="A6127"/>
  <c r="A6128"/>
  <c r="A6129"/>
  <c r="A6131"/>
  <c r="A6132"/>
  <c r="A6133"/>
  <c r="A6134"/>
  <c r="A6137"/>
  <c r="A6138"/>
  <c r="A6139"/>
  <c r="A6140"/>
  <c r="A6141"/>
  <c r="A6142"/>
  <c r="A6143"/>
  <c r="A6144"/>
  <c r="A6146"/>
  <c r="A6147"/>
  <c r="A6148"/>
  <c r="A6149"/>
  <c r="A6150"/>
  <c r="A6151"/>
  <c r="A6152"/>
  <c r="A6153"/>
  <c r="A6154"/>
  <c r="A6155"/>
  <c r="I11" i="8"/>
  <c r="F15" i="2"/>
  <c r="F17"/>
  <c r="F18"/>
  <c r="F16"/>
  <c r="F14"/>
  <c r="E78" i="12"/>
  <c r="J5583" i="11"/>
  <c r="J5580"/>
  <c r="H7984"/>
  <c r="J5582"/>
  <c r="H5585"/>
  <c r="I5585"/>
  <c r="J5585"/>
  <c r="J8453"/>
  <c r="J8454"/>
  <c r="J7981"/>
  <c r="J7984"/>
  <c r="J5371"/>
  <c r="J5372"/>
  <c r="H5374"/>
  <c r="I5374"/>
  <c r="I8455"/>
  <c r="I8457"/>
  <c r="H8457"/>
  <c r="J8383"/>
  <c r="J8384"/>
  <c r="I8386"/>
  <c r="H8388"/>
  <c r="I8303"/>
  <c r="H8304"/>
  <c r="H8305"/>
  <c r="G8308"/>
  <c r="I8196"/>
  <c r="J8195"/>
  <c r="J8196"/>
  <c r="I8197"/>
  <c r="H8199"/>
  <c r="I8062"/>
  <c r="H8063"/>
  <c r="H8064"/>
  <c r="G8066"/>
  <c r="I7979"/>
  <c r="J7978"/>
  <c r="J7979"/>
  <c r="H7979"/>
  <c r="J7842"/>
  <c r="J7843"/>
  <c r="I7844"/>
  <c r="H7846"/>
  <c r="I7780"/>
  <c r="H7782"/>
  <c r="H7783"/>
  <c r="G7786"/>
  <c r="J7676"/>
  <c r="J7678"/>
  <c r="I7680"/>
  <c r="I7683"/>
  <c r="H7683"/>
  <c r="I7531"/>
  <c r="J7528"/>
  <c r="J7531"/>
  <c r="I7532"/>
  <c r="H7534"/>
  <c r="I7432"/>
  <c r="J7431"/>
  <c r="J7432"/>
  <c r="I7433"/>
  <c r="I7436"/>
  <c r="H7436"/>
  <c r="H7316"/>
  <c r="I7316"/>
  <c r="J7314"/>
  <c r="J7316"/>
  <c r="I7317"/>
  <c r="H7320"/>
  <c r="I7178"/>
  <c r="H7179"/>
  <c r="H7180"/>
  <c r="G7182"/>
  <c r="I7085"/>
  <c r="I7086"/>
  <c r="H7086"/>
  <c r="H7087"/>
  <c r="G7089"/>
  <c r="I6928"/>
  <c r="J6927"/>
  <c r="J6928"/>
  <c r="J6822"/>
  <c r="J6823"/>
  <c r="I6930"/>
  <c r="I6932"/>
  <c r="H6932"/>
  <c r="I6825"/>
  <c r="I6827"/>
  <c r="H6827"/>
  <c r="I6673"/>
  <c r="J6672"/>
  <c r="J6673"/>
  <c r="I6674"/>
  <c r="I6676"/>
  <c r="H6676"/>
  <c r="I6557"/>
  <c r="J6556"/>
  <c r="J6557"/>
  <c r="I6558"/>
  <c r="H6560"/>
  <c r="I6346"/>
  <c r="J6342"/>
  <c r="J6346"/>
  <c r="I6348"/>
  <c r="H6351"/>
  <c r="I6257"/>
  <c r="H6259"/>
  <c r="H6260"/>
  <c r="G6262"/>
  <c r="I6179"/>
  <c r="H6181"/>
  <c r="J5687"/>
  <c r="J5691"/>
  <c r="J5754"/>
  <c r="H5757"/>
  <c r="I5757"/>
  <c r="J5753"/>
  <c r="I5759"/>
  <c r="H5762"/>
  <c r="I5693"/>
  <c r="I5696"/>
  <c r="H5696"/>
  <c r="J5369"/>
  <c r="J5370"/>
  <c r="I5189"/>
  <c r="J5187"/>
  <c r="J5189"/>
  <c r="I5191"/>
  <c r="H5194"/>
  <c r="I5053"/>
  <c r="I5055"/>
  <c r="H5055"/>
  <c r="H5056"/>
  <c r="G5058"/>
  <c r="J4941"/>
  <c r="J4943"/>
  <c r="I4944"/>
  <c r="I4946"/>
  <c r="H4946"/>
  <c r="I4835"/>
  <c r="J4834"/>
  <c r="J4835"/>
  <c r="I4836"/>
  <c r="I4838"/>
  <c r="H4838"/>
  <c r="I4685"/>
  <c r="J4683"/>
  <c r="J4685"/>
  <c r="I4687"/>
  <c r="H4690"/>
  <c r="I4491"/>
  <c r="J4490"/>
  <c r="J4491"/>
  <c r="I4492"/>
  <c r="I4494"/>
  <c r="H4494"/>
  <c r="I4148"/>
  <c r="I4151"/>
  <c r="H4151"/>
  <c r="H4153"/>
  <c r="G4155"/>
  <c r="I4037"/>
  <c r="J4035"/>
  <c r="J4036"/>
  <c r="H4039"/>
  <c r="G4041"/>
  <c r="H4037"/>
  <c r="I3907"/>
  <c r="J3905"/>
  <c r="J3906"/>
  <c r="H3907"/>
  <c r="H3908"/>
  <c r="G3911"/>
  <c r="I3716"/>
  <c r="H3716"/>
  <c r="J3714"/>
  <c r="J3715"/>
  <c r="H3718"/>
  <c r="G3720"/>
  <c r="J3713"/>
  <c r="I3525"/>
  <c r="H3528"/>
  <c r="H3530"/>
  <c r="G3532"/>
  <c r="J3526"/>
  <c r="J3244"/>
  <c r="J3245"/>
  <c r="I3330"/>
  <c r="J3329"/>
  <c r="J3330"/>
  <c r="I3331"/>
  <c r="I3333"/>
  <c r="H3333"/>
  <c r="I3248"/>
  <c r="H3251"/>
  <c r="I3121"/>
  <c r="J3120"/>
  <c r="J3121"/>
  <c r="I3123"/>
  <c r="I3125"/>
  <c r="H3125"/>
  <c r="I3008"/>
  <c r="J3006"/>
  <c r="J3008"/>
  <c r="I3010"/>
  <c r="I3012"/>
  <c r="H3012"/>
  <c r="I2847"/>
  <c r="J2846"/>
  <c r="J2847"/>
  <c r="I2849"/>
  <c r="I2851"/>
  <c r="H2851"/>
  <c r="I2612"/>
  <c r="J2612"/>
  <c r="J2615"/>
  <c r="H2615"/>
  <c r="J2608"/>
  <c r="J2609"/>
  <c r="J2540"/>
  <c r="J2541"/>
  <c r="I2542"/>
  <c r="H2544"/>
  <c r="I2470"/>
  <c r="J2468"/>
  <c r="J2470"/>
  <c r="I2471"/>
  <c r="H2473"/>
  <c r="J2407"/>
  <c r="J2408"/>
  <c r="I2409"/>
  <c r="I2411"/>
  <c r="H2411"/>
  <c r="I2329"/>
  <c r="H2330"/>
  <c r="H2331"/>
  <c r="G2333"/>
  <c r="J2218"/>
  <c r="J2219"/>
  <c r="I2220"/>
  <c r="I2222"/>
  <c r="H2222"/>
  <c r="I2038"/>
  <c r="H2039"/>
  <c r="H2040"/>
  <c r="G2043"/>
  <c r="I1969"/>
  <c r="I1970"/>
  <c r="H1970"/>
  <c r="H1973"/>
  <c r="G1976"/>
  <c r="J1827"/>
  <c r="J1828"/>
  <c r="I1828"/>
  <c r="H1828"/>
  <c r="H1829"/>
  <c r="G1831"/>
  <c r="I1709"/>
  <c r="I1711"/>
  <c r="H1711"/>
  <c r="J1707"/>
  <c r="J1708"/>
  <c r="I1612"/>
  <c r="I1614"/>
  <c r="H1614"/>
  <c r="J1521"/>
  <c r="J1463"/>
  <c r="J1520"/>
  <c r="H1522"/>
  <c r="H1464"/>
  <c r="J1462"/>
  <c r="H1470"/>
  <c r="G1473"/>
  <c r="I1382"/>
  <c r="I1384"/>
  <c r="H1384"/>
  <c r="J1282"/>
  <c r="J1286"/>
  <c r="J1380"/>
  <c r="J1381"/>
  <c r="I1287"/>
  <c r="H1289"/>
  <c r="J1118"/>
  <c r="H1119"/>
  <c r="I1119"/>
  <c r="I1120"/>
  <c r="J1117"/>
  <c r="H1044"/>
  <c r="I1044"/>
  <c r="I1045"/>
  <c r="J1043"/>
  <c r="I937"/>
  <c r="J933"/>
  <c r="J937"/>
  <c r="J939"/>
  <c r="J815"/>
  <c r="J577"/>
  <c r="J579"/>
  <c r="H581"/>
  <c r="I581"/>
  <c r="I584"/>
  <c r="G584"/>
  <c r="J393"/>
  <c r="J396"/>
  <c r="H492"/>
  <c r="I492"/>
  <c r="I495"/>
  <c r="I498"/>
  <c r="I501"/>
  <c r="G501"/>
  <c r="J491"/>
  <c r="J289"/>
  <c r="J291"/>
  <c r="H293"/>
  <c r="I293"/>
  <c r="I295"/>
  <c r="G295"/>
  <c r="I110"/>
  <c r="H104"/>
  <c r="I104"/>
  <c r="J103"/>
  <c r="I24" i="9"/>
  <c r="J77" i="12"/>
  <c r="F19" i="2"/>
  <c r="E19"/>
  <c r="H386" i="11"/>
  <c r="I386"/>
  <c r="G3" i="8"/>
  <c r="G28"/>
  <c r="D19" i="2"/>
  <c r="H15"/>
  <c r="A6158" i="11"/>
  <c r="A6159"/>
  <c r="A6160"/>
  <c r="A6161"/>
  <c r="A6162"/>
  <c r="A6163"/>
  <c r="A6164"/>
  <c r="A6165"/>
  <c r="A6166"/>
  <c r="A6156"/>
  <c r="I12" i="8"/>
  <c r="I28"/>
  <c r="I41"/>
  <c r="H5586" i="11"/>
  <c r="J5374"/>
  <c r="H5375"/>
  <c r="I5375"/>
  <c r="I5376"/>
  <c r="J8455"/>
  <c r="J8457"/>
  <c r="I8388"/>
  <c r="J8386"/>
  <c r="J8388"/>
  <c r="I8304"/>
  <c r="J8303"/>
  <c r="J8304"/>
  <c r="I8305"/>
  <c r="H8308"/>
  <c r="I8199"/>
  <c r="J8197"/>
  <c r="J8199"/>
  <c r="I8063"/>
  <c r="J8062"/>
  <c r="J8063"/>
  <c r="I8064"/>
  <c r="I8066"/>
  <c r="H8066"/>
  <c r="I7846"/>
  <c r="J7844"/>
  <c r="J7846"/>
  <c r="I7782"/>
  <c r="J7780"/>
  <c r="J7782"/>
  <c r="I7783"/>
  <c r="H7786"/>
  <c r="J7680"/>
  <c r="J7683"/>
  <c r="J7532"/>
  <c r="J7534"/>
  <c r="I7534"/>
  <c r="J7433"/>
  <c r="J7436"/>
  <c r="I7320"/>
  <c r="J7317"/>
  <c r="J7320"/>
  <c r="I7179"/>
  <c r="J7178"/>
  <c r="J7179"/>
  <c r="I7180"/>
  <c r="I7182"/>
  <c r="H7182"/>
  <c r="J7085"/>
  <c r="J7086"/>
  <c r="I7087"/>
  <c r="I7089"/>
  <c r="H7089"/>
  <c r="J6930"/>
  <c r="J6932"/>
  <c r="J6825"/>
  <c r="J6827"/>
  <c r="J6674"/>
  <c r="J6676"/>
  <c r="I6560"/>
  <c r="J6558"/>
  <c r="J6560"/>
  <c r="I6351"/>
  <c r="J6348"/>
  <c r="J6351"/>
  <c r="I6259"/>
  <c r="J6257"/>
  <c r="J6259"/>
  <c r="I6260"/>
  <c r="I6262"/>
  <c r="H6262"/>
  <c r="I6181"/>
  <c r="J6179"/>
  <c r="J6181"/>
  <c r="J5693"/>
  <c r="J5696"/>
  <c r="J5757"/>
  <c r="I5762"/>
  <c r="J5759"/>
  <c r="J5762"/>
  <c r="H5378"/>
  <c r="G5380"/>
  <c r="I5194"/>
  <c r="J5191"/>
  <c r="J5194"/>
  <c r="I5056"/>
  <c r="H5058"/>
  <c r="J5053"/>
  <c r="J5055"/>
  <c r="J4944"/>
  <c r="J4946"/>
  <c r="J4836"/>
  <c r="J4838"/>
  <c r="I4690"/>
  <c r="J4687"/>
  <c r="J4690"/>
  <c r="J4492"/>
  <c r="J4494"/>
  <c r="I4153"/>
  <c r="H4155"/>
  <c r="J4148"/>
  <c r="J4151"/>
  <c r="J4037"/>
  <c r="I4039"/>
  <c r="I4041"/>
  <c r="H4041"/>
  <c r="J3907"/>
  <c r="I3908"/>
  <c r="H3911"/>
  <c r="I3718"/>
  <c r="I3720"/>
  <c r="H3720"/>
  <c r="J3716"/>
  <c r="I3528"/>
  <c r="J3525"/>
  <c r="J3528"/>
  <c r="I3530"/>
  <c r="I3532"/>
  <c r="H3532"/>
  <c r="J3331"/>
  <c r="J3333"/>
  <c r="I3251"/>
  <c r="J3248"/>
  <c r="J3251"/>
  <c r="J3123"/>
  <c r="J3125"/>
  <c r="J3010"/>
  <c r="J3012"/>
  <c r="J2849"/>
  <c r="J2851"/>
  <c r="I2615"/>
  <c r="I2544"/>
  <c r="J2542"/>
  <c r="J2544"/>
  <c r="J2220"/>
  <c r="J2222"/>
  <c r="I2473"/>
  <c r="J2471"/>
  <c r="J2473"/>
  <c r="J2409"/>
  <c r="J2411"/>
  <c r="I2330"/>
  <c r="J2329"/>
  <c r="J2330"/>
  <c r="I2331"/>
  <c r="H2333"/>
  <c r="I2040"/>
  <c r="I2043"/>
  <c r="H2043"/>
  <c r="I2039"/>
  <c r="J2038"/>
  <c r="J2039"/>
  <c r="I1973"/>
  <c r="H1976"/>
  <c r="J1969"/>
  <c r="J1970"/>
  <c r="I1829"/>
  <c r="I1831"/>
  <c r="H1831"/>
  <c r="J1709"/>
  <c r="J1711"/>
  <c r="J1612"/>
  <c r="J1614"/>
  <c r="H1523"/>
  <c r="I1523"/>
  <c r="I1522"/>
  <c r="J1522"/>
  <c r="H1528"/>
  <c r="J1382"/>
  <c r="J1384"/>
  <c r="I1464"/>
  <c r="H1468"/>
  <c r="I1470"/>
  <c r="H1473"/>
  <c r="I1289"/>
  <c r="J1287"/>
  <c r="J1289"/>
  <c r="H1120"/>
  <c r="J1119"/>
  <c r="J1120"/>
  <c r="H1122"/>
  <c r="G1124"/>
  <c r="H1045"/>
  <c r="H1046"/>
  <c r="G1049"/>
  <c r="I817"/>
  <c r="I820"/>
  <c r="J1044"/>
  <c r="J1045"/>
  <c r="J581"/>
  <c r="J584"/>
  <c r="G820"/>
  <c r="J492"/>
  <c r="J495"/>
  <c r="J498"/>
  <c r="J501"/>
  <c r="J293"/>
  <c r="J295"/>
  <c r="G113"/>
  <c r="I113"/>
  <c r="J110"/>
  <c r="J113"/>
  <c r="H105"/>
  <c r="I105"/>
  <c r="I108"/>
  <c r="J104"/>
  <c r="J386"/>
  <c r="H17" i="2"/>
  <c r="H14"/>
  <c r="H16"/>
  <c r="H18"/>
  <c r="H387" i="11"/>
  <c r="I387"/>
  <c r="I3" i="8"/>
  <c r="I5586" i="11"/>
  <c r="H5588"/>
  <c r="H5590"/>
  <c r="G5593"/>
  <c r="J5375"/>
  <c r="J5376"/>
  <c r="H5376"/>
  <c r="I8308"/>
  <c r="J8305"/>
  <c r="J8308"/>
  <c r="J8064"/>
  <c r="J8066"/>
  <c r="I7786"/>
  <c r="J7783"/>
  <c r="J7786"/>
  <c r="J7087"/>
  <c r="J7089"/>
  <c r="J7180"/>
  <c r="J7182"/>
  <c r="J6260"/>
  <c r="J6262"/>
  <c r="I5378"/>
  <c r="H5380"/>
  <c r="I5058"/>
  <c r="J5056"/>
  <c r="J5058"/>
  <c r="I4155"/>
  <c r="J4153"/>
  <c r="J4155"/>
  <c r="J4039"/>
  <c r="J4041"/>
  <c r="I3911"/>
  <c r="J3908"/>
  <c r="J3911"/>
  <c r="J3718"/>
  <c r="J3720"/>
  <c r="J3530"/>
  <c r="J3532"/>
  <c r="I2333"/>
  <c r="J2331"/>
  <c r="J2333"/>
  <c r="J2040"/>
  <c r="J2043"/>
  <c r="I1976"/>
  <c r="J1973"/>
  <c r="J1976"/>
  <c r="J1829"/>
  <c r="J1831"/>
  <c r="I1528"/>
  <c r="I1531"/>
  <c r="H1531"/>
  <c r="J1523"/>
  <c r="J1526"/>
  <c r="I1526"/>
  <c r="H1526"/>
  <c r="I1468"/>
  <c r="J1464"/>
  <c r="J1468"/>
  <c r="I1473"/>
  <c r="J1470"/>
  <c r="J1473"/>
  <c r="I1122"/>
  <c r="I1124"/>
  <c r="H1124"/>
  <c r="J817"/>
  <c r="J820"/>
  <c r="H1049"/>
  <c r="I1046"/>
  <c r="I1049"/>
  <c r="J105"/>
  <c r="J108"/>
  <c r="J387"/>
  <c r="I390"/>
  <c r="H390"/>
  <c r="H19" i="2"/>
  <c r="E23"/>
  <c r="G33" i="8"/>
  <c r="I5588" i="11"/>
  <c r="J5586"/>
  <c r="J5588"/>
  <c r="I5590"/>
  <c r="I5593"/>
  <c r="H5593"/>
  <c r="I5380"/>
  <c r="J5378"/>
  <c r="J5380"/>
  <c r="J1528"/>
  <c r="J1122"/>
  <c r="J1124"/>
  <c r="J1046"/>
  <c r="J1049"/>
  <c r="I35" i="8"/>
  <c r="J390" i="11"/>
  <c r="F23" i="2"/>
  <c r="H33" i="8"/>
  <c r="J5590" i="11"/>
  <c r="J5593"/>
  <c r="I83" i="9"/>
  <c r="I1229" i="23"/>
  <c r="I2186"/>
  <c r="I81" i="12"/>
  <c r="G1531" i="11"/>
  <c r="J1529"/>
  <c r="J1531"/>
  <c r="E25" i="2"/>
  <c r="E27"/>
  <c r="G29" i="8"/>
  <c r="H29"/>
  <c r="I76" i="12"/>
  <c r="I78"/>
  <c r="D27" i="2"/>
  <c r="H25"/>
  <c r="I39" i="8"/>
  <c r="J76" i="12"/>
  <c r="J73"/>
  <c r="J78"/>
  <c r="H26" i="2"/>
  <c r="H24"/>
  <c r="H23"/>
  <c r="F25"/>
  <c r="F27"/>
  <c r="G24"/>
  <c r="G25"/>
  <c r="G23"/>
  <c r="G26"/>
  <c r="G22"/>
  <c r="G27"/>
  <c r="H22"/>
  <c r="H27"/>
  <c r="I2103" i="23"/>
  <c r="I2132"/>
  <c r="I2159"/>
  <c r="G37" i="8"/>
  <c r="G31"/>
  <c r="H37"/>
  <c r="H31"/>
  <c r="I31"/>
  <c r="I37"/>
  <c r="F29"/>
  <c r="F32"/>
  <c r="G32"/>
  <c r="G42"/>
  <c r="H32"/>
  <c r="H42"/>
  <c r="I33"/>
  <c r="I42"/>
  <c r="I29"/>
  <c r="I32"/>
  <c r="I1746" i="23"/>
  <c r="F977" i="11"/>
  <c r="I1196" i="23"/>
  <c r="I1187"/>
  <c r="G1761"/>
  <c r="A2135" i="11"/>
  <c r="A2134"/>
  <c r="A2133"/>
  <c r="A2132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08"/>
  <c r="A2107"/>
  <c r="A2105"/>
  <c r="A2104"/>
  <c r="A2101"/>
  <c r="A2100"/>
  <c r="A2099"/>
  <c r="A2098"/>
  <c r="A2096"/>
  <c r="A2095"/>
  <c r="A2094"/>
  <c r="A2093"/>
  <c r="A2092"/>
  <c r="A2091"/>
  <c r="A2090"/>
  <c r="A2089"/>
  <c r="A2088"/>
  <c r="I1624" i="23"/>
  <c r="I1774"/>
  <c r="H941" i="11"/>
  <c r="I1623" i="23"/>
  <c r="I1618"/>
  <c r="I1194"/>
  <c r="I1625"/>
  <c r="I1193"/>
  <c r="I1617"/>
  <c r="F970" i="11"/>
  <c r="D970"/>
  <c r="D977"/>
  <c r="H940"/>
  <c r="J940"/>
  <c r="J941"/>
  <c r="I1195" i="23"/>
  <c r="I1185"/>
  <c r="I1184"/>
  <c r="G1764"/>
  <c r="G1766"/>
  <c r="I1622"/>
  <c r="I1619"/>
  <c r="F972" i="11"/>
  <c r="D972"/>
  <c r="I1189" i="23"/>
  <c r="G1759"/>
  <c r="I1627"/>
  <c r="I1190"/>
  <c r="I1186"/>
  <c r="I1188"/>
  <c r="G1768"/>
  <c r="I1631"/>
  <c r="I1621"/>
  <c r="I1773"/>
  <c r="G1758"/>
  <c r="G1773"/>
  <c r="G1775"/>
  <c r="I1626"/>
  <c r="G1765"/>
  <c r="I1192"/>
  <c r="A2136" i="11"/>
  <c r="A2137"/>
  <c r="A2138"/>
  <c r="A2139"/>
  <c r="A2140"/>
  <c r="A2141"/>
  <c r="A2142"/>
  <c r="A2143"/>
  <c r="A2144"/>
  <c r="A2145"/>
  <c r="A2146"/>
  <c r="A2147"/>
  <c r="A2188"/>
  <c r="A2189"/>
  <c r="A2190"/>
  <c r="A2191"/>
  <c r="A2192"/>
  <c r="A2193"/>
  <c r="A2194"/>
  <c r="A2195"/>
  <c r="A2198"/>
  <c r="A2199"/>
  <c r="A2201"/>
  <c r="A2202"/>
  <c r="A2203"/>
  <c r="A2204"/>
  <c r="A2205"/>
  <c r="A2206"/>
  <c r="A2207"/>
  <c r="A2208"/>
  <c r="A2209"/>
  <c r="A2210"/>
  <c r="A2211"/>
  <c r="A2212"/>
  <c r="A2213"/>
  <c r="A2214"/>
  <c r="A2215"/>
  <c r="I1616" i="23"/>
  <c r="I1632"/>
  <c r="I1756"/>
  <c r="I1629"/>
  <c r="I1628"/>
  <c r="I1182"/>
  <c r="I1191"/>
  <c r="I1772"/>
  <c r="G1763"/>
  <c r="I1620"/>
  <c r="I1630"/>
  <c r="I1199"/>
  <c r="I1197"/>
  <c r="I1183"/>
</calcChain>
</file>

<file path=xl/comments1.xml><?xml version="1.0" encoding="utf-8"?>
<comments xmlns="http://schemas.openxmlformats.org/spreadsheetml/2006/main">
  <authors>
    <author>DALHATU MUSA MORAI</author>
  </authors>
  <commentList>
    <comment ref="A623" authorId="0">
      <text>
        <r>
          <rPr>
            <b/>
            <sz val="9"/>
            <color indexed="81"/>
            <rFont val="Tahoma"/>
            <family val="2"/>
          </rPr>
          <t>DALHATU MUSA MORAI: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1" authorId="0">
      <text>
        <r>
          <rPr>
            <b/>
            <sz val="9"/>
            <color indexed="81"/>
            <rFont val="Tahoma"/>
            <family val="2"/>
          </rPr>
          <t>DALHATU MUSA MORAI: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8" authorId="0">
      <text>
        <r>
          <rPr>
            <b/>
            <sz val="9"/>
            <color indexed="81"/>
            <rFont val="Tahoma"/>
            <family val="2"/>
          </rPr>
          <t>DALHATU MUSA MORAI: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PC User</author>
  </authors>
  <commentList>
    <comment ref="C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8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HP - LAPTOP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>HP - LAPTOP: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HP - LAPTOP: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>HP - LAPTOP: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HP - LAPTOP: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PC User</author>
  </authors>
  <commentList>
    <comment ref="C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PC User</author>
  </authors>
  <commentList>
    <comment ref="C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9" authorId="0">
      <text>
        <r>
          <rPr>
            <b/>
            <sz val="8"/>
            <color indexed="81"/>
            <rFont val="Tahoma"/>
            <family val="2"/>
          </rPr>
          <t>PC User: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<sst xmlns="http://schemas.openxmlformats.org/spreadsheetml/2006/main" count="22519" uniqueCount="5721">
  <si>
    <t>H.E.O. ADMIN.</t>
  </si>
  <si>
    <t>H.E.O. ACCT.</t>
  </si>
  <si>
    <t>PRIN. TECH OFFICER I</t>
  </si>
  <si>
    <t>PRIN. TECH OFFICER II</t>
  </si>
  <si>
    <t>S.T,O</t>
  </si>
  <si>
    <t>W.S</t>
  </si>
  <si>
    <t>STA</t>
  </si>
  <si>
    <t>T/ASST</t>
  </si>
  <si>
    <t>MAINTENCE OF ICT FACILITIES</t>
  </si>
  <si>
    <t>UNIFORMS</t>
  </si>
  <si>
    <t>JUSTICE SECTOR REFORM</t>
  </si>
  <si>
    <t>PREROGATIVE OF MERCY</t>
  </si>
  <si>
    <t>RETREAT FOR COMM., SAs, &amp; DGs</t>
  </si>
  <si>
    <t>NORTHERN GOVERNORS FORUM</t>
  </si>
  <si>
    <t>420D</t>
  </si>
  <si>
    <t>STATE BUREAU OF STATISTICS</t>
  </si>
  <si>
    <t>417C</t>
  </si>
  <si>
    <t>CONFEDENTIAL SECRETARY</t>
  </si>
  <si>
    <t>PREPARATION OF STATISTICAL YEAR BOOK</t>
  </si>
  <si>
    <t>PUBLICATION OF STATISICAL YEAR BOOK</t>
  </si>
  <si>
    <t>MAINTENANCE SEARCHNET</t>
  </si>
  <si>
    <t>MAINTANCE OF COMPUTER</t>
  </si>
  <si>
    <t>OFFICE STATIONERIES</t>
  </si>
  <si>
    <t>MAINT. OF OFFICE FUNR. &amp; EQUIPT.</t>
  </si>
  <si>
    <t>DRUGS REVOLVING</t>
  </si>
  <si>
    <t>EXAM EXPENSES</t>
  </si>
  <si>
    <t>ELECTION ACTIVITIES</t>
  </si>
  <si>
    <t>MAINT. OF GUSAU CENTRAL MKT.</t>
  </si>
  <si>
    <t>INSPECTION OF FILMS CENTRES</t>
  </si>
  <si>
    <t>EDITING GADGET &amp; PREVIEW</t>
  </si>
  <si>
    <t>CHEMICALS &amp; MATERIALS</t>
  </si>
  <si>
    <t>LAB. EQUIP. &amp; THEATRE</t>
  </si>
  <si>
    <t>432/67</t>
  </si>
  <si>
    <t>NATIONAL EVIRONMENTAL DAY</t>
  </si>
  <si>
    <t>PRO EXAMINAL</t>
  </si>
  <si>
    <t>MAINT. OF VEH &amp; C/ASST</t>
  </si>
  <si>
    <t>PART VIII ANTICURRUPTION COMMISSION</t>
  </si>
  <si>
    <t>PART IX ZASIEC</t>
  </si>
  <si>
    <t>PART X STATE PENSION SCHEME</t>
  </si>
  <si>
    <t>PART XI PENSION AND GRATUITIES</t>
  </si>
  <si>
    <t>PART XII PARTICULARS OF EXTERNAL LOANS</t>
  </si>
  <si>
    <t>SNR. TECH. ASST. II</t>
  </si>
  <si>
    <t>TECHNICAL ASST. I</t>
  </si>
  <si>
    <t>TECHNICAL ASST. II</t>
  </si>
  <si>
    <t>SNR. CRAFTSMAN</t>
  </si>
  <si>
    <t>CRAFTSMAN</t>
  </si>
  <si>
    <t>ASST. CRAFTSMAN</t>
  </si>
  <si>
    <t>QUANTITY SURVEYING DIVISION</t>
  </si>
  <si>
    <t>CHIEF Q/SURVEYOR</t>
  </si>
  <si>
    <t>S.T.O.</t>
  </si>
  <si>
    <t>H.T.O.</t>
  </si>
  <si>
    <t>SNR. Q/SURVEYOR</t>
  </si>
  <si>
    <t>CHO/EHO</t>
  </si>
  <si>
    <t>OFFICE OF THE CHAIRMAN</t>
  </si>
  <si>
    <t>FIRST CLASS EMIRS</t>
  </si>
  <si>
    <t>QUANTITY SURVEYOR II</t>
  </si>
  <si>
    <t>HIGH H.S. SUPT.</t>
  </si>
  <si>
    <t>432/72</t>
  </si>
  <si>
    <t>ENVT. HEALTH OFFICER III</t>
  </si>
  <si>
    <t xml:space="preserve">MESSENGERS </t>
  </si>
  <si>
    <t>TYPIEST GRADE I</t>
  </si>
  <si>
    <t>SNR W.L.O</t>
  </si>
  <si>
    <t>WILD LIFE OFFICER I</t>
  </si>
  <si>
    <t>WILD LIFE OFFICER II</t>
  </si>
  <si>
    <t>GAME ASST.</t>
  </si>
  <si>
    <t>ASST. COMPUTER OFFICER</t>
  </si>
  <si>
    <t>SNR. STATISTICIAN I</t>
  </si>
  <si>
    <t>SNR GAME RANGER</t>
  </si>
  <si>
    <t>SNR. EDUCATION OFFICER</t>
  </si>
  <si>
    <t>STO</t>
  </si>
  <si>
    <t>COMPUTER OFFICER II</t>
  </si>
  <si>
    <t>HIGHER PHOTOGRAPHER</t>
  </si>
  <si>
    <t>SOUND RECORDIST</t>
  </si>
  <si>
    <t>DRIVER PROJECTIONIST</t>
  </si>
  <si>
    <t>MINISTRY OF WORKS</t>
  </si>
  <si>
    <t>PROVISION OF ICT FACILITIES</t>
  </si>
  <si>
    <t>HOUSE MAID</t>
  </si>
  <si>
    <t>HEAD WASHMAN</t>
  </si>
  <si>
    <t>SNR. WASHMAN</t>
  </si>
  <si>
    <t>LIVESTOCK ATTENDANT I</t>
  </si>
  <si>
    <t>LIVESTOCK ATTENDANT II</t>
  </si>
  <si>
    <t>A.D.D. JUMU'AT</t>
  </si>
  <si>
    <t>ASST. DIRECTOR IMAM</t>
  </si>
  <si>
    <t>PREACHING DEPT.</t>
  </si>
  <si>
    <t>CHIEF INSPECTORS</t>
  </si>
  <si>
    <t>INSPECTOR I</t>
  </si>
  <si>
    <t>OFFICE OF THE HEAD OF SERVICE</t>
  </si>
  <si>
    <t>ADMINISTRATION DEPARTMENT</t>
  </si>
  <si>
    <t>ASST. DIRECTOR PLAN. &amp; BUDGET</t>
  </si>
  <si>
    <t>ASST. DIRECTOR R/S</t>
  </si>
  <si>
    <t>CHSO/CMRO</t>
  </si>
  <si>
    <t>ACHSO/ACMRO</t>
  </si>
  <si>
    <t>CHIEF RANGE MGT. TECHNOLOGIST</t>
  </si>
  <si>
    <t>ASST. RANGE MGT. TECH.</t>
  </si>
  <si>
    <t>CHIEF TOWN PLANNING</t>
  </si>
  <si>
    <t>DUE PROCESS &amp; ECONOMIC CONTROL</t>
  </si>
  <si>
    <t>432/68</t>
  </si>
  <si>
    <t>PURCHASE OF COMPUTER V.SAT DEVT. SOFTWARE</t>
  </si>
  <si>
    <t>MATERNAL NEW BORN &amp; CHILD SURV.</t>
  </si>
  <si>
    <t>N.H.I</t>
  </si>
  <si>
    <t>STATE/LOCAL GOVT. CONTRIBUTION</t>
  </si>
  <si>
    <t>ZAMFARA STATE ACCELERATED COTTON DEVELOPMENT AGENCY</t>
  </si>
  <si>
    <t>432/70</t>
  </si>
  <si>
    <t>DIRECTORATE OF SPECIAL ASSIGNMENT</t>
  </si>
  <si>
    <t>432/71</t>
  </si>
  <si>
    <t>SPECIAL DONATION &amp; GIFTS</t>
  </si>
  <si>
    <t>GRANT TO TERTIARY INSTITUTIOS</t>
  </si>
  <si>
    <t>GOVERNMENT SCIENCE SEC. SCHOOL BAKURA</t>
  </si>
  <si>
    <t>SNR. TECH.</t>
  </si>
  <si>
    <t>TAPES AND TAPE RECORDERS</t>
  </si>
  <si>
    <t>ASST. FILM PRODUCTION OFFICER</t>
  </si>
  <si>
    <t>WORKSHOP ACCOUNTING COST PAYMENT</t>
  </si>
  <si>
    <t>CONFIDENTIAL SEC. IV</t>
  </si>
  <si>
    <t>PRESS SECTION</t>
  </si>
  <si>
    <t>INFORMATION ASST. II</t>
  </si>
  <si>
    <t>GRANT TO F.A.</t>
  </si>
  <si>
    <t>GRASS ROOT SPORTING ACTIVITY</t>
  </si>
  <si>
    <t>INTERNAL AUDIT UNIT</t>
  </si>
  <si>
    <t>SECURITY DEPARTMENT</t>
  </si>
  <si>
    <t>P.E.O.I</t>
  </si>
  <si>
    <t>P.E.O.II</t>
  </si>
  <si>
    <t>S.E.O I</t>
  </si>
  <si>
    <t>S.E.O II</t>
  </si>
  <si>
    <t>H.E.O I</t>
  </si>
  <si>
    <t>H.E.O II</t>
  </si>
  <si>
    <t>c. TRANSFER FROM CONSOLIDATED REVENUE FUND</t>
  </si>
  <si>
    <t>TRANSFER FROM C.R.F.</t>
  </si>
  <si>
    <t>ORIENTATION EXPENSES</t>
  </si>
  <si>
    <t>FIELD SERVICES DEPARTMENT</t>
  </si>
  <si>
    <t>OVERHEAD COSTS</t>
  </si>
  <si>
    <t>(E)</t>
  </si>
  <si>
    <t>MAINT. OF VEHICLE &amp; CAPT. ASSET</t>
  </si>
  <si>
    <t>PRIN.  SHARI'AH PROSECUTOR</t>
  </si>
  <si>
    <t>SEMINARS &amp; WORKSHOPS</t>
  </si>
  <si>
    <t>PERSONAL ASST III</t>
  </si>
  <si>
    <t>PERSONAL ASST IV</t>
  </si>
  <si>
    <t>INFORMATION ASST. I</t>
  </si>
  <si>
    <t>INFORMATION OFFICER</t>
  </si>
  <si>
    <t>OVERSEAS EXHIBITION/TRADE FAIR</t>
  </si>
  <si>
    <t>SNR. BUDGET ANALYST</t>
  </si>
  <si>
    <t>STAFF WELFARE ACTIVITIES</t>
  </si>
  <si>
    <t>PRIN. TOWN PLANNING OFFICER</t>
  </si>
  <si>
    <t>SNR. TOWN PLANNING OFFICER</t>
  </si>
  <si>
    <t>CHIEF COMPUTER ASST.</t>
  </si>
  <si>
    <t>COOPERATIVE ENLIGNTENMENT</t>
  </si>
  <si>
    <t>GRANT POLITICAL PARTIES</t>
  </si>
  <si>
    <t>WORKS DEPARTMENT</t>
  </si>
  <si>
    <t>PRIN. EXEC. OFFICER I ACCT.</t>
  </si>
  <si>
    <t>CHIEF SPORTS OFFICER</t>
  </si>
  <si>
    <t>PRIN. VERBATIM TRANS.</t>
  </si>
  <si>
    <t>SNR. VERBATIM TRANSL.</t>
  </si>
  <si>
    <t>SUP. OF PRESS</t>
  </si>
  <si>
    <t>ASST. SUP. OF PRESS</t>
  </si>
  <si>
    <t>CARTOGRAPHY SECTION</t>
  </si>
  <si>
    <t>PRIN. TECH. OFFICER</t>
  </si>
  <si>
    <t>STEWARD ENGINEER</t>
  </si>
  <si>
    <t>SNR. SOUND RECORDIST</t>
  </si>
  <si>
    <t>CHIEF CIVIL. ENG.</t>
  </si>
  <si>
    <t>PRIN. CIVIL. ENG.</t>
  </si>
  <si>
    <t>SNR. CIVIL. ENGR.</t>
  </si>
  <si>
    <t>ASST. C.W. SUPT.</t>
  </si>
  <si>
    <t>REGISTRATION AND RENEWAL OF PATENT MEDICINE STORES</t>
  </si>
  <si>
    <t>SALES OF DRUGS TO LOCAL GOVT</t>
  </si>
  <si>
    <t>SALES OF ARTICLE REHABILITATION CENTRE GUSAU</t>
  </si>
  <si>
    <t>422A</t>
  </si>
  <si>
    <t>CONSULTANCY SERVICE</t>
  </si>
  <si>
    <t>ROAD MAINTENANCE</t>
  </si>
  <si>
    <t>LOAN TO Z.S.T.A</t>
  </si>
  <si>
    <t>SNR. TRADE OFFICER</t>
  </si>
  <si>
    <t>HIGHER TRADE OFFICER</t>
  </si>
  <si>
    <t>SBR. TBL OFFICER</t>
  </si>
  <si>
    <t>TBL SUPERVISOR</t>
  </si>
  <si>
    <t xml:space="preserve">HIGHER AGRIC SUPT. </t>
  </si>
  <si>
    <t>LOCUST CONTROL-RE-IMBURSEMENT BY FEDERAL GOVERNMENT</t>
  </si>
  <si>
    <t>COTTON SEED DISTRIBUTION</t>
  </si>
  <si>
    <t>PRIN. RANGE MGT. TECH. I</t>
  </si>
  <si>
    <t>TECHNIC OFFICER</t>
  </si>
  <si>
    <t>TECHNIC ASST.</t>
  </si>
  <si>
    <t>W/SHOP ATTD. I</t>
  </si>
  <si>
    <t>CHIEF HIDES &amp; SKIN TECH.</t>
  </si>
  <si>
    <t>PRINTING OF REPORT</t>
  </si>
  <si>
    <t>MAINTENANCE OF COMPUTER</t>
  </si>
  <si>
    <t>DUE PROCESS ACTIVITIES</t>
  </si>
  <si>
    <t>ZAMFARA STATE PRIMARY HEALTH CARE</t>
  </si>
  <si>
    <t>432/69</t>
  </si>
  <si>
    <t>INTERGRATED SUPERVISORY</t>
  </si>
  <si>
    <t>COLLECTION OF VACCINES DIST.</t>
  </si>
  <si>
    <t>DISEASE CONTROL &amp; EMERGENCY</t>
  </si>
  <si>
    <t>JUDICIARY SHARI'AH COURT</t>
  </si>
  <si>
    <t>JUDICIAL SERVICE COMMISSION</t>
  </si>
  <si>
    <t>421 a</t>
  </si>
  <si>
    <t>PRIN. SYSTEM . ANALYST</t>
  </si>
  <si>
    <t>COOPERATIVE  ENLIGTMENT</t>
  </si>
  <si>
    <t>415B</t>
  </si>
  <si>
    <t>PROGRAMMER ANALYST II</t>
  </si>
  <si>
    <t>PROGRAMMER ANALYST I</t>
  </si>
  <si>
    <t>SPECIAL ASSIGNMENT ACTIVITIES</t>
  </si>
  <si>
    <t>S.A. DEPUTY GOVERNOR</t>
  </si>
  <si>
    <t>DATA PROCESSING ASST. II</t>
  </si>
  <si>
    <t>STATISTICAL II</t>
  </si>
  <si>
    <t>ASST. PLANNING OFFICER</t>
  </si>
  <si>
    <t>INTERNAL AUDIT DEPARTMENT</t>
  </si>
  <si>
    <t>ACCOUNTANT</t>
  </si>
  <si>
    <t>DEVT. CHARGES APPROVED BUILD. PLAN</t>
  </si>
  <si>
    <t>MOTOR TRANSPORT SERVICE</t>
  </si>
  <si>
    <t>DIRECTORATE OF INFORMATION &amp; COMM. TECH.</t>
  </si>
  <si>
    <t>TRANSPORT &amp; TRAVELING</t>
  </si>
  <si>
    <t>TYPIST ASST.</t>
  </si>
  <si>
    <t>STATE NEWSPAPER CORP.</t>
  </si>
  <si>
    <t>PRIN. INT. AUDITOR</t>
  </si>
  <si>
    <t>SOKOTO HEALTH</t>
  </si>
  <si>
    <t>YOUTH CELEB. DAY</t>
  </si>
  <si>
    <t>YOUTH MOBILIZATION &amp; JOB CREATION</t>
  </si>
  <si>
    <t>AGRO BUSINESS</t>
  </si>
  <si>
    <t>ENTERTAINMENT AND HOSPITALITY</t>
  </si>
  <si>
    <t>MINISTRY OF WATER RESOURCES</t>
  </si>
  <si>
    <t>HYDROMETEOROLOGY</t>
  </si>
  <si>
    <t>REGISTRATION OF BUSINESS PREMISES</t>
  </si>
  <si>
    <t>HIDES AND SKIN PREMISES LICENCE</t>
  </si>
  <si>
    <t>CHIEF TECH. OFFICER</t>
  </si>
  <si>
    <t>SURVEY LAB. ATTENDANT</t>
  </si>
  <si>
    <t xml:space="preserve">ASST. TECHNICAL OFFICER  </t>
  </si>
  <si>
    <t>SNR. SURVEY ASST.</t>
  </si>
  <si>
    <t>SALES OF FRUITS AND VEGETABLE</t>
  </si>
  <si>
    <t>SEEDS MULTIPLICATION SALES</t>
  </si>
  <si>
    <t>FISHING LICENCE</t>
  </si>
  <si>
    <t>HEAD: 404 EARNINGS AND SALES</t>
  </si>
  <si>
    <t>CHIEF COM. DEVT. INSPECTOR</t>
  </si>
  <si>
    <t>PRIN. COMM. DEVT. INSPECTOR</t>
  </si>
  <si>
    <t>BUDGET ANALYST I</t>
  </si>
  <si>
    <t>STATISTICAL OFF.</t>
  </si>
  <si>
    <t>ASST. STATS. OFF.</t>
  </si>
  <si>
    <t>AUDIT CLERKS</t>
  </si>
  <si>
    <t>PRINCIPAL SEC. ASST. IV</t>
  </si>
  <si>
    <t>PURCH. OF HISTORICAL BOOKS &amp; ARABIC MANUS.</t>
  </si>
  <si>
    <t>COST 2013</t>
  </si>
  <si>
    <t>CHIEF AUDITORS</t>
  </si>
  <si>
    <t>IRRG. DRIVER</t>
  </si>
  <si>
    <t>MAIN. OF ICT FAC. TO THE MIN. AND OTHER TERTIARY INSTITUTIONS</t>
  </si>
  <si>
    <t>CON. SEC. II</t>
  </si>
  <si>
    <t>PRIN. AGRIC OFFICER</t>
  </si>
  <si>
    <t>PRIN. AGRIC. SUPT. I</t>
  </si>
  <si>
    <t>SNR. AGRIC. SUPT</t>
  </si>
  <si>
    <t>2015</t>
  </si>
  <si>
    <t>MINSTRY FOR SPECIAL DUTIES PROTOCAL &amp; INTER-GOVERNMENTAL</t>
  </si>
  <si>
    <t>ARMED ROBBERY TRIBUNAL</t>
  </si>
  <si>
    <t>LAW REVIEW</t>
  </si>
  <si>
    <t>PRIN. H. SUPT./PCHO</t>
  </si>
  <si>
    <t>VERBATIM TRANS. I</t>
  </si>
  <si>
    <t>VERBATIM TRANS. II</t>
  </si>
  <si>
    <t>VERBATIM TRANS.</t>
  </si>
  <si>
    <t>UNIFORM FOR MOSQUE CLEANERS</t>
  </si>
  <si>
    <t>M/DRIVER I</t>
  </si>
  <si>
    <t>A.C.E.O ACCOUNT.</t>
  </si>
  <si>
    <t>PROJECT FINANCIAL MGT. UNIT</t>
  </si>
  <si>
    <t xml:space="preserve">PROGRAMME ANALYST </t>
  </si>
  <si>
    <t>STREET CLEANERS</t>
  </si>
  <si>
    <t>ENVT. HEALTH OFFICER I</t>
  </si>
  <si>
    <t>ENVT. HEALTH OFFICER II</t>
  </si>
  <si>
    <t>SCHOOL SERGENT I</t>
  </si>
  <si>
    <t>CENSORSHIP BOARD</t>
  </si>
  <si>
    <t>VEHICLES INSPECTION OFFICE</t>
  </si>
  <si>
    <t>C/ASST. (ACCTS.)</t>
  </si>
  <si>
    <t>SNR. STORES OFFICER</t>
  </si>
  <si>
    <t>INCORPORATED ACCT. DEPT.</t>
  </si>
  <si>
    <t>ASST. CHIEF ESTATE OFFICER</t>
  </si>
  <si>
    <t>PRIN. ESTATE OFFICER I</t>
  </si>
  <si>
    <t>PRIN. ESTATE OFFICER II</t>
  </si>
  <si>
    <t>SNR. ESTATE OFFICER</t>
  </si>
  <si>
    <t>419C</t>
  </si>
  <si>
    <t>DRIVER MATE</t>
  </si>
  <si>
    <t>HIGHER ESTATE OFFICER</t>
  </si>
  <si>
    <t>ESTATE OFFICER</t>
  </si>
  <si>
    <t>INTERNATIONAL COFERENCES</t>
  </si>
  <si>
    <t xml:space="preserve">HEAVY PLANT OPERATOR </t>
  </si>
  <si>
    <t>SNR. CLERICAL OFFICER (ACCT)</t>
  </si>
  <si>
    <t xml:space="preserve">MECHANIC </t>
  </si>
  <si>
    <t>PRIN. ADMIN. OFFICER</t>
  </si>
  <si>
    <t>PRIN. SEC. IV</t>
  </si>
  <si>
    <t xml:space="preserve">TYPIST  </t>
  </si>
  <si>
    <t>ASST. DIRECTOR YOUTH</t>
  </si>
  <si>
    <t>CHIEF PLAN. OFF.</t>
  </si>
  <si>
    <t>C.S.K.</t>
  </si>
  <si>
    <t>A.C.S.K.</t>
  </si>
  <si>
    <t>BOARD OF SURVEY</t>
  </si>
  <si>
    <t>CHIEF STOCK VERIFIER</t>
  </si>
  <si>
    <t>44o</t>
  </si>
  <si>
    <t>432/45</t>
  </si>
  <si>
    <t>45p</t>
  </si>
  <si>
    <t>45o</t>
  </si>
  <si>
    <t>AGENCY FOR QUR'ANIC MEMORIZATION</t>
  </si>
  <si>
    <t>432/46</t>
  </si>
  <si>
    <t>46p</t>
  </si>
  <si>
    <t>SEMINARS AND COMFERENCE</t>
  </si>
  <si>
    <t>46o</t>
  </si>
  <si>
    <t>432/47</t>
  </si>
  <si>
    <t>47p</t>
  </si>
  <si>
    <t>ZERA EXPENSES</t>
  </si>
  <si>
    <t>47o</t>
  </si>
  <si>
    <t>432/48</t>
  </si>
  <si>
    <t>48p</t>
  </si>
  <si>
    <t>48o</t>
  </si>
  <si>
    <t>432/49</t>
  </si>
  <si>
    <t>49p</t>
  </si>
  <si>
    <t>49o</t>
  </si>
  <si>
    <t>432/50</t>
  </si>
  <si>
    <t>REIMBURSEMENT BY FEDERAL GOVERNMENT</t>
  </si>
  <si>
    <t xml:space="preserve">AGRIC SUPT. </t>
  </si>
  <si>
    <t>CHIEF RANGE</t>
  </si>
  <si>
    <t>CHIEF MANAGER</t>
  </si>
  <si>
    <t>CHIEF PLANT OPERATOR</t>
  </si>
  <si>
    <t>ASST. CHIEF TECH. OFFICER</t>
  </si>
  <si>
    <t>PRIN. ENGR. (BUILDING)</t>
  </si>
  <si>
    <t>OFFICE OF THE STATE AUDITOR GENERAL</t>
  </si>
  <si>
    <t>DCR/DIRECTOR MAGISTRATE</t>
  </si>
  <si>
    <t>CHIEF MAGISTRATE I</t>
  </si>
  <si>
    <t>ASST. CHIEF SYSTEM. ANALYST</t>
  </si>
  <si>
    <t>CARPENTER GREAD I</t>
  </si>
  <si>
    <t>ASST WORKSUPT.</t>
  </si>
  <si>
    <t>CHIEF TYPIST</t>
  </si>
  <si>
    <t>PUMP OPERATOR IV</t>
  </si>
  <si>
    <t>T.O.I. ELECT.</t>
  </si>
  <si>
    <t>H.T.O MECH</t>
  </si>
  <si>
    <t>SNR. WORKSUPT.</t>
  </si>
  <si>
    <t>H.T.O ELECT</t>
  </si>
  <si>
    <t>HYDRO-GEOGIST DEPT.</t>
  </si>
  <si>
    <t>D.D. HYDRO</t>
  </si>
  <si>
    <t>MINISTRY OF CULTURE AND TOURISM</t>
  </si>
  <si>
    <t>PLANING OFFICER I</t>
  </si>
  <si>
    <t>SOLICITOR GENERAL</t>
  </si>
  <si>
    <t>SP GRADE</t>
  </si>
  <si>
    <t>PRIN. SEC. ASST.</t>
  </si>
  <si>
    <t>PERSONNEL MANAGT. DEPT.</t>
  </si>
  <si>
    <t>SECRETARIAT ASST.</t>
  </si>
  <si>
    <t>Consultancy Allowances (Members)</t>
  </si>
  <si>
    <t>SALES OF FARM PRODUCE APPROVED SCHOOL BUNGUDU</t>
  </si>
  <si>
    <t>FIN. ASST. II</t>
  </si>
  <si>
    <t>SNR. TECH. OFFICER</t>
  </si>
  <si>
    <t>d. RECEIPT FROM OTHER SUBSIDIARY ACCOUNT</t>
  </si>
  <si>
    <t>ELECTION GENERAL</t>
  </si>
  <si>
    <t xml:space="preserve">TRANS. &amp; TRAVELLING </t>
  </si>
  <si>
    <t>AGENCY FOR INTER PARTY RELATIONS</t>
  </si>
  <si>
    <t>SNR. PERSONNEL ASST.</t>
  </si>
  <si>
    <t>ASST. C.F.P. OFFICER</t>
  </si>
  <si>
    <t>SALES OF PHOTOG.CALENDARS &amp; DIARY</t>
  </si>
  <si>
    <t>PRESS SECRETARY</t>
  </si>
  <si>
    <t>CONFIDENTIAL SEC. III</t>
  </si>
  <si>
    <t>DIRECTORATE OF SPORTS DEVT.</t>
  </si>
  <si>
    <t>SEMINARS &amp; WORKSHOP</t>
  </si>
  <si>
    <t>EXAMS EXPENSES</t>
  </si>
  <si>
    <t>SPORTS EQUIPMENT</t>
  </si>
  <si>
    <t>DRUGS</t>
  </si>
  <si>
    <t>PRODUCTION AWARD</t>
  </si>
  <si>
    <t>MAINT. OF GENERATOR</t>
  </si>
  <si>
    <t>7o</t>
  </si>
  <si>
    <t>432/8</t>
  </si>
  <si>
    <t>8p</t>
  </si>
  <si>
    <t>432/20</t>
  </si>
  <si>
    <t>20p</t>
  </si>
  <si>
    <t>20o</t>
  </si>
  <si>
    <t>432/21</t>
  </si>
  <si>
    <t>21p</t>
  </si>
  <si>
    <t>PURCHASE OF ARC MAT.</t>
  </si>
  <si>
    <t>MAINT. OF ESTATES</t>
  </si>
  <si>
    <t>21o</t>
  </si>
  <si>
    <t>432/22</t>
  </si>
  <si>
    <t>22p</t>
  </si>
  <si>
    <t>PURCHASE OF TEXT BOOKS</t>
  </si>
  <si>
    <t>22o</t>
  </si>
  <si>
    <t>SECOND LIVESTOCK DEVT. PROJECT</t>
  </si>
  <si>
    <t>432/23</t>
  </si>
  <si>
    <t>23p</t>
  </si>
  <si>
    <t>23o</t>
  </si>
  <si>
    <t>432/24</t>
  </si>
  <si>
    <t>24p</t>
  </si>
  <si>
    <t>INTERNATIONAL MUSEUM DAY</t>
  </si>
  <si>
    <t>24o</t>
  </si>
  <si>
    <t>432/25</t>
  </si>
  <si>
    <t>25p</t>
  </si>
  <si>
    <t>MAINT. OF ARTISTICS COMP.</t>
  </si>
  <si>
    <t>ZAMFARA STATE ELECTION MATTERS</t>
  </si>
  <si>
    <t>OFFICE OF THE EXECUTIVE GOVERNOR</t>
  </si>
  <si>
    <t>c.</t>
  </si>
  <si>
    <t>CHIEF FIELD OVERSEER</t>
  </si>
  <si>
    <t>IRRIGATION DEPARTMENT</t>
  </si>
  <si>
    <t>SNR. FIELD OVERSEER</t>
  </si>
  <si>
    <t>MINISTRY OF WOMEN &amp; CHILDREN AFFAIRS</t>
  </si>
  <si>
    <t/>
  </si>
  <si>
    <t>SNR. NURSING SISTER</t>
  </si>
  <si>
    <t>STATISTICIAN II</t>
  </si>
  <si>
    <t>SYSTEM ANALYST</t>
  </si>
  <si>
    <t>SNR. DATA ANALYST II</t>
  </si>
  <si>
    <t>LOAN OFFICER</t>
  </si>
  <si>
    <t>LOAN ASST.</t>
  </si>
  <si>
    <t>DIRECTORATE OF QUR'ANIC SCHOOL</t>
  </si>
  <si>
    <t>PRIN. EXECUTIVE OFFICER</t>
  </si>
  <si>
    <t>ASST. CHIEF AUDITOR</t>
  </si>
  <si>
    <t>PRINCIPAL EXEC. OFFICER I</t>
  </si>
  <si>
    <t>PRINCIPAL EXEC. OFFICER II</t>
  </si>
  <si>
    <t>ASST. CINEMA OFFICER</t>
  </si>
  <si>
    <t>SNR AGRIC OFFICER</t>
  </si>
  <si>
    <t>PURCHASE OF ISLAMIC BOOKS</t>
  </si>
  <si>
    <t>MAINT. OF LAB EQUIPMENT</t>
  </si>
  <si>
    <t>SCRIPTS AND MODERATIONS</t>
  </si>
  <si>
    <t>TRAINING OF TAJWEED</t>
  </si>
  <si>
    <t>PERSONNEL ASST. I</t>
  </si>
  <si>
    <t>RESEARCH AND STATISTICS DEPT.</t>
  </si>
  <si>
    <t>ASST. COMMUNICATION  OFFICER I</t>
  </si>
  <si>
    <t>OFFICIAL REPORTER II</t>
  </si>
  <si>
    <t>PEST-CONF. EXAMINAL</t>
  </si>
  <si>
    <t>SNR. PE. CON. O/SEER</t>
  </si>
  <si>
    <t>OFFICE OF THE SPECIAL ADVISERS</t>
  </si>
  <si>
    <t>SEMINAR &amp; CONFERENCES</t>
  </si>
  <si>
    <t>HIGHER REGISTRAR</t>
  </si>
  <si>
    <t>REGISTRAR</t>
  </si>
  <si>
    <t>ASST. REGISTRAR</t>
  </si>
  <si>
    <t xml:space="preserve">CHIEF BAILIFF </t>
  </si>
  <si>
    <t>PRINCEPAL BAILIFF I</t>
  </si>
  <si>
    <t>FOREST DEPARTMENT</t>
  </si>
  <si>
    <t>SNR. NURSING OFFICER</t>
  </si>
  <si>
    <t>NURSING OFFICER I</t>
  </si>
  <si>
    <t>NURSING OFFICER II</t>
  </si>
  <si>
    <t>PROVISION OF INTERNET FACILITY TO HIGH INSTITUTIONS</t>
  </si>
  <si>
    <t>LAB ASST. II</t>
  </si>
  <si>
    <t>APPENTISE PRINTER</t>
  </si>
  <si>
    <t>SNR. DRIVER PROJECTIONIST</t>
  </si>
  <si>
    <t>FULL TIME COMMISSIONER</t>
  </si>
  <si>
    <t>C.HYDRO</t>
  </si>
  <si>
    <t>SNR. HYDRO</t>
  </si>
  <si>
    <t>H.T.O. HYDRO</t>
  </si>
  <si>
    <t>T.O. HYDRO</t>
  </si>
  <si>
    <t>RESEACH OFFICER</t>
  </si>
  <si>
    <t>SNR. T. OFFICER HYDRO</t>
  </si>
  <si>
    <t>A.T.O. HYDRO</t>
  </si>
  <si>
    <t>TOURISM ACTIVITIES</t>
  </si>
  <si>
    <t>33o</t>
  </si>
  <si>
    <t>KING FAHAD WOMEN AND CHILDREN HOSPITAL</t>
  </si>
  <si>
    <t>432/34</t>
  </si>
  <si>
    <t>34p</t>
  </si>
  <si>
    <t>LAB REAGENT AND EQUIPMENT</t>
  </si>
  <si>
    <t>PRINTING OF MEDICAL RECORD FORMS</t>
  </si>
  <si>
    <t>DRUGS AND DRESSING MATERIALS</t>
  </si>
  <si>
    <t>FEEDING OF PATIENTS/PEM</t>
  </si>
  <si>
    <t>ROUTING THEATER MATERIAL</t>
  </si>
  <si>
    <t>34o</t>
  </si>
  <si>
    <t>432/35</t>
  </si>
  <si>
    <t>35p</t>
  </si>
  <si>
    <t>MAINT. OF BUILDING</t>
  </si>
  <si>
    <t>ACCREDITATION FEE</t>
  </si>
  <si>
    <t>35o</t>
  </si>
  <si>
    <t>ULAMA' CONSULTATIVE COUNCIL</t>
  </si>
  <si>
    <t>432/36</t>
  </si>
  <si>
    <t>36p</t>
  </si>
  <si>
    <t>36o</t>
  </si>
  <si>
    <t>432/37</t>
  </si>
  <si>
    <t>37p</t>
  </si>
  <si>
    <t>37o</t>
  </si>
  <si>
    <t>432/38</t>
  </si>
  <si>
    <t>38p</t>
  </si>
  <si>
    <t>38o</t>
  </si>
  <si>
    <t>ZAMFARA STATE TRANSPORT AUTHORITY</t>
  </si>
  <si>
    <t>432/39</t>
  </si>
  <si>
    <t>39p</t>
  </si>
  <si>
    <t>39o</t>
  </si>
  <si>
    <t>Z.A.S.C.O.</t>
  </si>
  <si>
    <t>432/40</t>
  </si>
  <si>
    <t>40p</t>
  </si>
  <si>
    <t>ADVERT AND SALES PROMOTION</t>
  </si>
  <si>
    <t>40o</t>
  </si>
  <si>
    <t>COLLEGE OF EDUCATION, MARU</t>
  </si>
  <si>
    <t>432/41</t>
  </si>
  <si>
    <t>41p</t>
  </si>
  <si>
    <t>TEACHING PRACTICE</t>
  </si>
  <si>
    <t>LIBRARY BOOKS AND BUILDING</t>
  </si>
  <si>
    <t>SEMINAR AND CONFERENCES</t>
  </si>
  <si>
    <t>PURCHASE OF INSTRUCTIONAL MAT.</t>
  </si>
  <si>
    <t>PURCHASE OF CHEM. LAB. MAT.</t>
  </si>
  <si>
    <t>50p</t>
  </si>
  <si>
    <t>50o</t>
  </si>
  <si>
    <t>432/51</t>
  </si>
  <si>
    <t>51p</t>
  </si>
  <si>
    <t>PRIN. TECH. OFFICER I</t>
  </si>
  <si>
    <t>PERSONNEL COST INCLUDING SUBVENTION</t>
  </si>
  <si>
    <t>TREASURY &amp; STATUTORY</t>
  </si>
  <si>
    <t>OPERATION DEPARTMENT.</t>
  </si>
  <si>
    <t>CHIEF AUDIT OFFICER</t>
  </si>
  <si>
    <t>CHIEF MOTOR MACHINE</t>
  </si>
  <si>
    <t>SNR. AUDIT OFFICER</t>
  </si>
  <si>
    <t>EDUCATION RESOURCE CENTRE</t>
  </si>
  <si>
    <t>SNR. LOCAL GOVT. OFFICER I</t>
  </si>
  <si>
    <t>CHIEF LIV. OFFICER</t>
  </si>
  <si>
    <t>PRIN. MAINT. SUPT. I</t>
  </si>
  <si>
    <t>PRIN. MAINT. SUPT. II</t>
  </si>
  <si>
    <t>SNR. MAINT. SUPT.</t>
  </si>
  <si>
    <t>FISH OFFICER I</t>
  </si>
  <si>
    <t>AGRI. OFF. II</t>
  </si>
  <si>
    <t>FISH OFF. II</t>
  </si>
  <si>
    <t>AUCTION SALES GENERAL</t>
  </si>
  <si>
    <t>JUNIOR SECONDARY SCHOOLS</t>
  </si>
  <si>
    <t>STORE ATTENDANT</t>
  </si>
  <si>
    <t>S.T.O. (CIVIL)</t>
  </si>
  <si>
    <t>W/SHOP FOR YOUTH DEVT.</t>
  </si>
  <si>
    <t>CITIZEN &amp; LEADERSHIP</t>
  </si>
  <si>
    <t>HIGH TECH. OFFICER</t>
  </si>
  <si>
    <t>IMAM/INSTRUCTOR</t>
  </si>
  <si>
    <t xml:space="preserve">IMAM  </t>
  </si>
  <si>
    <t>PRIN. EXECUTIVE OFFICER I</t>
  </si>
  <si>
    <t>E.O. ADMIN.</t>
  </si>
  <si>
    <t>A.E.O. ADMIN.</t>
  </si>
  <si>
    <t>SHARI'AH RESEARCH AND DEVT. COMMISSION</t>
  </si>
  <si>
    <t>412K</t>
  </si>
  <si>
    <t>PRINTING AND REASERCH PUBL.</t>
  </si>
  <si>
    <t>CLERICAL ASSISTANT</t>
  </si>
  <si>
    <t>ASST. EXEC. OFFICER (ACCT)</t>
  </si>
  <si>
    <t>NATIONAL EXBT. TRADE</t>
  </si>
  <si>
    <t>NURSERY-UPKEEP</t>
  </si>
  <si>
    <t>S/BELT MAINTENANCE</t>
  </si>
  <si>
    <t>WOODLOTS AND ORCHARD MAINT.</t>
  </si>
  <si>
    <t>CHIEF INDUST. OFFICER</t>
  </si>
  <si>
    <r>
      <t xml:space="preserve">PART XI  PENSION &amp; </t>
    </r>
    <r>
      <rPr>
        <b/>
        <sz val="10"/>
        <rFont val="Arial"/>
        <family val="2"/>
      </rPr>
      <t>GRATUITY</t>
    </r>
  </si>
  <si>
    <t>CONFERENCES AND SEMINARS</t>
  </si>
  <si>
    <t>SOVENIER SHOP</t>
  </si>
  <si>
    <t>TRAINING OF STAFF DEV</t>
  </si>
  <si>
    <t>STUDENT'S FIELD TRIPS</t>
  </si>
  <si>
    <t>ACCREDITATION EXP.</t>
  </si>
  <si>
    <t>LABORATORY CONSUM.</t>
  </si>
  <si>
    <t>PURCHASE OF LIB. BOOKS</t>
  </si>
  <si>
    <t>PURCHASE OF PRAC. MATERIALS</t>
  </si>
  <si>
    <t>FIRST AID PROVISION</t>
  </si>
  <si>
    <t>8o</t>
  </si>
  <si>
    <t>432/9</t>
  </si>
  <si>
    <t>9p</t>
  </si>
  <si>
    <t>9o</t>
  </si>
  <si>
    <t>432/10</t>
  </si>
  <si>
    <t>10p</t>
  </si>
  <si>
    <t>EXAMINATION UNIT</t>
  </si>
  <si>
    <t>SNR. PR. OFFICER</t>
  </si>
  <si>
    <t>CHIEF BUDGET OFFICER</t>
  </si>
  <si>
    <t>SNR. PERR. ASST</t>
  </si>
  <si>
    <t>PRIN. SUPT. OF PRESS I</t>
  </si>
  <si>
    <t>PRIN. SUPT. OF PRESS II</t>
  </si>
  <si>
    <t>SNR. SUPT. OF PRESS</t>
  </si>
  <si>
    <t>SNR. PRESS ATTENDANT</t>
  </si>
  <si>
    <t>DEPENSES</t>
  </si>
  <si>
    <t>HIGH SUP. OF PRESS</t>
  </si>
  <si>
    <t>SCHOOL SERGENT</t>
  </si>
  <si>
    <t>LAB/LIB ASST.</t>
  </si>
  <si>
    <t>MATRON</t>
  </si>
  <si>
    <t>DIRECTORATE OF ISLAMIC ORG. &amp; QUR'ANIC SCHOOLS DEVELOPMENT</t>
  </si>
  <si>
    <t>PERSONNE MANAGEMENT DEPT.</t>
  </si>
  <si>
    <t>SNR. PERSONAL ASST. I</t>
  </si>
  <si>
    <t>MAINT. OF COMPLEX</t>
  </si>
  <si>
    <t>PRINT. PHOTO LITHOGRAPHY SECT.</t>
  </si>
  <si>
    <t>INDEPENDENT ELECTORAL COMM.</t>
  </si>
  <si>
    <t>429C</t>
  </si>
  <si>
    <t>OFFICE STATIONARIES</t>
  </si>
  <si>
    <t>ASST. PAPER SUPT.</t>
  </si>
  <si>
    <t>PRIN. EXEC. OFF. II</t>
  </si>
  <si>
    <t>SNR. EXEC. OFFICER</t>
  </si>
  <si>
    <t>PROVISION FOR SECURITY PERSONNEL (ELECTION)</t>
  </si>
  <si>
    <t>CHIEF STATISTICIAN</t>
  </si>
  <si>
    <t>PRIN. STATISTICIAN</t>
  </si>
  <si>
    <t>SNR. STATISTICIAN</t>
  </si>
  <si>
    <t>PRIN. STATISTICIAL OFFICER</t>
  </si>
  <si>
    <t>DIRECT ASSESSMENT</t>
  </si>
  <si>
    <t>SENIOR REGISTRAR I</t>
  </si>
  <si>
    <t>SENIOR REGISTRAR II</t>
  </si>
  <si>
    <t>ASST. CHIEF REGISTRAR</t>
  </si>
  <si>
    <t>DEPART. FOR SPECIAL SERV.  &amp; HOME AFF.</t>
  </si>
  <si>
    <t>Inducement Allowance</t>
  </si>
  <si>
    <t>GRAZING CONTROL ASST.</t>
  </si>
  <si>
    <t>ASST. DIRECTOR (R.M.)</t>
  </si>
  <si>
    <t>ASST. CHIEF R.M. TECH.</t>
  </si>
  <si>
    <t>SNR. G.C. ASST.</t>
  </si>
  <si>
    <t>A.S.O. I</t>
  </si>
  <si>
    <t>A.S.O. II</t>
  </si>
  <si>
    <t>MIN. OF SCIENCE &amp; TECHNICAL EDUCATION</t>
  </si>
  <si>
    <t>417a.</t>
  </si>
  <si>
    <t>PRESS ATTENDANT</t>
  </si>
  <si>
    <t>ASST. CHIEF LAND OFFICER</t>
  </si>
  <si>
    <t>PRIN. LANDS OFFICER</t>
  </si>
  <si>
    <t>SNR. COOKS</t>
  </si>
  <si>
    <t>WATCH MEN</t>
  </si>
  <si>
    <t>SNR. STORE KEEPER</t>
  </si>
  <si>
    <t>LAND DEPARTMENT</t>
  </si>
  <si>
    <t>ZAKAT BOARD</t>
  </si>
  <si>
    <t>432/32</t>
  </si>
  <si>
    <t>32p</t>
  </si>
  <si>
    <t>32o</t>
  </si>
  <si>
    <t>HOTELS BOARD</t>
  </si>
  <si>
    <t>432/33</t>
  </si>
  <si>
    <t>33p</t>
  </si>
  <si>
    <t>ASST. CULTURAL OFFICER I</t>
  </si>
  <si>
    <t>CULTURAL ASST. I</t>
  </si>
  <si>
    <t>MAINT. OF VEHICLE &amp; CAP. ASSET</t>
  </si>
  <si>
    <t>FINANCE OFFICER</t>
  </si>
  <si>
    <t>ARCH. &amp; BUILDING DEPT.</t>
  </si>
  <si>
    <t>ARCHITECTURAL DIVISION</t>
  </si>
  <si>
    <t>DIRECTOR (ARCH. &amp; BUILD)</t>
  </si>
  <si>
    <t>CHIEF. ARCH.</t>
  </si>
  <si>
    <t>ANNUAL SPORTS ACTIVITY</t>
  </si>
  <si>
    <t>PURCH. OF SPORTS MATERIALS</t>
  </si>
  <si>
    <t>FINANCE ASST. II</t>
  </si>
  <si>
    <t>FINANCE ASST. III</t>
  </si>
  <si>
    <t>FINANCE ASST. IV</t>
  </si>
  <si>
    <t>AUDIT DEPT.</t>
  </si>
  <si>
    <t>AUDITOR ASST.</t>
  </si>
  <si>
    <t>T.O.</t>
  </si>
  <si>
    <t>A.T.O.</t>
  </si>
  <si>
    <t>GRANTS FROM FEDERAL GOVERNMENT</t>
  </si>
  <si>
    <t>OFFICES OF SPECIAL ASSISTANTS</t>
  </si>
  <si>
    <t>413L</t>
  </si>
  <si>
    <t>DIRECTORATE OF SHELTER DEVT.</t>
  </si>
  <si>
    <t>REPAYMENT OF FURNITURE LOAN</t>
  </si>
  <si>
    <t>WATER DEPT.</t>
  </si>
  <si>
    <t>CTO</t>
  </si>
  <si>
    <t>ACTO</t>
  </si>
  <si>
    <t>PTOI</t>
  </si>
  <si>
    <t>TECHNICAL OFFICER</t>
  </si>
  <si>
    <t>SNR. DRAFTMAN I</t>
  </si>
  <si>
    <t>DRAFTMAN</t>
  </si>
  <si>
    <t>SENIOR SEC. ASST.</t>
  </si>
  <si>
    <t>TABLE OFFICER</t>
  </si>
  <si>
    <t>CAPITAL GAINS TAX</t>
  </si>
  <si>
    <t>TAXES ON DIVIDENDS-REFUND BY FED. GOVT.</t>
  </si>
  <si>
    <t>CULTURAL ASST. II</t>
  </si>
  <si>
    <t>41o</t>
  </si>
  <si>
    <t>HEALTH SYSTEM DEVELOPMENT PROJECT</t>
  </si>
  <si>
    <t>432/42</t>
  </si>
  <si>
    <t>51o</t>
  </si>
  <si>
    <t>432/52</t>
  </si>
  <si>
    <t>52p</t>
  </si>
  <si>
    <t>52o</t>
  </si>
  <si>
    <t>432/53</t>
  </si>
  <si>
    <t>53p</t>
  </si>
  <si>
    <t>53o</t>
  </si>
  <si>
    <t>432/54</t>
  </si>
  <si>
    <t>54p</t>
  </si>
  <si>
    <t>54o</t>
  </si>
  <si>
    <t>432/55</t>
  </si>
  <si>
    <t>55p</t>
  </si>
  <si>
    <t>55o</t>
  </si>
  <si>
    <t>432/56</t>
  </si>
  <si>
    <t>56p</t>
  </si>
  <si>
    <t>56o</t>
  </si>
  <si>
    <t>432/57</t>
  </si>
  <si>
    <t>57p</t>
  </si>
  <si>
    <t>57o</t>
  </si>
  <si>
    <t>PURCHASE OF PLATE NUMBER</t>
  </si>
  <si>
    <t>SEMINARS AND WORKSHO[</t>
  </si>
  <si>
    <t>MAINT. OF GEN. HOSPITALS</t>
  </si>
  <si>
    <t>PRINTING OF HEALTH INF. FORMS</t>
  </si>
  <si>
    <t>PROV. OF HOSPITAL REAGENTS</t>
  </si>
  <si>
    <t>PROCUREMENT OF PIPE AND FITTINGS</t>
  </si>
  <si>
    <t>VOC. &amp; COUNT EDUCATION</t>
  </si>
  <si>
    <t>MASS LITERACY DEPT.</t>
  </si>
  <si>
    <t>WORKSHOP ATTENDANT I</t>
  </si>
  <si>
    <t>WORKSHOP ATTENDANT II</t>
  </si>
  <si>
    <t>T.O. RESERCH</t>
  </si>
  <si>
    <t>STAT. OFFICER</t>
  </si>
  <si>
    <t>A.T.O. PLANNING</t>
  </si>
  <si>
    <t>A.T.O. RESEARCH</t>
  </si>
  <si>
    <t>SENIOR SECONDARY SCHOOLS</t>
  </si>
  <si>
    <t>CEO (STUDENTS)</t>
  </si>
  <si>
    <t>PURCHASE OF EXERCISE BOOKS</t>
  </si>
  <si>
    <t>MAINT. OF SCHOOLS</t>
  </si>
  <si>
    <t>PURCHASE OF CHEMICALS</t>
  </si>
  <si>
    <t>TREATMENT OF ANIMALS</t>
  </si>
  <si>
    <t>ANIMAL TRADE FAIR</t>
  </si>
  <si>
    <t>INTERNATIONAL &amp; STATE YOUTH TECH. VISIT</t>
  </si>
  <si>
    <t>N.Y.S.C.</t>
  </si>
  <si>
    <t>PURCH. OF WORKING MATERIALS FOR SELF HELP ACTIVITIES</t>
  </si>
  <si>
    <t xml:space="preserve">SKILL ACQ. </t>
  </si>
  <si>
    <t>CULT. FESTIVAL (NAFEST)</t>
  </si>
  <si>
    <t>MAINT. OF ARTS CRAFTS</t>
  </si>
  <si>
    <t>COSTUME OF ARTS</t>
  </si>
  <si>
    <t>ADMINISTRATION OF ESTATE FEES</t>
  </si>
  <si>
    <t>FINES MOBILE COURT</t>
  </si>
  <si>
    <t>COURT FINES-RENT TRIBUAL</t>
  </si>
  <si>
    <t>DRIVER GRADE III</t>
  </si>
  <si>
    <t>BAKURA FISHING FESTIVAL</t>
  </si>
  <si>
    <t>NIGHT WATCHMEN</t>
  </si>
  <si>
    <t>CLERICAL OFF.</t>
  </si>
  <si>
    <t>PERSONAL MANAGEMENT DEPT</t>
  </si>
  <si>
    <t>ELEPHANT SCOUT</t>
  </si>
  <si>
    <t>SCIENCE &amp; TECHNICAL TEACHERS BOARD</t>
  </si>
  <si>
    <t>ZACAREP</t>
  </si>
  <si>
    <t>UNDP</t>
  </si>
  <si>
    <t>DRIVER/MECH. I</t>
  </si>
  <si>
    <t>WORKSHOP ATTENDANT</t>
  </si>
  <si>
    <t>CARPENTER III</t>
  </si>
  <si>
    <t>TRANSPORT  SECTION</t>
  </si>
  <si>
    <t>PART VII LOCAL GOVERNMENT AUDIT</t>
  </si>
  <si>
    <t>TECHNICAL UNIT</t>
  </si>
  <si>
    <t>PART IV JUDICIARY SERVICE COMM.</t>
  </si>
  <si>
    <t>HEALTH SYSTEMS DEVT. PROJECT</t>
  </si>
  <si>
    <t>IFAD</t>
  </si>
  <si>
    <t>ZAMFARA STATE PUBLISHING COMPANY</t>
  </si>
  <si>
    <t>LOCAL GOVERNMENT PENSION BOARD</t>
  </si>
  <si>
    <t>YOUTH DEVT. ASST. III</t>
  </si>
  <si>
    <t>YOUTH DEVT. ASST. IV</t>
  </si>
  <si>
    <t>SNR. CLERICAL ASST.</t>
  </si>
  <si>
    <t xml:space="preserve">SNR. DRIVER  </t>
  </si>
  <si>
    <t>MOTOR VEHICLE LICENCE</t>
  </si>
  <si>
    <t>DRIVER'S LICENCE AND L/PERMIT</t>
  </si>
  <si>
    <t>WAY LEAVE BUYER'S LICENCE</t>
  </si>
  <si>
    <t>SURVEYOR GRADE II</t>
  </si>
  <si>
    <t>PLUMBER</t>
  </si>
  <si>
    <t>FOREMAN</t>
  </si>
  <si>
    <t>CHAINMAN</t>
  </si>
  <si>
    <t>H.E.O</t>
  </si>
  <si>
    <t>I.P.O. II</t>
  </si>
  <si>
    <t>C.T.O (PLG)</t>
  </si>
  <si>
    <t>OFFICE OF THE S.A. HEALTH MATTERS</t>
  </si>
  <si>
    <t>h.</t>
  </si>
  <si>
    <t>HISBAH COMMISSION</t>
  </si>
  <si>
    <t>OVERHEAD COST - SUMMARY</t>
  </si>
  <si>
    <t>ORGANISATION:</t>
  </si>
  <si>
    <t>HEAD:</t>
  </si>
  <si>
    <t>412A</t>
  </si>
  <si>
    <t>TRADE OFFICER</t>
  </si>
  <si>
    <t>f.</t>
  </si>
  <si>
    <t>MAINT. OF EQUIPMENT</t>
  </si>
  <si>
    <t>TRANSFER TO CAPITAL DEVT. FUND</t>
  </si>
  <si>
    <t>432</t>
  </si>
  <si>
    <t>SNR. MID-WIFE</t>
  </si>
  <si>
    <t>CHIEF PHARMACIST</t>
  </si>
  <si>
    <t>DIRECTORATE OF POVERTY ALLEVIATION &amp; COOP. DEVT.</t>
  </si>
  <si>
    <t>ASST. TRADE OFFICER</t>
  </si>
  <si>
    <t>REPAYMENT OF LOANS AND ADVANCES TO PARASTATALS</t>
  </si>
  <si>
    <t>REPAYMENT OF SHARE LOAN</t>
  </si>
  <si>
    <t>HEAD: 407 RE-IMBURSEMENT</t>
  </si>
  <si>
    <t>PERSONNEL OFFICER I</t>
  </si>
  <si>
    <t>432/29</t>
  </si>
  <si>
    <t>29p</t>
  </si>
  <si>
    <t>29o</t>
  </si>
  <si>
    <t>432/30</t>
  </si>
  <si>
    <t>30p</t>
  </si>
  <si>
    <t>STUDENT FEEDING</t>
  </si>
  <si>
    <t>DIRECTORATE OF POLITICAL AFFAIRS</t>
  </si>
  <si>
    <t>414a</t>
  </si>
  <si>
    <t>ASST. STORE KEEPER</t>
  </si>
  <si>
    <t>PROBATE SECTION</t>
  </si>
  <si>
    <t>DIRECTORATE OF RURAL WATER SUPPLY</t>
  </si>
  <si>
    <t>423b</t>
  </si>
  <si>
    <t>COMP. OPRT.</t>
  </si>
  <si>
    <t>SNR. W/M</t>
  </si>
  <si>
    <t>H.E.O. (ACCT.)</t>
  </si>
  <si>
    <t>E.O. (ACCT.)</t>
  </si>
  <si>
    <t>A.E.O. (ACCT.)</t>
  </si>
  <si>
    <t>HIDES AND SKIN</t>
  </si>
  <si>
    <t>SNR. H.S. SUPT.</t>
  </si>
  <si>
    <t>PRIN. RANGE MGT. TECH. II</t>
  </si>
  <si>
    <t>KOREAN INTERG. FRIENDSHIP</t>
  </si>
  <si>
    <t>S.E.O ADMIN</t>
  </si>
  <si>
    <t>GRANT &amp; CONTRIBUTION</t>
  </si>
  <si>
    <t>SEMINAR &amp; WORKSHOP</t>
  </si>
  <si>
    <t>PURCHASE OF HOME MGT. EQUIP.</t>
  </si>
  <si>
    <t>432/31</t>
  </si>
  <si>
    <t>31p</t>
  </si>
  <si>
    <t>31o</t>
  </si>
  <si>
    <t>CARPENTER</t>
  </si>
  <si>
    <t>DISTRIBUTOR ATTENDANT</t>
  </si>
  <si>
    <t>Rent Supplement</t>
  </si>
  <si>
    <t>ENTERTAINMENT &amp; HOSPITALITY</t>
  </si>
  <si>
    <t>SEMINAR AND COMFRANCE</t>
  </si>
  <si>
    <t xml:space="preserve">GRANT AND CONTRIBUTION </t>
  </si>
  <si>
    <t>SEMINAR AND COMFERANCE</t>
  </si>
  <si>
    <t xml:space="preserve">TRANSPORT &amp; TRAVELLING </t>
  </si>
  <si>
    <t>STATIONERY</t>
  </si>
  <si>
    <t>ZAMFARA COLLEGE OF ARTS &amp; SCIENCE</t>
  </si>
  <si>
    <t>H. COMPUTER PROGRAMMER</t>
  </si>
  <si>
    <t>MOTOR DRIVER GRADE II</t>
  </si>
  <si>
    <t>CLERICAL OFFICER FINANCE</t>
  </si>
  <si>
    <t>TELEPHONE ALLOWANCE</t>
  </si>
  <si>
    <t>PRIN. S.A. OFFICER</t>
  </si>
  <si>
    <t>SNR. SKILLS AQUIS. OFFICER</t>
  </si>
  <si>
    <t xml:space="preserve">PERMANENT COMMISSIONER </t>
  </si>
  <si>
    <t>CHAIRMAN ENTERTAINMENT ALLOWANCE</t>
  </si>
  <si>
    <t>ASST. AGRIC. SUPT.</t>
  </si>
  <si>
    <t>SNR. STAT. OFF.</t>
  </si>
  <si>
    <t>ST. OFF. I</t>
  </si>
  <si>
    <t>ST. OFF. II</t>
  </si>
  <si>
    <t>ST. OFF. III</t>
  </si>
  <si>
    <t>FINAL ACCOUNTS</t>
  </si>
  <si>
    <t>S.S.A.</t>
  </si>
  <si>
    <t>AGRIC SERVICE DEPT.</t>
  </si>
  <si>
    <t>TPA II</t>
  </si>
  <si>
    <t>TPA</t>
  </si>
  <si>
    <t>ACTA</t>
  </si>
  <si>
    <t>TPA I</t>
  </si>
  <si>
    <t>CHIEF AGRIC OFFICER</t>
  </si>
  <si>
    <t>WIG AND GOWN</t>
  </si>
  <si>
    <t>ASST. COOPERATIVE OFF.</t>
  </si>
  <si>
    <t>AGRIC. OFFICER I</t>
  </si>
  <si>
    <t>CHIEF SUPT. OF PRESS</t>
  </si>
  <si>
    <t>CULTURAL ASST.</t>
  </si>
  <si>
    <t>ASST. EXEC. OFFICER 9ACCTS)</t>
  </si>
  <si>
    <t>ASST. STORE OFFICER</t>
  </si>
  <si>
    <t>FINANCE CLERK</t>
  </si>
  <si>
    <t>PERSONNEL DEPARTMENT</t>
  </si>
  <si>
    <t>42p</t>
  </si>
  <si>
    <t>42o</t>
  </si>
  <si>
    <t>432/43</t>
  </si>
  <si>
    <t>43p</t>
  </si>
  <si>
    <t>43o</t>
  </si>
  <si>
    <t>432/44</t>
  </si>
  <si>
    <t>44p</t>
  </si>
  <si>
    <t>PROV. &amp; PUBLICATION</t>
  </si>
  <si>
    <t>RENTAL ACCOMMODATION</t>
  </si>
  <si>
    <t>EXTERNAL EXAMINERS</t>
  </si>
  <si>
    <t>RENT ALLOWANCE (NYSC)</t>
  </si>
  <si>
    <t>TRANSPORT ALLOW. (NYSC)</t>
  </si>
  <si>
    <t>MAINT. OF ROADS NETWORKS</t>
  </si>
  <si>
    <t>MAIN. OF STREETLIGHT</t>
  </si>
  <si>
    <t>STREET NAMING &amp; HOUSE NUMBERING</t>
  </si>
  <si>
    <t>TOWN PLANNING GENERAL</t>
  </si>
  <si>
    <t>PROV. OF PARKS/GARDENS</t>
  </si>
  <si>
    <t>1o</t>
  </si>
  <si>
    <t>OVERHEAD COST TOTAL</t>
  </si>
  <si>
    <t>ZAMFARA BROADCASTING COOP.</t>
  </si>
  <si>
    <t>432/2</t>
  </si>
  <si>
    <t>2p</t>
  </si>
  <si>
    <t>QUALITY ASSURANCE</t>
  </si>
  <si>
    <t>LAB EQUIP &amp; THEATER</t>
  </si>
  <si>
    <t>STUDENT FIELD TRIP</t>
  </si>
  <si>
    <t>LABORATORY CONSUMPTION</t>
  </si>
  <si>
    <t>PRACTICAL MATERIALS</t>
  </si>
  <si>
    <t>AIDS TO ARABIC STUDENTS</t>
  </si>
  <si>
    <t>PLANNING, RESEARCH &amp; STATS.</t>
  </si>
  <si>
    <t>ASST DIRCTOR</t>
  </si>
  <si>
    <t>PRIN. EDUCATION OFFICER</t>
  </si>
  <si>
    <t>REPAYMENT ON HOUSING LOAN</t>
  </si>
  <si>
    <t>COMPUTER OFFICER I</t>
  </si>
  <si>
    <t>P/OPRT</t>
  </si>
  <si>
    <t>PTOII</t>
  </si>
  <si>
    <t>RESEARCH AND ARCHIVAL MAINT.</t>
  </si>
  <si>
    <t>MAINT. OF ARTIST CAMP.</t>
  </si>
  <si>
    <t>MAINT. OF DRAMA</t>
  </si>
  <si>
    <t>INTERNATIONAL Y FOR C.P</t>
  </si>
  <si>
    <t>PURCHASE AND MAINTENANCE OF  PRINTING MACHINES</t>
  </si>
  <si>
    <t>CIVIL SERVICE PROMOTION EXAM.</t>
  </si>
  <si>
    <t>MEDICAL OFFICER I</t>
  </si>
  <si>
    <t>MSS 10</t>
  </si>
  <si>
    <t>ASST. COACH GRADE II</t>
  </si>
  <si>
    <t>PROGRAM PLAYER</t>
  </si>
  <si>
    <t>STADIUM MANAGERS</t>
  </si>
  <si>
    <t xml:space="preserve">ANNUAL CULTURAL FESTIVAL </t>
  </si>
  <si>
    <t>SNR. RES. OFFICER</t>
  </si>
  <si>
    <t>PRIN. LIBRARIAN</t>
  </si>
  <si>
    <t>LIBRARIAN I</t>
  </si>
  <si>
    <t>PARASTATALS ACCOUNTS DEPT.</t>
  </si>
  <si>
    <t>PART IX  STATE INDEPENDENT ELECT. COMM.</t>
  </si>
  <si>
    <t>(V)</t>
  </si>
  <si>
    <t>SALARY GRADE LEVEL</t>
  </si>
  <si>
    <t>BASIC</t>
  </si>
  <si>
    <t>LITIGATION DEPARTMENT</t>
  </si>
  <si>
    <t>(VI)</t>
  </si>
  <si>
    <t>ASST. BUDGET EXAMINER</t>
  </si>
  <si>
    <t>SNR. PERS. ASSISTANT II</t>
  </si>
  <si>
    <t>PART X STATE PENSION COMMISSION</t>
  </si>
  <si>
    <t>CHIEF BALIEFF</t>
  </si>
  <si>
    <t>STORES SECTION</t>
  </si>
  <si>
    <t>TRANSLATOR I</t>
  </si>
  <si>
    <t>TRANSLATOR II</t>
  </si>
  <si>
    <t>C.O. ACCT.</t>
  </si>
  <si>
    <t>SNR. COMPUTER ASST.</t>
  </si>
  <si>
    <t>PERSONNEL OFFICER GEN.</t>
  </si>
  <si>
    <t>413G</t>
  </si>
  <si>
    <t>PLANNING, RESEARCH AND STATISTICS DEPARTMENT</t>
  </si>
  <si>
    <t>PRIN. PLANN. OFFICER</t>
  </si>
  <si>
    <t>SNR. IRRIG. ENGR.</t>
  </si>
  <si>
    <t>CHIEF IRRIG. SUPT.</t>
  </si>
  <si>
    <t>SNR. SHARI'AH PROSECUTOR</t>
  </si>
  <si>
    <t>HIGHER SHARI'AH PROSECUTOR</t>
  </si>
  <si>
    <t xml:space="preserve">SHARI'AH PROSECUTOR </t>
  </si>
  <si>
    <t>A.C.T.O (PLG)</t>
  </si>
  <si>
    <t>P.T.O (PLG)</t>
  </si>
  <si>
    <t>PLANN. OFF. I</t>
  </si>
  <si>
    <t>SNR. GAME RANGER</t>
  </si>
  <si>
    <t>GAME ATTENDANT I</t>
  </si>
  <si>
    <t>LIVESTOCK DEV. OFFICER I</t>
  </si>
  <si>
    <t>MIN. OF AGRICULTURE &amp; N/RESOURCES</t>
  </si>
  <si>
    <t>DIRECTORATE OF ANIMAL HEALTH &amp; LIV. DEVT.</t>
  </si>
  <si>
    <t>MIN. OF COMMERCE, AND INDUS.</t>
  </si>
  <si>
    <t>415 b</t>
  </si>
  <si>
    <t>414c</t>
  </si>
  <si>
    <t>TRADE ASST. I</t>
  </si>
  <si>
    <t>PRIN. SEC. ASST. III</t>
  </si>
  <si>
    <t>Personal Cost</t>
  </si>
  <si>
    <t>CHIEF REGISTRARER</t>
  </si>
  <si>
    <t>ASST DIRECTOR NURSING</t>
  </si>
  <si>
    <t>FED. GOVT. COLLEGES FEES</t>
  </si>
  <si>
    <t>COMM. DEV. ASSISTANT III</t>
  </si>
  <si>
    <t>COMM. DEN. ASSISTANT II</t>
  </si>
  <si>
    <t>MISCELLANEOUS</t>
  </si>
  <si>
    <t>Sub-total</t>
  </si>
  <si>
    <t>MAINT. OF VEHICLE &amp; C/ASSET</t>
  </si>
  <si>
    <t>SUBVENTIONS TO PARASTATALS</t>
  </si>
  <si>
    <t>SNR. FOREMAN (AUTO ELECTR.)</t>
  </si>
  <si>
    <t xml:space="preserve">FINANCE DEPARTMENT </t>
  </si>
  <si>
    <t>DIRECTORATE FOR RURAL WATER</t>
  </si>
  <si>
    <t>SHARI'AH PROSECUTOR  II</t>
  </si>
  <si>
    <t>DETAILS OF EXPENDITURE</t>
  </si>
  <si>
    <t>ACTUAL</t>
  </si>
  <si>
    <t>TECH. ASST.</t>
  </si>
  <si>
    <t>LAB. ATTENDANT</t>
  </si>
  <si>
    <t>PLUMBER/CARPENTER</t>
  </si>
  <si>
    <t>DEPUTY EXECUTIVE GOVERNOR</t>
  </si>
  <si>
    <t>ASST. INFORMATION OFFICER I</t>
  </si>
  <si>
    <t>S.C.O.</t>
  </si>
  <si>
    <t>CLERK</t>
  </si>
  <si>
    <t>MAINT. OF RURAL WATER SUPPLY SCHEME</t>
  </si>
  <si>
    <t>HON. COMMISSIONERS</t>
  </si>
  <si>
    <t>YECO</t>
  </si>
  <si>
    <t>MIYETTI</t>
  </si>
  <si>
    <t>COUNCIL OF ULAMAS</t>
  </si>
  <si>
    <t>CABINET AFFAIRS DEPT</t>
  </si>
  <si>
    <t>ASST. CHIEF CLERICAL OFFICER</t>
  </si>
  <si>
    <t>COMPUTER ASST. I</t>
  </si>
  <si>
    <t>NATIONAL COUNCIL ON C.I.&amp;C.</t>
  </si>
  <si>
    <t>STANDARD WEIGH &amp; MEASURES</t>
  </si>
  <si>
    <t>CHIEF LIBRARIAN</t>
  </si>
  <si>
    <t>CONTRIBUTORY PENSION (STATE COUNTERPART)</t>
  </si>
  <si>
    <t>SALES OF CRAFT SONINIER</t>
  </si>
  <si>
    <t>SALES OF GOVT. QUARTERSB (INCORPORATED)</t>
  </si>
  <si>
    <t>Personnel Costs</t>
  </si>
  <si>
    <t>PRINCEPAL BAILIFF II</t>
  </si>
  <si>
    <t>SENIOR BAILIFF I</t>
  </si>
  <si>
    <t>SENIOR BAILIFF II</t>
  </si>
  <si>
    <t>BAILIFF I</t>
  </si>
  <si>
    <t>BAILIFF II</t>
  </si>
  <si>
    <t>BAILIFF III</t>
  </si>
  <si>
    <t>LIBRARY SERVICE DEPARTMENT</t>
  </si>
  <si>
    <t>PUBLIC ENLIGHTENMENT</t>
  </si>
  <si>
    <t>412L</t>
  </si>
  <si>
    <t>SNR. RH SUPT./SCHO</t>
  </si>
  <si>
    <t>MOSQUITOR SCOUT</t>
  </si>
  <si>
    <t>SPRAYMEN</t>
  </si>
  <si>
    <t>TOTAL:-</t>
  </si>
  <si>
    <t>SENIOR PHOTOGRAPHER</t>
  </si>
  <si>
    <t>Overhead Cost</t>
  </si>
  <si>
    <t>Transfer</t>
  </si>
  <si>
    <t>I.D.S.</t>
  </si>
  <si>
    <t>PRIN. ENG. (BUILDING)</t>
  </si>
  <si>
    <t>SNR. BOUNDARY GUARD</t>
  </si>
  <si>
    <t>PURCH. OF EXERCISE BOOKS FOR STUD.</t>
  </si>
  <si>
    <t>PURCHASE OF GRAINS</t>
  </si>
  <si>
    <t>MINISTRY OF BUDGET &amp; ECONOMIC PLANNING</t>
  </si>
  <si>
    <t>SNR. EXEC. OFF. AUDIT</t>
  </si>
  <si>
    <t>AUDITOR GR. II</t>
  </si>
  <si>
    <t>E.O. ACCOUNT</t>
  </si>
  <si>
    <t>CLEANER II</t>
  </si>
  <si>
    <t>SKILLS AQUIS. OFFICER I</t>
  </si>
  <si>
    <t>420a</t>
  </si>
  <si>
    <t>STATIONARIES</t>
  </si>
  <si>
    <t>REGIST. AND RENEWAL OF CONTRACT FEES</t>
  </si>
  <si>
    <t>PERSONNEL ASST. IV</t>
  </si>
  <si>
    <t xml:space="preserve">MOTOR DRIVER </t>
  </si>
  <si>
    <t>CULTURAL ATTENDANT</t>
  </si>
  <si>
    <t>ZAMFARA URBAN &amp; REG. PLANN. BOARD</t>
  </si>
  <si>
    <t>432/1</t>
  </si>
  <si>
    <t>1p</t>
  </si>
  <si>
    <t>LEGAL RETAINERSHIP/AUDIT FEE</t>
  </si>
  <si>
    <t>MAINT. OF TOWNSHIP ROADS</t>
  </si>
  <si>
    <t>STATE INDEPENDENT ELECTORAL COMMISSION</t>
  </si>
  <si>
    <t>MAINT. OF FURNITURE &amp; EQUIP.</t>
  </si>
  <si>
    <t>IRRIG. SUPT.</t>
  </si>
  <si>
    <t>LEGAL DRAFTING DEPT.</t>
  </si>
  <si>
    <t>ASST. CHIEF SPORT OFFICER</t>
  </si>
  <si>
    <t>DEPUTY SPEAKER'S PERS. STAFF</t>
  </si>
  <si>
    <t>SPORT OFFICIAL GRADE III</t>
  </si>
  <si>
    <t>TRAINNING AND STAFF DEVT.</t>
  </si>
  <si>
    <t>ENTERTAINMENT AND HOSP.</t>
  </si>
  <si>
    <t>MISCELLENOUSE EXPENSES</t>
  </si>
  <si>
    <t>SEMINAR AND CONF.</t>
  </si>
  <si>
    <t>LEGAL EXPENSES</t>
  </si>
  <si>
    <t>2o</t>
  </si>
  <si>
    <t>VETERINARY SERVICES DEPT.</t>
  </si>
  <si>
    <t>ASST. CHIEF H. SISTER</t>
  </si>
  <si>
    <t>REVENUE AVAILABLE FOR RECURRENT EXPENDITURE</t>
  </si>
  <si>
    <t>WATER SUPPLY PROJECT AND PLANNING DEPARTMENT</t>
  </si>
  <si>
    <t>ASST. CHIEF TECH OFFICER</t>
  </si>
  <si>
    <t>STATE SCHOLARSHIP BOARD</t>
  </si>
  <si>
    <t>DRIVER MECH. II</t>
  </si>
  <si>
    <t>PRIN. TRANSLATOR</t>
  </si>
  <si>
    <t>S/TRANSLATOR I</t>
  </si>
  <si>
    <t>LEGAL TRANS.</t>
  </si>
  <si>
    <t>ASST. LECAL TRANS.</t>
  </si>
  <si>
    <t>FINANCE &amp; SUPPLY</t>
  </si>
  <si>
    <t>SNR CLERICAL OFFICER</t>
  </si>
  <si>
    <t xml:space="preserve">CLERICAL ASST. </t>
  </si>
  <si>
    <t>ZAMFARA URBAN DEV. AUTHORITY</t>
  </si>
  <si>
    <t>ii</t>
  </si>
  <si>
    <t>SALES OF TRACTORS TO INDIVIDUALS</t>
  </si>
  <si>
    <t>RAISES OF COAL</t>
  </si>
  <si>
    <t>CHIEF RESEARCH OFFICER</t>
  </si>
  <si>
    <t>PRIN. RES. OFFICER</t>
  </si>
  <si>
    <t>STATIONARY</t>
  </si>
  <si>
    <t>MAINT. OF FURNT. &amp; EQUIPT.</t>
  </si>
  <si>
    <t>HEAD: 405 RENT OF GOVERNMENT PROPERTIES</t>
  </si>
  <si>
    <t xml:space="preserve">CONSULTANCY </t>
  </si>
  <si>
    <t>RENT ON GOVERNMENT PROPERTY OUTSIDE THE STATE</t>
  </si>
  <si>
    <t>SALES OF LIVESTOCK FROM RANCHERS</t>
  </si>
  <si>
    <t>HEALTH EDUCATION ACTIVITIES</t>
  </si>
  <si>
    <t>OPERATIONAL RESEARCH</t>
  </si>
  <si>
    <t>MONITORING OFFICERS</t>
  </si>
  <si>
    <t>PERSONNEL DATA MGT.  DEPARTMENT</t>
  </si>
  <si>
    <t>PRIN. EXEC. OFFICER I</t>
  </si>
  <si>
    <t>RENT FOR OFFICES AMD QIARTERS BY OTHER GOVERNMENTS</t>
  </si>
  <si>
    <t>HEAD: 406 INTEREST, REPAYMENT AND DIVIDENDS</t>
  </si>
  <si>
    <t>PRIN. TECH. OFFICER II STRUCT.</t>
  </si>
  <si>
    <t>SNR DRIVER MECH. I</t>
  </si>
  <si>
    <t>INSPECTORATE SERV. DEPT.</t>
  </si>
  <si>
    <t>P.I.E.S</t>
  </si>
  <si>
    <t>DIRECTORATE OF WOMEN AFFAIRS</t>
  </si>
  <si>
    <t>AUDITOR ASST. II</t>
  </si>
  <si>
    <t>AUDITOR ASST. III</t>
  </si>
  <si>
    <t>ONCHOCERCIASIS CONTROL</t>
  </si>
  <si>
    <t>SNR. MICROSICOPIST</t>
  </si>
  <si>
    <t>LAB TECH.</t>
  </si>
  <si>
    <t>SNR. CMM. H. ASST.</t>
  </si>
  <si>
    <t>PRIN. F.P. OFFICER I</t>
  </si>
  <si>
    <t>PRIN. F.P. OFFICER II</t>
  </si>
  <si>
    <t>SNR. F.P. OFFICER</t>
  </si>
  <si>
    <t>CHIEF ENGINEER</t>
  </si>
  <si>
    <t>FIELD ATTENDANT I</t>
  </si>
  <si>
    <t>FIELD ATTENDANT II</t>
  </si>
  <si>
    <t>AUDITORS GRADE II</t>
  </si>
  <si>
    <t>COLLEGE OF AGRICULTURE BAKURA</t>
  </si>
  <si>
    <t>ZAMFARA STATE AFFORESTATION PROJ. II</t>
  </si>
  <si>
    <t>FARMERS APEX</t>
  </si>
  <si>
    <t>PURCH. OF OUTSIDE B/CASTING VAN</t>
  </si>
  <si>
    <t>CUSTOME FOR DRAMA</t>
  </si>
  <si>
    <t>ICT FACILITIES</t>
  </si>
  <si>
    <t>SNR. SECRETARIAT ASST.</t>
  </si>
  <si>
    <t>WOOKLOTS AND ORCHARD</t>
  </si>
  <si>
    <t>INFRASTRUCTURAL MAINT.</t>
  </si>
  <si>
    <t>BOREHOLE MAINT.</t>
  </si>
  <si>
    <t>NURSERY UPKEEP</t>
  </si>
  <si>
    <t>Outfit Allowance</t>
  </si>
  <si>
    <t>DONATION GENERAL</t>
  </si>
  <si>
    <t>LEGISLATIVE OFFICER II</t>
  </si>
  <si>
    <t>PERMANENT CMMISSIONERS</t>
  </si>
  <si>
    <t>P.A.</t>
  </si>
  <si>
    <t>CRIDIT ASST. II</t>
  </si>
  <si>
    <t>MINISTRY OF CULTURE &amp; TOURISM</t>
  </si>
  <si>
    <t>(i)</t>
  </si>
  <si>
    <t>(k)</t>
  </si>
  <si>
    <t>SHARI'AH PROSECUTOR  I</t>
  </si>
  <si>
    <t>WATMEN</t>
  </si>
  <si>
    <t>STORE KEEPER I</t>
  </si>
  <si>
    <t>DEPT. OF SKILLS ACQUISITION</t>
  </si>
  <si>
    <t>SCH. ASST./SHE. ASST</t>
  </si>
  <si>
    <t>TBL CONTROL PROGRAMME</t>
  </si>
  <si>
    <t>SALES OF FORMS JSC</t>
  </si>
  <si>
    <t>SALES OF APPLICATION FORMS (CSC)</t>
  </si>
  <si>
    <t>PRIN. TBL. SUPERVISOR</t>
  </si>
  <si>
    <t>SNR. CHO/EHO</t>
  </si>
  <si>
    <t>H.T.O (PLG)</t>
  </si>
  <si>
    <t>SECRETARY TO THE STATE GOVT.</t>
  </si>
  <si>
    <t>CHIEF OF STAFF</t>
  </si>
  <si>
    <t>SPONSORSHIP OF ZAM. United</t>
  </si>
  <si>
    <t>POLITICAL ACTIVITIES EXPENSES</t>
  </si>
  <si>
    <t>413D</t>
  </si>
  <si>
    <t>Z.E.R.A. EXPENSES</t>
  </si>
  <si>
    <t>BOUNDRY MATTERS</t>
  </si>
  <si>
    <t>PUBLIC ENT.</t>
  </si>
  <si>
    <t>CONFIDENTIAL SEC. I</t>
  </si>
  <si>
    <t>PERS. ASST. IV</t>
  </si>
  <si>
    <t>PRIN. LIBRARY OFFICER</t>
  </si>
  <si>
    <t>COMPUTERIZATION OF PENSION RECORDS, ID CARDS &amp; ANNUAL FORMS (PENSION COMM.)</t>
  </si>
  <si>
    <t>OFFICE FURNITURE &amp; EQUIPMENT</t>
  </si>
  <si>
    <t>MAINT. OF VEHICLES &amp; C/ASSETS</t>
  </si>
  <si>
    <t>PUBLIC RELATION ENLIGHT.</t>
  </si>
  <si>
    <t>ASST. IRRIG. SUPT.</t>
  </si>
  <si>
    <t>HIGHER EXEC. OFF.</t>
  </si>
  <si>
    <t>REFUND OF COMPENSATION</t>
  </si>
  <si>
    <t>REFUND OF LAR FOR PROVIDING EXPERIMENT</t>
  </si>
  <si>
    <t>INDUSTRIAL DIVIDENDS</t>
  </si>
  <si>
    <t>PRIN. SPORTS OFFICER</t>
  </si>
  <si>
    <t>SNR. SPORTS OFFICER</t>
  </si>
  <si>
    <t>SPORT OFFICIAL GRADE I</t>
  </si>
  <si>
    <t>SPORT OFFICIAL GRADE II</t>
  </si>
  <si>
    <t>INTEREST ON LOAN TO LOCAL GOVERNMENT</t>
  </si>
  <si>
    <t>HIGHER FOR. SUPT.</t>
  </si>
  <si>
    <t>FOREST SUPT.</t>
  </si>
  <si>
    <t>ASST. FOR. SUPT.  T</t>
  </si>
  <si>
    <t>CHIEF FOR. RANGER</t>
  </si>
  <si>
    <t>PRIN. FOR. SUPT. I</t>
  </si>
  <si>
    <t>CHIEF FOR. SUPT.</t>
  </si>
  <si>
    <t>INDUSTRIAL DEPT.</t>
  </si>
  <si>
    <t>ASST. CHIEF FOR. SUPT.</t>
  </si>
  <si>
    <t>VILLAGE EXT. WORKERS II</t>
  </si>
  <si>
    <t>A.E.O GENERAL</t>
  </si>
  <si>
    <t>AGR. SUPT.</t>
  </si>
  <si>
    <t>ASST. AGR. SUPT.</t>
  </si>
  <si>
    <t>PRIN. WORKS SUPT.</t>
  </si>
  <si>
    <t>HIGHER WORKS SUPT.</t>
  </si>
  <si>
    <t>DEP. DIRECTOR</t>
  </si>
  <si>
    <t>P.T.O. PLANNING</t>
  </si>
  <si>
    <t>LABOUR &amp; PRODUCTIVITY DEPT.</t>
  </si>
  <si>
    <t>419 a.</t>
  </si>
  <si>
    <t>ACTION AID SUPPORTED PROGRAMMS</t>
  </si>
  <si>
    <t>HIGHER EXEC. OFFICER ACCOUNT</t>
  </si>
  <si>
    <t>SENIOR ACCT. ASST</t>
  </si>
  <si>
    <t>ASST. EXEC. OFF. ACCT II</t>
  </si>
  <si>
    <t>EXECUTIVE OFFICER ACCOUNT II</t>
  </si>
  <si>
    <t>LEGAL DEPT.</t>
  </si>
  <si>
    <t>LEGAL OFFICERS</t>
  </si>
  <si>
    <t>FIELD OFFICERS</t>
  </si>
  <si>
    <t>(IX)</t>
  </si>
  <si>
    <t>(X)</t>
  </si>
  <si>
    <t>ACCOUNTANT GENERAL</t>
  </si>
  <si>
    <t>EPIDEMIC DISEASE CONTROL</t>
  </si>
  <si>
    <t>414C</t>
  </si>
  <si>
    <t>JOINT DOMESTIC TRADE FAIR</t>
  </si>
  <si>
    <t>ASST. DIRECTOR Y.E.</t>
  </si>
  <si>
    <t>SPORT ASST. I</t>
  </si>
  <si>
    <t>PERSONAL COST</t>
  </si>
  <si>
    <t>MAJORITY LEADER'S PERS. STAFF</t>
  </si>
  <si>
    <t>MINORITY LEADER'S P/STAFF</t>
  </si>
  <si>
    <t>INTERNAL AUDIT DIVISION</t>
  </si>
  <si>
    <t>TOURISM DEPT.</t>
  </si>
  <si>
    <t>BOARD OF INTERNAL REVENUE</t>
  </si>
  <si>
    <t>C.L.T.</t>
  </si>
  <si>
    <t>ASST. CHIEF PROGRAMME ANA.</t>
  </si>
  <si>
    <t>FINES AND FEES</t>
  </si>
  <si>
    <t>LICENCES</t>
  </si>
  <si>
    <t>SNR. STOCK VERIFIER</t>
  </si>
  <si>
    <t>M/DRIVER II</t>
  </si>
  <si>
    <t>PLANT OPERATOR</t>
  </si>
  <si>
    <t>S/WATCHMAN</t>
  </si>
  <si>
    <t>ACCOUNT. ASST. III</t>
  </si>
  <si>
    <t>S/TRANSLATOR II</t>
  </si>
  <si>
    <t>CABINET AFFAIRS</t>
  </si>
  <si>
    <t>GENERAL SERVICES</t>
  </si>
  <si>
    <t>HIGH LEGAL TRANSLATOR</t>
  </si>
  <si>
    <t>TRAINING STAFF &amp; DEV.</t>
  </si>
  <si>
    <t>LOCAL, NATIONAL &amp; INTERNATIONAL SEMINARS &amp; WORKSHOPS</t>
  </si>
  <si>
    <t>FIELD ATT.</t>
  </si>
  <si>
    <t>P/CPCRT III</t>
  </si>
  <si>
    <t>Furniture Allowances (Members)</t>
  </si>
  <si>
    <t>MEAL ALLOWANCE</t>
  </si>
  <si>
    <t>ELECTORAL OFFICER II</t>
  </si>
  <si>
    <t>ELECTORAL OFFICER III</t>
  </si>
  <si>
    <t>CONTRIBUTION AND SUBVENTIONS</t>
  </si>
  <si>
    <t>CULTURAL OFFICER III</t>
  </si>
  <si>
    <t>PURCHASE OF LAW BOOKS</t>
  </si>
  <si>
    <t>INSTALLATION OF VSAT</t>
  </si>
  <si>
    <t>JUDICIARY SHARI'AH COURT OF APPEAL</t>
  </si>
  <si>
    <t>420c</t>
  </si>
  <si>
    <t>PRIN. MR/STAT. ASST.</t>
  </si>
  <si>
    <t>SNR.MR/STAT.ASST</t>
  </si>
  <si>
    <t>MR/STAT. ASST.</t>
  </si>
  <si>
    <t>MRA/STAT. ASST. IN TRAINING</t>
  </si>
  <si>
    <t>PRI. HEALTH CARE DEPT.</t>
  </si>
  <si>
    <t>SNR. LEGAL CONSEL I</t>
  </si>
  <si>
    <t>ZONAL OFFICES</t>
  </si>
  <si>
    <t>ANKA</t>
  </si>
  <si>
    <t>TOURISM OFFICER II</t>
  </si>
  <si>
    <t>ELECTORAL OFFICER IV</t>
  </si>
  <si>
    <t>CLERICAL OFFICER I ADMIN.</t>
  </si>
  <si>
    <t xml:space="preserve">SNR. AGRIC OFFICER </t>
  </si>
  <si>
    <t>Not more than 45% for P.C.</t>
  </si>
  <si>
    <t>iii.</t>
  </si>
  <si>
    <t>Not more than 20% for O/C</t>
  </si>
  <si>
    <t>iv.</t>
  </si>
  <si>
    <t>Not less than 20% for transfer</t>
  </si>
  <si>
    <t>v.</t>
  </si>
  <si>
    <t>Not less than 5% for I.D.S.</t>
  </si>
  <si>
    <t>w</t>
  </si>
  <si>
    <t>%</t>
  </si>
  <si>
    <t>C.R.F.</t>
  </si>
  <si>
    <t>REGISTRAR II</t>
  </si>
  <si>
    <t>CHIEF COOP. ASST.</t>
  </si>
  <si>
    <t>PAY LOAN OFF.</t>
  </si>
  <si>
    <t>HIGHER DATA PROC. OFFICER</t>
  </si>
  <si>
    <t>HIGHER FILM PROD. OFFICER</t>
  </si>
  <si>
    <t>CAMERA ASST.</t>
  </si>
  <si>
    <t>CHIEF JUDGE</t>
  </si>
  <si>
    <t xml:space="preserve">JUDGES </t>
  </si>
  <si>
    <t>-</t>
  </si>
  <si>
    <t>ASST. CHIEF EXECUTIVE OFFICER</t>
  </si>
  <si>
    <t>PERMANENT SECRETARY</t>
  </si>
  <si>
    <t>STATISTICIAN ASST. I</t>
  </si>
  <si>
    <t>SNR. DRIVER MECHANIC</t>
  </si>
  <si>
    <t>TRADITIONAL MED. ACTIVITIES</t>
  </si>
  <si>
    <t>ESTIMATES</t>
  </si>
  <si>
    <t>SNR. SOCIAL WEL. ASST.</t>
  </si>
  <si>
    <t>PRIN. SECRETARIAT ASST.</t>
  </si>
  <si>
    <t>TELEPHONE SERV.</t>
  </si>
  <si>
    <t>SEMINAR AND CONFRANCE</t>
  </si>
  <si>
    <t>PROVISION OF VSAT</t>
  </si>
  <si>
    <t>420d</t>
  </si>
  <si>
    <t>420E</t>
  </si>
  <si>
    <t>ACP TECH</t>
  </si>
  <si>
    <t>PPTECH</t>
  </si>
  <si>
    <t>SNR. P. TECH</t>
  </si>
  <si>
    <t>ALLOWANCES GENERAL</t>
  </si>
  <si>
    <t>CARPENTER I</t>
  </si>
  <si>
    <t>HAJJ OPERATION</t>
  </si>
  <si>
    <t>INTER GOVT. RELATIONS</t>
  </si>
  <si>
    <t>413I</t>
  </si>
  <si>
    <t>GEN. SERVICES</t>
  </si>
  <si>
    <t>413J</t>
  </si>
  <si>
    <t>CLERICIAL ASST. FINANCE</t>
  </si>
  <si>
    <t>ENUMERATORS</t>
  </si>
  <si>
    <t>BUDGET OFFICER</t>
  </si>
  <si>
    <t>MISC. OFFENCES TRIBUNAL</t>
  </si>
  <si>
    <t>PRINTING OF GAZZETE</t>
  </si>
  <si>
    <t>MAINT. OF MINI COMPUTER</t>
  </si>
  <si>
    <t>APPEALS</t>
  </si>
  <si>
    <t>EXTERNAL SOLICITORS</t>
  </si>
  <si>
    <t>420b</t>
  </si>
  <si>
    <t>INTEREST ON INVESTMENT GENERAL</t>
  </si>
  <si>
    <t>INTEREST ON BANK DEPOSIT</t>
  </si>
  <si>
    <t>ASST. LIBRARY OFFICER II</t>
  </si>
  <si>
    <t>CONTR. TO INTERNATIONAL ORG.</t>
  </si>
  <si>
    <t>REGISTRATION AND RENEWAL OF NURSERY/DAY CARE CENTRES</t>
  </si>
  <si>
    <t>CONTRACT PROCESSING FEES</t>
  </si>
  <si>
    <t>RESEARCH &amp; STATISTICS</t>
  </si>
  <si>
    <t>INFORMATION UNIT</t>
  </si>
  <si>
    <t>T/MAFARA</t>
  </si>
  <si>
    <t>C.E.O.II</t>
  </si>
  <si>
    <t>T.A.I</t>
  </si>
  <si>
    <t>T.A.II</t>
  </si>
  <si>
    <t xml:space="preserve">PERSONNEL ASST. </t>
  </si>
  <si>
    <t>PRIN. SEC. ASST. IV</t>
  </si>
  <si>
    <t>SNR. SEC. ASST.</t>
  </si>
  <si>
    <t>SEC. ASST. I</t>
  </si>
  <si>
    <t>EXECUTIVE GOVERNOR</t>
  </si>
  <si>
    <t>RENT ON GOVERNMENT PROPERTY</t>
  </si>
  <si>
    <t>SNR. PLANN. OFF.</t>
  </si>
  <si>
    <t>427</t>
  </si>
  <si>
    <t>GUINEA WORM</t>
  </si>
  <si>
    <t>TAXES</t>
  </si>
  <si>
    <t>WATERMEN</t>
  </si>
  <si>
    <t>SOLID MINERALS DEPT.</t>
  </si>
  <si>
    <t>CHIEF ACCOUNTANT</t>
  </si>
  <si>
    <t>P.E.O. II (ACCT.)</t>
  </si>
  <si>
    <t>NIGERIAN AGRIC. DEV. BANK</t>
  </si>
  <si>
    <t>WEB SITE DESIGN &amp; UPDATE</t>
  </si>
  <si>
    <t>INSPECTOR II</t>
  </si>
  <si>
    <t>INSPECTOR III</t>
  </si>
  <si>
    <t>SOCIAL WELFARE DEPARTMENT</t>
  </si>
  <si>
    <t>CHIEF S/WELFARE OFFICER</t>
  </si>
  <si>
    <t>PRIN. S/WELFARE OFFICER</t>
  </si>
  <si>
    <t>MINISTRY OF SCIENCE &amp; TECHNICAL EDUCATION</t>
  </si>
  <si>
    <t>CHIEF SOCIAL WELFARE ASST.</t>
  </si>
  <si>
    <t>SNR. CLERICAL OFFICER</t>
  </si>
  <si>
    <t>C. OFF. (ACCT.)</t>
  </si>
  <si>
    <t>C. ASST.</t>
  </si>
  <si>
    <t>PLANNING, RES. &amp; STATS..</t>
  </si>
  <si>
    <t>CHIEF OFFICIAL REPT.</t>
  </si>
  <si>
    <t>ASST. CHIEF OFF. REPT</t>
  </si>
  <si>
    <t>DEPUTY DIRECTOR</t>
  </si>
  <si>
    <t>RESEARCH OFFICERS</t>
  </si>
  <si>
    <t>WORKS SUPT.</t>
  </si>
  <si>
    <t>SNR. FORMAN (ALL TRADES)</t>
  </si>
  <si>
    <t>SNR DRIVER</t>
  </si>
  <si>
    <t xml:space="preserve">MINISTRY OF INFORMATION </t>
  </si>
  <si>
    <t>T.O MECH.</t>
  </si>
  <si>
    <t>P.T.O. I (ENG)</t>
  </si>
  <si>
    <t>P.T.O. I (CHEMICAL)</t>
  </si>
  <si>
    <t>COMP. ASST.II</t>
  </si>
  <si>
    <t>DRIVER/MECHANIC II</t>
  </si>
  <si>
    <t>DRIVER/MECHANIC III</t>
  </si>
  <si>
    <t>GARDENERS</t>
  </si>
  <si>
    <t>(VII)</t>
  </si>
  <si>
    <t>V.A.T.</t>
  </si>
  <si>
    <t>(VIII)</t>
  </si>
  <si>
    <t>COMMITTEE AND COMMISSON</t>
  </si>
  <si>
    <t>NEW SUBTREASURY</t>
  </si>
  <si>
    <t>MINISTRY OF BUDGET AND ECONOMIC PLAN.</t>
  </si>
  <si>
    <t>417B</t>
  </si>
  <si>
    <t>HALL MANAGERS</t>
  </si>
  <si>
    <t>INSTRUCTOR II</t>
  </si>
  <si>
    <t>INSPECTOR</t>
  </si>
  <si>
    <t>DA'AWA DEPT.</t>
  </si>
  <si>
    <t>ASST. DIRECTOR S.A.</t>
  </si>
  <si>
    <t>PRIN. Y.D. OFFICER</t>
  </si>
  <si>
    <t>SNR. YOUTH DEVT. OFFICER</t>
  </si>
  <si>
    <t>HOSPITALS MANAGEMENT BOARD</t>
  </si>
  <si>
    <t>SCHOOL OF HEALTH TECH. TSAFE</t>
  </si>
  <si>
    <t>FIELD OVERSE</t>
  </si>
  <si>
    <t>TECH. OFFICER III</t>
  </si>
  <si>
    <t>SNR. AGRIC. OFF. II</t>
  </si>
  <si>
    <t>DIRECTORATE OF MAGISTRATE</t>
  </si>
  <si>
    <t>WOMEN AFFAIRS DEPT.</t>
  </si>
  <si>
    <t xml:space="preserve">DIRECTOR </t>
  </si>
  <si>
    <t xml:space="preserve">SOCIAL WELFARE OFFICER I </t>
  </si>
  <si>
    <t>SNR. FISH OFF.</t>
  </si>
  <si>
    <t>AGRIC. OFF. I</t>
  </si>
  <si>
    <t>HEAD TEACHER</t>
  </si>
  <si>
    <t>HIGH. AGRIC. SUPT. AGRIC. SUPT.</t>
  </si>
  <si>
    <t>SPECIAL EXPENDITURE FOR ANTICIPATED SALARY INCREASE</t>
  </si>
  <si>
    <t xml:space="preserve">CONSULTANCY  SERVICES </t>
  </si>
  <si>
    <t xml:space="preserve">SNR. LOAN. REC. OFF. </t>
  </si>
  <si>
    <t xml:space="preserve">LOAN REC. OFF. </t>
  </si>
  <si>
    <t>PRIN. PERS. OFFICER</t>
  </si>
  <si>
    <t>PRIN. PERS. ASST. III</t>
  </si>
  <si>
    <t>PRIN. PERS. ASST. IV</t>
  </si>
  <si>
    <t>ENTERTAINMENT ALLOWANCE FOR</t>
  </si>
  <si>
    <t>UTILITY ALLOWANCES</t>
  </si>
  <si>
    <t>ELECTORAL OFFICER I</t>
  </si>
  <si>
    <t>INSTALLATION OF SEARCH NET</t>
  </si>
  <si>
    <t>412E</t>
  </si>
  <si>
    <t>412F</t>
  </si>
  <si>
    <t>412G</t>
  </si>
  <si>
    <t>CATERING OFFICER</t>
  </si>
  <si>
    <t>TELEPHONE OPERATOR I</t>
  </si>
  <si>
    <t>TELEPHONE OPERATOR II</t>
  </si>
  <si>
    <t>CONFIDENTIAL SEC. II</t>
  </si>
  <si>
    <t>STORE ASSISTANT</t>
  </si>
  <si>
    <t>CLERICAL OFFICER (ACCT)</t>
  </si>
  <si>
    <t>HEAD CLEANER</t>
  </si>
  <si>
    <t>FINANCE ASST. I</t>
  </si>
  <si>
    <t>IRRIGATION ATTD. II</t>
  </si>
  <si>
    <t>IRRIGATION ATTD. III</t>
  </si>
  <si>
    <t>ATTENDANT</t>
  </si>
  <si>
    <t>MECHANICAL  ASST.</t>
  </si>
  <si>
    <t xml:space="preserve">PLUMBER </t>
  </si>
  <si>
    <t>MAINT. OF SCHOOLS FURNITURE</t>
  </si>
  <si>
    <t>414b</t>
  </si>
  <si>
    <t>DIRECTORATE OF COMMODITY, MARKETING &amp; DIST.</t>
  </si>
  <si>
    <t>415 a</t>
  </si>
  <si>
    <t>DIRECTORATE OF POVERTY ALLEVIATION &amp; COOPERATIVE DEVT.</t>
  </si>
  <si>
    <t>416 a</t>
  </si>
  <si>
    <t>CLERICAL OFFICER INT. AUDIT</t>
  </si>
  <si>
    <t>CIVIL DEPARTMENT</t>
  </si>
  <si>
    <t>xx</t>
  </si>
  <si>
    <t>Z.E.C.C.O.</t>
  </si>
  <si>
    <t>xxi</t>
  </si>
  <si>
    <t>ELECTRICIAN I</t>
  </si>
  <si>
    <t>LINESMEN</t>
  </si>
  <si>
    <t>SEMINARS AND CONFERENCES</t>
  </si>
  <si>
    <t>GRAND TOTAL:-</t>
  </si>
  <si>
    <t>(A)</t>
  </si>
  <si>
    <t>(B)</t>
  </si>
  <si>
    <t xml:space="preserve">SNR PROG. ANALYST </t>
  </si>
  <si>
    <t>PENSION AND GRATUITY  DEPARTMENT</t>
  </si>
  <si>
    <t>OUTFIT ALLOWANCE</t>
  </si>
  <si>
    <t>FOR CHIEF JUDGE &amp; JUDGES</t>
  </si>
  <si>
    <t>CHIEF JUDGE AND JUDGES</t>
  </si>
  <si>
    <t>412H</t>
  </si>
  <si>
    <t>SNR. COMMUNCATION OFFICER</t>
  </si>
  <si>
    <t>COMMUNICATION OFFICER I</t>
  </si>
  <si>
    <t>AGENCY FOR INTER COMMUNITY RELATION</t>
  </si>
  <si>
    <t>SPECIALIZED TRAININGS (LOCAL &amp; OVERSEAS)</t>
  </si>
  <si>
    <t>ADOLECENT CARE</t>
  </si>
  <si>
    <t>PURCHASE OF PHOTO MATERIALS</t>
  </si>
  <si>
    <t>REPAYMENT ON MOTOR VEHICLE LOAN</t>
  </si>
  <si>
    <t>A.E.O ACCT.</t>
  </si>
  <si>
    <t>REFUND OF OVER PAYMENT</t>
  </si>
  <si>
    <t>CARPENTER II</t>
  </si>
  <si>
    <t>ELECTRICIAN</t>
  </si>
  <si>
    <t>NATIONAL FADAMA</t>
  </si>
  <si>
    <t>NATIONAL AGRIC. TECH. SUPPORT</t>
  </si>
  <si>
    <t>LEGAL SERVICES</t>
  </si>
  <si>
    <t>HIGH EXEC. OFFICER</t>
  </si>
  <si>
    <t>EXEC. OFFICER</t>
  </si>
  <si>
    <t>SNR. ASST. COACH</t>
  </si>
  <si>
    <t>HIGHER ASST. COACH</t>
  </si>
  <si>
    <t>ASST. COACH GRADE I</t>
  </si>
  <si>
    <t>COURT FINES-MAG. COURT</t>
  </si>
  <si>
    <t>COURT FEES-AREA COURT</t>
  </si>
  <si>
    <t>COURT FINES - AREA COURT</t>
  </si>
  <si>
    <t>PRIN. FOR. SUPT. II</t>
  </si>
  <si>
    <t>SNR. SUPT.</t>
  </si>
  <si>
    <t>SPECIAL ADVISERS</t>
  </si>
  <si>
    <t>SNR. SPECIAL ASSISTANTS</t>
  </si>
  <si>
    <t>TRANSLATION SECTION</t>
  </si>
  <si>
    <t>LIBRARY OFFICER III</t>
  </si>
  <si>
    <t>ASST. LIBRARY OFFICER I</t>
  </si>
  <si>
    <t>SPECIAL ASSISTANTS</t>
  </si>
  <si>
    <t>COM. H.O</t>
  </si>
  <si>
    <t>LAB. TECH</t>
  </si>
  <si>
    <t>CHIEF CH. ASST.</t>
  </si>
  <si>
    <t>CHIEF TECH. OFFICER PLAN.</t>
  </si>
  <si>
    <t>ASST. CHIEF TECH. OFF. PLAN.</t>
  </si>
  <si>
    <t>PRIN. TECH. OFF. PLANNING</t>
  </si>
  <si>
    <t>ISLAMIC ORGANISATION DEPT.</t>
  </si>
  <si>
    <t>C.E.O.I</t>
  </si>
  <si>
    <t>C.T.O .ELECT. OFF.</t>
  </si>
  <si>
    <t>CONSULTANCY SERVICES</t>
  </si>
  <si>
    <t>10T</t>
  </si>
  <si>
    <t>DRIVER GRADE II</t>
  </si>
  <si>
    <t>SECURITY GUARD</t>
  </si>
  <si>
    <t xml:space="preserve">FORESTRY SUPERVISOR </t>
  </si>
  <si>
    <t>LOCAL GOVT. INSPECTOR I</t>
  </si>
  <si>
    <t>HISBAH SITTING FACILITIES</t>
  </si>
  <si>
    <t>EXEC. OFFICER ADMIN.</t>
  </si>
  <si>
    <t>SNR. T.O. Q/SURVEYOR</t>
  </si>
  <si>
    <t>SNR. LIBRARY OFFICER</t>
  </si>
  <si>
    <t>LIBRARY OFFICER I</t>
  </si>
  <si>
    <t>LIBRARY OFFICER II</t>
  </si>
  <si>
    <t>CHIEF INT. AUDITOR</t>
  </si>
  <si>
    <t>PRIN. EXEC. OFFICER ACCOUT. II</t>
  </si>
  <si>
    <t>YOUTH DEVT. ASST. II</t>
  </si>
  <si>
    <t>PURCHASE OF VET. VACC. &amp; DRUGS</t>
  </si>
  <si>
    <t>PURCHASE OF VET. INSTRUMENTS</t>
  </si>
  <si>
    <t>MAINTENANCE OF ABBATOUR</t>
  </si>
  <si>
    <t>HIDES AND SKIN BUYER'S LICENCE</t>
  </si>
  <si>
    <t>CHIEF TOWN PLANNING OFFICER</t>
  </si>
  <si>
    <t>A.C. T.P. O</t>
  </si>
  <si>
    <t>P..T.P.O</t>
  </si>
  <si>
    <t>EXEC. OFF. ADMIN.</t>
  </si>
  <si>
    <t>ASST. EXEC. OFF. ADMIN.</t>
  </si>
  <si>
    <t>POLITICAL AFFAIRS DEPARTMENT</t>
  </si>
  <si>
    <t>SNR. INFORMATION ASST.</t>
  </si>
  <si>
    <t>SNR. PUBLICITY ASST.</t>
  </si>
  <si>
    <t>COMP. OPERATOR</t>
  </si>
  <si>
    <t>ENUMERATOR I</t>
  </si>
  <si>
    <t>LOCAL GOVT. INSPECTOR II</t>
  </si>
  <si>
    <t>LIBRARIAN</t>
  </si>
  <si>
    <t>TRANSLATORS</t>
  </si>
  <si>
    <t>REVIEWERS</t>
  </si>
  <si>
    <t>ASST. LIB. OFFICER</t>
  </si>
  <si>
    <t>STATE ASSEMBLY SERVICE COMMISSION</t>
  </si>
  <si>
    <t>PREACHERS ALLOWANCES</t>
  </si>
  <si>
    <t>HIGHER LIVESTOCK TECH</t>
  </si>
  <si>
    <t>ZAMFARA INVESTMENT COMPANY</t>
  </si>
  <si>
    <t>FEMALE EDUCATION BOARD</t>
  </si>
  <si>
    <t>GUSAU CENTRAL MARKET</t>
  </si>
  <si>
    <t>DEPUTY AUDITOR GENERAL</t>
  </si>
  <si>
    <t>SNR TYPIST</t>
  </si>
  <si>
    <t>CHIEF PHARMACY TECH.</t>
  </si>
  <si>
    <t>SNR. SECT. ASST.</t>
  </si>
  <si>
    <t>SECT. ASST. II</t>
  </si>
  <si>
    <t>SECT ASST III</t>
  </si>
  <si>
    <t>ELECT. ENG. II</t>
  </si>
  <si>
    <t>H.T.O. ELECTRICAL</t>
  </si>
  <si>
    <t>HIDES AND SKIN ASST.</t>
  </si>
  <si>
    <t>ASST. CHIEF MECH. ENG.</t>
  </si>
  <si>
    <t>SNR. MECH. ENGR.</t>
  </si>
  <si>
    <t>STATE ASSEMBLY LIAISON SERVICES</t>
  </si>
  <si>
    <t>422 a</t>
  </si>
  <si>
    <t>LEGISLATIVE SERVICES</t>
  </si>
  <si>
    <t>SNR. FIELD OVERSEE</t>
  </si>
  <si>
    <t>CHIEF LEGISLATIVE OFFICER</t>
  </si>
  <si>
    <t>ASST. CHIEF TYPIST</t>
  </si>
  <si>
    <t>H.S. OVERSEER</t>
  </si>
  <si>
    <t>HIDES &amp; SKIN ASST.</t>
  </si>
  <si>
    <t>PRODUCE DEPARTMENT</t>
  </si>
  <si>
    <t>CHIEF PRO. OFFICER</t>
  </si>
  <si>
    <t>PRIN. PRO. OFFICER</t>
  </si>
  <si>
    <t>PRIN. BUDGET ANALYST</t>
  </si>
  <si>
    <t>ASST. PROC. OFFICER</t>
  </si>
  <si>
    <t>A.C.T.O. CIVIL</t>
  </si>
  <si>
    <t>P.LAB. TECH.</t>
  </si>
  <si>
    <t>HIGHER TECH. OFF. STRUCTURE</t>
  </si>
  <si>
    <t>SPORT SEARCHNET</t>
  </si>
  <si>
    <t xml:space="preserve">PRODUCTIVITY AWARD </t>
  </si>
  <si>
    <t>ASIST DIRECTOR</t>
  </si>
  <si>
    <t>RENT OF PRODUCE STORES AND DUMPS</t>
  </si>
  <si>
    <t>PRIN. EXEC. OFFICER II</t>
  </si>
  <si>
    <t>STATISTICAL ASST. II</t>
  </si>
  <si>
    <t>ASST. CAMERA MAN</t>
  </si>
  <si>
    <t>STATISTICAL ASST. III</t>
  </si>
  <si>
    <t>TRAINING DEPARTMENT</t>
  </si>
  <si>
    <t>ASST. SECRETARY</t>
  </si>
  <si>
    <t>C.C.O. ACCT.</t>
  </si>
  <si>
    <t>STORE ASS.</t>
  </si>
  <si>
    <t>PURCHASE OF SHARIAH BOOKS</t>
  </si>
  <si>
    <t>ASSISTANCE GENERAL</t>
  </si>
  <si>
    <t>INTERNET SUBCRIPTION &amp; WEB. MAINT.</t>
  </si>
  <si>
    <t>NATIONAL COUCIL OF LANDS</t>
  </si>
  <si>
    <t>SNR LIVESTOCK OVERSEER</t>
  </si>
  <si>
    <t>CHIEF RANGE MGT. OVERSEER</t>
  </si>
  <si>
    <t>423A</t>
  </si>
  <si>
    <t>RENT RECOVERY TRIB.</t>
  </si>
  <si>
    <t>MAINT./MECHANICAL DEPT.</t>
  </si>
  <si>
    <t>PERSONAL ASST II</t>
  </si>
  <si>
    <t>PRIN. ASST. REGISTRAR</t>
  </si>
  <si>
    <t>SNR. ASST. REGISTRAR</t>
  </si>
  <si>
    <t>CHIEF AGRIC. OFF.</t>
  </si>
  <si>
    <t>PRIN. AGRIC. OFF. I</t>
  </si>
  <si>
    <t>REVENUE OFFICER</t>
  </si>
  <si>
    <t>ASST. REVENUE OFFICER</t>
  </si>
  <si>
    <t>UNALLOCATED STORES SALES</t>
  </si>
  <si>
    <t>AGRIC. SUPT.</t>
  </si>
  <si>
    <t>FISH SUPT.</t>
  </si>
  <si>
    <t>ASST.FISH SUPT.</t>
  </si>
  <si>
    <t>ASST. AGRIC SUPT.</t>
  </si>
  <si>
    <t>NURS. DEM. I</t>
  </si>
  <si>
    <t>SNR. TRANSLATOR</t>
  </si>
  <si>
    <t>FINANCE AND SUPPLY DEPT.</t>
  </si>
  <si>
    <t>ASST. LIV. SUPT.</t>
  </si>
  <si>
    <t>ASST. LIV. SUPT. (T)</t>
  </si>
  <si>
    <t>SNR. STATE COUNCEL</t>
  </si>
  <si>
    <t>PRIN. INTERNAL AUDITOR</t>
  </si>
  <si>
    <t>ASST. CHIEF AGRIC SERVICES</t>
  </si>
  <si>
    <t>(C)</t>
  </si>
  <si>
    <t>(f)</t>
  </si>
  <si>
    <t>(d)</t>
  </si>
  <si>
    <t>(b)</t>
  </si>
  <si>
    <t>(c)</t>
  </si>
  <si>
    <t>(e)</t>
  </si>
  <si>
    <t>b</t>
  </si>
  <si>
    <t>CONTR. TO INTERN. ORG.</t>
  </si>
  <si>
    <t>MINISTRY FOR LANDS AND SURVEY</t>
  </si>
  <si>
    <t>413F</t>
  </si>
  <si>
    <t>MAINT. OF OFF. FURN. AND EQUIP.</t>
  </si>
  <si>
    <t>COMPUTER ASSISTANT I</t>
  </si>
  <si>
    <t>CAR REFURBISHING  LOAN TO STAFF</t>
  </si>
  <si>
    <t>OUTFIT ALLOWANCES</t>
  </si>
  <si>
    <t>ANNUAL REPORT</t>
  </si>
  <si>
    <t>H.T.O. (CIVIL)</t>
  </si>
  <si>
    <t>ZAMFARA STATE EMERGENCY RELIEF AGENCY</t>
  </si>
  <si>
    <t>DEPUTY SECRETARY</t>
  </si>
  <si>
    <t>ASST. RESEARCH OFFICER II</t>
  </si>
  <si>
    <t>ASST. COMPUTER ASSISTANT</t>
  </si>
  <si>
    <t>SENIOR ENUMERATOR</t>
  </si>
  <si>
    <t>ASST. ENUMBERATOR</t>
  </si>
  <si>
    <t>TO</t>
  </si>
  <si>
    <t>ATO</t>
  </si>
  <si>
    <t>MECH.</t>
  </si>
  <si>
    <t>HYDORO</t>
  </si>
  <si>
    <t>ASSIT TECH. ASST.</t>
  </si>
  <si>
    <t>ASST. CHIEF TECH. OFF.</t>
  </si>
  <si>
    <t>PRODUCE SALES TAX</t>
  </si>
  <si>
    <t>HEAD:  402 FINES AND FEES</t>
  </si>
  <si>
    <t>PURCHASE OF FILMS &amp; C/ASSETS</t>
  </si>
  <si>
    <t>F.S.P. AFFAIRS</t>
  </si>
  <si>
    <t xml:space="preserve">CHIEF TECH. OFFICER </t>
  </si>
  <si>
    <t xml:space="preserve">ASST. CHIEF TECH. OFFICER </t>
  </si>
  <si>
    <t>HOTELS MNGT. BOARD</t>
  </si>
  <si>
    <t>MILLENNIUM DEVELOPMENT GOALS</t>
  </si>
  <si>
    <t>Total:-</t>
  </si>
  <si>
    <t>MAINT. OF LODGE &amp; FEEDING</t>
  </si>
  <si>
    <t>RENT TRIBUNAL</t>
  </si>
  <si>
    <t>MEMBERS</t>
  </si>
  <si>
    <t>H.E.O ACCOUNT</t>
  </si>
  <si>
    <t>LIVESTOCK OVERSEER</t>
  </si>
  <si>
    <t>IMPROVEMENT COUNTRE PART FUNDING</t>
  </si>
  <si>
    <t xml:space="preserve">PURCHASE OF LAW BOOKS </t>
  </si>
  <si>
    <t>FOR CHIEF JUDGE AND JUDGES</t>
  </si>
  <si>
    <t>CARPENTER GREAD II</t>
  </si>
  <si>
    <t>S.T.O .ELECT. OFF.</t>
  </si>
  <si>
    <t>MECHANIC IV</t>
  </si>
  <si>
    <t>CRAFTMAN</t>
  </si>
  <si>
    <t>APPRENTICE</t>
  </si>
  <si>
    <t>HEALTH DEPARTMENT</t>
  </si>
  <si>
    <t>MAINT. OF FURNITURE &amp; EQUIPT.</t>
  </si>
  <si>
    <t>ASST. CHIEF PLANN. OFF.</t>
  </si>
  <si>
    <t>PRIN. PLANN. OFF.</t>
  </si>
  <si>
    <t xml:space="preserve">S.E.O.  </t>
  </si>
  <si>
    <t xml:space="preserve">E.O.  </t>
  </si>
  <si>
    <t>A.C.C.O.</t>
  </si>
  <si>
    <t>C.E.O. (ACCT)</t>
  </si>
  <si>
    <t>YOUTH DEVT. OFFICER II</t>
  </si>
  <si>
    <t>ASST. FIRE OFFICER</t>
  </si>
  <si>
    <t>FIREMEN</t>
  </si>
  <si>
    <t>ASSEMBLY CLINIC</t>
  </si>
  <si>
    <t>CHIEF EDU. OFFICER</t>
  </si>
  <si>
    <t>P.E.O. I</t>
  </si>
  <si>
    <t>P.E.O. II</t>
  </si>
  <si>
    <t>SNR. MASTER</t>
  </si>
  <si>
    <t>NURSING SISTER</t>
  </si>
  <si>
    <t>MASTER II</t>
  </si>
  <si>
    <t>MASTER III</t>
  </si>
  <si>
    <t>TRAINING GENERAL</t>
  </si>
  <si>
    <t>MAY DAY CELEBRATION</t>
  </si>
  <si>
    <t>CHIEF PHAMACY TECH</t>
  </si>
  <si>
    <t>ASST CHIEF PHARMACIST</t>
  </si>
  <si>
    <t>PRIN. PHAMACIST</t>
  </si>
  <si>
    <t>SNR PHAMACIST</t>
  </si>
  <si>
    <t>A.C.T.O. DAMS &amp; RES.</t>
  </si>
  <si>
    <t>P.T.O. WATER I</t>
  </si>
  <si>
    <t>SCHISTOSOMIASIS CONTROL</t>
  </si>
  <si>
    <t>LAB. TECH.</t>
  </si>
  <si>
    <t>SNR.MIRIOSIOPIST</t>
  </si>
  <si>
    <t>RECTOR SCOUT</t>
  </si>
  <si>
    <t>T.O. WATER</t>
  </si>
  <si>
    <t>A.T.O. WATER</t>
  </si>
  <si>
    <t>MECHANICAL</t>
  </si>
  <si>
    <t>SOCIAL WELFARE ASST. I</t>
  </si>
  <si>
    <t>W/SHOP ATTD. III</t>
  </si>
  <si>
    <t>LAB ASST. I</t>
  </si>
  <si>
    <t>SCHOOL SERGENT II</t>
  </si>
  <si>
    <t>ASST. LOCAL GOVT. INSPECTOR</t>
  </si>
  <si>
    <t>SCHO</t>
  </si>
  <si>
    <t>HCHO</t>
  </si>
  <si>
    <t>ENV. SANIT. ACT. IN THE STATE</t>
  </si>
  <si>
    <t>MECHANICAL/ELECT. DEPARTMENT</t>
  </si>
  <si>
    <t>MECHANICAL DIVISION</t>
  </si>
  <si>
    <t>T.C</t>
  </si>
  <si>
    <t>POULTRY VACCINATION FEES</t>
  </si>
  <si>
    <t>WORKSHOP FEES</t>
  </si>
  <si>
    <t>D. ELECT.</t>
  </si>
  <si>
    <t>FEEDING</t>
  </si>
  <si>
    <t>PRIN SEC. ASST.</t>
  </si>
  <si>
    <t>CHIEF FISH OFFICER</t>
  </si>
  <si>
    <t>ASST. CHIEF FISH OFF.</t>
  </si>
  <si>
    <t>ARABIC  TEACHER</t>
  </si>
  <si>
    <t>CAMERA WOMEN</t>
  </si>
  <si>
    <t>H.E.O.</t>
  </si>
  <si>
    <t>SOCIAL WELFARE OFFICER I I</t>
  </si>
  <si>
    <t>LIBRARIAN OFFICER</t>
  </si>
  <si>
    <t>LIBRARY ASST.</t>
  </si>
  <si>
    <t>MECH. ENGR. I</t>
  </si>
  <si>
    <t>ZONAL IES</t>
  </si>
  <si>
    <t>DEPUTY ZIES</t>
  </si>
  <si>
    <t>C.E.O</t>
  </si>
  <si>
    <t>P.E.O</t>
  </si>
  <si>
    <t>S.E.O</t>
  </si>
  <si>
    <t>E.O.I</t>
  </si>
  <si>
    <t>E.O.II</t>
  </si>
  <si>
    <t>MAINT.  OF HYDROLOGICAL STATIONS</t>
  </si>
  <si>
    <t>PRINCIPAL SUPT. OF PRESS</t>
  </si>
  <si>
    <t>HIGHER SUPT. OF PRESS</t>
  </si>
  <si>
    <t>SUPT. OF PRESS</t>
  </si>
  <si>
    <t xml:space="preserve">FEEDING </t>
  </si>
  <si>
    <t>GEN. OFFICE EXPENSES</t>
  </si>
  <si>
    <t>PURCH. OF ELECTRIC EQUIPMENT</t>
  </si>
  <si>
    <t>PROGRAMME EXPENSES</t>
  </si>
  <si>
    <t>PURCH. OF NEW CIVIL SERVICE REFORM BOOKS</t>
  </si>
  <si>
    <t>ASST. SOUND RECORDIST</t>
  </si>
  <si>
    <t>HEAD: 401 - 409 SUMMARY</t>
  </si>
  <si>
    <t>HEAD</t>
  </si>
  <si>
    <t>C.O. (ACCT.)</t>
  </si>
  <si>
    <t>STATISTICAL ASST. I</t>
  </si>
  <si>
    <t>414A</t>
  </si>
  <si>
    <t>DETAILS OF REVENUE</t>
  </si>
  <si>
    <t>PURCHASE OF BOOKS</t>
  </si>
  <si>
    <t>C.C.O. ADMIN.</t>
  </si>
  <si>
    <t>T.A. IV</t>
  </si>
  <si>
    <t>MAINT. OF DATA BANK</t>
  </si>
  <si>
    <t>SNR. LOCAL GOVT. OFFICER II</t>
  </si>
  <si>
    <t>HIGHER LOCAL GOVT. OFFICER</t>
  </si>
  <si>
    <t>LOCAL GOVT. OFFICER</t>
  </si>
  <si>
    <t>ASST. LOCAL GOVT. OFFICER</t>
  </si>
  <si>
    <t>MAGISTRATE II</t>
  </si>
  <si>
    <t>PRINTING OF C.S.C. FORM</t>
  </si>
  <si>
    <t>ESTABLISHMENT DEPT.</t>
  </si>
  <si>
    <t>PRIN. EXEC. OFFICER</t>
  </si>
  <si>
    <t>HEAVY MECH. II</t>
  </si>
  <si>
    <t>SNR. IRRIG. DRAFTMAN</t>
  </si>
  <si>
    <t>IRRIG. DRAFTMAN</t>
  </si>
  <si>
    <t>IRRIGATION T. II</t>
  </si>
  <si>
    <t>CHIEF COOK</t>
  </si>
  <si>
    <t>Players Salaries &amp; Allowances</t>
  </si>
  <si>
    <t>COMMUNICATION DEPT.</t>
  </si>
  <si>
    <t>AFFIDAVITS AND DECLARATION</t>
  </si>
  <si>
    <t>SNR. FOR. OVER.</t>
  </si>
  <si>
    <t>FOREST OVERSEER</t>
  </si>
  <si>
    <t>FOREST OVERSEER I</t>
  </si>
  <si>
    <t>TEACHERS SERVICE BOARD</t>
  </si>
  <si>
    <t>STATE HOUSING CORPORATION</t>
  </si>
  <si>
    <t>PRIN. LIVESTOCK TECH. I</t>
  </si>
  <si>
    <t>PRIN. LIVESTOCK TECH. II</t>
  </si>
  <si>
    <t>COUNCIL FOR ARTS &amp; CULTURE</t>
  </si>
  <si>
    <t>HOUSE OF ASSEMBLY</t>
  </si>
  <si>
    <t>421A</t>
  </si>
  <si>
    <t>PP ASST</t>
  </si>
  <si>
    <t>SNR P. ASST</t>
  </si>
  <si>
    <t>PHARM. ASST.</t>
  </si>
  <si>
    <t>PRIN. STAT. OFFICER</t>
  </si>
  <si>
    <t>S.T.O. PLANNING</t>
  </si>
  <si>
    <t>S.T.O. RESEARCH</t>
  </si>
  <si>
    <t>SNR. ADMIN. OFFICER</t>
  </si>
  <si>
    <t>AUDITOR ASST. IV</t>
  </si>
  <si>
    <t>c</t>
  </si>
  <si>
    <t>MIN. OF WATER RESOURCES</t>
  </si>
  <si>
    <t>ASST CCH. ASST.</t>
  </si>
  <si>
    <t>GENERAL HOSPITAL</t>
  </si>
  <si>
    <t>AGENCY FOR QUR'ANIC MEMORIZ. &amp; TAJWEED</t>
  </si>
  <si>
    <t xml:space="preserve">WATER  BOARD </t>
  </si>
  <si>
    <t>AGENCY FOR MASS ED.</t>
  </si>
  <si>
    <t>ARABIC &amp; ISLAMIC EDU.</t>
  </si>
  <si>
    <t xml:space="preserve">GOVT. PRINTING </t>
  </si>
  <si>
    <t>MINISTRY OF EDUCATION</t>
  </si>
  <si>
    <t>OTHER PENSION ANNUAL ALLOWANCE</t>
  </si>
  <si>
    <t>SALES OF CONTRACT AGREEMENT FORMS</t>
  </si>
  <si>
    <t>SALES OF YELLOW CARDS</t>
  </si>
  <si>
    <t>SNR. PROTOCOL OFFICER</t>
  </si>
  <si>
    <t>STATE ASSEMBLY LIAISON OFFICE</t>
  </si>
  <si>
    <t>421B</t>
  </si>
  <si>
    <t>ASST. STATISTICAL OFFICER</t>
  </si>
  <si>
    <t>TRAINING &amp; STAFF DEVT.</t>
  </si>
  <si>
    <t>ENTERTAINMENT &amp; HOSPIT.</t>
  </si>
  <si>
    <t>MISCELLANUEOUS</t>
  </si>
  <si>
    <t>SEMINARS AND WORKSHOP</t>
  </si>
  <si>
    <t>TOTAL</t>
  </si>
  <si>
    <t>412 a.</t>
  </si>
  <si>
    <t>DEP. CHIEF IRRIG. ENGR.</t>
  </si>
  <si>
    <t>PRIN. STATE COUNCEL II</t>
  </si>
  <si>
    <t>SNR. FOREMAN CRAFT</t>
  </si>
  <si>
    <t>CHIEF SHARIAH PROSECUTOR</t>
  </si>
  <si>
    <t>PUBLIC COMPLAIN COMMISSION</t>
  </si>
  <si>
    <t>SNR. ENGINEER</t>
  </si>
  <si>
    <t>EXECUTIVE ENGR. I</t>
  </si>
  <si>
    <t>PERSONNEL COST</t>
  </si>
  <si>
    <t>SNR. MOTOR MECHANIC I</t>
  </si>
  <si>
    <t>TRANSPORT AND TRAVELLING</t>
  </si>
  <si>
    <t>UTILITY SERVICES</t>
  </si>
  <si>
    <t>S.E.O ACCOUNT</t>
  </si>
  <si>
    <t>JUMU'AT DEPT.</t>
  </si>
  <si>
    <t>AUDITOR I</t>
  </si>
  <si>
    <t>AUDIT ASST.</t>
  </si>
  <si>
    <t>TELEPHONE SERVICES</t>
  </si>
  <si>
    <t>OFFICE STATIONERY</t>
  </si>
  <si>
    <t>STATE COUNCEL I</t>
  </si>
  <si>
    <t>SNR. MOTOR MECHANIC II</t>
  </si>
  <si>
    <t>MECHANIC III</t>
  </si>
  <si>
    <t>SNR. CHIEF LEG. OFFICER</t>
  </si>
  <si>
    <t>LEGISLATIVE OFFICER I</t>
  </si>
  <si>
    <t>SNR. COMMUNICATION ASST.</t>
  </si>
  <si>
    <t>COMMUNICATIO ASST.</t>
  </si>
  <si>
    <t>TECHNOLOGY DEPARTMENT</t>
  </si>
  <si>
    <t>ELECTRICIAN II</t>
  </si>
  <si>
    <t>FINANCE OFFICER I</t>
  </si>
  <si>
    <t>ASST. DATA PROC. OFFICER</t>
  </si>
  <si>
    <t>SNR. INFORM. OFF.</t>
  </si>
  <si>
    <t xml:space="preserve">CONSULTANCY SERVICES </t>
  </si>
  <si>
    <t>TRAINING &amp; STAFF DEV.</t>
  </si>
  <si>
    <t>SEMINARS AND WORKSHOPS</t>
  </si>
  <si>
    <t>OFFICE FURNITURE AND EQUIP.</t>
  </si>
  <si>
    <t>CONSULTANCY SERFVICES</t>
  </si>
  <si>
    <t>PURCHASE OF COTTON SEED</t>
  </si>
  <si>
    <t>ASST. CHIEF INSPECTOR</t>
  </si>
  <si>
    <t>PRIN. INSPECTOR</t>
  </si>
  <si>
    <t>SENIOR INSPECTOR</t>
  </si>
  <si>
    <t>DIRECTORATE OF ISLAMIC ORG. &amp; QUR'ANIC SCHOOLS DEV.</t>
  </si>
  <si>
    <t>EDUCATION OFFICER I</t>
  </si>
  <si>
    <t>EDUCATION OFFICER II</t>
  </si>
  <si>
    <t>EDUCATION OFFICER III</t>
  </si>
  <si>
    <t>P.T.O. RESEARCH</t>
  </si>
  <si>
    <t>SECRETARIAT ASST. I</t>
  </si>
  <si>
    <t xml:space="preserve">NATIONAL METHEMATICAL CENTRE </t>
  </si>
  <si>
    <t>ASST.CHIEF PLANNING OFFICER</t>
  </si>
  <si>
    <t>PRIN. PLANNING OFFICER</t>
  </si>
  <si>
    <t>SNR. PLANNING OFFICER</t>
  </si>
  <si>
    <t>CHIEF PLANNING OFFICER</t>
  </si>
  <si>
    <t>GAME RANGER</t>
  </si>
  <si>
    <t>COMPUTER ASST. GRADE IV</t>
  </si>
  <si>
    <t>LIBRARY ATTENDANTS</t>
  </si>
  <si>
    <t>CHO</t>
  </si>
  <si>
    <t>CCH ASST.</t>
  </si>
  <si>
    <t>ACCH ASST.</t>
  </si>
  <si>
    <t>PCH ASST.</t>
  </si>
  <si>
    <t>SNR. CH ASST.</t>
  </si>
  <si>
    <t>CH ASST.</t>
  </si>
  <si>
    <t>NURSERY ATTD. III</t>
  </si>
  <si>
    <t>HEAD: 401 TAXES</t>
  </si>
  <si>
    <t>PES-CON. O/SEER</t>
  </si>
  <si>
    <t>FIELD CON. (PEST)</t>
  </si>
  <si>
    <t>ASST. CHI. AGR. OFF.</t>
  </si>
  <si>
    <t>TYPIST GRADE I</t>
  </si>
  <si>
    <t>FISHERIES AND HOTICULTURE SECTION</t>
  </si>
  <si>
    <t>RE-IMBUSEMENT FROM ZASCO</t>
  </si>
  <si>
    <t>MEMBERS ALLOWANCE</t>
  </si>
  <si>
    <t>PART V LOCAL GOVT. SERVICE COMM.</t>
  </si>
  <si>
    <t xml:space="preserve">DONATION GENERAL </t>
  </si>
  <si>
    <t xml:space="preserve">LABOURERS </t>
  </si>
  <si>
    <t>ASST. HOTEL INSPECTOR I</t>
  </si>
  <si>
    <t>MAINT. OF MONUMENT HISTORY</t>
  </si>
  <si>
    <t>COMM. DEV. INSPECTOR I</t>
  </si>
  <si>
    <t>COMM. DEV. INSPECTOR II</t>
  </si>
  <si>
    <t>ASST. COMM. DEV. INSPECTOR</t>
  </si>
  <si>
    <t>DEP. DIRECTOR PRINTING</t>
  </si>
  <si>
    <t>ASST. DIRECTOR PRINTING</t>
  </si>
  <si>
    <t>424A</t>
  </si>
  <si>
    <t>413 a</t>
  </si>
  <si>
    <t>MIN. OF WORKS</t>
  </si>
  <si>
    <t>MIN. OF TRANSPORT</t>
  </si>
  <si>
    <t>MINISTRY OF RURAL DEVT.</t>
  </si>
  <si>
    <t>MINISTRY OF COMMERCE AND INDUSTRIES</t>
  </si>
  <si>
    <t>415A</t>
  </si>
  <si>
    <t>DATA PROCESSING  ASST. I</t>
  </si>
  <si>
    <t xml:space="preserve">SEMINARS AND  CONFERENCE </t>
  </si>
  <si>
    <t>INSTALLATION OF ICT FACILITIES</t>
  </si>
  <si>
    <t>MINISTRY OF AGRICULTURE &amp; NAT. RESOURCES</t>
  </si>
  <si>
    <t>PRIN. LOCAL GOVT. OFFICER</t>
  </si>
  <si>
    <t>ASST DIRECTOR</t>
  </si>
  <si>
    <t>DAM AND RESERVOUR UNIT</t>
  </si>
  <si>
    <t>STORES OFFICER</t>
  </si>
  <si>
    <t>OFFICE STATIONARY</t>
  </si>
  <si>
    <t>T.A. I</t>
  </si>
  <si>
    <t>T.A. II</t>
  </si>
  <si>
    <t>T.A. III</t>
  </si>
  <si>
    <t>RANGE MANAGEMENT DEPT.</t>
  </si>
  <si>
    <t>SNR. STORE OFFICER</t>
  </si>
  <si>
    <t>PSO/PMRO</t>
  </si>
  <si>
    <t>SNR. S.O/SMRO</t>
  </si>
  <si>
    <t>HSO/HMRO</t>
  </si>
  <si>
    <t>STAT OFFICER/MRO</t>
  </si>
  <si>
    <t>MAGISTRATE I</t>
  </si>
  <si>
    <t>OFFICE FURNITURE &amp; EQUIP.</t>
  </si>
  <si>
    <t>TRAINING &amp; STAFF DEVELOPMENT</t>
  </si>
  <si>
    <t>PRIN. TECHNICAL OFFICER RES.</t>
  </si>
  <si>
    <t>SNR. TECH. OFFICER PLANN.</t>
  </si>
  <si>
    <t>SNR. SEC. ASST. I</t>
  </si>
  <si>
    <t>MOTOR DRIVER I</t>
  </si>
  <si>
    <t>SKILLS AQUIS. OFFICER II</t>
  </si>
  <si>
    <t>SKILLS AQUIS. ASST. II</t>
  </si>
  <si>
    <t>PART IV JUDICIAL SERVICE COMMISSION</t>
  </si>
  <si>
    <t>SKILLS AQUIS. ASST. III</t>
  </si>
  <si>
    <t>STATE FADAMA III PROJECT</t>
  </si>
  <si>
    <t>PERMANENT COMMISSIONERS</t>
  </si>
  <si>
    <t>PSYCHIATRIC HOSPITAL ANKA</t>
  </si>
  <si>
    <t>PRIN. CINEMA OFFICER</t>
  </si>
  <si>
    <t>CINEMA OFFICER</t>
  </si>
  <si>
    <t xml:space="preserve">CHAIRMAN </t>
  </si>
  <si>
    <t>AGRIC OFFICER II</t>
  </si>
  <si>
    <t>CAS</t>
  </si>
  <si>
    <t>RE-IMBURSEMENT FROM SALES OF COTTON SEEDS</t>
  </si>
  <si>
    <t>419D</t>
  </si>
  <si>
    <t>INTER. YEAR FOR CULTURE OF PEACE</t>
  </si>
  <si>
    <t>ZAMFARA SOUVENIR</t>
  </si>
  <si>
    <t xml:space="preserve">    ORGANISATION:</t>
  </si>
  <si>
    <t xml:space="preserve">PLANT OPERATOR </t>
  </si>
  <si>
    <t xml:space="preserve">CHIEF TYPIST </t>
  </si>
  <si>
    <t>MAINT. FURNITURE AND EQUIP.</t>
  </si>
  <si>
    <t>429A</t>
  </si>
  <si>
    <t>STATISTICS ASST.</t>
  </si>
  <si>
    <t>NATIONAL PROG. FOR WOMEN AND CHILDREN</t>
  </si>
  <si>
    <t>C.E.O. TECH.</t>
  </si>
  <si>
    <t>PRIN. PROG. ANALYST</t>
  </si>
  <si>
    <t>SALES OF APPLICATION FORMS (LGSC)</t>
  </si>
  <si>
    <t>BOAT CONSTRUCTION SALES</t>
  </si>
  <si>
    <t>V.I.O.</t>
  </si>
  <si>
    <t>CHIEF FIELD SUPT.</t>
  </si>
  <si>
    <t>SALES OF DAIRY PRODUCTS</t>
  </si>
  <si>
    <t>SALES OF POULTRY FEEDS</t>
  </si>
  <si>
    <t>REGISTRATION OF 3 TEAMS AND ASS.</t>
  </si>
  <si>
    <t>INTERNAL LOANS REPAYMENT</t>
  </si>
  <si>
    <t>431</t>
  </si>
  <si>
    <t>PERS. SECURITY AIDE</t>
  </si>
  <si>
    <t>PERSONNEL MGT. DEPT.</t>
  </si>
  <si>
    <t>E.O.</t>
  </si>
  <si>
    <t>A.E.O.</t>
  </si>
  <si>
    <t>MINISTRY OF RELIGIOUS AFFAIRS</t>
  </si>
  <si>
    <t>e.</t>
  </si>
  <si>
    <t>CHAMBER SUPERITENDANT</t>
  </si>
  <si>
    <t>PAPER SUPERITENDANT</t>
  </si>
  <si>
    <t>Personnel Cost</t>
  </si>
  <si>
    <t>PART TIME MEMBERS</t>
  </si>
  <si>
    <t>SUB</t>
  </si>
  <si>
    <t xml:space="preserve"> </t>
  </si>
  <si>
    <t>APPROVED</t>
  </si>
  <si>
    <t>MINISTRIES AND DEPARTMENTS</t>
  </si>
  <si>
    <t xml:space="preserve">STEWARD </t>
  </si>
  <si>
    <t>HEAD OF COOK</t>
  </si>
  <si>
    <t>FINANCE AND SUPPLY</t>
  </si>
  <si>
    <t>SNR. ACCT.</t>
  </si>
  <si>
    <t>ACCT. I</t>
  </si>
  <si>
    <t>CHIEF EXEC. OFFICER</t>
  </si>
  <si>
    <t>ASST. CHIEF EXEC. OFFICER</t>
  </si>
  <si>
    <t>PRIN. EXEC. OFF. I</t>
  </si>
  <si>
    <t>FINANCE DEPT.</t>
  </si>
  <si>
    <t>ACCT. ASST. I</t>
  </si>
  <si>
    <t>ASST. CHIEF ADMIN. OFFICER</t>
  </si>
  <si>
    <t>ACCT. ASST. III</t>
  </si>
  <si>
    <t>PRIN. FINANCE OFFICER</t>
  </si>
  <si>
    <t>DIRECTORS-GENERAL</t>
  </si>
  <si>
    <t>PRIN. COMPUTR ASST.</t>
  </si>
  <si>
    <t>CHIEF AGRIC SUPT.</t>
  </si>
  <si>
    <t>ASST. CHIEF SUPT.</t>
  </si>
  <si>
    <t>STORE ATTENDANTS</t>
  </si>
  <si>
    <t>SALES OF MATERIALS FROM AGRIC FAIR</t>
  </si>
  <si>
    <t>SALES OF FISH</t>
  </si>
  <si>
    <t>MAINT. OF PUBLIC LATRIN STATE WIDE</t>
  </si>
  <si>
    <t>424C</t>
  </si>
  <si>
    <t>MAINT. OF OFF. FURN. &amp; EQUIP.</t>
  </si>
  <si>
    <t>MEDICAL DIRECTOR</t>
  </si>
  <si>
    <t>COMPUTER ANALYST I</t>
  </si>
  <si>
    <t>A.E.O ADMIN</t>
  </si>
  <si>
    <t>COMP. ASST. I</t>
  </si>
  <si>
    <t>P.T.O. I (MC)</t>
  </si>
  <si>
    <t>IRRIGATION T. III</t>
  </si>
  <si>
    <t>DRIVER/MECHANIC I</t>
  </si>
  <si>
    <t>SNR. PERS. OFFICER</t>
  </si>
  <si>
    <t>PERSONNEL OFFICER</t>
  </si>
  <si>
    <t>PRIN. PERS. SEC.</t>
  </si>
  <si>
    <t>PERS. SEC.</t>
  </si>
  <si>
    <t>DEP. DIR. PERS.</t>
  </si>
  <si>
    <t>CHIEF PERSONNEL OFFICER</t>
  </si>
  <si>
    <t>C. H. EDUCATOR</t>
  </si>
  <si>
    <t>SNR. PERS. ASSISTANT III</t>
  </si>
  <si>
    <t>PERSONNEL ASSISTANT IV</t>
  </si>
  <si>
    <t>MASS TRANSIST</t>
  </si>
  <si>
    <t>DEP. CR/DIR. PERSONNEL</t>
  </si>
  <si>
    <t>PUMP OPERATOR III</t>
  </si>
  <si>
    <t>HEAVY PLAN. MECH. I</t>
  </si>
  <si>
    <t>DEPUTY. DIRECTOR</t>
  </si>
  <si>
    <t>PART VIII  ANTI-CURRUPTION COMMISSION</t>
  </si>
  <si>
    <t>PROCUREMENT OF CHEMICALS</t>
  </si>
  <si>
    <t>NIG. AGRIC. INS.ANIMAL SUBSIDY</t>
  </si>
  <si>
    <t>414B</t>
  </si>
  <si>
    <t>PUMP OPERATOR I</t>
  </si>
  <si>
    <t>PUMP OPERATOR II</t>
  </si>
  <si>
    <t>PERSONNEL DEPT.</t>
  </si>
  <si>
    <t>SNR. DRIVER MECH. I</t>
  </si>
  <si>
    <t>TELEPHONE &amp; POSTAL SERVICES</t>
  </si>
  <si>
    <t>Hazard Allowance</t>
  </si>
  <si>
    <t>OFFICE FURNITURE &amp; EQ.</t>
  </si>
  <si>
    <t>SNR. CLERICAL. OFFICER</t>
  </si>
  <si>
    <t>DATA PROCESSING  ASST.</t>
  </si>
  <si>
    <t>EARNINGS AND SALES</t>
  </si>
  <si>
    <t>HEALTH EDUCATION SECTION</t>
  </si>
  <si>
    <t>P.T.O.II</t>
  </si>
  <si>
    <t>RE-IMBUSEMENT FROM FEDERAL GOVERNMENT (INRESPECT OF PENSION)</t>
  </si>
  <si>
    <t>STORES ASST. I</t>
  </si>
  <si>
    <t>412M</t>
  </si>
  <si>
    <t>PROTOCOL SITTING FACILITIES</t>
  </si>
  <si>
    <t>EQUIPT. &amp; MEDIA PROGRAMMES</t>
  </si>
  <si>
    <t>ENTERTAINMENT OF GOVT. GUEST</t>
  </si>
  <si>
    <t>PROTOCOL TRADITIONAL GIFT</t>
  </si>
  <si>
    <t>412N</t>
  </si>
  <si>
    <t>DCR/DIRECTOR LIT.</t>
  </si>
  <si>
    <t>AREWA HOUSE</t>
  </si>
  <si>
    <t>PART VI LAW REFORM COMMISSION</t>
  </si>
  <si>
    <t>RE-IMBURSEMENT INRESPECT OF COOKERS/STOVES SALES</t>
  </si>
  <si>
    <t>ACAS</t>
  </si>
  <si>
    <t>CHIEF TECHNICAL OFFICER</t>
  </si>
  <si>
    <t>A.C.T.O. CHEMICAL</t>
  </si>
  <si>
    <t>RANGE MANAGEMENT PROJECT</t>
  </si>
  <si>
    <t>SCHEW IN TRAINING</t>
  </si>
  <si>
    <t>PCHO</t>
  </si>
  <si>
    <t>PAINTER</t>
  </si>
  <si>
    <t>HIGH EDUCATION DEPT.</t>
  </si>
  <si>
    <t>CHIEF EDUCATION OFFICER</t>
  </si>
  <si>
    <t>LOCAL GOVT. MATTERS DEPT.</t>
  </si>
  <si>
    <t>DEPT. OF PHAMACEUTICAL SERVICE</t>
  </si>
  <si>
    <t>SNR. FINANCE OFFICER</t>
  </si>
  <si>
    <t>SECRETARIAL ASSISTANT I</t>
  </si>
  <si>
    <t>SECRETARIAL ASSISTANT II</t>
  </si>
  <si>
    <t>PRIN. WILD OFF.</t>
  </si>
  <si>
    <t>SNR. WILD. OFF.</t>
  </si>
  <si>
    <t>OFFICE FURNITURE AND EQUIPMENT</t>
  </si>
  <si>
    <t>RENT RECOVERY TRIBUNAL</t>
  </si>
  <si>
    <t>TOTAL ALLOWANCES</t>
  </si>
  <si>
    <t>PERSONNEL COSTS</t>
  </si>
  <si>
    <t>SNR. PERS. ASSISTANT I</t>
  </si>
  <si>
    <t>ASST. CHIEF LEG. OFFICER</t>
  </si>
  <si>
    <t>PRIN. CHIEF LEG. OFFICER</t>
  </si>
  <si>
    <t>ASST. AGR. SUPT. I</t>
  </si>
  <si>
    <t>FIELD ATT. I</t>
  </si>
  <si>
    <t>SNR. SEC. ASST. II</t>
  </si>
  <si>
    <t>423 a.</t>
  </si>
  <si>
    <t>MINISTRY OF ENVIRONMENT</t>
  </si>
  <si>
    <t>SNR. COMM. DEV. ASST.</t>
  </si>
  <si>
    <t>DIRECTORATE FOR LOCAL GOVT. PROJECTS.</t>
  </si>
  <si>
    <t>CRAFTSMAN III</t>
  </si>
  <si>
    <t>APPENTICE</t>
  </si>
  <si>
    <t>HOUSE MILD</t>
  </si>
  <si>
    <t>PRIN. ACCOUNTANT</t>
  </si>
  <si>
    <t>SNR. ACCOUNTANT</t>
  </si>
  <si>
    <t>ACCOUNTANT I</t>
  </si>
  <si>
    <t>AUDITOR GRADE I</t>
  </si>
  <si>
    <t>P.E.H.O</t>
  </si>
  <si>
    <t>COMM. DEV. ASSISTANT</t>
  </si>
  <si>
    <t>SNR. VET. OFFICER</t>
  </si>
  <si>
    <t xml:space="preserve">VET. OFFICER </t>
  </si>
  <si>
    <t>YOUTH CORPS DIR./HOUSE OFFICER</t>
  </si>
  <si>
    <t>CHIEF LIVESTOCK TECH</t>
  </si>
  <si>
    <t>SNR. COOPERATIVE OFF.</t>
  </si>
  <si>
    <t>CONSOLIDATED REVENUE FUND CHARGES</t>
  </si>
  <si>
    <t>430b</t>
  </si>
  <si>
    <t>DEPUTY GOVERNOR'S OFFICE</t>
  </si>
  <si>
    <t>d.</t>
  </si>
  <si>
    <t>MEDICAL UNIT</t>
  </si>
  <si>
    <t>SECRETARY ASST. III</t>
  </si>
  <si>
    <t>CLERICAL OFFICER ASST.</t>
  </si>
  <si>
    <t>DEPUTY C.G.A.</t>
  </si>
  <si>
    <t>P.T.O. I (ELECTRICAL)</t>
  </si>
  <si>
    <t>SNR. COMPUTER ANALYST</t>
  </si>
  <si>
    <t>MAINT. OF CITY GATES</t>
  </si>
  <si>
    <t>MAINT. OF CITY SQUARE</t>
  </si>
  <si>
    <t>OTHER PUBLIC FUNDS</t>
  </si>
  <si>
    <t>(XI)</t>
  </si>
  <si>
    <t>OFFICE OF THE AUDITOR GENERAL</t>
  </si>
  <si>
    <t>429a.</t>
  </si>
  <si>
    <t>CIVIL SERVICE COMMISSION</t>
  </si>
  <si>
    <t>CAPITAL EXPENDITURE</t>
  </si>
  <si>
    <t>(D)</t>
  </si>
  <si>
    <t>TREASURY DEPARTMENT</t>
  </si>
  <si>
    <t>SNR. PHTO.</t>
  </si>
  <si>
    <t>H.T.O. WATER</t>
  </si>
  <si>
    <t>MASTER/PRESENTER II</t>
  </si>
  <si>
    <t>ASST. EXECUTIVE OFFICER</t>
  </si>
  <si>
    <t>SENIOR CLERICAL OFFICER</t>
  </si>
  <si>
    <t>BLACK SMITH</t>
  </si>
  <si>
    <t>ELECTRICIAN GRADE II</t>
  </si>
  <si>
    <t>PLANT OPERATOR I</t>
  </si>
  <si>
    <t>ASST. CHIEF CIVIL ENG.</t>
  </si>
  <si>
    <t>EXTERNAL AUDITORS FEES</t>
  </si>
  <si>
    <t>SNR. SECURITY GUARD</t>
  </si>
  <si>
    <t>FIRE SECTION</t>
  </si>
  <si>
    <t>FIRE OFFICER</t>
  </si>
  <si>
    <t>HEALTH INSPECTORATE DEPT</t>
  </si>
  <si>
    <t>ASST. DIRECTOR MED. SERV.</t>
  </si>
  <si>
    <t>ASST DIRECTOR GOVT. INST.</t>
  </si>
  <si>
    <t xml:space="preserve">SNR. EXEC. OFF.ACCOUNT </t>
  </si>
  <si>
    <t>A.C.S.O</t>
  </si>
  <si>
    <t>FINANCE ASSISTANT I</t>
  </si>
  <si>
    <t>SNR. LIBRARIAN</t>
  </si>
  <si>
    <t>IMAM</t>
  </si>
  <si>
    <t>INTERNAL AUDITOR</t>
  </si>
  <si>
    <t>IMAMS, NA'IBS &amp; LADANS</t>
  </si>
  <si>
    <t>PURCHASE OF ISLAM BOOKS</t>
  </si>
  <si>
    <t>HEAD OF SERVICE</t>
  </si>
  <si>
    <t>HIGHER WORKSUPT.</t>
  </si>
  <si>
    <t>WORK SUPT.</t>
  </si>
  <si>
    <t>PERSONNEL ASST IV</t>
  </si>
  <si>
    <t>C.T.O. DAMS &amp; RES.</t>
  </si>
  <si>
    <t>CAMERA OFFICERS II</t>
  </si>
  <si>
    <t>BAKURA FARM (SALES OF PRODUCT)</t>
  </si>
  <si>
    <t>SALES OF STRATEGIC GRAINS</t>
  </si>
  <si>
    <t xml:space="preserve">ASST. DIRECTOR </t>
  </si>
  <si>
    <t>CHIEF HOTEL INSPECTOR</t>
  </si>
  <si>
    <t>PRIM. COM. HEALTH EXT. WORKER</t>
  </si>
  <si>
    <t>SNR. COM. HEALTH EXT. WORKER</t>
  </si>
  <si>
    <t>COMMERCIAL OFFICER III</t>
  </si>
  <si>
    <t>PRIN. TRADE OFFICER</t>
  </si>
  <si>
    <t>HIGHER LIVESTOCK TECH.</t>
  </si>
  <si>
    <t>LEGISLATIVE OFFICER ASST.</t>
  </si>
  <si>
    <t>LEGISLATIVE PAGE</t>
  </si>
  <si>
    <t>LIVESTOCK TECHNOLOGIES</t>
  </si>
  <si>
    <t>ASST. LIVESTOCK OVERSEER</t>
  </si>
  <si>
    <t>HIGHER COMP. OPERATOR</t>
  </si>
  <si>
    <t>SERGENT-AT-ARMS DIVISION</t>
  </si>
  <si>
    <t>CHIEF SERGENT-AT-ARMS</t>
  </si>
  <si>
    <t>DEP. SERGENT-AT-ARMS</t>
  </si>
  <si>
    <t>PRIN. SERGENT-AT-ARMS</t>
  </si>
  <si>
    <t>PRINTING OF STATUTORY REPORT</t>
  </si>
  <si>
    <t>DEPT. FOR LOCAL GOVERNMENT AUDIT</t>
  </si>
  <si>
    <t>PRIN. HEALTH OFFICER</t>
  </si>
  <si>
    <t>NURSE</t>
  </si>
  <si>
    <t>ASST. ACCT.</t>
  </si>
  <si>
    <t>STATIONARY &amp; PRINTING</t>
  </si>
  <si>
    <t>MAINT. OF OFFICE FURNI.&amp; EQUIP.</t>
  </si>
  <si>
    <t>STOCK EXAMINER III</t>
  </si>
  <si>
    <t>Rent suppliment</t>
  </si>
  <si>
    <t xml:space="preserve">GRANTS &amp; CONTRIBUTION </t>
  </si>
  <si>
    <t>TRAINING OF STAFF &amp; DEV.</t>
  </si>
  <si>
    <t>CONT. TO INTER./VOLUNTARY ORG.</t>
  </si>
  <si>
    <t>GOVERNMENT TECH. COLLEGE K/NAMODA</t>
  </si>
  <si>
    <t>WORKSHOP ASST.</t>
  </si>
  <si>
    <t>LIBRARY CLERK</t>
  </si>
  <si>
    <t>BUDGET, MONT. &amp; EVAL. UNIT</t>
  </si>
  <si>
    <t>LEGAL DEPARTMENT</t>
  </si>
  <si>
    <t>SNR. LEGAL CONSEL II</t>
  </si>
  <si>
    <t>10% OF LOCALLY GENERATED REVENUE PAYABLE TO LGAs</t>
  </si>
  <si>
    <t>LOCAL GOVERNMENT PENSION SCHEME STATE GOVERNMENT CONTRIBUTION</t>
  </si>
  <si>
    <t>418(a)</t>
  </si>
  <si>
    <t>HIGHER STATS. OFFICER</t>
  </si>
  <si>
    <t>STATISTICAL OFFICER</t>
  </si>
  <si>
    <t>SNR. STORE ASST.</t>
  </si>
  <si>
    <t>PERSONNEL MANAGEMENT DEPT.</t>
  </si>
  <si>
    <t>HOUSING LOAN SECRETARIAT</t>
  </si>
  <si>
    <t>RE-IMBUSEMENT-SALES OF GRAINS</t>
  </si>
  <si>
    <t>CLEANER &amp; LABOURER</t>
  </si>
  <si>
    <t>PLANNING, RESEARCH AND STATISTICS</t>
  </si>
  <si>
    <t xml:space="preserve">P.T.O.I </t>
  </si>
  <si>
    <t>SNR. DRIVERS</t>
  </si>
  <si>
    <t>PRINCEPAL REGISTRAR I</t>
  </si>
  <si>
    <t>PRINCEPAL REGISTRAR II</t>
  </si>
  <si>
    <t>SNR. EFC OFFICER</t>
  </si>
  <si>
    <t>GRANT AND CONTRIBUTION</t>
  </si>
  <si>
    <t>EROSION OFFICER I</t>
  </si>
  <si>
    <t>EROSION OFFICER II</t>
  </si>
  <si>
    <t>SOIL CONSERVATIONIST</t>
  </si>
  <si>
    <t>INFORMATION &amp; PROTOCOL UNIT</t>
  </si>
  <si>
    <t>AUDITOR II</t>
  </si>
  <si>
    <t>APPEAL FEES-SHARIA COURT</t>
  </si>
  <si>
    <t>SNR. FOREST RANGER</t>
  </si>
  <si>
    <t>FORESTER</t>
  </si>
  <si>
    <t>FOREST GUARD</t>
  </si>
  <si>
    <t>b. GRANT FROM FEDERAL GOVERNMENT</t>
  </si>
  <si>
    <t>ASST. CHIEF IND. OFFICER</t>
  </si>
  <si>
    <t>OFFICE OF THE SPECIAL ADVISOR</t>
  </si>
  <si>
    <t>YOUTH COUNCIL ACTIVITIES</t>
  </si>
  <si>
    <t>WILD OFF. I</t>
  </si>
  <si>
    <t>FORMAN (ALL TRADES)</t>
  </si>
  <si>
    <t>SNR. CRAFTMAN</t>
  </si>
  <si>
    <t>CRATSMAN II</t>
  </si>
  <si>
    <t>SNR. LIVESTOCK TECH. I</t>
  </si>
  <si>
    <t>RUWATSAN PROJECT</t>
  </si>
  <si>
    <t>ASST. STORE</t>
  </si>
  <si>
    <t>H.E.O GENERAL</t>
  </si>
  <si>
    <t>HIGHER AGR. SUPT.</t>
  </si>
  <si>
    <t>SCIENCE EDUCATION DEPT.</t>
  </si>
  <si>
    <t>P.E.O.</t>
  </si>
  <si>
    <t>PLANNING DEPT.</t>
  </si>
  <si>
    <t>CTO BUILD</t>
  </si>
  <si>
    <t>INST OF INTERNET AND DATABASE</t>
  </si>
  <si>
    <t>YOUTH DEVT. OFFICER I</t>
  </si>
  <si>
    <t xml:space="preserve">ASST. Y. DEVT. OFFICER </t>
  </si>
  <si>
    <t>MAINT. OF VEHICLE &amp; CAP. ASSETS</t>
  </si>
  <si>
    <t>PTO BUILD</t>
  </si>
  <si>
    <t>SEO III</t>
  </si>
  <si>
    <t>HTO</t>
  </si>
  <si>
    <t>TECHNICAL DEPT.</t>
  </si>
  <si>
    <t>URBAN DEVELOPMENT BANK</t>
  </si>
  <si>
    <t>LIBRARY ATTD.</t>
  </si>
  <si>
    <t>A.E.O ACCOUNTS</t>
  </si>
  <si>
    <t>SPEAKER</t>
  </si>
  <si>
    <t>SPG</t>
  </si>
  <si>
    <t>DEPUTY SPEAKER</t>
  </si>
  <si>
    <t>MAJORITY LEADER</t>
  </si>
  <si>
    <t>MINORITY LEADER</t>
  </si>
  <si>
    <t>SPECIAL LOAN</t>
  </si>
  <si>
    <t>LOCAL GOVERNMENT</t>
  </si>
  <si>
    <t>SUBVENTION TO PARASTATALS</t>
  </si>
  <si>
    <t>HEAD 432</t>
  </si>
  <si>
    <t>ACHO</t>
  </si>
  <si>
    <t>ACCOUNTING OFFICER:</t>
  </si>
  <si>
    <t>SPECIAL ASSISTANT</t>
  </si>
  <si>
    <t>PRIVATE SECRETARY</t>
  </si>
  <si>
    <t>COOK/STEWARD</t>
  </si>
  <si>
    <t>ZAMFARA URBAN &amp; REG. PLAN. BOARD</t>
  </si>
  <si>
    <t>ASST. CHIEF VACCINATOR</t>
  </si>
  <si>
    <t xml:space="preserve">HEAVY LORRY DRIVER </t>
  </si>
  <si>
    <t>PRINCIPAL AUDITOR</t>
  </si>
  <si>
    <t>ASST. EX. OFFICER</t>
  </si>
  <si>
    <t>WORSHOP AND SEMINARS</t>
  </si>
  <si>
    <t>CIVIL SERVICE CLUB</t>
  </si>
  <si>
    <t>TOTAL:</t>
  </si>
  <si>
    <t>Overhead Costs</t>
  </si>
  <si>
    <t>PROV. OF INTERNENT FACILITIES</t>
  </si>
  <si>
    <t>YOUTH DEPARTMENT</t>
  </si>
  <si>
    <t>DIRECTOR YOUTHS</t>
  </si>
  <si>
    <t>GOVERNMENT SCIENCE SEC. SCHOOL SHINKAFI</t>
  </si>
  <si>
    <t>LEATHER INSTRUCTOR II</t>
  </si>
  <si>
    <t>ACT TECHNOLOGIST</t>
  </si>
  <si>
    <t>PHAR. TECH</t>
  </si>
  <si>
    <t>EXECUTIVE CHAIRMAN</t>
  </si>
  <si>
    <t>P.T.O. WATER II</t>
  </si>
  <si>
    <t xml:space="preserve">S.T.O. WATER </t>
  </si>
  <si>
    <t>MINISTRY FOR RELIGIOUS AFFAIRS</t>
  </si>
  <si>
    <t>412D</t>
  </si>
  <si>
    <t>UTILITY ALLOWANCE</t>
  </si>
  <si>
    <t>FIN. ASST. IV</t>
  </si>
  <si>
    <t>STORE MAN</t>
  </si>
  <si>
    <t>SPECIALIST HOSPITAL</t>
  </si>
  <si>
    <t>D.D. ELECT.</t>
  </si>
  <si>
    <t>PLUMBER III</t>
  </si>
  <si>
    <t>INTERNAL AUDITOR (FIN. OFFICER I)</t>
  </si>
  <si>
    <t>HIGH EDUC. OFFICER ACCT.</t>
  </si>
  <si>
    <t>CHIEF WORKSUPT.</t>
  </si>
  <si>
    <t>PRIN. WORKSUPT.I</t>
  </si>
  <si>
    <t xml:space="preserve">HIGHER EXEC. OFF.ACCOUNT </t>
  </si>
  <si>
    <t>ASST. TECH.</t>
  </si>
  <si>
    <t>STATUTORY ALLOCATION</t>
  </si>
  <si>
    <t xml:space="preserve">HYDRO </t>
  </si>
  <si>
    <t>A.T.S.</t>
  </si>
  <si>
    <t>P. OPERATOR</t>
  </si>
  <si>
    <t>SOCIAL WELFARE EMGER. COMMITTEE</t>
  </si>
  <si>
    <t>S.PLANN. OFFICER</t>
  </si>
  <si>
    <t>PLANN. O. I</t>
  </si>
  <si>
    <t>PLANN. O. II</t>
  </si>
  <si>
    <t>S/F/PLUMBER</t>
  </si>
  <si>
    <t>Overhead Cost.</t>
  </si>
  <si>
    <t>SECRETARIAL/TYPIST</t>
  </si>
  <si>
    <t>MOTOR MECH. III</t>
  </si>
  <si>
    <t xml:space="preserve">COMPUTER OPERATOR </t>
  </si>
  <si>
    <t>HEAD LABOURER</t>
  </si>
  <si>
    <t>HEAD WATHMAN</t>
  </si>
  <si>
    <t>INTERNAL AUDIT</t>
  </si>
  <si>
    <t>MAINT. OF VEHICLE &amp; C/ASST.</t>
  </si>
  <si>
    <t>STORE UNIT</t>
  </si>
  <si>
    <t>CHIEF NURSING SUPT.</t>
  </si>
  <si>
    <t>ASST CHIEF N. SUPT.</t>
  </si>
  <si>
    <t>PNO</t>
  </si>
  <si>
    <t>DEPT OF NURSING SERVICES</t>
  </si>
  <si>
    <t xml:space="preserve">GRANT &amp; CONTRIBUTION </t>
  </si>
  <si>
    <t>DIRECTOR DIRECTOR PLANNING</t>
  </si>
  <si>
    <t>DEPUTY DIRECTOR PLANNING</t>
  </si>
  <si>
    <t>SNR. WATCHMAN</t>
  </si>
  <si>
    <t>WATCHMAN</t>
  </si>
  <si>
    <t>(I)</t>
  </si>
  <si>
    <t>(II)</t>
  </si>
  <si>
    <t>GRANTS FROM FGN</t>
  </si>
  <si>
    <t>SNR.MOTOR DRIVER</t>
  </si>
  <si>
    <t>EXTERNAL LOANS TO CAP. PROJ.</t>
  </si>
  <si>
    <t>PRIN. WORK ENG. I</t>
  </si>
  <si>
    <t>HEAD MESSENGER</t>
  </si>
  <si>
    <t>PLANNING RESEARCH &amp; STAT.</t>
  </si>
  <si>
    <t>SNR. GARDENER</t>
  </si>
  <si>
    <t>CHIEF ASST. COUCH</t>
  </si>
  <si>
    <t>PRIN. ASST. COUACH I</t>
  </si>
  <si>
    <t>PRIN. ASST. COUACH II</t>
  </si>
  <si>
    <t>DEPUTY IMAM</t>
  </si>
  <si>
    <t>LADAN</t>
  </si>
  <si>
    <t>Z.E.R.M.A.</t>
  </si>
  <si>
    <t>TRACTOR HIRING AGENCY</t>
  </si>
  <si>
    <t>DRIVER/MECHANIC</t>
  </si>
  <si>
    <t>SURVEYOR GENERAL</t>
  </si>
  <si>
    <t>DEPUTY SURVEYOR GENERAL</t>
  </si>
  <si>
    <t>ASST. SURVEYOR GENERAL</t>
  </si>
  <si>
    <t>PRODUCE BUYERS LICENCE</t>
  </si>
  <si>
    <t>UPPER SHARI'AH COURT JUDGE I</t>
  </si>
  <si>
    <t>UPPER SHARI'AH COURT JUDGE II</t>
  </si>
  <si>
    <t>SNR. SHARI'AH COURT JUDGE I</t>
  </si>
  <si>
    <t>SNR. SHARI'AH COURT JUDGE II</t>
  </si>
  <si>
    <t>SHARI'AH COURT JUDGE I</t>
  </si>
  <si>
    <t>HEAD 430 - CONSOLIDATED REVENUE FUND CHARGES</t>
  </si>
  <si>
    <t>ESTAB.</t>
  </si>
  <si>
    <t xml:space="preserve">PRIN. CON. SEC.  </t>
  </si>
  <si>
    <t>PRINTING OF ESTIMATES</t>
  </si>
  <si>
    <t>418A</t>
  </si>
  <si>
    <t>NURSERY ASST. II</t>
  </si>
  <si>
    <t xml:space="preserve">HEAD GARDENER </t>
  </si>
  <si>
    <t>CATERING SECTION</t>
  </si>
  <si>
    <t>PERSONNEL SECRETARY I</t>
  </si>
  <si>
    <t>PRIN. SECT. ASST. IV</t>
  </si>
  <si>
    <t>ENTERTAINMENT &amp; HOSPITABILITY</t>
  </si>
  <si>
    <t>HALL ATTENDANTS</t>
  </si>
  <si>
    <t>PRIN. WORKSUPT.II</t>
  </si>
  <si>
    <t>SENIOR MOTOR DRIVER I</t>
  </si>
  <si>
    <t>MOTOR MECH. II</t>
  </si>
  <si>
    <t>A.C. HYDRO</t>
  </si>
  <si>
    <t>xxvii</t>
  </si>
  <si>
    <t>ESTABLISHMENT (SALES OF FORMS)</t>
  </si>
  <si>
    <t>xxviii</t>
  </si>
  <si>
    <t>HSMB (SALES FORMS)</t>
  </si>
  <si>
    <t>REFRIGERATOR MECH.</t>
  </si>
  <si>
    <t>S.T.O. (H) I</t>
  </si>
  <si>
    <t>S.T.O. (H)</t>
  </si>
  <si>
    <t>H.T.O. (H)</t>
  </si>
  <si>
    <t>COURT CLERKS I</t>
  </si>
  <si>
    <t>TOWN PLANNING OFFICER</t>
  </si>
  <si>
    <t>I.P.O. I</t>
  </si>
  <si>
    <t>PRIN. REGISTRAR</t>
  </si>
  <si>
    <t>MINISTRY FOR HOUSING AND TOWN PLANNING</t>
  </si>
  <si>
    <t>SEMINAR AND CONFRENCE</t>
  </si>
  <si>
    <t>TRANSPORTION OF FERTILIZER</t>
  </si>
  <si>
    <t>AUDIOVISUAL AID OPERATOR</t>
  </si>
  <si>
    <t>MOTOR DRIVER II</t>
  </si>
  <si>
    <t>MOTOR DRIVER</t>
  </si>
  <si>
    <t>ACHA/HE ASST.</t>
  </si>
  <si>
    <t>PRODUCTIVITY AWARDS</t>
  </si>
  <si>
    <t>AGENCY FOR NORMADIC EDUCATION</t>
  </si>
  <si>
    <t>SKILLS AQUIS. ASST. IV</t>
  </si>
  <si>
    <t>ADMIN DEPT.</t>
  </si>
  <si>
    <t>DIRECTORATE OF SPORT DEVELOPMENT</t>
  </si>
  <si>
    <t>.</t>
  </si>
  <si>
    <t>TELEPHONE OPERATOR III</t>
  </si>
  <si>
    <t>GRAND TOTAL</t>
  </si>
  <si>
    <t>HEAD WATCHMAN</t>
  </si>
  <si>
    <t>CHIEF MOTOR MECHANIC</t>
  </si>
  <si>
    <t>CHAMBER SECTIONS</t>
  </si>
  <si>
    <t>PROVISION OF AUDIT DATABASE</t>
  </si>
  <si>
    <t>MAINT. OF COMPUTERS</t>
  </si>
  <si>
    <t>PRINCIPAL INSPECTOR</t>
  </si>
  <si>
    <t xml:space="preserve">SNR. INSPECTOR </t>
  </si>
  <si>
    <t>PRODUCTIVITY AWARD</t>
  </si>
  <si>
    <t>STUDENTS EXCHANGE PROGRAM (TRANSPORT)</t>
  </si>
  <si>
    <t>PROJECT OFFICER</t>
  </si>
  <si>
    <t>PRIN TBL SUPERVISOR</t>
  </si>
  <si>
    <t>SNR. MEDICAL OFFICER</t>
  </si>
  <si>
    <t>PRIN. NURSING OFFICER</t>
  </si>
  <si>
    <t>429B</t>
  </si>
  <si>
    <t>HIGH SCHEME TRAINING</t>
  </si>
  <si>
    <t>ACCH. ASST.</t>
  </si>
  <si>
    <t>MIDWIFE SISTER</t>
  </si>
  <si>
    <t>DEP. CHIEF COMM. HEALTH OFF.</t>
  </si>
  <si>
    <t>PHAMACIST I</t>
  </si>
  <si>
    <t>CHIEF COM H. ASST.</t>
  </si>
  <si>
    <t>PRIN CH. ASST</t>
  </si>
  <si>
    <t>SNR. CH. ASST.</t>
  </si>
  <si>
    <t>AIDS CONTROL PROGRAMME</t>
  </si>
  <si>
    <t>ACHO/CEHO</t>
  </si>
  <si>
    <t>PCHO/CEHO</t>
  </si>
  <si>
    <t>SCHO/CEHO</t>
  </si>
  <si>
    <t>LAB.TECH</t>
  </si>
  <si>
    <t>LAB. ASST.</t>
  </si>
  <si>
    <t xml:space="preserve">ASST. A.F.O </t>
  </si>
  <si>
    <t xml:space="preserve">LIVESTOCK ASST. </t>
  </si>
  <si>
    <t>SNR. LIVESTOCK ATTENDANT</t>
  </si>
  <si>
    <t>RANGE MANAGEMENT ATTENDANT</t>
  </si>
  <si>
    <t>LIVESTOCK ATTENDANT</t>
  </si>
  <si>
    <t>NURSERY MAN</t>
  </si>
  <si>
    <t xml:space="preserve">SNR. TECH. OFFICER </t>
  </si>
  <si>
    <t>HIGHER TECH. OFFICER</t>
  </si>
  <si>
    <t>Grants from Federal Government</t>
  </si>
  <si>
    <t>PRIN. IND. OFFICER</t>
  </si>
  <si>
    <t>SNR. INDUST. OFFICER</t>
  </si>
  <si>
    <t>INDUSTRIAL OFFICER I</t>
  </si>
  <si>
    <t>INDUSTRIAL OFFICER II</t>
  </si>
  <si>
    <t>PRIN. ASST. IND. OFFICER</t>
  </si>
  <si>
    <t>HIGHER IND. OFFICER</t>
  </si>
  <si>
    <t>ASST. IND. OFFICER I</t>
  </si>
  <si>
    <t>ASST. IND. OFFICER II</t>
  </si>
  <si>
    <t>IND. ASST.</t>
  </si>
  <si>
    <t>CHIEF CLERICAL OFFICER</t>
  </si>
  <si>
    <t>DISEASE CONTROL/EPR</t>
  </si>
  <si>
    <t>COLLECTION OF VACCINES &amp; DISTRIBUTION OF HEALTH COMMODITIES.</t>
  </si>
  <si>
    <t>HOUSING  DEPARTMENT</t>
  </si>
  <si>
    <t>P.T.O. ELECT.</t>
  </si>
  <si>
    <t>A.C.T.O. ELECT.</t>
  </si>
  <si>
    <t>P.T.O. II ELECT.</t>
  </si>
  <si>
    <t>S.T.O. ELECT.</t>
  </si>
  <si>
    <t>H.T.O. ELECT.</t>
  </si>
  <si>
    <t>PRIN. W. SUPT.</t>
  </si>
  <si>
    <t>SNR. W. SUPT.</t>
  </si>
  <si>
    <t>CHLEANER/LAB/GARDENER</t>
  </si>
  <si>
    <t>ASSISTANT DIRECTOR</t>
  </si>
  <si>
    <t>ACCOUNT SIST.</t>
  </si>
  <si>
    <t>STORE ASIST.</t>
  </si>
  <si>
    <t>DEPT. FOR SPECIAL SERVICES &amp; HOME AFFAIRS</t>
  </si>
  <si>
    <t>413C</t>
  </si>
  <si>
    <t>EXEC. OFF. AUDIT</t>
  </si>
  <si>
    <t>ASST. CLERICAL ASST.</t>
  </si>
  <si>
    <t>SPECIAL AUDIT SECTION</t>
  </si>
  <si>
    <t>PRIN AUDITOR</t>
  </si>
  <si>
    <t>PRIN. AUDIT ASST. III</t>
  </si>
  <si>
    <t>ASST. CHO/CHIEF AHO</t>
  </si>
  <si>
    <t>SECOND CLASS EMIRS</t>
  </si>
  <si>
    <t>SENIOR CHIEFS</t>
  </si>
  <si>
    <t>FINANCE AND SUPPLY DEPARTMENT</t>
  </si>
  <si>
    <t>PRIN. AUDITOR</t>
  </si>
  <si>
    <t>SNR. AUDITOR</t>
  </si>
  <si>
    <t>ASST. CHIEF SEC. ASST.</t>
  </si>
  <si>
    <t>PRIN. SEC. ASST. I</t>
  </si>
  <si>
    <t>PRIN. SEC. ASST. II</t>
  </si>
  <si>
    <t>EMIR'S GUEST HOUSE</t>
  </si>
  <si>
    <t>E.H.O</t>
  </si>
  <si>
    <t>OFFICE OF THE  SECRETARY</t>
  </si>
  <si>
    <t>HEAD COOKS</t>
  </si>
  <si>
    <t>HACKNEY CARRIAGE REGISTRATION FEES</t>
  </si>
  <si>
    <t>AGENCY FEES</t>
  </si>
  <si>
    <t>CHIEF MECH. ENGR.</t>
  </si>
  <si>
    <t>OFFICIAL REPORTER I</t>
  </si>
  <si>
    <t>PUBLICITY ENLIGHTENMENT ASST.</t>
  </si>
  <si>
    <t>RELIGIOUS MATTERS DEPT.</t>
  </si>
  <si>
    <t>COMMERCIAL OFFICER II</t>
  </si>
  <si>
    <t>RES., PLANNING &amp; STATISTICS</t>
  </si>
  <si>
    <t>STATISTICIAN I</t>
  </si>
  <si>
    <t>MAINTENANCE  OF CEMETRIES</t>
  </si>
  <si>
    <t>SECRETARY</t>
  </si>
  <si>
    <t>PERMANENT COMMISSIOENRS</t>
  </si>
  <si>
    <t>FIXED</t>
  </si>
  <si>
    <t>PERS. ASST. III</t>
  </si>
  <si>
    <t>COMM. H. AID</t>
  </si>
  <si>
    <t>SNR. PERS. ASST. I</t>
  </si>
  <si>
    <t>STATE WITNESS EXPENSESS</t>
  </si>
  <si>
    <t>DRIVER MECH.</t>
  </si>
  <si>
    <t>PHARMACY ASST.</t>
  </si>
  <si>
    <t>SNR. MEDICAL RECORD ASST.</t>
  </si>
  <si>
    <t>DRIVER GR. III</t>
  </si>
  <si>
    <t>A.S.O.</t>
  </si>
  <si>
    <t>SALES OF TOURISM GUIDE</t>
  </si>
  <si>
    <t>COOP. ASST. II</t>
  </si>
  <si>
    <t>COOP. ASST. III</t>
  </si>
  <si>
    <t>COOP. ASST. IV</t>
  </si>
  <si>
    <t>COMMERCIAL DEPT.</t>
  </si>
  <si>
    <t>CHIEF COMMERCIAL OFFICER</t>
  </si>
  <si>
    <t>HIRE OF GOVERNMENT VEHICLES</t>
  </si>
  <si>
    <t>SALES OF FORM NATIONAL D/LICENCE</t>
  </si>
  <si>
    <t>LEATHER ASST.</t>
  </si>
  <si>
    <t>STAFF NURSE</t>
  </si>
  <si>
    <t>SNR. MASTER I</t>
  </si>
  <si>
    <t>TAILORING INSTRUCTOR</t>
  </si>
  <si>
    <t>CARE TAKERS</t>
  </si>
  <si>
    <t>ATTENDANT I</t>
  </si>
  <si>
    <t>ATTENDANT II</t>
  </si>
  <si>
    <t>CLERICAL OFFICER</t>
  </si>
  <si>
    <t>SENIOR MESSENGER</t>
  </si>
  <si>
    <t>MESSENGER I</t>
  </si>
  <si>
    <t>MESSENGER II</t>
  </si>
  <si>
    <t>GARDENER</t>
  </si>
  <si>
    <t>PLANT OPERATOR II</t>
  </si>
  <si>
    <t>PLANT OPERATOR III</t>
  </si>
  <si>
    <t>INFORMATION TECH. AGENCY</t>
  </si>
  <si>
    <t>412B</t>
  </si>
  <si>
    <t>Z.A.P.A. (LOAN RECOVERIES &amp; 1% LEVY)</t>
  </si>
  <si>
    <t>xxiv</t>
  </si>
  <si>
    <t>TRACTOR HIRING UNIT</t>
  </si>
  <si>
    <t>xxv</t>
  </si>
  <si>
    <t>SALES OF CARDS (WCH)</t>
  </si>
  <si>
    <t>xxvi</t>
  </si>
  <si>
    <t>ZAKAT &amp; ENDOWMENT BOARD</t>
  </si>
  <si>
    <t>HEAD: 409 STATUTORY ALLOCATION</t>
  </si>
  <si>
    <t>GEN. HOSP/VVF (SALES OF FORMS)</t>
  </si>
  <si>
    <t>xxxiv</t>
  </si>
  <si>
    <t>USE OF CONFERENCE HALL FEES (MIN.OF WCA)</t>
  </si>
  <si>
    <t>MAINT. OF SURVEY EQUIPMENT</t>
  </si>
  <si>
    <t>PRODUCTION OF LAND FARM</t>
  </si>
  <si>
    <t>LUAC EXPENSES</t>
  </si>
  <si>
    <t>ASST. DIRECTOR LABORATORY</t>
  </si>
  <si>
    <t>ASST. CHIEF L/STOCK TECH.</t>
  </si>
  <si>
    <t>INTEREST REPAYMENT &amp; DIVIDENDS</t>
  </si>
  <si>
    <t>RE-IMBURSEMENT</t>
  </si>
  <si>
    <t>SNR. ACCOUNTANT ASST.</t>
  </si>
  <si>
    <t>CLERICAL OFF. ACCT.</t>
  </si>
  <si>
    <t>AGENCY FOR NON-GOVERNMENTAL AFFAIRS</t>
  </si>
  <si>
    <t>STATE ACTION COMMITTEE ON AIDS</t>
  </si>
  <si>
    <t>GUSAU AMUSEMENT PARK</t>
  </si>
  <si>
    <t>CHIEF SURVEYOR</t>
  </si>
  <si>
    <t>ASST. CHIEF SURVEYOR</t>
  </si>
  <si>
    <t>PRIN. SURVEYOR</t>
  </si>
  <si>
    <t>REN. OF SHARIAH COURT GUEST HOUSE</t>
  </si>
  <si>
    <t>ASST. T. OFFICER</t>
  </si>
  <si>
    <t>SNR. WORKS SUPT.</t>
  </si>
  <si>
    <t>ZONAL DEPUTY INSPECTOR I</t>
  </si>
  <si>
    <t>ZONAL DEPUTY INSPECTOR II</t>
  </si>
  <si>
    <t>TRANSLATOR</t>
  </si>
  <si>
    <t>ASST. TRANSLATOR</t>
  </si>
  <si>
    <t>CIVIL ENGINEERING</t>
  </si>
  <si>
    <t>TYPIST III</t>
  </si>
  <si>
    <t>SNR. TECHNICAL OFFICER PLAN.</t>
  </si>
  <si>
    <t>TECH. OFFICER PLANNING</t>
  </si>
  <si>
    <t>ASST. TECHNICAL OFFICER PLAN</t>
  </si>
  <si>
    <t>SNR. TECH. OFFICER I</t>
  </si>
  <si>
    <t>DIRECTORATE OF STATE GOVT. PROJECTS</t>
  </si>
  <si>
    <t>SNR. DUMP INSTRUCTOR</t>
  </si>
  <si>
    <t>ASST. DUMP. INSTRUCTOR</t>
  </si>
  <si>
    <t>TOWN PLANNING ASST. I</t>
  </si>
  <si>
    <t>TOWN PLANNING ASST. II</t>
  </si>
  <si>
    <t>VEHICLE LOAN</t>
  </si>
  <si>
    <t>413B</t>
  </si>
  <si>
    <t>RENTED ACCOMMODATION</t>
  </si>
  <si>
    <t>STORE ASST.</t>
  </si>
  <si>
    <t>DEPT. OF FINANCE AND SUPPLY</t>
  </si>
  <si>
    <t>ACCOMMODATION ALLOWANCE</t>
  </si>
  <si>
    <t xml:space="preserve">HARDSHIP ALLOWANCE </t>
  </si>
  <si>
    <t>RESEARCH/JOUNAL ALLOWANCE</t>
  </si>
  <si>
    <t>SECURITY PROVISION</t>
  </si>
  <si>
    <t>GRANT TOTAL</t>
  </si>
  <si>
    <t>ZAMFARA  RADIO &amp; TELEVISION SERVICES.</t>
  </si>
  <si>
    <t>ZAMFARA STATE LIASON OFFICES</t>
  </si>
  <si>
    <t>ACCOUNTANT II</t>
  </si>
  <si>
    <t>MILLENNIUM DEVELOPMENT GOALS MDGs</t>
  </si>
  <si>
    <t>LIVESTOCK TECH</t>
  </si>
  <si>
    <t>SNR. SEC. ASSISTANT</t>
  </si>
  <si>
    <t>ASST. TECH OFFICER</t>
  </si>
  <si>
    <t xml:space="preserve"> TECH. OFFICER</t>
  </si>
  <si>
    <t>LEGISLATIVE DEPARTMENT</t>
  </si>
  <si>
    <t>ASST. CHIEF FIELD OVERSEE</t>
  </si>
  <si>
    <t>BOARD OF DIRECTORS FEES</t>
  </si>
  <si>
    <t>CONF. SECRETARY III</t>
  </si>
  <si>
    <t>CHEMICAL LABORATORY ANALYSIS FEES</t>
  </si>
  <si>
    <t>HIGHER REVENUE OFFICER</t>
  </si>
  <si>
    <t>DIRECTOR FINANCE</t>
  </si>
  <si>
    <t>CHIEF FINANCE ASST.</t>
  </si>
  <si>
    <t>MESSENGERS</t>
  </si>
  <si>
    <t>HEAD WATCHMEN</t>
  </si>
  <si>
    <t>CLER. OFFICER ACCT.</t>
  </si>
  <si>
    <t>SNR. DRIVER</t>
  </si>
  <si>
    <t>PERSONNEL ASST.</t>
  </si>
  <si>
    <t>SHARI'AH DEVT. DEPT.</t>
  </si>
  <si>
    <t>A.E.O. ACCT.</t>
  </si>
  <si>
    <t>C.C.O. PERSONNEL</t>
  </si>
  <si>
    <t>C.O.</t>
  </si>
  <si>
    <t>SNR. PERS. OFFICE IV</t>
  </si>
  <si>
    <t>MAINT. OF ROADS</t>
  </si>
  <si>
    <t>ASST. HOTEL INSPECTOR II</t>
  </si>
  <si>
    <t>HOTEL INSPECTORS I</t>
  </si>
  <si>
    <t>HOTEL INSPECTORS III</t>
  </si>
  <si>
    <t>SPECIAL ASST. TO ISLAMIC ORG. FOR ENLIGHTENMENT ACTIVIES</t>
  </si>
  <si>
    <t>DIRECTORATE  FOR LOCAL GOVT. PROJECTS</t>
  </si>
  <si>
    <t>413E</t>
  </si>
  <si>
    <t>COURT CLERKS II</t>
  </si>
  <si>
    <t>TOWN PLANNING ASST.</t>
  </si>
  <si>
    <t>HOUSING SECTOR</t>
  </si>
  <si>
    <t>T.B.A SUPERVISOR</t>
  </si>
  <si>
    <t>CONTINUE EDUCATION UNIT.</t>
  </si>
  <si>
    <t>REVENUE AVAILABLE FOR CAPITAL EXPENDITURE</t>
  </si>
  <si>
    <t>ZONAL HEALTH OFFICERS</t>
  </si>
  <si>
    <t>CHIEF CHO/ CHIEF EHO</t>
  </si>
  <si>
    <t>REGISTRATION AND RENEWAL OF YOUTH SOCIAL CLUBS</t>
  </si>
  <si>
    <t>SNR. PRO. SUPT.</t>
  </si>
  <si>
    <t>PET-CONF. INSP. I</t>
  </si>
  <si>
    <t>(l)</t>
  </si>
  <si>
    <t>(o)</t>
  </si>
  <si>
    <t>412O</t>
  </si>
  <si>
    <t>HIGHER STORES OFFICER</t>
  </si>
  <si>
    <t>STORE KEEPER ASST.</t>
  </si>
  <si>
    <t>HOUSE KEEPER</t>
  </si>
  <si>
    <t xml:space="preserve">TYPIST </t>
  </si>
  <si>
    <t>PERSAONEL ASIST.</t>
  </si>
  <si>
    <t>SNR. CAMERA ASST.</t>
  </si>
  <si>
    <t>SCRIPT WRITER I</t>
  </si>
  <si>
    <t>GRAPHIC ARTS SECTION</t>
  </si>
  <si>
    <t>ASST. C.G.A.</t>
  </si>
  <si>
    <t>PRIN. GRAPHIC ARTS OFFICER</t>
  </si>
  <si>
    <t>SNR. GRAPHIC ARTS. OFFICER</t>
  </si>
  <si>
    <t>SOIL TEST</t>
  </si>
  <si>
    <t>B: Distribution as per General Guidelines on Budget</t>
  </si>
  <si>
    <t>i.</t>
  </si>
  <si>
    <t>Not more than 10% for C.R.F.</t>
  </si>
  <si>
    <t>ii.</t>
  </si>
  <si>
    <t>CHIEF REG. OFF. COOP.</t>
  </si>
  <si>
    <t>ASST. CHIEF REG.</t>
  </si>
  <si>
    <t>PRIN. GR. OFF. COOP.</t>
  </si>
  <si>
    <t>SNR. REG. OFF. COOP.</t>
  </si>
  <si>
    <t>REGISTRAR I</t>
  </si>
  <si>
    <t>COOPERATIVE DEPT.</t>
  </si>
  <si>
    <t>EXECUTIVE OFFICER</t>
  </si>
  <si>
    <t>ASST. EXECUTIVE OFF.  INTER. ORG.</t>
  </si>
  <si>
    <t>LAND CHARGES</t>
  </si>
  <si>
    <t>SURVEY FEES</t>
  </si>
  <si>
    <t>ASST. G.R.M. SUPT.</t>
  </si>
  <si>
    <t>PRI. AGRIC.</t>
  </si>
  <si>
    <t>SNR. PHOTOGRAPHER</t>
  </si>
  <si>
    <t>UPKEEPS OF LODGES</t>
  </si>
  <si>
    <t>EXECUTIVE ENGR. II</t>
  </si>
  <si>
    <t>TECH. OFFICER</t>
  </si>
  <si>
    <t>HIGHER NUTRITION ASST.</t>
  </si>
  <si>
    <t>NUTRITION ASST.</t>
  </si>
  <si>
    <t>TRANSPORTION OF GRAINS</t>
  </si>
  <si>
    <t>TOTAL ESTIMATED REVENUE:</t>
  </si>
  <si>
    <t>MAINT. OF POULTRY PRODUCTION UNIT</t>
  </si>
  <si>
    <t>ASST. COMMERCIAL OFFICER</t>
  </si>
  <si>
    <t>PRIN. COMMERCIAL OFFICER</t>
  </si>
  <si>
    <t>INTERGRATED SUPPORTIVE SUPERVISSION (STATE/LGA/COMMUNITY)</t>
  </si>
  <si>
    <t>DEPUTY DIR.</t>
  </si>
  <si>
    <t>ASST DIR. I</t>
  </si>
  <si>
    <t>FOR CHIEF JUDGES</t>
  </si>
  <si>
    <t>BILATERAL MATTERS</t>
  </si>
  <si>
    <t xml:space="preserve">LOANS DEPARTMENT </t>
  </si>
  <si>
    <t>CHIEF PERS. OFFICER</t>
  </si>
  <si>
    <t>CHIEF PROGRAMME ANALYST</t>
  </si>
  <si>
    <t>ASST. CHIEF PROG. ANALYST</t>
  </si>
  <si>
    <t>DATA PROCESSING OFFICER</t>
  </si>
  <si>
    <t>PURCHASE OF FERTILIZER</t>
  </si>
  <si>
    <t>WHEAT PRODUCTION</t>
  </si>
  <si>
    <t>FINANCE &amp; SUPPLY DEPARTMENT</t>
  </si>
  <si>
    <t>FIN. ASST. I</t>
  </si>
  <si>
    <t>INSPECTORATE I</t>
  </si>
  <si>
    <t>INSPECTORATE II</t>
  </si>
  <si>
    <t>E.O. I</t>
  </si>
  <si>
    <t>E.O. II</t>
  </si>
  <si>
    <t>Non-Accident Bonus</t>
  </si>
  <si>
    <t>COORDINATOR EXAM.</t>
  </si>
  <si>
    <t>TRADE TEST FEES (WORKS SCHOOL)</t>
  </si>
  <si>
    <t>Locally Generated Revenue</t>
  </si>
  <si>
    <t>Total</t>
  </si>
  <si>
    <t>ASST. PHOTOGRAPHER</t>
  </si>
  <si>
    <t>SNR. PHOTO ASST.</t>
  </si>
  <si>
    <t>PHOTO ASST.</t>
  </si>
  <si>
    <t>DARK ROOM ATTENDANT</t>
  </si>
  <si>
    <t>SNR. PHOTO LIBRARIAN</t>
  </si>
  <si>
    <t>FIN. ASST. III</t>
  </si>
  <si>
    <t>Statutory Allocation</t>
  </si>
  <si>
    <t>SECRETARY ASST. II</t>
  </si>
  <si>
    <t>SNR. DRIVER I</t>
  </si>
  <si>
    <t>SNR. DRIVER II</t>
  </si>
  <si>
    <t>SNR. MESSENGER</t>
  </si>
  <si>
    <t>MESSENGER</t>
  </si>
  <si>
    <t>HEAD GARDENER</t>
  </si>
  <si>
    <t>TOWN PLANNING DEPT.</t>
  </si>
  <si>
    <t>ASST. CHIEF TOWN PLANNING</t>
  </si>
  <si>
    <t>MALARIA  CONTROL</t>
  </si>
  <si>
    <t>CCHO/CEHO</t>
  </si>
  <si>
    <t>ACCHO</t>
  </si>
  <si>
    <t>ELECTRICAL</t>
  </si>
  <si>
    <t>SNR. SURVEYOR I</t>
  </si>
  <si>
    <t>SURVEYOR GRADE I</t>
  </si>
  <si>
    <t>C.T.O.(B)</t>
  </si>
  <si>
    <t>C.H.SUPT.</t>
  </si>
  <si>
    <t>P.T.O (H)</t>
  </si>
  <si>
    <t>TYPIST</t>
  </si>
  <si>
    <t>H.E.E.O.</t>
  </si>
  <si>
    <t>SNR. E.H.O</t>
  </si>
  <si>
    <t>CHIEF PLANNINFOFFICER</t>
  </si>
  <si>
    <t>MAINT. OF AGRIC D/BANK</t>
  </si>
  <si>
    <t>BUDGET ANALYST II</t>
  </si>
  <si>
    <t>BUDGET EXAMINER</t>
  </si>
  <si>
    <t>CHIEF MOTOR DRIVER</t>
  </si>
  <si>
    <t>(III)</t>
  </si>
  <si>
    <t>SUB-TOTAL:-</t>
  </si>
  <si>
    <t>(IV)</t>
  </si>
  <si>
    <t>SENIRO INTERNAL AUDITOR</t>
  </si>
  <si>
    <t>PLANNING RESEARCH &amp; STATISTICS DEPT.</t>
  </si>
  <si>
    <t>SNR. TECH. OFFICER RESEARCH</t>
  </si>
  <si>
    <t>TECHNICAL OFFICER RESEARCH</t>
  </si>
  <si>
    <t>SECRETARIAT ASST. II</t>
  </si>
  <si>
    <t>SNR. TYPIST</t>
  </si>
  <si>
    <t>STOCKMAN II</t>
  </si>
  <si>
    <t>STOCKMAN III</t>
  </si>
  <si>
    <t>PLANNING OFFICER I</t>
  </si>
  <si>
    <t>SNR. VET. OFFICER II</t>
  </si>
  <si>
    <t>CHIEF LIVESTOCK OVERSEER</t>
  </si>
  <si>
    <t>WILDLIFE UNIT</t>
  </si>
  <si>
    <t>PROGRAMMER</t>
  </si>
  <si>
    <t>SNR. GAME GUARD</t>
  </si>
  <si>
    <t>GAME GUARD</t>
  </si>
  <si>
    <t>SNR. GAME PATROL GUARD</t>
  </si>
  <si>
    <t>GAME PATROL GUARD</t>
  </si>
  <si>
    <t>DATA ANALYST II</t>
  </si>
  <si>
    <t>LIBRARIAN II</t>
  </si>
  <si>
    <t>HIGH LIBRARIAN OFF.</t>
  </si>
  <si>
    <t>T.O. (PLG)</t>
  </si>
  <si>
    <t>A.T.O. (PLG)</t>
  </si>
  <si>
    <t>C.T.A</t>
  </si>
  <si>
    <t>S.T.O. (PLG) I</t>
  </si>
  <si>
    <t>PENSION COMMISSION</t>
  </si>
  <si>
    <t>b.</t>
  </si>
  <si>
    <t>SUB-TOTAL</t>
  </si>
  <si>
    <t>430a</t>
  </si>
  <si>
    <t>SNR. MESSENGERS</t>
  </si>
  <si>
    <t>ARTISAN WORKS SUPT. II</t>
  </si>
  <si>
    <t>DRIVERS</t>
  </si>
  <si>
    <t>DRIVERS/MECH.</t>
  </si>
  <si>
    <t>HEDH. MESSENGERS</t>
  </si>
  <si>
    <t>COST 2012</t>
  </si>
  <si>
    <t>SUB HEAD</t>
  </si>
  <si>
    <t>PROPOSED SUBVENSION</t>
  </si>
  <si>
    <t>TOTAL SUBVENSION</t>
  </si>
  <si>
    <t>LIBRARY ATTENDANT</t>
  </si>
  <si>
    <t>SNR. INTERNAL AUDITOR</t>
  </si>
  <si>
    <t>PEST CONTROL - RE-IMBURSEMENT</t>
  </si>
  <si>
    <t>DRIVER MECHANIC</t>
  </si>
  <si>
    <t>STATE HOUSE OF ASSEMBLY</t>
  </si>
  <si>
    <t>ATTORNEY GENERAL</t>
  </si>
  <si>
    <t xml:space="preserve">SNR SYSTEM. ANALYST </t>
  </si>
  <si>
    <t>DATA PROCESSING ASST. I</t>
  </si>
  <si>
    <t>COMPUTER ANALYST II</t>
  </si>
  <si>
    <t>HOTEL INSPECTORS</t>
  </si>
  <si>
    <t>FAMILY HEALTH SERV./FAMILY PLAN./PHC</t>
  </si>
  <si>
    <t>PURCHASE OF BUILDING TOOLS</t>
  </si>
  <si>
    <t>CHIEF TECH. OFFICER BUILD</t>
  </si>
  <si>
    <t>CHIEF HOUSING SUPT.</t>
  </si>
  <si>
    <t>HEALTH SISTER/C.H.O</t>
  </si>
  <si>
    <t>MINISTRY OF SOCIAL WELFARE &amp; COMM. DEVT.</t>
  </si>
  <si>
    <t>426</t>
  </si>
  <si>
    <t>MAINT. OF SEARCH NET</t>
  </si>
  <si>
    <t>TECHNICAL ASST.</t>
  </si>
  <si>
    <t>BEAST OF BURDEN: MOVEMENT AND LOADING LICENCE</t>
  </si>
  <si>
    <t>TRADE CATTLE LICENCE</t>
  </si>
  <si>
    <t>CLERICAL ASST, ACCT.</t>
  </si>
  <si>
    <t>SNR. WATCH MAN</t>
  </si>
  <si>
    <t>ASST. LANDS INSPECTOR I</t>
  </si>
  <si>
    <t>TECH. OFFICERS</t>
  </si>
  <si>
    <t>C.C.O.</t>
  </si>
  <si>
    <t>PILGRIMS WELFARE BOARD</t>
  </si>
  <si>
    <t>MAINT. SUPT.</t>
  </si>
  <si>
    <t>ASST. MAINT. SUPT.</t>
  </si>
  <si>
    <t>TECHNICAL GRADE I</t>
  </si>
  <si>
    <t>ACTUAL VALUATION</t>
  </si>
  <si>
    <t>STAMP DUTY AND MISCELLANEOUS STAMP DUTY PENALTY</t>
  </si>
  <si>
    <t>ASST. GRAPHIC ARTS OFFICER</t>
  </si>
  <si>
    <t>SNR. MAGISTRATE I</t>
  </si>
  <si>
    <t>SNR. MAGISTRATE II</t>
  </si>
  <si>
    <t>SEMINER AND WORKSHOP</t>
  </si>
  <si>
    <t>ASST. H.S. SUPT.</t>
  </si>
  <si>
    <t>MECH. ENGR. II</t>
  </si>
  <si>
    <t>REGISTRATION OF PRIVATE CLINICS</t>
  </si>
  <si>
    <t>CO-ORDINATION OF RURAL DEV. ACT.</t>
  </si>
  <si>
    <t>REACTIVATION OF CONCRETE W.</t>
  </si>
  <si>
    <t>424B</t>
  </si>
  <si>
    <t>ROADSIDE PLANTING</t>
  </si>
  <si>
    <t>MONTHLY ENV. SANIT. &amp; YECO</t>
  </si>
  <si>
    <t>HIGH PEST INSP.</t>
  </si>
  <si>
    <t>SNR. PR. INSP.</t>
  </si>
  <si>
    <t>SNR. PR. INSP. II</t>
  </si>
  <si>
    <t>PR. INS. I</t>
  </si>
  <si>
    <t>PES-CON. INSP.</t>
  </si>
  <si>
    <t>DONATION TO UNION</t>
  </si>
  <si>
    <t>C..R.T.O</t>
  </si>
  <si>
    <t>A.C.R.T.O</t>
  </si>
  <si>
    <t>P.R.T.O. I</t>
  </si>
  <si>
    <t>SNR. COOP. ASST.</t>
  </si>
  <si>
    <t>SNR. COOP. ASST. III</t>
  </si>
  <si>
    <t>PRIN. COOP. ASST.</t>
  </si>
  <si>
    <t>SNR. COOP ASST.</t>
  </si>
  <si>
    <t>COOP. ASST. I</t>
  </si>
  <si>
    <t>DRIVER GR. IV</t>
  </si>
  <si>
    <t>STAFF OFFICER</t>
  </si>
  <si>
    <t>LOCAL GOVERNMENT AUDIT</t>
  </si>
  <si>
    <t xml:space="preserve">CLERICAL OFFICER </t>
  </si>
  <si>
    <t>LIBRARIAN OFFICER II</t>
  </si>
  <si>
    <t>SENIOR STORE KEEPER</t>
  </si>
  <si>
    <t>CLERK TO THE HOUSE</t>
  </si>
  <si>
    <t>MAINT. OF STREET LIGHTS</t>
  </si>
  <si>
    <t>COMMERCIAL OFFICER I</t>
  </si>
  <si>
    <t>LOAN TO FIRE SERVICE</t>
  </si>
  <si>
    <t>SNR. AUDITOR ASST. II</t>
  </si>
  <si>
    <t>AUDITOR ASST. I</t>
  </si>
  <si>
    <t>A.C.LAB. TECH.</t>
  </si>
  <si>
    <t>422C</t>
  </si>
  <si>
    <t>S.T.A. GRADE I</t>
  </si>
  <si>
    <t xml:space="preserve">S.T.A. </t>
  </si>
  <si>
    <t>MECHANICAL AND ELECTRICAL</t>
  </si>
  <si>
    <t>CHIEF MECH. ENG.</t>
  </si>
  <si>
    <t>SALES OF GRAPHIC ARTS DESIGN</t>
  </si>
  <si>
    <t>STUDENT NURSES/MIDWIVES</t>
  </si>
  <si>
    <t>PRIN. Q/SURVEYOR</t>
  </si>
  <si>
    <t>(n)</t>
  </si>
  <si>
    <t>QUANTITY SURVEYOR I</t>
  </si>
  <si>
    <t>TRAINING AND STAFF DEVT.</t>
  </si>
  <si>
    <t>ASST. CHIEF TEL. OPERATOR</t>
  </si>
  <si>
    <t>ENTERT. AND HOSPITALITY</t>
  </si>
  <si>
    <t>MISCELLANEOUS EXPENSES</t>
  </si>
  <si>
    <t xml:space="preserve">DEPUTY COORD. </t>
  </si>
  <si>
    <t>C.E.O EXAM.</t>
  </si>
  <si>
    <t>C.E.O./PRODUCTION OFFICER</t>
  </si>
  <si>
    <t>TECH. OFFICER CARTO.</t>
  </si>
  <si>
    <t>SNR. TELEPHONE OPERATOR</t>
  </si>
  <si>
    <t>TELEPHONE OPERATOR</t>
  </si>
  <si>
    <t>INFORMATION OFFICER I</t>
  </si>
  <si>
    <t>CATERING ASST.</t>
  </si>
  <si>
    <t>EHO</t>
  </si>
  <si>
    <t>SCHOOL HEALTH SERVICES</t>
  </si>
  <si>
    <t>CHIEF COM. H.O</t>
  </si>
  <si>
    <t>ASST. COM. H.O</t>
  </si>
  <si>
    <t>PRIN. CHO</t>
  </si>
  <si>
    <t>ASST. TECH. OFF. CART.</t>
  </si>
  <si>
    <t>SNR. DRAFT I</t>
  </si>
  <si>
    <t>CHIEF TECH. ASST.</t>
  </si>
  <si>
    <t>SNR. TECH. ASST. I</t>
  </si>
  <si>
    <t>SEC. ASSISTANT II</t>
  </si>
  <si>
    <t>SECURITY OFFICER</t>
  </si>
  <si>
    <t>MARRIAGE ASSISTANCE</t>
  </si>
  <si>
    <t>GRANT OT PRIVATE SCHOOLS</t>
  </si>
  <si>
    <t>HIGHER STOCK VERIFIER</t>
  </si>
  <si>
    <t>STOCK VERIFIER</t>
  </si>
  <si>
    <t>ASST. STOCK VERIFIER I</t>
  </si>
  <si>
    <t>STOCK EXAMINER II</t>
  </si>
  <si>
    <t>PRES. ASST. I</t>
  </si>
  <si>
    <t>S/TRANSLATOR III</t>
  </si>
  <si>
    <t>PERSONEL OFFICER</t>
  </si>
  <si>
    <t>EPIDEMIC CONTROL</t>
  </si>
  <si>
    <t>ASST CEHO</t>
  </si>
  <si>
    <t>AFRICAN REG. SUBMIT &amp; EXHIBITION</t>
  </si>
  <si>
    <t>PURCHASE OF CAMERA &amp; UTENSILS</t>
  </si>
  <si>
    <t>FIELD PEST CONTROL UNIT</t>
  </si>
  <si>
    <t>TRANSPORT &amp; TRAVELLING</t>
  </si>
  <si>
    <t>STATIONERIES</t>
  </si>
  <si>
    <t>ZAMFARA TRANSPORT AUTHORITY</t>
  </si>
  <si>
    <t>viii</t>
  </si>
  <si>
    <t>PLANNING FEES</t>
  </si>
  <si>
    <t>COUNCIL FOR ARTS AND CULTURE</t>
  </si>
  <si>
    <t>xiv</t>
  </si>
  <si>
    <t>PREPARATION OF CONTRACT AGREEMENTS</t>
  </si>
  <si>
    <t>HOTELS LEVY</t>
  </si>
  <si>
    <t>HEAD: 403 LICENCES</t>
  </si>
  <si>
    <t>SALES OF TRADE FAIR MATERIALS</t>
  </si>
  <si>
    <t>INTERNATIONAL TOURISM FAIR</t>
  </si>
  <si>
    <t>CULTURE AND TOURISM FAIR</t>
  </si>
  <si>
    <t>RESEARCH AND PUBLICATIONS</t>
  </si>
  <si>
    <t>ASST. AGRIC SUPT.(T)</t>
  </si>
  <si>
    <t>SNR, CLEANER</t>
  </si>
  <si>
    <t>ACCOUNTANT ASST. III</t>
  </si>
  <si>
    <t>ACCOUNTANT ASST. IV</t>
  </si>
  <si>
    <t>PERSONNEL MAGT. DEPT.</t>
  </si>
  <si>
    <t>CHIEF SEC. ASST.</t>
  </si>
  <si>
    <t>SEC. ASSISTANT I</t>
  </si>
  <si>
    <t>SPORTS DEVELOPMENT</t>
  </si>
  <si>
    <t>SNR. PAPER SUPT.</t>
  </si>
  <si>
    <t>HIGHER SOUND RECORDIST</t>
  </si>
  <si>
    <t>CHIEF PHOTOGRAPHER</t>
  </si>
  <si>
    <t>CIVIL  ENGR. I</t>
  </si>
  <si>
    <t>S.T.O. (PLG)</t>
  </si>
  <si>
    <t>SST. DIRECTOR</t>
  </si>
  <si>
    <t>FIELD OVERSEE</t>
  </si>
  <si>
    <t>g.</t>
  </si>
  <si>
    <t>HIGHER LITIGATION OFFICER</t>
  </si>
  <si>
    <t>LEGAL OFFICER</t>
  </si>
  <si>
    <t>LIT. OFFICER</t>
  </si>
  <si>
    <t>ASST. LIT. OFFICER</t>
  </si>
  <si>
    <t>PUBLIC PROSECUTION DEPT.</t>
  </si>
  <si>
    <t>ANTI-CURRUPTION COMMISSION</t>
  </si>
  <si>
    <t>ASST. CHAMBER SUPERITENDANT</t>
  </si>
  <si>
    <t>CHAMBER ATTENDANTS</t>
  </si>
  <si>
    <t>SECURITY SECTION</t>
  </si>
  <si>
    <t>SECURITY SUPERVISOR</t>
  </si>
  <si>
    <t>SOCIAL WELFARE ASST. II</t>
  </si>
  <si>
    <t>SOCIAL ASST. III</t>
  </si>
  <si>
    <t>ASST. CHIEF CLERICAL OFF.</t>
  </si>
  <si>
    <t>CLERIAL OFFICER</t>
  </si>
  <si>
    <t>ASST. CHIEF DRIVER</t>
  </si>
  <si>
    <t>EXECUTIVE OFFICER (ACCTS)</t>
  </si>
  <si>
    <t>SNR. BLIND INSTR.</t>
  </si>
  <si>
    <t>A.E.O ACCOUNT</t>
  </si>
  <si>
    <t>PLANNING OFFICER</t>
  </si>
  <si>
    <t>STATISTICAL I</t>
  </si>
  <si>
    <t xml:space="preserve">DIRECTORATE OF COMMODITY, MARKETING &amp; DISTRIB. </t>
  </si>
  <si>
    <t xml:space="preserve">PERSONNEL COST </t>
  </si>
  <si>
    <t>DIRECTORATE OF AFFORESTATION</t>
  </si>
  <si>
    <t>CHIEF SYSTEM ANALYST</t>
  </si>
  <si>
    <t>MINISTRY OF JUSTICE</t>
  </si>
  <si>
    <t>JUDICIARY HIGH COURT</t>
  </si>
  <si>
    <t>FINANCE OFFICER II</t>
  </si>
  <si>
    <t>FINANCE OFFICER III</t>
  </si>
  <si>
    <t>FINANCE OFFICER IV</t>
  </si>
  <si>
    <t>CONF. SECRETARY I</t>
  </si>
  <si>
    <t>CONF. SECRETARY II</t>
  </si>
  <si>
    <t>SCHOOL OF NURSING AND MIDWIFERY</t>
  </si>
  <si>
    <t>STORE OFFICER</t>
  </si>
  <si>
    <t>ASST. STORES OFFICER</t>
  </si>
  <si>
    <t>RENT SUPPLIMENT</t>
  </si>
  <si>
    <t>CHIEF MESSENGER</t>
  </si>
  <si>
    <t>C.O</t>
  </si>
  <si>
    <t>ASST. LANDS INSPECTOR II</t>
  </si>
  <si>
    <t>ASST. AGRIC SUPT. (E)</t>
  </si>
  <si>
    <t>S/NO</t>
  </si>
  <si>
    <t>GRAPHIC ARTS OFFICER I</t>
  </si>
  <si>
    <t>GRAPHIC ARTS OFFICER II</t>
  </si>
  <si>
    <t>ASST. CHIEF MR. STAT ASST.</t>
  </si>
  <si>
    <t>CHIEF MAGISTRATE II</t>
  </si>
  <si>
    <t>OPERATION CLERK II</t>
  </si>
  <si>
    <t>OPERATION CLERK III</t>
  </si>
  <si>
    <t>FIELD PUBLICITY UNIT</t>
  </si>
  <si>
    <t>CHIEF FIELD OFF.</t>
  </si>
  <si>
    <t>PRIN. FIELD OFF.</t>
  </si>
  <si>
    <t>HIGHER FIELD OFF.</t>
  </si>
  <si>
    <t>SNR. FIELD OFF.</t>
  </si>
  <si>
    <t>FIELD OFF.</t>
  </si>
  <si>
    <t>FIELD ASST. I</t>
  </si>
  <si>
    <t>FIELD ASST. II</t>
  </si>
  <si>
    <t>FIELD CLERK I</t>
  </si>
  <si>
    <t>FIELD CLERK II</t>
  </si>
  <si>
    <t>FIELD CLERK III</t>
  </si>
  <si>
    <t>PHOTOGRAPHIC/VIDEO UNIT</t>
  </si>
  <si>
    <t>PRIN. CAMERAMAN</t>
  </si>
  <si>
    <t>HIGHER CAMERAMAN</t>
  </si>
  <si>
    <t>SNR. CAMERAMAN</t>
  </si>
  <si>
    <t>CIRCULATION UNIT</t>
  </si>
  <si>
    <t>HEAD DESPATCH</t>
  </si>
  <si>
    <t>DESPATCH CLERKS</t>
  </si>
  <si>
    <t>DESPATCH CLERKS ASST.</t>
  </si>
  <si>
    <t>MOBILE CINEMA UNIT</t>
  </si>
  <si>
    <t>MIS UNIT</t>
  </si>
  <si>
    <t>DATA PROCESSING MANAGER</t>
  </si>
  <si>
    <t>SNR. PROGRAMMER</t>
  </si>
  <si>
    <t>PROGRAMMERS</t>
  </si>
  <si>
    <t>COMPUTER ASST I</t>
  </si>
  <si>
    <t>COMPUTER ASST II</t>
  </si>
  <si>
    <t>DATA ENTRY CLERKS</t>
  </si>
  <si>
    <t>HEAD OPERATORS</t>
  </si>
  <si>
    <t>OPERATTOR I</t>
  </si>
  <si>
    <t>OPERATTOR II</t>
  </si>
  <si>
    <t>OPERATTOR III</t>
  </si>
  <si>
    <t>ELECTRICAL DIVISION</t>
  </si>
  <si>
    <t>PRIN. STATE COUNCEL I</t>
  </si>
  <si>
    <t>PURCHASE OF TOWN PLAN. EQUIP.</t>
  </si>
  <si>
    <t>ASST. CHIEF WORKS SUPT.</t>
  </si>
  <si>
    <t>PRIN. WORKS SUPT. I</t>
  </si>
  <si>
    <t>PRIN. WORKS SUPT. II</t>
  </si>
  <si>
    <t>SNR. LIT. OFFICER</t>
  </si>
  <si>
    <t>HIGHER LIT. OFFICER</t>
  </si>
  <si>
    <t>ADMINISTRATOR-GENERAL &amp; PUBLIC TRUSTEES</t>
  </si>
  <si>
    <t xml:space="preserve">STATE COUNCEL </t>
  </si>
  <si>
    <t>Induc. Allowance</t>
  </si>
  <si>
    <t>CHIEF REGISTRAR</t>
  </si>
  <si>
    <t>CULTURAL EXCHANGE PROGRAMMES</t>
  </si>
  <si>
    <t>ASST. DIRECTOR OF AUDIT</t>
  </si>
  <si>
    <t>GRAND TOTAL:</t>
  </si>
  <si>
    <t>ARCH. ENGINEERING</t>
  </si>
  <si>
    <t>QUANTITY SURVEYOR</t>
  </si>
  <si>
    <t>TRANSFER FROM CONSOLIDATED REVENUE FUND</t>
  </si>
  <si>
    <t>RECEIPT FROM OTHER SUBSIDIARY ACCOUNT</t>
  </si>
  <si>
    <t>FEEDING &amp; MAINT. OF INMATE</t>
  </si>
  <si>
    <t>ASST.TO WIDOW &amp; ORPHANAGE</t>
  </si>
  <si>
    <t>HAJJ GENERAL (HIJABS)</t>
  </si>
  <si>
    <t>CHILDREN COMPUTERISATION</t>
  </si>
  <si>
    <t>PRINCIPAL LOCAL GOVT. OFFICER</t>
  </si>
  <si>
    <t>SNR. LOCAL GOVT. INSP.</t>
  </si>
  <si>
    <t>CHIEF NUT. OFFICER</t>
  </si>
  <si>
    <t>P. NUTRITION OFFICER</t>
  </si>
  <si>
    <t>SNR. NUTRITION ASST.</t>
  </si>
  <si>
    <t>PCHA/HE ASST.</t>
  </si>
  <si>
    <t>CHA/HE ASST.</t>
  </si>
  <si>
    <t>NUTRITION SECTION</t>
  </si>
  <si>
    <t>P. NUTRITION ASST.</t>
  </si>
  <si>
    <t>MAINT. OF QUARTERS</t>
  </si>
  <si>
    <t>SNR. STAT. OFFICER</t>
  </si>
  <si>
    <t>DATA ANALYST</t>
  </si>
  <si>
    <t>T.O. PLANNING</t>
  </si>
  <si>
    <t>ADMIN. OFFICER I</t>
  </si>
  <si>
    <t>ADMIN. OFFICER II</t>
  </si>
  <si>
    <t>SNR. FINANCE ASST.</t>
  </si>
  <si>
    <t>INFORMATION DEPT.</t>
  </si>
  <si>
    <t>PRIN. INFORMATION OFFICER</t>
  </si>
  <si>
    <t>REH. OF CONVERTS &amp; D/WOMEN</t>
  </si>
  <si>
    <t>SNR. INFORMATION OFFICER</t>
  </si>
  <si>
    <t>IRRIGATION ATTD. I</t>
  </si>
  <si>
    <t>STUDENTS LEADERSHIP</t>
  </si>
  <si>
    <t>STORE KEEPER</t>
  </si>
  <si>
    <t>STORES ASST.</t>
  </si>
  <si>
    <t>SECOND LIVESTOCK DEV. PROJECT</t>
  </si>
  <si>
    <t>MAINT ALLOWANCE</t>
  </si>
  <si>
    <t>HAZARD ALLOWANCE</t>
  </si>
  <si>
    <t>CONSULTANCY SEVICES</t>
  </si>
  <si>
    <t>HP TECH</t>
  </si>
  <si>
    <t>PHAMACY TECH</t>
  </si>
  <si>
    <t>CHIEF PHAR. ASST.</t>
  </si>
  <si>
    <t>ACP ASST.</t>
  </si>
  <si>
    <t>SNR. LABOURER</t>
  </si>
  <si>
    <t>LABOURER II</t>
  </si>
  <si>
    <t>SNR. W/MAN</t>
  </si>
  <si>
    <t>W/MAN</t>
  </si>
  <si>
    <t>CAT. OFFICER</t>
  </si>
  <si>
    <t>CAT ASST. I</t>
  </si>
  <si>
    <t>CAT ASST. II</t>
  </si>
  <si>
    <t>CAT ASST. III</t>
  </si>
  <si>
    <t>ASST RANGE MGT..</t>
  </si>
  <si>
    <t>ACCT. II</t>
  </si>
  <si>
    <t>AUDITOR</t>
  </si>
  <si>
    <t>HEAD OF STEWARD</t>
  </si>
  <si>
    <t>C/ASST.</t>
  </si>
  <si>
    <t>FINANCE DEPARTMENT</t>
  </si>
  <si>
    <t>MOTORCYCLE LOAN (SUBSIDY)</t>
  </si>
  <si>
    <t>INTERNET FACILITIES</t>
  </si>
  <si>
    <t>CHIEF HIDES &amp; SKIN OVERSEER</t>
  </si>
  <si>
    <t>MAINTENANCE OF PARKS &amp; GARDENS</t>
  </si>
  <si>
    <t>PURCHASE OF SCIENCE EQUIPMENTS</t>
  </si>
  <si>
    <t>EST. OF ZSAEQA</t>
  </si>
  <si>
    <t>MAINTENANCE OF DRAINAGES</t>
  </si>
  <si>
    <t>413H</t>
  </si>
  <si>
    <t>TYPIEST III</t>
  </si>
  <si>
    <t>SNR. CAMERA MAN</t>
  </si>
  <si>
    <t>CLEARICAL ASST.</t>
  </si>
  <si>
    <t>ACCOUNT. ASST. I</t>
  </si>
  <si>
    <t>CIVIL ENGR. II</t>
  </si>
  <si>
    <t>P.T.O. II</t>
  </si>
  <si>
    <t>P/COOPERATIVE OFF.</t>
  </si>
  <si>
    <t>SNR. LOAN OFF.</t>
  </si>
  <si>
    <t>PERSONAL ASST I</t>
  </si>
  <si>
    <t>TETEPHONE</t>
  </si>
  <si>
    <t>PURCHASE OF LIBRARY BOOKS</t>
  </si>
  <si>
    <t>SNR. CINEMA OFFICER</t>
  </si>
  <si>
    <t>MANSON INSTRUCTOR</t>
  </si>
  <si>
    <t>COOKS I</t>
  </si>
  <si>
    <t>IMAM / INSTRUCTOR</t>
  </si>
  <si>
    <t>INTERNAL AUDITOR II</t>
  </si>
  <si>
    <t>SNR. AUDITOR ASST. I</t>
  </si>
  <si>
    <t>BOREHOLE TO NATIONAL GRID</t>
  </si>
  <si>
    <t>MAINT. AND IMPROV. OF WATER</t>
  </si>
  <si>
    <t>PRE. TO STATE UNIVERSITY</t>
  </si>
  <si>
    <t>INTRO. TEC EQUIPMENTS</t>
  </si>
  <si>
    <t>ASST. BLIND INTR.</t>
  </si>
  <si>
    <t>CARPENTRY INSTRUCTOR</t>
  </si>
  <si>
    <t>413A</t>
  </si>
  <si>
    <t>LABOURERS</t>
  </si>
  <si>
    <t>WATCH MAN</t>
  </si>
  <si>
    <t>ACCT. ASST. II</t>
  </si>
  <si>
    <t>NIGERIAN ARMY REC. CENTRE</t>
  </si>
  <si>
    <t>RELIEF MATERIALS</t>
  </si>
  <si>
    <t>MAINT. OF RADIO EQUIP.</t>
  </si>
  <si>
    <t>STEWARDS</t>
  </si>
  <si>
    <t>CHIEF COMMUNICATION OFFICER</t>
  </si>
  <si>
    <t>PRIN. COMMUNICATION OFFICER</t>
  </si>
  <si>
    <t>MOTOR REGISTRATION AND WEIGH FEES</t>
  </si>
  <si>
    <t>AGENCY FOR MASS EDUCATION</t>
  </si>
  <si>
    <t>PRINTER ASST. II</t>
  </si>
  <si>
    <t>GRAPHICS UNIT</t>
  </si>
  <si>
    <t>GRAPHIC ARTIST</t>
  </si>
  <si>
    <t>GRAPHIC ARTIST ASST. I</t>
  </si>
  <si>
    <t>GRAPHIC ARTIST ASST. II</t>
  </si>
  <si>
    <t>CHIEF OPERATION OFFICER</t>
  </si>
  <si>
    <t>HEAD OF GARDENER</t>
  </si>
  <si>
    <t>CMR/C. STAT.TECH</t>
  </si>
  <si>
    <t>HMR/STAT. TECH</t>
  </si>
  <si>
    <t>MR/STAT. TECH</t>
  </si>
  <si>
    <t>CHIEF MR/C. STAT. ASST.</t>
  </si>
  <si>
    <t>OPERATION ASST. I</t>
  </si>
  <si>
    <t>OPERATION ASST. II</t>
  </si>
  <si>
    <t>OPERATION CLERK I</t>
  </si>
  <si>
    <t>LIBRARY SECTION</t>
  </si>
  <si>
    <t>CULTURAL OFFICER II</t>
  </si>
  <si>
    <t>SEMINARS &amp; CONFERENCES</t>
  </si>
  <si>
    <t>ASST. DIRECTOR CATERING</t>
  </si>
  <si>
    <t>MAINT. FURNITURE AND EQUIPMENT</t>
  </si>
  <si>
    <t>TRAINING AND STAFF DEV.</t>
  </si>
  <si>
    <t xml:space="preserve">ASST. CHIEF PROTOCOL </t>
  </si>
  <si>
    <t>CULTURAL FESTIVAL</t>
  </si>
  <si>
    <t>PRINTING OF CALENDARS</t>
  </si>
  <si>
    <t>CONSTRUCTION OF COTTON MARKET RE-IMBUSEMENT</t>
  </si>
  <si>
    <t>PART II AUDIT DEPARTMENT</t>
  </si>
  <si>
    <t>AUDITOR GENERAL</t>
  </si>
  <si>
    <t>CONSOLIDATED ALLOWANCE</t>
  </si>
  <si>
    <t>DOMESTIC STAFF ALLOWANCE</t>
  </si>
  <si>
    <t>PART III CIVIL SERVICE COMMISSION</t>
  </si>
  <si>
    <t>CHAIRMAN</t>
  </si>
  <si>
    <t>CLEANER AND LABOURER</t>
  </si>
  <si>
    <t>SNR. MOTOR DRIVER</t>
  </si>
  <si>
    <t>MIN. FOR SEP. DUTIES PROTOCOL &amp; INTER GOVERNMENTAL</t>
  </si>
  <si>
    <t>HIGHER MAINT. SUPT.</t>
  </si>
  <si>
    <t>MAINTENANCE &amp; V.S.C. ASSETS</t>
  </si>
  <si>
    <t>GRAPHIC ARTS ASST. III</t>
  </si>
  <si>
    <t>SNR. DISTRIBUTOR</t>
  </si>
  <si>
    <t>DISTRIBUTOR II</t>
  </si>
  <si>
    <t>DISTRIBUTOR III</t>
  </si>
  <si>
    <t>WATER CHEMICALS</t>
  </si>
  <si>
    <t>SNR. STATE COUNCEL II</t>
  </si>
  <si>
    <t>CHIEF WHIP (MAJORITY)</t>
  </si>
  <si>
    <t>CHIEF WHIP (MINORITY)</t>
  </si>
  <si>
    <t>MEMBERS OF THE HOUSE</t>
  </si>
  <si>
    <t>SPEAKER'S PERSONNEL STAFF</t>
  </si>
  <si>
    <t>SECRETARIAT ASSISTANT II</t>
  </si>
  <si>
    <t>GAME ATTENDANT II</t>
  </si>
  <si>
    <t>E.O. GENERAL</t>
  </si>
  <si>
    <t>CLERICAL OFFICER I</t>
  </si>
  <si>
    <t>CLERICAL OFFICER II</t>
  </si>
  <si>
    <t>MOTOR DRIVER MECH</t>
  </si>
  <si>
    <t>SNR. T.A. Q/SURVEYOR</t>
  </si>
  <si>
    <t>T.A. Q/SURVEYOR II</t>
  </si>
  <si>
    <t>TECH. ASST. Q/SURVEYOR</t>
  </si>
  <si>
    <t>STRUCTURAL DIVISION</t>
  </si>
  <si>
    <t>422B</t>
  </si>
  <si>
    <t>MAINT. OF FUNITURES AND EQUIP.</t>
  </si>
  <si>
    <t>DIRECTOR PLANNING</t>
  </si>
  <si>
    <t>ASPHALT BARCH. PLANT</t>
  </si>
  <si>
    <t>WATER SUPPLY &amp; QUANTITY CONTROL</t>
  </si>
  <si>
    <t>P.S.O.I</t>
  </si>
  <si>
    <t>P.S.O.II</t>
  </si>
  <si>
    <t>S.O.I</t>
  </si>
  <si>
    <t>S.O.II</t>
  </si>
  <si>
    <t>PRIN. IRRIG. ENGR.</t>
  </si>
  <si>
    <t>MIN. OF FINANCE</t>
  </si>
  <si>
    <t>10t</t>
  </si>
  <si>
    <t>MONITORING &amp; INSPECTION DEPT.</t>
  </si>
  <si>
    <t>ASST. CHIEF AUDIT OFFICER</t>
  </si>
  <si>
    <t>PRIN. AUDIT OFFICER</t>
  </si>
  <si>
    <t>ASST. EDUCATION OFFICER</t>
  </si>
  <si>
    <t>INSTITUTION &amp; PRINTER</t>
  </si>
  <si>
    <t>INFORMATION &amp; PROTOCOL</t>
  </si>
  <si>
    <t>SNR. FOREMAN - MOTOR MECH</t>
  </si>
  <si>
    <t>ASSEMBLY IMAM</t>
  </si>
  <si>
    <t xml:space="preserve">NURSERY ASST. I </t>
  </si>
  <si>
    <t>SECTION B:</t>
  </si>
  <si>
    <t>SEMINAR AND WORKSHOP</t>
  </si>
  <si>
    <t>HEAD COOK</t>
  </si>
  <si>
    <t>SNR. COOK</t>
  </si>
  <si>
    <t>FINANCE ASST.</t>
  </si>
  <si>
    <t xml:space="preserve">OFFICE ASST.  </t>
  </si>
  <si>
    <t>COMPUTER ANALYST</t>
  </si>
  <si>
    <t>PRIN. COMP. ASST.</t>
  </si>
  <si>
    <t>SNR. MESSENDGER</t>
  </si>
  <si>
    <t>CHIEF FO. OVERSEER</t>
  </si>
  <si>
    <t>ASST. CHIEF F. OVER.</t>
  </si>
  <si>
    <t>MISC. TRAFIC REGULATIONS</t>
  </si>
  <si>
    <t>PRINT. OF BIO. DATA BASED BOOKS</t>
  </si>
  <si>
    <t>FIELD SERVICES DEPT.</t>
  </si>
  <si>
    <t>ASST. EXC. OFFICER ADIT</t>
  </si>
  <si>
    <t>PERM. SEC.</t>
  </si>
  <si>
    <t>PERS. MANAGEMENT DEPARTMENT</t>
  </si>
  <si>
    <t>SNR. STOREKEEPER.</t>
  </si>
  <si>
    <t>ALLOWANCE GENERAL</t>
  </si>
  <si>
    <t>SPRAY MEN</t>
  </si>
  <si>
    <t>VET. ALLOWANCES</t>
  </si>
  <si>
    <t>ZAMFARA STATE ZAKAT BOARD</t>
  </si>
  <si>
    <t>LIV. ATTD.</t>
  </si>
  <si>
    <t>LIV. ATTD. II</t>
  </si>
  <si>
    <t xml:space="preserve">PRIN. VET. OFFICER </t>
  </si>
  <si>
    <t>DIRECTOR PLANNING RESEARCH</t>
  </si>
  <si>
    <t>DEP. DIRECTOR PLANN. RESEARCH</t>
  </si>
  <si>
    <t>PLANNING OFFICER II</t>
  </si>
  <si>
    <t>ASST. STATISTICIAN</t>
  </si>
  <si>
    <t>KING FAHAD WOMEN &amp; CHILDREN HOSPITAL</t>
  </si>
  <si>
    <t>CLERK TO THE HOUSE PERSONAL STAFF</t>
  </si>
  <si>
    <t>DEPUTY CLERK TO THE HOUSE PERSONAL STAFF</t>
  </si>
  <si>
    <t>COMPUTER ASST. II</t>
  </si>
  <si>
    <t>LEGISLATIVE ASST.</t>
  </si>
  <si>
    <t>H.E.O. ACCOUNTS</t>
  </si>
  <si>
    <t>E.O. ACCOUNTS</t>
  </si>
  <si>
    <t>432/58</t>
  </si>
  <si>
    <t>58p</t>
  </si>
  <si>
    <t>58o</t>
  </si>
  <si>
    <t>432/59</t>
  </si>
  <si>
    <t>59p</t>
  </si>
  <si>
    <t>59o</t>
  </si>
  <si>
    <t>432/60</t>
  </si>
  <si>
    <t>60p</t>
  </si>
  <si>
    <t>60o</t>
  </si>
  <si>
    <t>432/61</t>
  </si>
  <si>
    <t>61p</t>
  </si>
  <si>
    <t>ACCOUNT. ASST. II</t>
  </si>
  <si>
    <t>S.T.O</t>
  </si>
  <si>
    <t>C.W. SUPT.</t>
  </si>
  <si>
    <t xml:space="preserve">SNR. AGRIC. SUPT. </t>
  </si>
  <si>
    <t>SALES OF VEHICLE NEW PLATE NUMBER</t>
  </si>
  <si>
    <t>xviii</t>
  </si>
  <si>
    <t>NURSING AND MIDWIFERY SCHOOL</t>
  </si>
  <si>
    <t>xix</t>
  </si>
  <si>
    <t>H.T.O. Q/SURVEYOR</t>
  </si>
  <si>
    <t xml:space="preserve">    HEAD:</t>
  </si>
  <si>
    <t>SNR. INT. AUDITOR</t>
  </si>
  <si>
    <t>INTERNAL AUDITOR I</t>
  </si>
  <si>
    <t>CHIEF PRODUCTION OFFICER</t>
  </si>
  <si>
    <t>PRIN. PRODUCTION OFF.</t>
  </si>
  <si>
    <t>HIGHER PRODUCTION OFF.</t>
  </si>
  <si>
    <t>SNR. PRODUCTION OFF.</t>
  </si>
  <si>
    <t>PRODUCTION OFFICER</t>
  </si>
  <si>
    <t>PRODUCTION ASST. I</t>
  </si>
  <si>
    <t>PRODUCTION ASST. II</t>
  </si>
  <si>
    <t>MARRIAGE CERTIFICATE AND LICENCE</t>
  </si>
  <si>
    <t>AUCTIONER LICENCE</t>
  </si>
  <si>
    <t>INSPECTOR IV</t>
  </si>
  <si>
    <t>PREACHER I</t>
  </si>
  <si>
    <t>PREACHER</t>
  </si>
  <si>
    <t>Transfer from CRF</t>
  </si>
  <si>
    <t>DEBT MANAGEMENT OFFICE</t>
  </si>
  <si>
    <t>FILM UNIT</t>
  </si>
  <si>
    <t>FILM EDITOR</t>
  </si>
  <si>
    <t>CHIEF CAMERAMAN</t>
  </si>
  <si>
    <t>CAMERAMEN</t>
  </si>
  <si>
    <t>PHOTOGRAPHERS</t>
  </si>
  <si>
    <t>PUBLICATION UNIT</t>
  </si>
  <si>
    <t>CHIEF PRINTER</t>
  </si>
  <si>
    <t>PRINTERS</t>
  </si>
  <si>
    <t>PRINTER ASST. I</t>
  </si>
  <si>
    <t>WORKSHOP MAINTENANCE</t>
  </si>
  <si>
    <t>DEPOSIT LAPSED</t>
  </si>
  <si>
    <t>UNSPECIFIED</t>
  </si>
  <si>
    <t>SALES OF RURAL DAIRY MILKING COWS</t>
  </si>
  <si>
    <t>PURCHASE OF DIARIES AND SCHOOLS RECORDS</t>
  </si>
  <si>
    <t>AMUSEMENT PARK FEES</t>
  </si>
  <si>
    <t>PRIN. OPERATION OFF.</t>
  </si>
  <si>
    <t>HIGHER OPERATION OFF.</t>
  </si>
  <si>
    <t>SNR. OPERATION OFF.</t>
  </si>
  <si>
    <t>OPERATION OFFICER</t>
  </si>
  <si>
    <t>INFORM. ASST.</t>
  </si>
  <si>
    <t>AND LIBRARY DEPARTMENT</t>
  </si>
  <si>
    <t>RESEARCH SECTION</t>
  </si>
  <si>
    <t>ZONAL COORDINATOR</t>
  </si>
  <si>
    <t>STAFF MEMBERS</t>
  </si>
  <si>
    <t>ZONAL MEMBERS</t>
  </si>
  <si>
    <t>FUELING AND LUBRICANTS</t>
  </si>
  <si>
    <t>DIRECTORATE OF INFORMATION, MEDIA &amp; COMM. TECH.</t>
  </si>
  <si>
    <t>ONLINE SERVICES</t>
  </si>
  <si>
    <t>BAZAMFARA MAGAZINE</t>
  </si>
  <si>
    <t>RESEARCH AND DEVT.</t>
  </si>
  <si>
    <t>PURCHASE OF CRAFTS</t>
  </si>
  <si>
    <t>CULTURAL INSTITUTION</t>
  </si>
  <si>
    <t>25o</t>
  </si>
  <si>
    <t>432/26</t>
  </si>
  <si>
    <t>26p</t>
  </si>
  <si>
    <t>EXAM FEES</t>
  </si>
  <si>
    <t>26o</t>
  </si>
  <si>
    <t>ZAMFARA STATE AFFORESTATION PROJECT II</t>
  </si>
  <si>
    <t>432/27</t>
  </si>
  <si>
    <t>27p</t>
  </si>
  <si>
    <t>27o</t>
  </si>
  <si>
    <t>432/28</t>
  </si>
  <si>
    <t>28p</t>
  </si>
  <si>
    <t>28o</t>
  </si>
  <si>
    <t>PASSAGES</t>
  </si>
  <si>
    <t>SNR. LANDS OFFICER</t>
  </si>
  <si>
    <t>SNR. VALUATION OFFICER</t>
  </si>
  <si>
    <t>LAND OFFICER</t>
  </si>
  <si>
    <t>PUPIL LAND OFFICER</t>
  </si>
  <si>
    <t>CHIEF ESTATE</t>
  </si>
  <si>
    <t>ASST. ESTATE OFFICER</t>
  </si>
  <si>
    <t>A.C.E.O. (ACCTS.)</t>
  </si>
  <si>
    <t>P.E.O. I (ACCT.)</t>
  </si>
  <si>
    <t>C.C.O. (ACCTS)</t>
  </si>
  <si>
    <t>CHIEF ADMIN. OFFICER</t>
  </si>
  <si>
    <t>CLERICAL ASST. II</t>
  </si>
  <si>
    <t>SECURITY ALLOWANCE</t>
  </si>
  <si>
    <t>GENERAL ADMIN.</t>
  </si>
  <si>
    <t>AUTO MECH.</t>
  </si>
  <si>
    <t>SPECIAL EXPENDITURE</t>
  </si>
  <si>
    <t>ZAMFARA BROADCASTING CORPORATION</t>
  </si>
  <si>
    <t>MINSTRY FOR SCIENCE &amp; TECHNICAL EDUCATION</t>
  </si>
  <si>
    <t>416B</t>
  </si>
  <si>
    <t>GRANTS AND CONTRIBUTION</t>
  </si>
  <si>
    <t>ALLOWANCES NCE &amp; EXCH. PROGRAM</t>
  </si>
  <si>
    <t>COMPUTER EDUCATION</t>
  </si>
  <si>
    <t>Z.E.P.A.</t>
  </si>
  <si>
    <t>xxii</t>
  </si>
  <si>
    <t>HOUSING CORPORATION</t>
  </si>
  <si>
    <t>xxiii</t>
  </si>
  <si>
    <t>POLICY &amp; INSTITUTIONAL DEV. PROG.</t>
  </si>
  <si>
    <t>DISEASE &amp; PREVENTION ACTIVITIES</t>
  </si>
  <si>
    <t>PRODUCTION OF BCC/IEC MATERIALS</t>
  </si>
  <si>
    <t>DRUGS SUPPLY</t>
  </si>
  <si>
    <t>POLITICAL PARTIES ACTIVITIES</t>
  </si>
  <si>
    <t>INTER-PARTY RELATIONS</t>
  </si>
  <si>
    <t>ASST. DIRECTOR PLANNING</t>
  </si>
  <si>
    <t>PRIN. TECHNICAL OFFICER PLANN.</t>
  </si>
  <si>
    <t>CAREERS AND COUNCELLING DEPT.</t>
  </si>
  <si>
    <t>CHIEF RES. OFFICER</t>
  </si>
  <si>
    <t>TECHNICAL OFFICER PLANNING</t>
  </si>
  <si>
    <t>ASST. TECH. OFFICER PLANN.</t>
  </si>
  <si>
    <t>ASST. TECH. OFFICER RESEARCH</t>
  </si>
  <si>
    <t>FOREMEN</t>
  </si>
  <si>
    <t>CHIEF TRANSLATOR</t>
  </si>
  <si>
    <t>CON. SEC. III</t>
  </si>
  <si>
    <t>429D</t>
  </si>
  <si>
    <t>429E</t>
  </si>
  <si>
    <t>PERSONNEL MAGT. DEPARTMENT</t>
  </si>
  <si>
    <t>H.E.O ADMIN.</t>
  </si>
  <si>
    <t>PRIN. CATERING OFF.</t>
  </si>
  <si>
    <t>RIGHT OF OCCUPANCY-COMPENSATION RECOVERED</t>
  </si>
  <si>
    <t>GROUND RENT</t>
  </si>
  <si>
    <t>CONTRIBUTION TO UNIVERSITIES</t>
  </si>
  <si>
    <t>SALES OF SEED FROM NURSERIES</t>
  </si>
  <si>
    <t>SALES OF POULTRY PRODUCT</t>
  </si>
  <si>
    <t>LIVESTOCK FEEDING</t>
  </si>
  <si>
    <t>COOKS</t>
  </si>
  <si>
    <t>CHIEF STATEWARD</t>
  </si>
  <si>
    <t>HEAD STEWARD</t>
  </si>
  <si>
    <t>SOCIAL WELFARE ASST.</t>
  </si>
  <si>
    <t>CHILD DEPARTMENT</t>
  </si>
  <si>
    <t>DIRECTOR CHILD</t>
  </si>
  <si>
    <t>DEPUTY DIRECTOR CHILD</t>
  </si>
  <si>
    <t>CONTRACT OFFICER GRATUITIES</t>
  </si>
  <si>
    <t>SNR. TOURISM OFFICER</t>
  </si>
  <si>
    <t>TOURISM OFFICER I</t>
  </si>
  <si>
    <t>ASST. CHIEF AGRIC OFFICER</t>
  </si>
  <si>
    <t>HISTORY BUREAU</t>
  </si>
  <si>
    <t>xv</t>
  </si>
  <si>
    <t>FIRE SERVICE</t>
  </si>
  <si>
    <t>xvi</t>
  </si>
  <si>
    <t>GOVERNMENT PRINTING</t>
  </si>
  <si>
    <t>LABOUR AND PRODUCTIVITY EXP.</t>
  </si>
  <si>
    <t>CAMERAMAN VIDEO</t>
  </si>
  <si>
    <t>xvii</t>
  </si>
  <si>
    <t>MOTOR MECHANIC</t>
  </si>
  <si>
    <t>PHOTOGRAPHIC SECTION</t>
  </si>
  <si>
    <t>PRIN. PHOTOGRAPHER II</t>
  </si>
  <si>
    <t>AGRIC OFFICER I</t>
  </si>
  <si>
    <t>SNR. AGRIC SUPT.</t>
  </si>
  <si>
    <t>ASST. CHIEF AUDITORS</t>
  </si>
  <si>
    <t>PRIN. AUDITORS</t>
  </si>
  <si>
    <t>SNR. AUDITORS</t>
  </si>
  <si>
    <t>ABDU GUSAU POLYTECHNIC T/MAFARA</t>
  </si>
  <si>
    <t>432/3</t>
  </si>
  <si>
    <t>3p</t>
  </si>
  <si>
    <t>INSURANCE GENERAL</t>
  </si>
  <si>
    <t>LEGAL CHARGES</t>
  </si>
  <si>
    <t>AUDIT CHARGES</t>
  </si>
  <si>
    <t>HONORARIUM AND ACCRED.</t>
  </si>
  <si>
    <t>PENSION AND GRATUITY</t>
  </si>
  <si>
    <t>LIBRARY BOOKS</t>
  </si>
  <si>
    <t>RESEARCH GRANTS</t>
  </si>
  <si>
    <t>3o</t>
  </si>
  <si>
    <t>432/4</t>
  </si>
  <si>
    <t>4p</t>
  </si>
  <si>
    <t>4o</t>
  </si>
  <si>
    <t>432/5</t>
  </si>
  <si>
    <t>5p</t>
  </si>
  <si>
    <t>5o</t>
  </si>
  <si>
    <t>432/6</t>
  </si>
  <si>
    <t>6p</t>
  </si>
  <si>
    <t>61o</t>
  </si>
  <si>
    <t>432/62</t>
  </si>
  <si>
    <t>62p</t>
  </si>
  <si>
    <t>MINISTRY FOR LOCAL GOVT. &amp; CHIEFTAINCY AFFAIRS</t>
  </si>
  <si>
    <t>SNR. STATISTICAL OFFICER</t>
  </si>
  <si>
    <t xml:space="preserve">DIRECTOR  </t>
  </si>
  <si>
    <t>PRIN. PERSONNEL OFFICER</t>
  </si>
  <si>
    <t>B/CLERK</t>
  </si>
  <si>
    <t>MECHANICAL/ELECTR. DEPT.</t>
  </si>
  <si>
    <t xml:space="preserve">PUMP OPERATOR </t>
  </si>
  <si>
    <t xml:space="preserve">SNR. PLANT OPERATOR </t>
  </si>
  <si>
    <t>P.T.O II</t>
  </si>
  <si>
    <t>MAINT. OF ELECTRICITY</t>
  </si>
  <si>
    <t>PRODUCTION DEPARTMENT</t>
  </si>
  <si>
    <t>SNR. AGR. OFF.</t>
  </si>
  <si>
    <t>HIGHER AGR. OFF.</t>
  </si>
  <si>
    <t>TYPIST.</t>
  </si>
  <si>
    <t>CHIEF DRIVER</t>
  </si>
  <si>
    <t>SNR. DRIVER MECH.</t>
  </si>
  <si>
    <t>DRIVER</t>
  </si>
  <si>
    <t>COOK</t>
  </si>
  <si>
    <t>NANNY</t>
  </si>
  <si>
    <t>SNR NANNY</t>
  </si>
  <si>
    <t>STEWARD</t>
  </si>
  <si>
    <t>RECEPTIONIST</t>
  </si>
  <si>
    <t>PRODUCTION CLERK I</t>
  </si>
  <si>
    <t>PRODUCTION CLERK II</t>
  </si>
  <si>
    <t>PRODUCTION CLERK III</t>
  </si>
  <si>
    <t>NEWS AND FEATURES UNIT</t>
  </si>
  <si>
    <t>CHIEF FEATURE WRITER</t>
  </si>
  <si>
    <t>PRIN. FEATURE WRITER</t>
  </si>
  <si>
    <t>HIGHER FEATURE WRITER</t>
  </si>
  <si>
    <t>SNR. FEATURE WRITER</t>
  </si>
  <si>
    <t>FEATURE WRITER</t>
  </si>
  <si>
    <t>CONTRIBUTION IN RESPECT OF SECONDED OFFICERS RETIREMENT BENEFIT</t>
  </si>
  <si>
    <t>ADMISSION FORM</t>
  </si>
  <si>
    <t>SCHOOL INSPECTION</t>
  </si>
  <si>
    <t>H.T.O. MECH.</t>
  </si>
  <si>
    <t>INSPECTION AND GRADING FEES</t>
  </si>
  <si>
    <t>CHIEF MAINT. SUPT.</t>
  </si>
  <si>
    <t>ASST. CHIEF MAINT. SUPT.</t>
  </si>
  <si>
    <t>COMMUNITY &amp; SOCIAL DEVELOPMENT PROJECT</t>
  </si>
  <si>
    <t>DIRECTORATE OF RURAL ELECTRIFICATION</t>
  </si>
  <si>
    <t>DIRECTORATE FOR RURAL ELECTRIFICATION</t>
  </si>
  <si>
    <t>TELECOM DEPT</t>
  </si>
  <si>
    <t>DEP. DIRECTOR TELECOM</t>
  </si>
  <si>
    <t>T.O TELCOM.</t>
  </si>
  <si>
    <t>SECETARIAL ASST. II</t>
  </si>
  <si>
    <t>SNR. MOTOR DRIVER II</t>
  </si>
  <si>
    <t>SNR. MOTOR DRIVER I</t>
  </si>
  <si>
    <t>ADVERT AND PUBLICITY</t>
  </si>
  <si>
    <t>INSTALLATION OF INTERNET</t>
  </si>
  <si>
    <t>PERSONNEL ASST. III.</t>
  </si>
  <si>
    <t>SNR. RESEARCH OFFICER</t>
  </si>
  <si>
    <t>HOME AFFAIRS</t>
  </si>
  <si>
    <t>A.W.S.</t>
  </si>
  <si>
    <t xml:space="preserve">SNR. PLUMBER I </t>
  </si>
  <si>
    <t>AGRIC ASST.</t>
  </si>
  <si>
    <t>INTERNATIONAL HAJJ CONFERENCE</t>
  </si>
  <si>
    <t>TRANSPORT DEPARTMENT</t>
  </si>
  <si>
    <t>PLANNING OFF. I</t>
  </si>
  <si>
    <t>PLANNING OFF. II</t>
  </si>
  <si>
    <t>CHIEF TRANSPORT OFF.</t>
  </si>
  <si>
    <t>ASST. CHIEF TRANSPORT OFF.</t>
  </si>
  <si>
    <t>SNR. TRANSPORT OFF.</t>
  </si>
  <si>
    <t>TRAN. OFF. I</t>
  </si>
  <si>
    <t>TRAN. OFF. II</t>
  </si>
  <si>
    <t>CHIEF. TRANS. OFF.</t>
  </si>
  <si>
    <t>ASST. CHIEF. TRANS. OFF.</t>
  </si>
  <si>
    <t>PRIN. TRANS. OFF.</t>
  </si>
  <si>
    <t>GRANT TO NGOs</t>
  </si>
  <si>
    <t>STATE MDG REPORTS</t>
  </si>
  <si>
    <t>AUTO ELECTRICIAN</t>
  </si>
  <si>
    <t>CHIEF DATA SUPT.</t>
  </si>
  <si>
    <t>STATE QUR'ANIC RECITATION</t>
  </si>
  <si>
    <t>TARAWIHI AND TAHAJJUD</t>
  </si>
  <si>
    <t>INTER COMPETITION</t>
  </si>
  <si>
    <t>SUPPORT TO PLHIV</t>
  </si>
  <si>
    <t>MONITORING &amp; EVALUATION</t>
  </si>
  <si>
    <t>SPECIALISED TRAINING ON AIDS CONT.</t>
  </si>
  <si>
    <t>INTERGRATED SUPPORTIVE SUPERV.</t>
  </si>
  <si>
    <t>HIV/AIDS EDUC. ACTIVITIES</t>
  </si>
  <si>
    <t>COURT FEES-HIGH COURT</t>
  </si>
  <si>
    <t>COURT FINE - HIGH COURT</t>
  </si>
  <si>
    <t>PROBATE FEES-HIGH COURT</t>
  </si>
  <si>
    <t>COURT FEES-MAG. COURT</t>
  </si>
  <si>
    <t>CHIEF FOREST OFFICER</t>
  </si>
  <si>
    <t>ASST. FOR. OFFICER</t>
  </si>
  <si>
    <t>PRIN. F. OFFICER</t>
  </si>
  <si>
    <t>AGENCY FOR INTER COMMUNITY RELATIONS</t>
  </si>
  <si>
    <t>432/66</t>
  </si>
  <si>
    <t>MINISTRY FOR LOCAL GOVT.</t>
  </si>
  <si>
    <t>MINISTRY OF LAND AND SURVEY</t>
  </si>
  <si>
    <t>MECH. SECTION</t>
  </si>
  <si>
    <t>SALES OF FISHING EQUIPMENT</t>
  </si>
  <si>
    <t>PRIN. AGRIC SUPT. I</t>
  </si>
  <si>
    <t>SALES OF COTTON MARKET MATERIALS</t>
  </si>
  <si>
    <t>PROTOCOL OFFICER II</t>
  </si>
  <si>
    <t>REGISTRARS</t>
  </si>
  <si>
    <t>ASST. REGISTRARS</t>
  </si>
  <si>
    <t>CULTURAL DEPARTMENT</t>
  </si>
  <si>
    <t>CHIEF CULTURAL OFFICER</t>
  </si>
  <si>
    <t>CULTURAL OFFICER I</t>
  </si>
  <si>
    <t>CHIEF TOURISM OFFICER</t>
  </si>
  <si>
    <t>ASST. CHIEF TOURISM OFFICER</t>
  </si>
  <si>
    <t>PRIN. TOURISM OFFICER</t>
  </si>
  <si>
    <t>SALES OF MATERIALS</t>
  </si>
  <si>
    <t>INSTRUCTORS</t>
  </si>
  <si>
    <t>RESEARCH ON HISTORICAL PLACES &amp; ARCH MATERIALS</t>
  </si>
  <si>
    <t>PURCHASE OF PROTECTIVE CLOTHING &amp; UNIFORM</t>
  </si>
  <si>
    <t>SNR. PHAR. TECH</t>
  </si>
  <si>
    <t>H. P. TECH</t>
  </si>
  <si>
    <t>PHAR. TECH.</t>
  </si>
  <si>
    <t>C.P TECH</t>
  </si>
  <si>
    <t>(g)</t>
  </si>
  <si>
    <t>MINISTRY OF HOUSING AND TOWN PLANNING</t>
  </si>
  <si>
    <t>(h)</t>
  </si>
  <si>
    <t>10o</t>
  </si>
  <si>
    <t>432/11</t>
  </si>
  <si>
    <t>11p</t>
  </si>
  <si>
    <t>11o</t>
  </si>
  <si>
    <t>432/12</t>
  </si>
  <si>
    <t>12p</t>
  </si>
  <si>
    <t>12o</t>
  </si>
  <si>
    <t>432/13</t>
  </si>
  <si>
    <t>13p</t>
  </si>
  <si>
    <t>MAINT OF VEHICLE AND CAPITAL ASST.</t>
  </si>
  <si>
    <t>TRAINNING OF STAFF &amp; DEVT.</t>
  </si>
  <si>
    <t>13o</t>
  </si>
  <si>
    <t>SCHOOL OF NURSING AND MIDWIFERY GUSAU</t>
  </si>
  <si>
    <t>432/14</t>
  </si>
  <si>
    <t>14p</t>
  </si>
  <si>
    <t>14o</t>
  </si>
  <si>
    <t>ARABIC AND ISLAMIC EDUC. BOARD</t>
  </si>
  <si>
    <t>432/15</t>
  </si>
  <si>
    <t>15p</t>
  </si>
  <si>
    <t>CONTRIBUTION TO ISLAMIYA</t>
  </si>
  <si>
    <t>SEMINARS AND CONFERENCE</t>
  </si>
  <si>
    <t>15o</t>
  </si>
  <si>
    <t>DATA COLL. ANNUAL SOFTWARE REACTIVATION</t>
  </si>
  <si>
    <t>REHABILITATION DEPT.</t>
  </si>
  <si>
    <t>CHIEF REHAB. OFFICER</t>
  </si>
  <si>
    <t>ASST.REHAB. OFFICER</t>
  </si>
  <si>
    <t>SNR. REHAB. OFFICER I</t>
  </si>
  <si>
    <t>SNR. REHAB. OFFICER II</t>
  </si>
  <si>
    <t>HIGHER REHAB. OFFICER</t>
  </si>
  <si>
    <t>REHAB. OFFICER I</t>
  </si>
  <si>
    <t>REHAB. OFFICER II</t>
  </si>
  <si>
    <t>REHAB. ASSISTANT I</t>
  </si>
  <si>
    <t>62o</t>
  </si>
  <si>
    <t>432/63</t>
  </si>
  <si>
    <t>63p</t>
  </si>
  <si>
    <t>63o</t>
  </si>
  <si>
    <t>432/64</t>
  </si>
  <si>
    <t>64p</t>
  </si>
  <si>
    <t>64o</t>
  </si>
  <si>
    <t>432/65</t>
  </si>
  <si>
    <t>65p</t>
  </si>
  <si>
    <t>65o</t>
  </si>
  <si>
    <t>SECONDARY SCHOOLS FEEDING AGENCY</t>
  </si>
  <si>
    <t>SNR. RANGE INSPECTOR</t>
  </si>
  <si>
    <t>FOREST OFFICER I</t>
  </si>
  <si>
    <t>VILLAGE EXT. WORKERS</t>
  </si>
  <si>
    <t>PAY AS YOU EARN</t>
  </si>
  <si>
    <t>FORESTRY ASST.</t>
  </si>
  <si>
    <t>PR. AGR. OFF. I</t>
  </si>
  <si>
    <t>432/17</t>
  </si>
  <si>
    <t>17p</t>
  </si>
  <si>
    <t>17o</t>
  </si>
  <si>
    <t>432/18</t>
  </si>
  <si>
    <t>18p</t>
  </si>
  <si>
    <t>MAINT. OF PRINTING MACH.</t>
  </si>
  <si>
    <t>18o</t>
  </si>
  <si>
    <t>432/19</t>
  </si>
  <si>
    <t>19p</t>
  </si>
  <si>
    <t>19o</t>
  </si>
  <si>
    <t>SNR. DRAFTMAN</t>
  </si>
  <si>
    <t>FILM PRODUCTION SECTION</t>
  </si>
  <si>
    <t>AUDITOR GRADE II</t>
  </si>
  <si>
    <t>PUBLICATION AND PRODUCTION OF STATE PROGRAMMES</t>
  </si>
  <si>
    <t>CUSTUME FOR DRAMA</t>
  </si>
  <si>
    <t>EXEC. OFFICER AUDIT</t>
  </si>
  <si>
    <t>ASST. EXEC. OFF. AUDIT</t>
  </si>
  <si>
    <t>EXAMINATION EXPENSES</t>
  </si>
  <si>
    <t>CONSENT FEES (NON-REFUNDABLE)</t>
  </si>
  <si>
    <t>HEAD: 408 MISCELLANEOUS</t>
  </si>
  <si>
    <t>REGISTRATION BOOKLETS</t>
  </si>
  <si>
    <t>P.HYDRO I</t>
  </si>
  <si>
    <t>P.HYDRO II</t>
  </si>
  <si>
    <t>ASST. INFORMATION OFFICER II</t>
  </si>
  <si>
    <t>INFORMATION ASST.</t>
  </si>
  <si>
    <t>CAMERA &amp; TECH SECTION</t>
  </si>
  <si>
    <t>STATE COUNCEL</t>
  </si>
  <si>
    <t>AGRIC OFFICER (SAD)</t>
  </si>
  <si>
    <t>ASST. AGRIC SUPT</t>
  </si>
  <si>
    <t>ASST. AGRIC SUPT (T)</t>
  </si>
  <si>
    <t>SNR. PLANN. OFFICER</t>
  </si>
  <si>
    <t>PLANNING ASST.</t>
  </si>
  <si>
    <t>SNR. PLANN. ASST.</t>
  </si>
  <si>
    <t>GRANT TO PRESS SECRETARY</t>
  </si>
  <si>
    <t>ACCO ADM.</t>
  </si>
  <si>
    <t>METER READ.</t>
  </si>
  <si>
    <t>METER READ. II</t>
  </si>
  <si>
    <t>413K</t>
  </si>
  <si>
    <t>CARPENTER GRADE III</t>
  </si>
  <si>
    <t>MARSON</t>
  </si>
  <si>
    <t>PLUMBER II</t>
  </si>
  <si>
    <t>SECRETARIAL ASST. I</t>
  </si>
  <si>
    <t>P.R.T.O. II</t>
  </si>
  <si>
    <t>S.R.T.O.</t>
  </si>
  <si>
    <t>H.R.T.O.</t>
  </si>
  <si>
    <t>R.T.O</t>
  </si>
  <si>
    <t>A.V.I.O</t>
  </si>
  <si>
    <t>C/ASST. ADM</t>
  </si>
  <si>
    <t>A.A. OFFICER</t>
  </si>
  <si>
    <t>COOKS II</t>
  </si>
  <si>
    <t>GRADE II TEACHER</t>
  </si>
  <si>
    <t>ARABIC TEACHER</t>
  </si>
  <si>
    <t>WELF. PACKAGE TO NEEDIES</t>
  </si>
  <si>
    <t>CLEANER I</t>
  </si>
  <si>
    <t>SNR. DIRVER</t>
  </si>
  <si>
    <t>DRIVER II</t>
  </si>
  <si>
    <t>DRIVER III</t>
  </si>
  <si>
    <t>DRIVER IV</t>
  </si>
  <si>
    <t>PRIN. HEALTH SUPT.</t>
  </si>
  <si>
    <t>CLERCIAL OFFICER</t>
  </si>
  <si>
    <t>COORDINATOR</t>
  </si>
  <si>
    <t>CHIEF EDUCATIO OFF. (STUDENT)</t>
  </si>
  <si>
    <t>ASST. CHIEF LIV. OFFICER</t>
  </si>
  <si>
    <t>C.C.O</t>
  </si>
  <si>
    <t>M/DRIVER MECHANIC</t>
  </si>
  <si>
    <t>ASST CHIEF EXEC. OFF.</t>
  </si>
  <si>
    <t>RANGE MGT. ASST.</t>
  </si>
  <si>
    <t>PRIN. STORES OFFICER</t>
  </si>
  <si>
    <t>COPY TYPIST</t>
  </si>
  <si>
    <t>HEAD MASSENGER</t>
  </si>
  <si>
    <t>SNR. MASSENGER</t>
  </si>
  <si>
    <t>MASSENGER</t>
  </si>
  <si>
    <t>GARDNERS</t>
  </si>
  <si>
    <t>TAILORS</t>
  </si>
  <si>
    <t>COMPUTER PROGRAMMER</t>
  </si>
  <si>
    <t>COMPUTER PROGRAMMER ASST.</t>
  </si>
  <si>
    <t>MOTOT DRIVER I</t>
  </si>
  <si>
    <t>MOTOT DRIVER II</t>
  </si>
  <si>
    <t>MOTOT DRIVER III</t>
  </si>
  <si>
    <t>SNR.  MESSENGER</t>
  </si>
  <si>
    <t>CLEANER/GARDENER</t>
  </si>
  <si>
    <t>C.S.O.</t>
  </si>
  <si>
    <t>A.C.S.O.</t>
  </si>
  <si>
    <t>P.S.O. I</t>
  </si>
  <si>
    <t>PART VII          LOCAL GOVT. AUDIT</t>
  </si>
  <si>
    <t>PENSION STATUTORY</t>
  </si>
  <si>
    <t>GRATUITY</t>
  </si>
  <si>
    <t>A.E.O. ACCOUNT</t>
  </si>
  <si>
    <t>S.O.</t>
  </si>
  <si>
    <t>S.S.K.</t>
  </si>
  <si>
    <t>MINISTRY OF YOUTH EMPLOYMENT, SKILLS ACQUISITION AND SPORTS DEVELOPMENT</t>
  </si>
  <si>
    <t>DEVELOPMENT LEVY</t>
  </si>
  <si>
    <t>CON. SECRETARY III</t>
  </si>
  <si>
    <t>CONF. SECRETARY IV</t>
  </si>
  <si>
    <t>SNR. TYPIST I</t>
  </si>
  <si>
    <t>SNR. TYPIEST</t>
  </si>
  <si>
    <t>SNR. PERSONNEL OFFICER I</t>
  </si>
  <si>
    <t>PERSONNEL OFFICER II</t>
  </si>
  <si>
    <t>DATA CLEARK</t>
  </si>
  <si>
    <t>SNR. FOR. OFF.</t>
  </si>
  <si>
    <t>FOREST OFFICER II</t>
  </si>
  <si>
    <t>NATIONAL PROGR. ON IMMUN./CDD</t>
  </si>
  <si>
    <t>CHIEF COMM H.O.</t>
  </si>
  <si>
    <t>VILLAGE EXT. WORKERS IV</t>
  </si>
  <si>
    <t>NURSERY ATTD. II</t>
  </si>
  <si>
    <t>SNR. AGRIC. SUPT.</t>
  </si>
  <si>
    <t>HIGHER AGRIC. SUPT.</t>
  </si>
  <si>
    <t>ASST. PUBLIC REL. OFF.</t>
  </si>
  <si>
    <t>BUDGET DEPARTMENT</t>
  </si>
  <si>
    <t>MONITORING AND EVALUATION</t>
  </si>
  <si>
    <t>TECHNICAL MEMBERS</t>
  </si>
  <si>
    <t>TOURISM GUIDE II</t>
  </si>
  <si>
    <t>TOURISM GUIDE III</t>
  </si>
  <si>
    <t>TOURISM GUIDE I</t>
  </si>
  <si>
    <t>RE-IMBURSEMENT FROM PARASTATALS</t>
  </si>
  <si>
    <t>PRINCIPAL HOTEL INSPECTOR</t>
  </si>
  <si>
    <t>SNR. HOTEL INSPECTOR</t>
  </si>
  <si>
    <t>HOTEL INSPECTORS II</t>
  </si>
  <si>
    <t>HEAD SECURITY GUARD</t>
  </si>
  <si>
    <t>LABOURER/CLEANERS</t>
  </si>
  <si>
    <t>CLEARNERS</t>
  </si>
  <si>
    <t>TOURISM GUIDE</t>
  </si>
  <si>
    <t>FINANCE &amp; SUPPLY DEPT.</t>
  </si>
  <si>
    <t>ACCOUNT ASST. II</t>
  </si>
  <si>
    <t>HIGHER STORE OFFICER</t>
  </si>
  <si>
    <t>EXCHANGE PROGRAMME</t>
  </si>
  <si>
    <t>REN. OF OFFICE BUILDING</t>
  </si>
  <si>
    <t>DATA ANALYST I</t>
  </si>
  <si>
    <t>SNR. COMM. DEV. INSPECTOR</t>
  </si>
  <si>
    <t>STAFF NURSE/NURSING SUPT.</t>
  </si>
  <si>
    <t>MSS 9</t>
  </si>
  <si>
    <t>MSS 8</t>
  </si>
  <si>
    <t>HOUSE KEEPING DEPT.</t>
  </si>
  <si>
    <t>DIRECTOR</t>
  </si>
  <si>
    <t>ASST. DIRECTOR</t>
  </si>
  <si>
    <t>SNR. HOUSE KEEPER</t>
  </si>
  <si>
    <t>HOUSE KEEPER I</t>
  </si>
  <si>
    <t>HOUSE KEEPER II</t>
  </si>
  <si>
    <t>HIGHER EXECUTIVE OFFICER</t>
  </si>
  <si>
    <t>ASST. EXEC. OFFICER</t>
  </si>
  <si>
    <t>CLERICAL ASST. ACCT.</t>
  </si>
  <si>
    <t>ISSUE OF CERT. OF DIVORCE</t>
  </si>
  <si>
    <t>PRIN. STORE OFFICER</t>
  </si>
  <si>
    <t>FOREST ATTENDANT I</t>
  </si>
  <si>
    <t>FOREST ATTENDANT II</t>
  </si>
  <si>
    <t>CHIEF WILD OFF.</t>
  </si>
  <si>
    <t>ASST. CHIEF WILD OFF.</t>
  </si>
  <si>
    <t>TEACHERS DAY CELEBRATION</t>
  </si>
  <si>
    <t>VET. EXTENSION SERVICE</t>
  </si>
  <si>
    <t>ANIMAL FEEDING</t>
  </si>
  <si>
    <t>WILD OFF. II</t>
  </si>
  <si>
    <t>HIGH EXECUTIVE OFFICER</t>
  </si>
  <si>
    <t>IRRIG. WATCHMAN I</t>
  </si>
  <si>
    <t>IRRIG. WATCHMAN II</t>
  </si>
  <si>
    <t>IRRIG. MESSENGER</t>
  </si>
  <si>
    <t>417A</t>
  </si>
  <si>
    <t>MINISTRY OF FINANCE</t>
  </si>
  <si>
    <t xml:space="preserve">  </t>
  </si>
  <si>
    <t>ix</t>
  </si>
  <si>
    <t>DIRECTORATE OF SPORTS</t>
  </si>
  <si>
    <t>x</t>
  </si>
  <si>
    <t>LAW REFORM COMMISSION</t>
  </si>
  <si>
    <t>PURCHASE OF DRUGS DRESSINGS</t>
  </si>
  <si>
    <t>LEGAL AUDIT FEES</t>
  </si>
  <si>
    <t>FEDDING OF INPATIENTS AT GEN. HOSP.</t>
  </si>
  <si>
    <t>6o</t>
  </si>
  <si>
    <t>432/7</t>
  </si>
  <si>
    <t>7p</t>
  </si>
  <si>
    <t>FUEL AND LUBRICANT</t>
  </si>
  <si>
    <t>AUDIT FEE</t>
  </si>
  <si>
    <t>SEMINAR AND CONFERENCE</t>
  </si>
  <si>
    <t>MAINT. OF PUMPS</t>
  </si>
  <si>
    <t>AUDITORS GRADE I</t>
  </si>
  <si>
    <t>TRAINING &amp; STAFF DEVT. (OVERSEAS)</t>
  </si>
  <si>
    <t>16p</t>
  </si>
  <si>
    <t>16o</t>
  </si>
  <si>
    <t>MEDICAL TREATMENT OVERSEAS</t>
  </si>
  <si>
    <t>PHOTO LIBRARY ASST.</t>
  </si>
  <si>
    <t>PROPOSED</t>
  </si>
  <si>
    <t>TRADE ASST.</t>
  </si>
  <si>
    <t>PLANN. OFF. II</t>
  </si>
  <si>
    <t>LOAN REC. ASST.</t>
  </si>
  <si>
    <t>PUBLIC RELATION OFFICER</t>
  </si>
  <si>
    <t>CAMERA OFFICERS I</t>
  </si>
  <si>
    <t>CHIEF FILM PRODUCTION OFFICER</t>
  </si>
  <si>
    <t>424 a.</t>
  </si>
  <si>
    <t>ENLIGHTENMENT PROG. ON ANTI CORRUP. ACTIV.</t>
  </si>
  <si>
    <t>ASST. CHIEF ACCOUNTANT</t>
  </si>
  <si>
    <t>DEP. ACCOUNTANT GENERAL</t>
  </si>
  <si>
    <t xml:space="preserve">CHIEF AGRIC OFFICER </t>
  </si>
  <si>
    <t xml:space="preserve">ASST. CHIEF AGRIC OFFICER </t>
  </si>
  <si>
    <t>MINISTRY OF ANIMAL HEALTH AND LIVESTOCK HUSB.</t>
  </si>
  <si>
    <t>LIVESTOCK DEVT. DEPT.</t>
  </si>
  <si>
    <t>GOVERNMENT HOUSE</t>
  </si>
  <si>
    <t>H.T.O. (MECH)</t>
  </si>
  <si>
    <t>H.T.O. (CHEMICAL)</t>
  </si>
  <si>
    <t>421C</t>
  </si>
  <si>
    <t>PERM. COMMERSSIONER</t>
  </si>
  <si>
    <t>ASST. EXECUTIVE OFFICER (ADMIN)</t>
  </si>
  <si>
    <t>INVESTIGATION DEPARTMENT</t>
  </si>
  <si>
    <t>CONSULTANCY  SERVICE</t>
  </si>
  <si>
    <t>GOVERNMENT SEC. SCHOOL GUSAU</t>
  </si>
  <si>
    <t>GOVERNMENT SCIENCE SEC. SCHOOL D/SADAU</t>
  </si>
  <si>
    <t>COMM. HEALTH ASST.</t>
  </si>
  <si>
    <t>INVESTOR GUIDE</t>
  </si>
  <si>
    <t>SOKOTO DESERT CONTROL PROJECT</t>
  </si>
  <si>
    <t>SAVIEM BUSES</t>
  </si>
  <si>
    <t>ENVIRONMENTAL &amp; OCCUP. HEALTH</t>
  </si>
  <si>
    <t>CHIEF EHO</t>
  </si>
  <si>
    <t>QUARRY CRUSHING PLANT</t>
  </si>
  <si>
    <t>ENV. H. O</t>
  </si>
  <si>
    <t>SALES OF TELEPHONE DIRECTORIES</t>
  </si>
  <si>
    <t>MAINT. OF VEHICLE &amp; C/ASSETS</t>
  </si>
  <si>
    <t>PRINTING AND PUBLICATION</t>
  </si>
  <si>
    <t>ELECTRICAL I</t>
  </si>
  <si>
    <t>ELECTRICAL II</t>
  </si>
  <si>
    <t>ARTISON I</t>
  </si>
  <si>
    <t>ARTISON III</t>
  </si>
  <si>
    <t>SALES COMMERCIAL POSTERS</t>
  </si>
  <si>
    <t>HOTEL PROJECTS</t>
  </si>
  <si>
    <t>SNR. PUB. REL. OFFICER</t>
  </si>
  <si>
    <t>ACCT. ASST IV</t>
  </si>
  <si>
    <t>COMISSION SECRETARY</t>
  </si>
  <si>
    <t>ARREARS OF PARIS CLUB LOANS</t>
  </si>
  <si>
    <t xml:space="preserve">SUMMARY </t>
  </si>
  <si>
    <t>MINISTRY OF YOUTHS EMPOWERNMENT, SKILLS ACQUISITION AND SPORTS DEVT.</t>
  </si>
  <si>
    <t>419B</t>
  </si>
  <si>
    <t>LAW BOOK (SPECIAL EXPENDITURE)</t>
  </si>
  <si>
    <t>STATE WITNESS EXPENSES</t>
  </si>
  <si>
    <t>MAITENANCE OF VEHICLE</t>
  </si>
  <si>
    <t>CONSULTANCY DERVICES</t>
  </si>
  <si>
    <t>ENTERTAINMENT &amp; HOSP.</t>
  </si>
  <si>
    <t>ESTATE AND WORKS DEPT.</t>
  </si>
  <si>
    <t>SURVEY DIVISION</t>
  </si>
  <si>
    <t>PRIN. GRISTRAR</t>
  </si>
  <si>
    <t>LIBRARIAN OFFICER I</t>
  </si>
  <si>
    <t>ASIST. EXCUTIVE OFF. ACCT</t>
  </si>
  <si>
    <t>ASST. CARPENTARY</t>
  </si>
  <si>
    <t>LEATHER INSTRUCTOR I</t>
  </si>
  <si>
    <t>INTEREST ON TREASURY BILLS</t>
  </si>
  <si>
    <t>REPAYMENT ON BICYCLE LOAN</t>
  </si>
  <si>
    <t>SNR. ASST ANALYST</t>
  </si>
  <si>
    <t>BUILDING UNIT</t>
  </si>
  <si>
    <t>GRANT TO PRESS SECRECTARY</t>
  </si>
  <si>
    <t>MAINT. OF GOVT. HOUSE (FEEDING)</t>
  </si>
  <si>
    <t>PRIN. STOCK VERIFIER</t>
  </si>
  <si>
    <t>ASST. CHIEF CONF. SEC.</t>
  </si>
  <si>
    <t>PURCHASE OF R.E.C.C. FACILITIES</t>
  </si>
  <si>
    <t>SNR. LIV. OVERSEER</t>
  </si>
  <si>
    <t>LIV. OVERSEER</t>
  </si>
  <si>
    <t>CAPITAL PROJECT DEPARTMENT</t>
  </si>
  <si>
    <t>FARMERS CREDIT SCHEME R/CO</t>
  </si>
  <si>
    <t>A.S.O. III</t>
  </si>
  <si>
    <t>A.S.O. IV</t>
  </si>
  <si>
    <t>SCEINCET ASSIT I</t>
  </si>
  <si>
    <t>TERTIARY STUDENTS REGISTRATION FEES</t>
  </si>
  <si>
    <t>LAND CLEARING OPERATION</t>
  </si>
  <si>
    <t>STATE COORDINATOR</t>
  </si>
  <si>
    <t>SENIOR STATS. ASST.</t>
  </si>
  <si>
    <t>HIGHER INFORMATION OFFICER</t>
  </si>
  <si>
    <t>PLANT HIRE</t>
  </si>
  <si>
    <t>RECEIPT FROM PARASTATALS</t>
  </si>
  <si>
    <t xml:space="preserve">i </t>
  </si>
  <si>
    <t>PERSONNEL ASST. III</t>
  </si>
  <si>
    <t>MESSENGERS/BELIF</t>
  </si>
  <si>
    <t>HEALTH EDUCATOR</t>
  </si>
  <si>
    <t>PROJECTIONIST</t>
  </si>
  <si>
    <t>HOTELS DEPT.</t>
  </si>
  <si>
    <t>PRIN. E.H.O</t>
  </si>
  <si>
    <t>S.E.H.O</t>
  </si>
  <si>
    <t>EF  VACCINATOR</t>
  </si>
  <si>
    <t>SNR. VACCINATOR</t>
  </si>
  <si>
    <t>HEALTH ASST.</t>
  </si>
  <si>
    <t>GARDENER I</t>
  </si>
  <si>
    <t>GARDENER II</t>
  </si>
  <si>
    <t>CLEANER</t>
  </si>
  <si>
    <t>LABOURER</t>
  </si>
  <si>
    <t>PUBLICATION DEPARTMENT</t>
  </si>
  <si>
    <t>ASST. DIRECTOR (EDIT)</t>
  </si>
  <si>
    <t>CHIEF EDITOR</t>
  </si>
  <si>
    <t>ACCOUNT ASST. I</t>
  </si>
  <si>
    <t>MAINTENANCE OF VEHICLE</t>
  </si>
  <si>
    <t>SNR. OFFICIAL REPT.</t>
  </si>
  <si>
    <t>CHIEF EXECUTIVES</t>
  </si>
  <si>
    <t>PURCHASE OF A STANDBY GEN.</t>
  </si>
  <si>
    <t>CHIEFTAINCY AFFAIRS. DEPT.</t>
  </si>
  <si>
    <t>DEP.DIRECTOR</t>
  </si>
  <si>
    <t>PLANNING, RESEARCH &amp; STATS.. DEPT.</t>
  </si>
  <si>
    <t>SOCIAL WELFARE OFFICER II</t>
  </si>
  <si>
    <t>SNR. HEALTH ASST.</t>
  </si>
  <si>
    <t>HEALTH TECH.</t>
  </si>
  <si>
    <t>HEALTH ATTENDANT</t>
  </si>
  <si>
    <t>PLANNING DEPARTMENT</t>
  </si>
  <si>
    <t>NURS. DEM. II</t>
  </si>
  <si>
    <t>NURS. DEM. III</t>
  </si>
  <si>
    <t>FISH ATT. II</t>
  </si>
  <si>
    <t xml:space="preserve">SEMINARS AND WORKSHOP </t>
  </si>
  <si>
    <t>ASST. BUDGET EXAMINER I</t>
  </si>
  <si>
    <t>PART XII  ASSEMBLY COMMISSION</t>
  </si>
  <si>
    <t xml:space="preserve">PART XII   </t>
  </si>
  <si>
    <t>WASHMAN</t>
  </si>
  <si>
    <t>CHILDREN PARLIAMENT</t>
  </si>
  <si>
    <t>DEVT. PARTNERS ACTIVITIES</t>
  </si>
  <si>
    <t>INTERNATIONAL CONFERENCES/SEM.</t>
  </si>
  <si>
    <t>Law Students' Allowances</t>
  </si>
  <si>
    <t>(j)</t>
  </si>
  <si>
    <t>PRIN. ENGINEER</t>
  </si>
  <si>
    <t>AGENCY FOR PRIVATE SECTOR</t>
  </si>
  <si>
    <t>ZAROMA</t>
  </si>
  <si>
    <t>CHIEF WORKS SUPT.</t>
  </si>
  <si>
    <t>CIVIL LITIGATION DEPT.</t>
  </si>
  <si>
    <t>PLANNING, RESEARCH AND STATISTICS DEPT.</t>
  </si>
  <si>
    <t>PRIN. LEGAL OFFICER</t>
  </si>
  <si>
    <t>SNR. LEGAL OFFICER</t>
  </si>
  <si>
    <t>REHAB. ASSISTANT II</t>
  </si>
  <si>
    <t>REHAB. ASSISTANT III</t>
  </si>
  <si>
    <t>MINISTRY OF TRANSPORT</t>
  </si>
  <si>
    <t>MINISTRY OF TRANPORT</t>
  </si>
  <si>
    <t>MINISTRY FOR RURAL DEVT. &amp; COOPERATIVE SOCIETY</t>
  </si>
  <si>
    <t>CCO ADM.</t>
  </si>
  <si>
    <t>CLERICAL ASST. I</t>
  </si>
  <si>
    <t>CLERICAL ASST.II</t>
  </si>
  <si>
    <t>METTER READ.I</t>
  </si>
  <si>
    <t>METTER READ.II</t>
  </si>
  <si>
    <t>ZAMFARA STATE ENVIRONMENTAL SANITATION AGENCY</t>
  </si>
  <si>
    <t xml:space="preserve"> ACCT. ASST. III</t>
  </si>
  <si>
    <t>STORE ASST. III</t>
  </si>
  <si>
    <t>A.E.O. GEN. ADMIN.</t>
  </si>
  <si>
    <t>INSPECTORATE SERVICES DEPT.</t>
  </si>
  <si>
    <t>C.E.O.</t>
  </si>
  <si>
    <t>ACCULTURATION AND EXCURSION PROGRAMME</t>
  </si>
  <si>
    <t>COMMITTEE OFFICE</t>
  </si>
  <si>
    <t>BILLS OFFICE</t>
  </si>
  <si>
    <t>OPERATION DEPARTMENT</t>
  </si>
  <si>
    <t xml:space="preserve">DEPUTY DIR. </t>
  </si>
  <si>
    <t>ASST.DIRECTOR</t>
  </si>
  <si>
    <t>AGRIC SUPT.</t>
  </si>
  <si>
    <t>LOCAL GOVERNMENT SERVICE COMMISSION</t>
  </si>
  <si>
    <t>TECHNICAL EDUCATION</t>
  </si>
  <si>
    <t>DIRECTOR TECH.</t>
  </si>
  <si>
    <t>FARMER CREDIT SCHEME</t>
  </si>
  <si>
    <t>ASST. STAT. OFFICER</t>
  </si>
  <si>
    <t>SNR. COMP. OPERATOR</t>
  </si>
  <si>
    <t>ENUMERATOR</t>
  </si>
  <si>
    <t>S.T.O. (MECH)</t>
  </si>
  <si>
    <t>S.T.O. (CHEMICAL)</t>
  </si>
  <si>
    <t>TYPIST II</t>
  </si>
  <si>
    <t>EXCESS CRUDE</t>
  </si>
  <si>
    <t>CHIEF FINANCE OFFICER I</t>
  </si>
  <si>
    <t>CHIEF FINANCE OFFICER II</t>
  </si>
  <si>
    <t>P.E.O ACCOUNT</t>
  </si>
  <si>
    <t>PRIN. REGISTRAR II</t>
  </si>
  <si>
    <t>SHARIA COURT OF APPEAL</t>
  </si>
  <si>
    <t>GRAND KHADI</t>
  </si>
  <si>
    <t xml:space="preserve">KHADIS </t>
  </si>
  <si>
    <t>A.E.O</t>
  </si>
  <si>
    <t>T.A.</t>
  </si>
  <si>
    <t>NATIONAL WATER REHABILITATION PROJECT</t>
  </si>
  <si>
    <t>ZAMFARA STATE HEALTH PROJECT</t>
  </si>
  <si>
    <t>PROTOCOL OFFICER</t>
  </si>
  <si>
    <t>ASST. CAMERA OFFICER</t>
  </si>
  <si>
    <t>PRIN. AGRIC SUPT. II</t>
  </si>
  <si>
    <t>ASST. STOCK VERIFIER II</t>
  </si>
  <si>
    <t>419A</t>
  </si>
  <si>
    <t>UTLILTY SERVICES</t>
  </si>
  <si>
    <t>SECTARIAT ASST. I</t>
  </si>
  <si>
    <t>SECTARIAT ASST. II</t>
  </si>
  <si>
    <t>TELEPHONE ATTENDANT</t>
  </si>
  <si>
    <t>PUBLICITY, PROD. AND POSTER</t>
  </si>
  <si>
    <t>PURCH. OF PHOTOGRAPHIC MAT.</t>
  </si>
  <si>
    <t>MAINT. OF INFO. CENTRES</t>
  </si>
  <si>
    <t>PERSONNEL ASST. II</t>
  </si>
  <si>
    <t>PART TIME COMMISSIONER</t>
  </si>
  <si>
    <t xml:space="preserve">        10t</t>
  </si>
  <si>
    <t>CONSOLIDATED ALLOWANCE FOR CHAIRMAN</t>
  </si>
  <si>
    <t>C.A. (ACCTS)</t>
  </si>
  <si>
    <t>MAIN ACCOUNTS DIVISION</t>
  </si>
  <si>
    <t>ASST. CHIEF DATA SUPT.</t>
  </si>
  <si>
    <t>STORES CONTROL UNIT</t>
  </si>
  <si>
    <t>ACCT. ASST. IV</t>
  </si>
  <si>
    <t>PURCHASE OF HIJABS</t>
  </si>
  <si>
    <t>PRINTING OF ISLAMIC CALENDAR &amp; ISLAMIC PAMPHLETS</t>
  </si>
  <si>
    <t>CAREERS &amp; COUNSELLING</t>
  </si>
  <si>
    <t>P.S.O. II</t>
  </si>
  <si>
    <t>S.S.O.</t>
  </si>
  <si>
    <t>H.S.O.</t>
  </si>
  <si>
    <t xml:space="preserve">AUDITOR GENERAL </t>
  </si>
  <si>
    <t>PRIN. IRRIG. SUPT. I</t>
  </si>
  <si>
    <t>PRIN. IRRIG. SUPT. II</t>
  </si>
  <si>
    <t>SNR. COMPUTER OPERATOR</t>
  </si>
  <si>
    <t>SNR. IRRIG. SUPT.</t>
  </si>
  <si>
    <t>HIGH IRRIG. SUPT.</t>
  </si>
  <si>
    <t>BUILDING DIVISION</t>
  </si>
  <si>
    <t>RESEARCH OFFICER I</t>
  </si>
  <si>
    <t>RESEARCH OFFICER II</t>
  </si>
  <si>
    <t>LOCAL GOVERNMENT RES. OFF.</t>
  </si>
  <si>
    <t>ASST. RESEARCH OFFICER</t>
  </si>
  <si>
    <t>TYPIST GRADE II</t>
  </si>
  <si>
    <t>TYPIST GRADE III</t>
  </si>
  <si>
    <t>TYPIST GRADE IV</t>
  </si>
  <si>
    <t>PR. INSP. II</t>
  </si>
  <si>
    <t>FERTILIZER AND CHEMICAL</t>
  </si>
  <si>
    <t>SHELTER BELT MAINT.</t>
  </si>
  <si>
    <t>CASH DONATIONS TO ORPHANAGES BY PHILANTROPIS OR PARENT/GUARDIAN</t>
  </si>
  <si>
    <t>INSTRUCTIONAL MATERIALS</t>
  </si>
  <si>
    <t>TECHNICAL GRADE II</t>
  </si>
  <si>
    <t>BIRD FLU PROJECT</t>
  </si>
  <si>
    <t>IRRIG. ASST. (T)</t>
  </si>
  <si>
    <t>PRIN. MECH. SUPT. II</t>
  </si>
  <si>
    <t>MECH. SUPT.</t>
  </si>
  <si>
    <t>SNR. FOREMAN</t>
  </si>
  <si>
    <t xml:space="preserve">FOREMAN  </t>
  </si>
  <si>
    <t>MINISTRY OF HEALTH</t>
  </si>
  <si>
    <t>PRIN. CHO/PRIN. EHO</t>
  </si>
  <si>
    <t>SNR. C. H. ASST</t>
  </si>
  <si>
    <t>PHC ASST.</t>
  </si>
  <si>
    <t>PUBLIC HEALTH SERV. DEPARTMENT</t>
  </si>
  <si>
    <t>MEDICAL STUDENTS</t>
  </si>
  <si>
    <t>ASST CHIEF EHO</t>
  </si>
  <si>
    <t>PERSONAL SECRETARY I</t>
  </si>
  <si>
    <t>PRIN. LIT. OFFICER</t>
  </si>
  <si>
    <t>SHARI'AH RESEARCH &amp; DEVT. COMMISSION</t>
  </si>
  <si>
    <t>DEPART. OF PUBLIC ENLIGHTENMENT</t>
  </si>
  <si>
    <t>(m)</t>
  </si>
  <si>
    <t>RELIGIOUS PREACHING COMMISSION</t>
  </si>
  <si>
    <t>MINISTRY OF WOMEN AND CHILDREN AFFAIRS</t>
  </si>
  <si>
    <t>412I</t>
  </si>
  <si>
    <t>MAINT. OF FURN. &amp; EQUIP.</t>
  </si>
  <si>
    <t>Secretariat Special Allowances</t>
  </si>
  <si>
    <t>SNR. LOCAL GOVT. OFFICER</t>
  </si>
  <si>
    <t>SNR. LOCAL GOVT. ASST.</t>
  </si>
  <si>
    <t>GENERATING PLANT</t>
  </si>
  <si>
    <t>iii</t>
  </si>
  <si>
    <t>COLLEGE OF ARTS AND SCIENCE</t>
  </si>
  <si>
    <t>iv</t>
  </si>
  <si>
    <t>COLLEGE OF EDUCATION</t>
  </si>
  <si>
    <t>v</t>
  </si>
  <si>
    <t>LAB PRACTICAL MATERIALS</t>
  </si>
  <si>
    <t>PRACTICAL MATERIALS (TECH)</t>
  </si>
  <si>
    <t>MATERNAL, NEWBORN AND CHILD SURVIVAL ACTIVITIES</t>
  </si>
  <si>
    <t>ESSENTIAL DRUGS SUPPLY SCHEME</t>
  </si>
  <si>
    <t>PERMANENT SECRETARIES</t>
  </si>
  <si>
    <t>IMPL. TABLE FORCE UNIT.</t>
  </si>
  <si>
    <t>CEO.</t>
  </si>
  <si>
    <t>COMPUTER ATTENDANT</t>
  </si>
  <si>
    <t>AUDIT UNIT</t>
  </si>
  <si>
    <t>SNR. PERS. ASST.</t>
  </si>
  <si>
    <t>PERS. ASST. I</t>
  </si>
  <si>
    <t>PERS. ASST. II</t>
  </si>
  <si>
    <t>SECRETARIAL ASST.</t>
  </si>
  <si>
    <t>SEC. ASST. II</t>
  </si>
  <si>
    <t>DRIVER GRADE I</t>
  </si>
  <si>
    <t>CHIEF GRAPHIC ARTS OFFICER</t>
  </si>
  <si>
    <t>GRAPHIC ARTS ASST. I</t>
  </si>
  <si>
    <t>GRAPHIC ARTS ASST. II</t>
  </si>
  <si>
    <t>LABOUR AND CONSTRUCTION CHARGES</t>
  </si>
  <si>
    <t>SALES OF FORMS HEALTH INSTITUTION</t>
  </si>
  <si>
    <t>ROAD CROSSING</t>
  </si>
  <si>
    <t>STORE SECTION</t>
  </si>
  <si>
    <t>WATCHMEN</t>
  </si>
  <si>
    <t>CAMERA MAN</t>
  </si>
  <si>
    <t>PHOTOGRAPHER</t>
  </si>
  <si>
    <t>CLEANERS</t>
  </si>
  <si>
    <t>STATISTICIAN</t>
  </si>
  <si>
    <t>PART I JUDICIARY</t>
  </si>
  <si>
    <t>xi</t>
  </si>
  <si>
    <t>STATE LIBRARY BOARD</t>
  </si>
  <si>
    <t>xii</t>
  </si>
  <si>
    <t>COLLEGE OF HEALTH TECHNOLOGY</t>
  </si>
  <si>
    <t>xiii</t>
  </si>
  <si>
    <t>SCHOLARSHIPS BOARD</t>
  </si>
  <si>
    <t>vii</t>
  </si>
  <si>
    <t>PRIN. STRUCTURE ENGR.</t>
  </si>
  <si>
    <t>STRUCTURAL ENGR. II</t>
  </si>
  <si>
    <t>CHIEF TECH. OFFICER STRUCT.</t>
  </si>
  <si>
    <t>WORKS SCHOOL TRAINING FEES</t>
  </si>
  <si>
    <t>COOKS/STEWARD</t>
  </si>
  <si>
    <t>ASST ACCOUNTANT</t>
  </si>
  <si>
    <t>STORE ASST. I</t>
  </si>
  <si>
    <t>ASST. GRAPHIC ARTS OFFICER III</t>
  </si>
  <si>
    <t>PRIN. TECHNICAL OFFICER</t>
  </si>
  <si>
    <t>ASST. TECHNICAL OFFICER</t>
  </si>
  <si>
    <t>ZAMFARA STATE GOVERNMENT</t>
  </si>
  <si>
    <t>CHIEF.MECH. OFF.</t>
  </si>
  <si>
    <t>S.T.O .MECH. OFF.</t>
  </si>
  <si>
    <t xml:space="preserve">PLANNING  OFFICER </t>
  </si>
  <si>
    <t>PER. MANAG. DEPART.</t>
  </si>
  <si>
    <t>JOURNAL OFFICE</t>
  </si>
  <si>
    <t>GENERAL OFFICE</t>
  </si>
  <si>
    <t>SNR. S/WELFARE OFFICER</t>
  </si>
  <si>
    <t>S.W.O.I.</t>
  </si>
  <si>
    <t>S.W.O. II</t>
  </si>
  <si>
    <t>NATIONAL HEALTH INSURANCE SCHEME</t>
  </si>
  <si>
    <t>PLANNING AND POLICY DEV.</t>
  </si>
  <si>
    <t>ASST. DEPUTY DIR.</t>
  </si>
  <si>
    <t>TOWN PLANNING OFFICER I</t>
  </si>
  <si>
    <t>TOWN PLANNING OFFICER II</t>
  </si>
  <si>
    <t>COMPUTER OPERATOR</t>
  </si>
  <si>
    <t>COMPUTER ASST.</t>
  </si>
  <si>
    <t>TYPIST I</t>
  </si>
  <si>
    <t>SECURITY MEN</t>
  </si>
  <si>
    <t>FINANCE CLERKS</t>
  </si>
  <si>
    <t>ENUMERATOR II</t>
  </si>
  <si>
    <t>SALES OF WEIGH AND MEASURES</t>
  </si>
  <si>
    <t>COMPUTER OPERATOR I</t>
  </si>
  <si>
    <t>COMPUTERT OPERATOR II</t>
  </si>
  <si>
    <t>PRIN. EXEC. OFFICER ACCOUT.</t>
  </si>
  <si>
    <t>SUPP. OF FUEL TO SEMI URBAN WATER</t>
  </si>
  <si>
    <t>MAINT. OF S/URBAN W/SCHEME</t>
  </si>
  <si>
    <t>E.O</t>
  </si>
  <si>
    <t>TOWN PLANNING  DEPARTMENT</t>
  </si>
  <si>
    <t>SNR. PROTOCL OFFICER</t>
  </si>
  <si>
    <t>SNR. P.R.O.</t>
  </si>
  <si>
    <t>S.E.O. (ACCT.)</t>
  </si>
  <si>
    <t>H.E.O. (ACCTS.)</t>
  </si>
  <si>
    <t>E.O. (ACCTS.)</t>
  </si>
  <si>
    <t>A.E.O. (ACCTS.)</t>
  </si>
  <si>
    <t>S.C.O. (ACCTS)</t>
  </si>
  <si>
    <t>DEP. CHIEF REGISTRAR</t>
  </si>
  <si>
    <t>RECEPTION I</t>
  </si>
  <si>
    <t>RECEPTION II</t>
  </si>
  <si>
    <t>PERMANENT SECRETARY OF FINANCE</t>
  </si>
  <si>
    <t>PARASTATALS/AGENCIES: HEAD 432</t>
  </si>
  <si>
    <t>PARASTATALS</t>
  </si>
  <si>
    <t>CHIEF VACCINATOR</t>
  </si>
  <si>
    <t>PRIN. VACCINATOR</t>
  </si>
  <si>
    <t>SNR. VACCINTOR</t>
  </si>
  <si>
    <t>VACCINATOR</t>
  </si>
  <si>
    <t xml:space="preserve">PRODUCTIVITY AWARDDVACE </t>
  </si>
  <si>
    <t>COMM. DEVT. DEPT.</t>
  </si>
  <si>
    <t>SNR. CLEANER</t>
  </si>
  <si>
    <t>FINANCE  DEPT.</t>
  </si>
  <si>
    <t>E.O ACCOUNTS</t>
  </si>
  <si>
    <t>SNR. DEPUTY CLERK/DIRECTOR</t>
  </si>
  <si>
    <t>INNOCULATION FEES</t>
  </si>
  <si>
    <t>GOVERNMENT ACCOUNT DEPT.</t>
  </si>
  <si>
    <t>CHIEF AUDITOR</t>
  </si>
  <si>
    <t>ASST. DIRECTOR PRIVATE</t>
  </si>
  <si>
    <t>P.E.O ACCOUNT I</t>
  </si>
  <si>
    <t>P.E.O ACCOUNT II</t>
  </si>
  <si>
    <t>COMM. HEALTH SUPERVISOR</t>
  </si>
  <si>
    <t>C/HEALTH ASST.</t>
  </si>
  <si>
    <t>INSTRUCTOR I</t>
  </si>
  <si>
    <t>LIBRARY PORTER</t>
  </si>
  <si>
    <t>LIBRARY CLEANER</t>
  </si>
  <si>
    <t>OVERHEAD COST</t>
  </si>
  <si>
    <t>ASST. COMMUNICATION  OFFICER II</t>
  </si>
  <si>
    <t>TECH. OFFICER (CONF. SYSTEM)</t>
  </si>
  <si>
    <t>ASST. TECH. OFFICER</t>
  </si>
  <si>
    <t>TECH ASST.</t>
  </si>
  <si>
    <t>ASST. WORKS SUPT.</t>
  </si>
  <si>
    <t>AUTO ELECT. GRADE I</t>
  </si>
  <si>
    <t>AUTO ELECT. GRADE II</t>
  </si>
  <si>
    <t>APPRENTICE ATISAN</t>
  </si>
  <si>
    <t>MAINTENANCE OF COMPUTERS</t>
  </si>
  <si>
    <t>NEPA &amp; WATER BILLS</t>
  </si>
  <si>
    <t>MEDICAL RECORD ASST.</t>
  </si>
  <si>
    <t>CLINIC ORDALIES</t>
  </si>
  <si>
    <t>SUMMARY OF RECURRENT EXPENDITURE</t>
  </si>
  <si>
    <t>ESTATE OFFICERS</t>
  </si>
  <si>
    <t>INFORMATION OFFICER II</t>
  </si>
  <si>
    <t>C.A. ACCT.</t>
  </si>
  <si>
    <t>LOGISTICS &amp; PLANNING DEPT.</t>
  </si>
  <si>
    <t>PLANNING OFFICERS</t>
  </si>
  <si>
    <t>STATISTICIAN ASST.</t>
  </si>
  <si>
    <t>MONITORING &amp; INVESTIGATION</t>
  </si>
  <si>
    <t>INSPECTORS</t>
  </si>
  <si>
    <t>LEGAL DRAFTMAN</t>
  </si>
  <si>
    <t>DOC. REGISTRATION AND SEARCH FEES</t>
  </si>
  <si>
    <t>GUSAU CENTRAL MARKET FEES</t>
  </si>
  <si>
    <t>PWS I</t>
  </si>
  <si>
    <t>DEVELOPMENT LAND FEES</t>
  </si>
  <si>
    <t>STUDENTS FEEDING</t>
  </si>
  <si>
    <t>P/CPC I</t>
  </si>
  <si>
    <t>TRADE CATTLE FEES</t>
  </si>
  <si>
    <t>P/CPC II</t>
  </si>
  <si>
    <t>PRIN. COMM. H. ASST.</t>
  </si>
  <si>
    <t>SNR. COMM. H. ASST.</t>
  </si>
  <si>
    <t>FINANCE CHOCK</t>
  </si>
  <si>
    <t>412C</t>
  </si>
  <si>
    <t>GRANT, CONTRIBUTION &amp; DONAT.</t>
  </si>
  <si>
    <t>ABDU GUSAU POLYTECHNIC</t>
  </si>
  <si>
    <t>vi</t>
  </si>
  <si>
    <t>CHIEF STRUCTURE ENGR.</t>
  </si>
  <si>
    <t>SNR. DRIVER MECH. II</t>
  </si>
  <si>
    <t>PRIN. TECH. OFFICER II</t>
  </si>
  <si>
    <t>PRIN. TECH. OFFICER I STRUCT.</t>
  </si>
  <si>
    <t>ASST. TECH. OFF. STRUCTURE</t>
  </si>
  <si>
    <t>ROAD TRAFFIC DIVISION</t>
  </si>
  <si>
    <t>COMPUTER EDU, TO SCH.</t>
  </si>
  <si>
    <t>MAIN. OF SCH. LIBRARY</t>
  </si>
  <si>
    <t>DETAILS OF INTERNAL LOANS REPAYMENTS</t>
  </si>
  <si>
    <t>OTHER INTEREST LOANS FROM THE FED. GOVT.</t>
  </si>
  <si>
    <t>GRAINS LOAN</t>
  </si>
  <si>
    <t>OVERSIGHT FUNCTIONS</t>
  </si>
  <si>
    <t>STATE COUNCIL OF CHIEFS</t>
  </si>
  <si>
    <t xml:space="preserve"> 10T</t>
  </si>
  <si>
    <t>SUPT. OF PRESS (MECHANICAL)</t>
  </si>
  <si>
    <t xml:space="preserve">ASST. SUPT. OF PRESS </t>
  </si>
  <si>
    <t>TYPIST GR I</t>
  </si>
  <si>
    <t>TYPIST GR II</t>
  </si>
  <si>
    <t>SNR. ACCT. ASST. I</t>
  </si>
  <si>
    <t>STORE</t>
  </si>
  <si>
    <t>SNR. STORE KEEPER I</t>
  </si>
  <si>
    <t>SNR. STORE KEEPER II</t>
  </si>
  <si>
    <t>SNR. CON. SEC.</t>
  </si>
  <si>
    <t>CON. SEC. I</t>
  </si>
  <si>
    <t>TYPIST GR III</t>
  </si>
  <si>
    <t>E.O ADMIN.</t>
  </si>
  <si>
    <t>A.E.O ADMIN.</t>
  </si>
  <si>
    <t>WELFARE OFFICER</t>
  </si>
  <si>
    <t>CLERICAL ASSISTANTS</t>
  </si>
  <si>
    <t>LOCAL GOVERNMENT SERVICE COMM.</t>
  </si>
  <si>
    <t>428</t>
  </si>
  <si>
    <t>RENT ON GOVERNMENT QUARTERS (SNR. STAFF)</t>
  </si>
  <si>
    <t>RENT ON GOVERNMENT QUARTERS (JNR. STAFF)</t>
  </si>
  <si>
    <t>416A</t>
  </si>
  <si>
    <t xml:space="preserve"> ULAMA CONSULTATIVE COUNCIL</t>
  </si>
  <si>
    <t>Z.A.R.D.A.</t>
  </si>
  <si>
    <t>FERTILIZER BLENDING PLANT</t>
  </si>
  <si>
    <t>Z.S.T.A.</t>
  </si>
  <si>
    <t>ZASCO</t>
  </si>
  <si>
    <t>RAMADAN ASSISTANCE</t>
  </si>
  <si>
    <t>412J</t>
  </si>
  <si>
    <t>SNR. CHO</t>
  </si>
  <si>
    <t>PRIN. SH. ASST.</t>
  </si>
  <si>
    <t>CH. ASST.</t>
  </si>
  <si>
    <t>EMIR'S GUEST HOUSE KADUNA</t>
  </si>
  <si>
    <t>TOWN PLANNING OFFICER III</t>
  </si>
  <si>
    <t>MOTOR DRIVER III</t>
  </si>
  <si>
    <t>MOTOR DRIVER IV</t>
  </si>
  <si>
    <t>CLERICAL ASST.</t>
  </si>
  <si>
    <t>CLERICAL OFFICER II ADMIN.</t>
  </si>
  <si>
    <t>CLERICAL ASST. ADMIN.</t>
  </si>
  <si>
    <t>CONTRACTUAL &amp; OTHER LIABILITIES (RECURRENT &amp; CAPITAL)</t>
    <phoneticPr fontId="22" type="noConversion"/>
  </si>
  <si>
    <t>RETREAT TO P/Sects, DGs., &amp; HEADS OF PARASTATALS</t>
  </si>
  <si>
    <t>Rent supplement</t>
  </si>
  <si>
    <t>HIGHER EXEC. OFFICER</t>
  </si>
  <si>
    <t>SNR. CLER. OFFICER</t>
  </si>
  <si>
    <t>CHIEF CON. SEC.</t>
  </si>
  <si>
    <t>ASST. CHIEF COMM.</t>
  </si>
  <si>
    <t>CONSOLIDATED REVENUE FUNDS</t>
  </si>
  <si>
    <t>HEAD 430</t>
  </si>
  <si>
    <t>FOREMAN (MECH/ELECT.)</t>
  </si>
  <si>
    <t>STORE KEEPER III</t>
  </si>
  <si>
    <t>PREPARATION OF ANNUAL BUDGET</t>
  </si>
  <si>
    <t>MEDICAL TREATMENT (NIGERIA)</t>
  </si>
  <si>
    <t>MINISTRY OF INFORMATION</t>
  </si>
  <si>
    <t>COMMUNICATION OFFICER II</t>
  </si>
  <si>
    <t>PRIN. EXECUTIVE OFFICER II</t>
  </si>
  <si>
    <t>SNR. EXECUTIVE OFFICER</t>
  </si>
  <si>
    <t>SALES OF DIRECTORY OF COMMERCIAL AND INDUSTRIAL PROMOTIONS</t>
  </si>
  <si>
    <t>INSPECTION OF SCHOOLS</t>
  </si>
  <si>
    <t>WATER BOARD</t>
  </si>
  <si>
    <t>A.T.O. ELECT.</t>
  </si>
  <si>
    <t>COLLEGE OF EDUCATION MARU</t>
  </si>
  <si>
    <t>DEPT. CHIEF IRR. SUPT.</t>
  </si>
  <si>
    <t>TRANSPORT ALLOWANCE</t>
  </si>
  <si>
    <t>LEAVE TRANSPORT GRANT</t>
  </si>
  <si>
    <t>MAGISTRATES</t>
  </si>
  <si>
    <t>EX-GRATIA ALLOWANCE</t>
  </si>
  <si>
    <t>HIGHER COMPUTER ASST.</t>
  </si>
  <si>
    <t>SNR. COMPUTER OFFICER</t>
  </si>
  <si>
    <t>MONITORING UNIT</t>
  </si>
  <si>
    <t>PERCENTAGE (%)</t>
    <phoneticPr fontId="22" type="noConversion"/>
  </si>
  <si>
    <t>SNR. PERS. ASST. II</t>
  </si>
  <si>
    <t>SNR. PERS. ASST. III</t>
  </si>
  <si>
    <t>SNR. SEC. ASST</t>
  </si>
  <si>
    <t>420 a.</t>
  </si>
  <si>
    <t>PRIN. SEC. III</t>
  </si>
  <si>
    <t>HIGHER AGRIC SUPT.</t>
  </si>
  <si>
    <t>ASST AGRIC. SUPT (T)</t>
  </si>
  <si>
    <t>ASST. CHIEF C.H.O</t>
  </si>
  <si>
    <t>PRIN. COMM.H.O</t>
  </si>
  <si>
    <t>PRIN. PUBLIC RELATION OFFICER</t>
  </si>
  <si>
    <t>PROTOCOL OFFICERS</t>
  </si>
  <si>
    <t>CHIEF INFORMATION OFFICER</t>
  </si>
  <si>
    <t>PRIN. INF. OFFICER</t>
  </si>
  <si>
    <t>GUSAU</t>
  </si>
  <si>
    <t>K/NAMODA</t>
  </si>
  <si>
    <t>PRIN. COMPUTER OFFICER</t>
  </si>
  <si>
    <t>LAND APPLICATION FEES</t>
  </si>
  <si>
    <t>IRRIGATION FEES</t>
  </si>
  <si>
    <t>Insurance Allowances (Members)</t>
  </si>
  <si>
    <t>ELECTRICITY CONSUMPTION FEES</t>
  </si>
  <si>
    <t>NON REFUNDABLE PROCESSING FEES</t>
  </si>
  <si>
    <t>RESEARCH ASST.</t>
  </si>
  <si>
    <t>STATISTICS UNIT</t>
  </si>
  <si>
    <t>INVESTIGATOR</t>
  </si>
  <si>
    <t>PROOF READER</t>
  </si>
  <si>
    <t>SNR. PRINTER</t>
  </si>
  <si>
    <t>PRINTER</t>
  </si>
  <si>
    <t>APPENTICE PRINTER</t>
  </si>
  <si>
    <t>PRIN. CON. SEC. 1</t>
  </si>
  <si>
    <t>FLOOD &amp; EROSION CONTROL DEPT.</t>
  </si>
  <si>
    <t>PRIN. EFC OFFICER</t>
  </si>
  <si>
    <t>COOK/STEEWARD</t>
  </si>
  <si>
    <t>CHIEF SECURITY OFFICER</t>
  </si>
  <si>
    <t>PROJECT AND PLANNING</t>
  </si>
  <si>
    <t>SECURITY VOTE</t>
  </si>
  <si>
    <t>DEPUTY GOVERNORS OFFICE</t>
  </si>
  <si>
    <t>FOREING TRIPS (ADMISSION &amp; SUPERVISION)</t>
  </si>
  <si>
    <t>PURCH. OF ELECTRONICS</t>
  </si>
  <si>
    <t>DIRECTORATE FOR WOMEN ENPOWERMENT</t>
  </si>
  <si>
    <t>STRATEGY DEPT.</t>
  </si>
  <si>
    <t>SNR. PLAN. OFF.</t>
  </si>
  <si>
    <t>P.O. I</t>
  </si>
  <si>
    <t>P.O. II</t>
  </si>
  <si>
    <t>MANDATE MAPPING DEPT.</t>
  </si>
  <si>
    <t>CORPORATE PLANNING DEPT.</t>
  </si>
  <si>
    <t>DEVT. PARTNER ACTIVITIES (SPARC)</t>
  </si>
  <si>
    <t>WOMEN EMP. ACTIVITIES</t>
  </si>
  <si>
    <t>ZAMFARA STATE PUBLIC SERVICE REFORM BUREAU</t>
  </si>
  <si>
    <t>DIRECTORATE OF BUREAU OF STATS.</t>
  </si>
  <si>
    <t>2.      TOTAL ESTIMATED EXP.</t>
  </si>
  <si>
    <t>DUE PROCESS &amp; ECON. CONTROL</t>
  </si>
  <si>
    <t>DIRECTORATE FOR WOMEN EMPOWERMENT</t>
  </si>
  <si>
    <t>ZAM. STATE ACCELERATED COTTON DEVT. AGENCY</t>
  </si>
  <si>
    <t>BOARD OF INTER. REV.</t>
  </si>
  <si>
    <t>NUTRITION</t>
  </si>
  <si>
    <t>IMMUNIZATION</t>
  </si>
  <si>
    <t>WORKS SCHOOL</t>
  </si>
  <si>
    <t>UNIVERSAL BASIC EDUC.</t>
  </si>
  <si>
    <t>WORK SCHOOLS</t>
  </si>
  <si>
    <t>432/73</t>
  </si>
  <si>
    <t>UNIVERSAL BASIC EDUCATION (UBE)</t>
  </si>
  <si>
    <t>432/74</t>
  </si>
  <si>
    <t>DETAILS OF ESTAB.</t>
  </si>
  <si>
    <t>PROJECTIONS</t>
  </si>
  <si>
    <t>PROPOSED ETAB         2014</t>
  </si>
  <si>
    <t>ACTUAL ESTAB 2012</t>
  </si>
  <si>
    <t>2016</t>
  </si>
  <si>
    <t>2014 - 2016</t>
  </si>
  <si>
    <t>TREND</t>
  </si>
  <si>
    <t>PROJECTED</t>
  </si>
  <si>
    <t>Actual    2012</t>
  </si>
  <si>
    <t>Actual</t>
  </si>
  <si>
    <t>REMARKS</t>
  </si>
  <si>
    <t>PAST ACTUAL PERFORMANCE</t>
  </si>
  <si>
    <t>PROJECTED 2016</t>
  </si>
  <si>
    <t>ACCOM./RENT ALLOWANCES</t>
  </si>
  <si>
    <t>SPECIAL TRAINING TO GRAND KHADIS, KHADIS &amp; JUDGEES</t>
  </si>
  <si>
    <t>DONATIONS TO NGOs</t>
  </si>
  <si>
    <t>SPECIAL TRAINING</t>
  </si>
  <si>
    <t>DIR. TRANSLATION</t>
  </si>
  <si>
    <t>DEP. DIR TRANSLATION</t>
  </si>
  <si>
    <t>ASST. DIR. TRANSLATION</t>
  </si>
  <si>
    <t>SHARI'AH COURT DEPARTMENT</t>
  </si>
  <si>
    <t>YARIMAN BAKURA SPECIALIST HOSPITAL</t>
  </si>
  <si>
    <t>HIGH. COMPUTER OFFICER</t>
  </si>
  <si>
    <t>PRIN. PROGRAMME ANALYST</t>
  </si>
  <si>
    <t>TRAINING TO RADIO STAFFS</t>
  </si>
  <si>
    <t>PURCHASE OF DRUGS</t>
  </si>
  <si>
    <t>REGISTRATION OF INT'L SCH.</t>
  </si>
  <si>
    <t>MAINTENANCE OF GENERATOR</t>
  </si>
  <si>
    <t>MAINTENANCE OF GUEST HOUSE</t>
  </si>
  <si>
    <t>FEEDING OF ANIMALS</t>
  </si>
  <si>
    <t>REVENUE RECOVERY TRIBUNAL</t>
  </si>
  <si>
    <t>PROVISION OF ICT</t>
  </si>
  <si>
    <t>PROCUREMENT OF COMPUTERS</t>
  </si>
  <si>
    <t>FEEDING OFFICERS ALLOW.</t>
  </si>
  <si>
    <t>LABORATORY REVOLVING</t>
  </si>
  <si>
    <t>MEDICAL RECORD STATIONARY</t>
  </si>
  <si>
    <t>RADIOLOGY REVOLVING</t>
  </si>
  <si>
    <t>TREATER REVOLVING</t>
  </si>
  <si>
    <t>PURCH. OF HOSP. LINES&amp;REDDING</t>
  </si>
  <si>
    <t>LABOUR ROOM REVOLVING</t>
  </si>
  <si>
    <t>PURCH.OF SURGICAL INTSTRUMENT</t>
  </si>
  <si>
    <t>PAYMENT OF SECURITY GUARDS</t>
  </si>
  <si>
    <t>DIALYSIS CENTRE REVOLVING</t>
  </si>
  <si>
    <t>PAYMENT OF WASTE MANAGERS</t>
  </si>
  <si>
    <t>AUDIT FEES</t>
  </si>
  <si>
    <t>DIRECTORATE OF SHELTER DEVELOPMENT</t>
  </si>
  <si>
    <t>432/75</t>
  </si>
  <si>
    <t>PROPOSED 2016</t>
  </si>
  <si>
    <t>PROPOSED PROVISION 2016</t>
  </si>
  <si>
    <t>PERSONNEL  2014</t>
  </si>
  <si>
    <t>OVERHEAD   2014</t>
  </si>
  <si>
    <t>LOAN &amp; INTEREST REPAYMENT</t>
  </si>
  <si>
    <t>MEC CALTIVATION FEES</t>
  </si>
  <si>
    <t>16B</t>
  </si>
  <si>
    <t>16A</t>
  </si>
  <si>
    <t>LIAISON OFFICE KADUNA</t>
  </si>
  <si>
    <t>Approved     2014</t>
  </si>
  <si>
    <t>Jan-June 2014</t>
  </si>
  <si>
    <t>APPROVED ESTAB     2014</t>
  </si>
  <si>
    <t>ACTUAL ESTAB    2014</t>
  </si>
  <si>
    <t>ALLOWANCES FOR MINERAL DEVELOPMENT</t>
  </si>
  <si>
    <t>MAINT. OF GUSAU CENTRAL MOSQUE</t>
  </si>
  <si>
    <t>PURCHASE OF FURNITURE</t>
  </si>
  <si>
    <t>DIVORCEE MARRIAGE PROG.</t>
  </si>
  <si>
    <t>WOMEN EMPOWERMENT PROGRAMME</t>
  </si>
  <si>
    <t>SUPPORT TO V.V.F. PATIENTS</t>
  </si>
  <si>
    <t>IPSAS BUDGET &amp; CHART OF ACCT.</t>
  </si>
  <si>
    <t>WOMEN FUND FOR ECONOMIC EMPOWERNMENT</t>
  </si>
  <si>
    <t>APPROVED PROVISION 2014</t>
  </si>
  <si>
    <t>APPROVED 2014</t>
  </si>
  <si>
    <t>COLLAGE AGRICULTURE BAKURA (CAABS)</t>
  </si>
  <si>
    <t>xxxv</t>
  </si>
  <si>
    <t>ZESA</t>
  </si>
  <si>
    <t>xxxvi</t>
  </si>
  <si>
    <t>2015 - 2017</t>
  </si>
  <si>
    <t>Actual    2013</t>
  </si>
  <si>
    <t>2017</t>
  </si>
  <si>
    <t>COST 2015</t>
  </si>
  <si>
    <t>PROPOSED PERSONNEL</t>
  </si>
  <si>
    <t>PROPOSED OVERHEAD</t>
  </si>
  <si>
    <t>V.V.F. CENTRE GUSAU</t>
  </si>
  <si>
    <t>ZAMFARA STATE ESTIMATES, 2015</t>
  </si>
  <si>
    <t>PROPOSED 2017</t>
  </si>
  <si>
    <t>2015 - 2016</t>
  </si>
  <si>
    <t>MAINT. OF INTERNENT</t>
  </si>
  <si>
    <t>MAINT. OF GUSAU BARRAGE</t>
  </si>
  <si>
    <t>TRANSPORTATION OF CHEMI.</t>
  </si>
  <si>
    <t>MIS AND SHORT ICT PROGRAMME</t>
  </si>
  <si>
    <t>RESEARCH AND DEVELOPMENT</t>
  </si>
  <si>
    <t>ANNUAL SCHOOL CENSUS</t>
  </si>
  <si>
    <t>V.V.F CENTRE</t>
  </si>
  <si>
    <t>DIR. OF QUOTA SYSTEM</t>
  </si>
  <si>
    <t>DIR. OF HIGHER EDUCATION</t>
  </si>
  <si>
    <t>DIRECTORATE OF QUOTA SYSTEM</t>
  </si>
  <si>
    <t>432/76</t>
  </si>
  <si>
    <t>DIRECTORATE OF HIGHER EDUCATION</t>
  </si>
  <si>
    <t>432/77</t>
  </si>
  <si>
    <t>ARMY RECRUITMENT</t>
  </si>
  <si>
    <t>RENOV. OF TERTIARY INSTITU.</t>
  </si>
  <si>
    <t>SEEKING OF ADMISSION WITHIN AND OUT SIDE NIGERIA</t>
  </si>
  <si>
    <t>DIR. OF SHELTER DEV.</t>
  </si>
  <si>
    <t>S.A PRESS</t>
  </si>
  <si>
    <t>CHIEF COM. DEVT. OFFICER</t>
  </si>
  <si>
    <t>ASST. COMM. DEVT. INSPECTOR</t>
  </si>
  <si>
    <t>ASST. COMM. DEVT. OFFICER</t>
  </si>
  <si>
    <t>REHAB. ATTENDANT</t>
  </si>
  <si>
    <t>S.A SKILLS</t>
  </si>
  <si>
    <t xml:space="preserve">DRIVER  </t>
  </si>
  <si>
    <t>C. ACCT.</t>
  </si>
  <si>
    <t>422D</t>
  </si>
  <si>
    <t>TRAINING (STAFF &amp; IMAMS/NAIBS)</t>
  </si>
  <si>
    <t>PERSONNEL  2015</t>
  </si>
  <si>
    <t>OVERHEAD   2015</t>
  </si>
  <si>
    <t>TOTAL PROPOSED   2015 - 2017</t>
  </si>
  <si>
    <t>Actual Revenue 2013</t>
  </si>
  <si>
    <t>Approved Revenue 2014</t>
  </si>
  <si>
    <t>ESTIMATES 2015</t>
  </si>
  <si>
    <t>PROJECTED 2017</t>
  </si>
  <si>
    <t>WATER MEN</t>
  </si>
  <si>
    <t>SNR. CONFINDENTIAL SEC.</t>
  </si>
  <si>
    <t>CONFINDENTIAL SEC. I</t>
  </si>
  <si>
    <t>BUREAU FOR ESTABLISHMENT, LABOUR &amp; MGT SERVICES</t>
  </si>
  <si>
    <t>BUREAU FOR ESTABLISHMENT, LABOUR AND MANAGEMENT SERVICES DEPARTMENT</t>
  </si>
  <si>
    <t>IPSAS PROGRAMME</t>
  </si>
  <si>
    <t>PRESIDENTIAL RESPONSE TO HIV/AIDS</t>
  </si>
  <si>
    <t>PRIMARY PUPILS NATIONAL INSURANCE SCHEME</t>
  </si>
  <si>
    <t>DA'AWA &amp; OTHER R ALLOW.</t>
  </si>
  <si>
    <t>TSS Allowance</t>
  </si>
  <si>
    <t>Science Teaching Allowance</t>
  </si>
  <si>
    <t>PROPOSED PROVISION 2017</t>
  </si>
  <si>
    <t>C: Distribution of 2015 Expenditure</t>
  </si>
  <si>
    <t>ZAMFARA STATE ESTIMATES 2015</t>
  </si>
  <si>
    <t>Transport Allowance</t>
  </si>
  <si>
    <t>Utility Allowance</t>
  </si>
  <si>
    <t>Meal Subsidy</t>
  </si>
  <si>
    <t>Leave Grant</t>
  </si>
  <si>
    <t>SNR. COMPUTR OFF.</t>
  </si>
  <si>
    <t>PLANNING, RESEARCH &amp; STATISTICS</t>
  </si>
  <si>
    <t>PRIN. PLANNING OFF.</t>
  </si>
  <si>
    <t>SNR. PLANNING OFF.</t>
  </si>
  <si>
    <t>SNR. PLANNING ASST.</t>
  </si>
  <si>
    <t>CIVIL ENGR.</t>
  </si>
  <si>
    <t>ARC. ENGR.</t>
  </si>
  <si>
    <t>ACCOMMODATION &amp; W/ROBE ALL.</t>
  </si>
  <si>
    <t>MAINT. OF BOREHOLES</t>
  </si>
  <si>
    <t>SETTLEMENT OF ELECTRICITY</t>
  </si>
  <si>
    <t>WATER BILLS</t>
  </si>
  <si>
    <t>INTERNET NETWORK SERVICES</t>
  </si>
  <si>
    <t>PRINTING AND PUBLICATIONS</t>
  </si>
  <si>
    <t>ZAMFARA STATE NEW MINIMUM WAGE(CONSOLIDATED)</t>
  </si>
  <si>
    <t>GL/STEP</t>
  </si>
  <si>
    <t>INC RATE</t>
  </si>
  <si>
    <t>NEW RENT SUPPLEMENT</t>
  </si>
  <si>
    <t>NEW TRANSPORT ALLOWANCE</t>
  </si>
  <si>
    <t>NEW UTILITY ALLOWANCE</t>
  </si>
  <si>
    <t>NEW MEAL SUBSIDY</t>
  </si>
  <si>
    <t>SECONDARY SCHOOL TEACHERS SALARY SCALE</t>
  </si>
  <si>
    <t>SECONDARY SCHOOL TEACHERS (RENT SUPPLEMENT)</t>
  </si>
  <si>
    <t>SECONDARY SCHOOLS TEACHERS (TRANSPORT ALLOWANCE)</t>
  </si>
  <si>
    <t>HARMONISED HEALTH SERVICE SALARY SCALE</t>
  </si>
  <si>
    <t>HARMONISED AUDITORS SALARY SCALE</t>
  </si>
  <si>
    <t>AUDITORS RENT SUPPLEMENT</t>
  </si>
  <si>
    <t>HARMONIZED HARMONISED TERTIARY INSTITUTION SALARY SCALE (Abdu Gusau Poly)</t>
  </si>
  <si>
    <t>RENT SUPPLEMENT</t>
  </si>
  <si>
    <t>UTILITY</t>
  </si>
  <si>
    <t>M EAL SUBSIDY</t>
  </si>
  <si>
    <t>WATER RATE</t>
  </si>
  <si>
    <t>MONTHLY TAX TABLE</t>
  </si>
  <si>
    <t>TABLE 2B</t>
  </si>
  <si>
    <t>REFORM PROGRAMM</t>
  </si>
  <si>
    <t xml:space="preserve"> 10t </t>
  </si>
  <si>
    <t xml:space="preserve"> 10T </t>
  </si>
  <si>
    <t>DATA</t>
  </si>
  <si>
    <t>DATA BANK &amp; COMPUTERIZATION OF RECORDS</t>
  </si>
  <si>
    <t xml:space="preserve">  10T </t>
  </si>
  <si>
    <t>SUBVENTION</t>
  </si>
  <si>
    <t>ACTUAL              JAN. - NOV. 2014</t>
  </si>
  <si>
    <t>Jan-Nov. 2014</t>
  </si>
  <si>
    <t>Jan-Dec. 2013</t>
  </si>
  <si>
    <t>PROPOSED PROVISION</t>
  </si>
  <si>
    <t>RECOMMENDED PROVISION</t>
  </si>
  <si>
    <t>DETAILS OF REVENUE AND EXPENDITURE</t>
  </si>
  <si>
    <t>LOCALLY GENERATED REVENUE</t>
  </si>
  <si>
    <t>INTERNAL LOANS/BOND</t>
  </si>
  <si>
    <t>ECOLOGICAL FUNDS FROM FGN</t>
  </si>
  <si>
    <t>LGAs CONTRIBUTION: MDG, SKILLS ACQUISITION.</t>
  </si>
  <si>
    <t xml:space="preserve">CONSOLIDATED REVENUE FUND (CRF) CHARGES </t>
  </si>
  <si>
    <t>INTERNAL DEBT SERVICING</t>
  </si>
  <si>
    <t>GRANTS: FGN/ADP/UBE/MDG</t>
  </si>
  <si>
    <t xml:space="preserve">QUR'ANIC WELFARE </t>
  </si>
  <si>
    <t>JANUARY</t>
  </si>
  <si>
    <t>FEBUARY</t>
  </si>
  <si>
    <t>MARCH</t>
  </si>
  <si>
    <t>APRIL</t>
  </si>
  <si>
    <t>MAY</t>
  </si>
  <si>
    <t>JUNE</t>
  </si>
  <si>
    <t>JULY</t>
  </si>
  <si>
    <t>AUG.</t>
  </si>
  <si>
    <t>SEPT</t>
  </si>
  <si>
    <t>OCT.</t>
  </si>
  <si>
    <t>NOV</t>
  </si>
  <si>
    <t>DEC</t>
  </si>
  <si>
    <t>S/N</t>
  </si>
  <si>
    <t>MINISTRIES</t>
  </si>
  <si>
    <t>PROVISION</t>
  </si>
  <si>
    <t>Govt House</t>
  </si>
  <si>
    <t>Office of the Exec.Gov.</t>
  </si>
  <si>
    <t>Dep. Govt Off.</t>
  </si>
  <si>
    <t>M. R . A</t>
  </si>
  <si>
    <t xml:space="preserve">Anti Corruption </t>
  </si>
  <si>
    <t>Dir. Of Qur'anic Affairs</t>
  </si>
  <si>
    <t>Hisba Comm.</t>
  </si>
  <si>
    <t>Ministry of Culture</t>
  </si>
  <si>
    <t>Ministry of Women &amp; Child Affairs</t>
  </si>
  <si>
    <t>P . C . C</t>
  </si>
  <si>
    <t>Shari'ah Research</t>
  </si>
  <si>
    <t>Public Enlightment</t>
  </si>
  <si>
    <t>Min. SP &amp; Protocol</t>
  </si>
  <si>
    <t xml:space="preserve">Preaching Comm. </t>
  </si>
  <si>
    <t>Office of the head of service</t>
  </si>
  <si>
    <t>Adm. Depart.</t>
  </si>
  <si>
    <t>Home Affiars</t>
  </si>
  <si>
    <t>Min. for Local Govt.</t>
  </si>
  <si>
    <t>Dir for Local Govt. Project</t>
  </si>
  <si>
    <t>Min. of Land</t>
  </si>
  <si>
    <t>Min. of Housing</t>
  </si>
  <si>
    <t>Council of Chiefs</t>
  </si>
  <si>
    <t>Cabinet Affairs</t>
  </si>
  <si>
    <t>General Services</t>
  </si>
  <si>
    <t>Dir. Of Political Affiars</t>
  </si>
  <si>
    <t>Shelter Development</t>
  </si>
  <si>
    <t>Min. of Agriculture</t>
  </si>
  <si>
    <t>Min. of Animal Heath</t>
  </si>
  <si>
    <t>Commodity Board</t>
  </si>
  <si>
    <t>Min. of Commerce</t>
  </si>
  <si>
    <t>Z. A. P. A</t>
  </si>
  <si>
    <t>Min. of Education</t>
  </si>
  <si>
    <t>Min. of Science</t>
  </si>
  <si>
    <t>Min. of Finance</t>
  </si>
  <si>
    <t>Min. of Budget</t>
  </si>
  <si>
    <t>Min. of Health</t>
  </si>
  <si>
    <t>Yariman Bakura Hospital</t>
  </si>
  <si>
    <t>Min. of Information</t>
  </si>
  <si>
    <t>Min. of Youth</t>
  </si>
  <si>
    <t>Dir of Sport</t>
  </si>
  <si>
    <t>Dir of Inf. Teach.</t>
  </si>
  <si>
    <t>Min. of Justice</t>
  </si>
  <si>
    <t>High Court</t>
  </si>
  <si>
    <t>Shari'ah Court</t>
  </si>
  <si>
    <t>J .S .C</t>
  </si>
  <si>
    <t>Law Reform Comm.</t>
  </si>
  <si>
    <t>House of Assembly</t>
  </si>
  <si>
    <t>Assembly Liasion  MATTERS</t>
  </si>
  <si>
    <t>Assembly Service Comm.</t>
  </si>
  <si>
    <t>Min. of Work</t>
  </si>
  <si>
    <t>Min. of Transport</t>
  </si>
  <si>
    <t>Min. of Rural Dev.</t>
  </si>
  <si>
    <t>Dir of Electrification</t>
  </si>
  <si>
    <t>Dir. Of Rural Water</t>
  </si>
  <si>
    <t>Min. of Enviroment</t>
  </si>
  <si>
    <t>Dir. Of Afforestration</t>
  </si>
  <si>
    <t>Sanitetion Agency</t>
  </si>
  <si>
    <t>Min. of Social Welfere</t>
  </si>
  <si>
    <t>Local Govt. Audit</t>
  </si>
  <si>
    <t>Local Govt. Ser. Comm.</t>
  </si>
  <si>
    <t>State Auditor Gen. Off.</t>
  </si>
  <si>
    <t>C. S. C</t>
  </si>
  <si>
    <t>Establishment</t>
  </si>
  <si>
    <t>INEC</t>
  </si>
  <si>
    <t>State Govt. Project</t>
  </si>
  <si>
    <t>State Pension</t>
  </si>
  <si>
    <t>Min. of water Resources</t>
  </si>
  <si>
    <t>Rural Road Maintenance</t>
  </si>
  <si>
    <t>SA O. E. G</t>
  </si>
  <si>
    <t>SA Deputy Govt.</t>
  </si>
  <si>
    <t>SA Skills</t>
  </si>
  <si>
    <t>SA Famers Co-op.</t>
  </si>
  <si>
    <t>SA Staff Welfare</t>
  </si>
  <si>
    <t>Bird Flue</t>
  </si>
  <si>
    <t>Debt Mgt</t>
  </si>
  <si>
    <t>Abbartoir</t>
  </si>
  <si>
    <t>F. P. M. U</t>
  </si>
  <si>
    <t>ZUREP</t>
  </si>
  <si>
    <t>Zamfara Radio</t>
  </si>
  <si>
    <t>State Poly</t>
  </si>
  <si>
    <t>Pilgrims</t>
  </si>
  <si>
    <t>Schorlarship</t>
  </si>
  <si>
    <t>H .S. M. B</t>
  </si>
  <si>
    <t>Water Board</t>
  </si>
  <si>
    <t>School of Health Teach.</t>
  </si>
  <si>
    <t>B. I. R</t>
  </si>
  <si>
    <t>Mass Education</t>
  </si>
  <si>
    <t>Library Board</t>
  </si>
  <si>
    <t>Specialist Hosp.</t>
  </si>
  <si>
    <t>Gen. Hospt./ VVF</t>
  </si>
  <si>
    <t>Schoool Nursing</t>
  </si>
  <si>
    <t>Arabic Board</t>
  </si>
  <si>
    <t>Liasion Office Abuja</t>
  </si>
  <si>
    <t>Fire Service</t>
  </si>
  <si>
    <t>Govt. Printing</t>
  </si>
  <si>
    <t>Teachers Service Board</t>
  </si>
  <si>
    <t>Housing Cooporetion</t>
  </si>
  <si>
    <t>Normadic Education</t>
  </si>
  <si>
    <t>second livestock</t>
  </si>
  <si>
    <t>History</t>
  </si>
  <si>
    <t>Art &amp; Culture</t>
  </si>
  <si>
    <t>College ofAgric Bakura</t>
  </si>
  <si>
    <t>Forestry II</t>
  </si>
  <si>
    <t>RUWATSAN</t>
  </si>
  <si>
    <t>Investiment</t>
  </si>
  <si>
    <t>Female Education Board</t>
  </si>
  <si>
    <t>Central Market</t>
  </si>
  <si>
    <t>ZAKKAT</t>
  </si>
  <si>
    <t>Hotels Board</t>
  </si>
  <si>
    <t>King fahad Hospital</t>
  </si>
  <si>
    <t>Council of Ulama'u</t>
  </si>
  <si>
    <t>ZARDA</t>
  </si>
  <si>
    <t>Fertilizer Company</t>
  </si>
  <si>
    <t>Z .S. T. A</t>
  </si>
  <si>
    <t>C. O. E    MARU</t>
  </si>
  <si>
    <t>Health System</t>
  </si>
  <si>
    <t>Publishing Company</t>
  </si>
  <si>
    <t>Qur'anic Tajwed</t>
  </si>
  <si>
    <t>ZERMA</t>
  </si>
  <si>
    <t>Tractor Haring</t>
  </si>
  <si>
    <t>ZAMSACA</t>
  </si>
  <si>
    <t>Community &amp; Social Dev.</t>
  </si>
  <si>
    <t>Amusement Pack</t>
  </si>
  <si>
    <t>Science Board</t>
  </si>
  <si>
    <t>Rent Rec Trabunal</t>
  </si>
  <si>
    <t>MDG</t>
  </si>
  <si>
    <t>Non-Governmental</t>
  </si>
  <si>
    <t>Fadama III</t>
  </si>
  <si>
    <t>Psychiatric Anka</t>
  </si>
  <si>
    <t>Inter Party</t>
  </si>
  <si>
    <t>Private Sector</t>
  </si>
  <si>
    <t>Election Matters</t>
  </si>
  <si>
    <t>Censorship Board</t>
  </si>
  <si>
    <t>V .I . O</t>
  </si>
  <si>
    <t>Inter Community</t>
  </si>
  <si>
    <t>School Feeding</t>
  </si>
  <si>
    <t>Due Procese</t>
  </si>
  <si>
    <t>Primary Health Care</t>
  </si>
  <si>
    <t xml:space="preserve">Cotton Acceleration </t>
  </si>
  <si>
    <t>Special Assignment</t>
  </si>
  <si>
    <t>Work School</t>
  </si>
  <si>
    <t>U.B. E</t>
  </si>
  <si>
    <t>Liasion Office Kaduna</t>
  </si>
  <si>
    <t>Zacas</t>
  </si>
  <si>
    <t>Local Govt Pension</t>
  </si>
  <si>
    <t>DIR OF PRESS AFF</t>
  </si>
  <si>
    <t>DIR.QUARTER SYSTEM</t>
  </si>
  <si>
    <t>DIR. OF SCHOOLS</t>
  </si>
  <si>
    <t>DIR.OF HIGHER EDUCATION</t>
  </si>
  <si>
    <t>SEPT.</t>
  </si>
  <si>
    <t>Assembly Liasion</t>
  </si>
  <si>
    <t>livistock</t>
  </si>
  <si>
    <t>C. O. E</t>
  </si>
  <si>
    <t>Dir.of women enpowerment.</t>
  </si>
  <si>
    <t xml:space="preserve"> PROPOSED ETAB 2016</t>
  </si>
  <si>
    <t>PROPOSED ETAB 2017</t>
  </si>
  <si>
    <t>ACTUAL ESTAB 2013</t>
  </si>
  <si>
    <t>APPROVED ESTAB 2014</t>
  </si>
  <si>
    <t>ACTUAL ESTAB 2014</t>
  </si>
  <si>
    <t>CERTIFICATE OF ROAD WOTHINESS / DRIVING TEST</t>
  </si>
  <si>
    <t>EDUCATION LEVY</t>
  </si>
  <si>
    <t>SCHEDULE I</t>
  </si>
  <si>
    <t xml:space="preserve">SUMMARY RECURRENT EXPENDITURE </t>
  </si>
  <si>
    <t>f</t>
  </si>
  <si>
    <t>CAPITAL</t>
  </si>
  <si>
    <t>RECURRENT</t>
  </si>
  <si>
    <t>WOMEN IN DAAWAH, TURKEY OIL, OUTSTANDING BALANCE</t>
  </si>
  <si>
    <t>QUOTA SYSTEM</t>
  </si>
  <si>
    <t>2014 PERSONNEL COST JANUARY - DECEMBER.</t>
  </si>
  <si>
    <t>2014 BUDGETARY PROVISION</t>
  </si>
  <si>
    <t>2014 ACTUAL EXPN. EXPENDITURE</t>
  </si>
  <si>
    <t>ACTUAL PERSONNEL  EXPN. 2015</t>
  </si>
  <si>
    <t>APPROVED 2014 PERSONNEL COCT</t>
  </si>
  <si>
    <t>SUB-HEAD</t>
  </si>
  <si>
    <t>APPROVED 2014 OVERHEAD COT</t>
  </si>
  <si>
    <t>ACTUAL OVERHEAD COST  EXPN. 2015</t>
  </si>
  <si>
    <t>HEAD:    450</t>
  </si>
  <si>
    <t>SECTOR: AGRICULTURE INCLUDING IRRIGATION</t>
  </si>
  <si>
    <t>Sub-Head</t>
  </si>
  <si>
    <t>Project Title</t>
  </si>
  <si>
    <t xml:space="preserve">Plan Allocation </t>
  </si>
  <si>
    <t>APPROVED PROVISION</t>
  </si>
  <si>
    <t>Remarks</t>
  </si>
  <si>
    <t>2015-2017</t>
  </si>
  <si>
    <t>2014</t>
  </si>
  <si>
    <t xml:space="preserve">JAN-AUG 2014 </t>
  </si>
  <si>
    <t>MIN. OF AGRICULTURE</t>
  </si>
  <si>
    <t>Zamfara Agricultural Dev. Project</t>
  </si>
  <si>
    <t>ADP Programmes State wide</t>
  </si>
  <si>
    <t>101(a)</t>
  </si>
  <si>
    <t>National Food Security Programme</t>
  </si>
  <si>
    <t>State counterpart contribution to Food Security Programme.</t>
  </si>
  <si>
    <t>101(b)</t>
  </si>
  <si>
    <t xml:space="preserve">National Fadama III Program </t>
  </si>
  <si>
    <t>State contribution N35M and World Bank N188M</t>
  </si>
  <si>
    <t xml:space="preserve">International Fund for Agric. Dev. (IFAD) </t>
  </si>
  <si>
    <t>State counterpart fund to IFAD Programme.</t>
  </si>
  <si>
    <t>Agric. Intervention Programme</t>
  </si>
  <si>
    <t>State Integrated Agricultural Intervention prog.</t>
  </si>
  <si>
    <t>Animal Traction Loan Programme</t>
  </si>
  <si>
    <t>Construction of Zonal Workshops</t>
  </si>
  <si>
    <t>3 Nos. workshops at Gusau, K/Namoda &amp; Talata Mafara</t>
  </si>
  <si>
    <t>Spraying Equipment and Agro Chemicals</t>
  </si>
  <si>
    <t>To procure  spraying Equipment and Agro Chemicals</t>
  </si>
  <si>
    <t>Procurement of Assorted Improved Seeds.</t>
  </si>
  <si>
    <t>Procurement  of Improved seeds.</t>
  </si>
  <si>
    <t xml:space="preserve">Irrigation schemes </t>
  </si>
  <si>
    <t>Reh. of  existing irrigation facilities at Bakalori Dam, Saba Bukkuyum, Gidan Jaja &amp; Gidan Ango sites</t>
  </si>
  <si>
    <t>Procurement of Mobile w/shop Van</t>
  </si>
  <si>
    <t>To purchase mobile w/shop van</t>
  </si>
  <si>
    <t xml:space="preserve">Purchase of Fertilizer </t>
  </si>
  <si>
    <t>Procurement of Small Water pumps for irrigation schemes .</t>
  </si>
  <si>
    <t>To procure 1,400 units of 2" &amp; 3" water pumps, for small scale farmers.</t>
  </si>
  <si>
    <t xml:space="preserve">Pilot Irrigation schemes </t>
  </si>
  <si>
    <t>Establishment of irrigation demonstration schemes.</t>
  </si>
  <si>
    <t>Renovation of Ministry of Agriculture Headquarters</t>
  </si>
  <si>
    <t>To renovate the Ministry structures.</t>
  </si>
  <si>
    <t xml:space="preserve">Workshop equipment </t>
  </si>
  <si>
    <t>To procure W/shop equipment at HQ</t>
  </si>
  <si>
    <t>Procurement of Tractors and equipments</t>
  </si>
  <si>
    <t>To Purch. new Tractors and equipment for farming activities.</t>
  </si>
  <si>
    <t>T/Mafara workshop</t>
  </si>
  <si>
    <t>Constr. Of T/Mafara workshop</t>
  </si>
  <si>
    <t>Procurement of Soil and water analysis equipment</t>
  </si>
  <si>
    <t>To purch. Equipment for soil and water quality analysis at HQ</t>
  </si>
  <si>
    <t xml:space="preserve">College of Agric Bakura </t>
  </si>
  <si>
    <t xml:space="preserve">Provision of Additional Facilities and Renovation of existing structure </t>
  </si>
  <si>
    <t>Agricultural shows and Trade Fairs</t>
  </si>
  <si>
    <t>To attend National Agricultural shows &amp; trade fairs.</t>
  </si>
  <si>
    <t>Agric Data Bank and Audio Visual equipment</t>
  </si>
  <si>
    <t>Fertilizer Blending Company</t>
  </si>
  <si>
    <t>Reh. Bakura orchard and estab.2 new at    Shinkafi &amp; Gusau.</t>
  </si>
  <si>
    <t xml:space="preserve">Quelea birds  </t>
  </si>
  <si>
    <t>For control of quelea birds state wide</t>
  </si>
  <si>
    <t>State Farmers Apex.</t>
  </si>
  <si>
    <t>Agricultural Transformation Agenda programmes</t>
  </si>
  <si>
    <t>State Counter Part for ATA Prog.</t>
  </si>
  <si>
    <t>Commodity, Marketing and Distribution Board</t>
  </si>
  <si>
    <t>Procurement of Grains &amp; Essential Commodities</t>
  </si>
  <si>
    <t>To purchase grains &amp; essential Commodities.</t>
  </si>
  <si>
    <t>Procurement of Pesticides</t>
  </si>
  <si>
    <t>To Purchase  insecticide for grain stores.</t>
  </si>
  <si>
    <t>To Reh. the existing stores</t>
  </si>
  <si>
    <t>Grains Stores Fencing</t>
  </si>
  <si>
    <t>Fencing of Grains Stores</t>
  </si>
  <si>
    <t>Zamfara Agricultural Supply Company</t>
  </si>
  <si>
    <t xml:space="preserve">Grant to ZASCO </t>
  </si>
  <si>
    <t>Ferterlizer Stores</t>
  </si>
  <si>
    <t>Rehab. of  faterlizer stores.</t>
  </si>
  <si>
    <t>Sub-Total:-</t>
  </si>
  <si>
    <t>HEAD:- 451</t>
  </si>
  <si>
    <t>SECTOR:-</t>
  </si>
  <si>
    <t xml:space="preserve">LIVESTOCK &amp; VETERINARY </t>
  </si>
  <si>
    <t xml:space="preserve">MIN. OF ANIMAL HEALTH </t>
  </si>
  <si>
    <t>L.I.B.C K/Koshi</t>
  </si>
  <si>
    <t>Faru Cattle Ranch</t>
  </si>
  <si>
    <t>Renov. of staff quaters &amp; Rehabilitation of Existing structure</t>
  </si>
  <si>
    <t>Hides &amp; Skin Programme</t>
  </si>
  <si>
    <t>Extension services for improving hides and skin processes</t>
  </si>
  <si>
    <t>P.P.U. Feed Mill</t>
  </si>
  <si>
    <t>Reactivation of the equipment for remodeling</t>
  </si>
  <si>
    <t>Poultry Prod. Unit.</t>
  </si>
  <si>
    <t>To Reha., &amp; Const. additional facilities.</t>
  </si>
  <si>
    <t>Gulbin Ka Range Management Proj.</t>
  </si>
  <si>
    <t>Fodder Conservation &amp; Pasture Development Project</t>
  </si>
  <si>
    <t>Veterinary Equipment</t>
  </si>
  <si>
    <t>To purch. Veternary Equipment</t>
  </si>
  <si>
    <t xml:space="preserve">Stock Routes </t>
  </si>
  <si>
    <t>Demarcation of stock routes in conjuction with FGN.</t>
  </si>
  <si>
    <t>Control &amp; Eradication of Animal Diseases</t>
  </si>
  <si>
    <t>Cattle, Sheep &amp; Goat Fattening  Programme</t>
  </si>
  <si>
    <t xml:space="preserve">Revolving non intrest Loan  for  women empowerment. </t>
  </si>
  <si>
    <t>Animal Feeds</t>
  </si>
  <si>
    <t>To procure Animal feeds</t>
  </si>
  <si>
    <t>Earthdams in Grazing Reserves.</t>
  </si>
  <si>
    <t>To const. &amp; Reh. Earth dams.</t>
  </si>
  <si>
    <t xml:space="preserve">Gusau, T/Mafara &amp; K/Namoda Modern Abattoir </t>
  </si>
  <si>
    <t>Govt. Grazing Reserves</t>
  </si>
  <si>
    <t>Dev.of Govt. Grazing Reserves</t>
  </si>
  <si>
    <t>Fire Trace and Shrup Control</t>
  </si>
  <si>
    <t>Clearities of shrubs to prevent bush fire &amp; poisoning Plants.</t>
  </si>
  <si>
    <t>Control Post</t>
  </si>
  <si>
    <t>SECOND LIVESTOCK:</t>
  </si>
  <si>
    <t xml:space="preserve">Vaccination </t>
  </si>
  <si>
    <t>State wide Vaccination of Livestocks.</t>
  </si>
  <si>
    <t>Veterinary clinic Gusau.</t>
  </si>
  <si>
    <t>Rehabilitation and expansion of veterinary clinic Gusau.</t>
  </si>
  <si>
    <t>Fodder Conservation  Programme</t>
  </si>
  <si>
    <t>Prod.of fodder for dry season for feeding of animals at K/Koshi. &amp; Faru.</t>
  </si>
  <si>
    <t>HEAD :-  452</t>
  </si>
  <si>
    <t xml:space="preserve">AFFORESTATION </t>
  </si>
  <si>
    <t>Seeddling Production</t>
  </si>
  <si>
    <t>Production of seedlings at Bingi, Anka, Shinkafi, Gwalli, K/Namoda &amp; Gusau.</t>
  </si>
  <si>
    <t>101b</t>
  </si>
  <si>
    <t>Shelter Belt Establishment</t>
  </si>
  <si>
    <t>To establish 20km Shelter belt at T/m &amp; B/Magaji</t>
  </si>
  <si>
    <t>Forest Improvement operations</t>
  </si>
  <si>
    <t>Procuremant of forest equipment</t>
  </si>
  <si>
    <t>Poles and firewood.</t>
  </si>
  <si>
    <t>Produc.of poles and firewood.</t>
  </si>
  <si>
    <t>Sand Dunes  fixation</t>
  </si>
  <si>
    <t>At B/Yaro,Badarawa &amp; Kwashabawa.</t>
  </si>
  <si>
    <t xml:space="preserve">Forest Transport facilities    </t>
  </si>
  <si>
    <t>To purch. Transport facilities</t>
  </si>
  <si>
    <t>Wild Life Development Programme</t>
  </si>
  <si>
    <t>Wild Life Development</t>
  </si>
  <si>
    <t>Jeep Tracks</t>
  </si>
  <si>
    <t>Aminity planting, lanscaping &amp; beutification of towns</t>
  </si>
  <si>
    <t>Landscaping, Planting of trees, shrubs &amp; other ornamental flowers at designated sites.</t>
  </si>
  <si>
    <t xml:space="preserve">Planting of Economic trees </t>
  </si>
  <si>
    <t>To estab 37.21HA of Citrus &amp; Date palm, Cashew, etc</t>
  </si>
  <si>
    <t xml:space="preserve">Great Green world </t>
  </si>
  <si>
    <t>HEAD:- 453</t>
  </si>
  <si>
    <t>FISHERIES</t>
  </si>
  <si>
    <t xml:space="preserve"> Fish  Farming demonstration</t>
  </si>
  <si>
    <t>For improving fish production</t>
  </si>
  <si>
    <t>Boat building</t>
  </si>
  <si>
    <t>To construct Boat for distribution to farmers</t>
  </si>
  <si>
    <t>Fishing equipment</t>
  </si>
  <si>
    <t>To produce Fingerlings/Juveniles for sales to fish farmers.</t>
  </si>
  <si>
    <t>ECOWAS Fund</t>
  </si>
  <si>
    <t xml:space="preserve"> State counter part funding for Ecowas program</t>
  </si>
  <si>
    <t>HEAD:- 454</t>
  </si>
  <si>
    <t>MANUFACTURING</t>
  </si>
  <si>
    <t>`</t>
  </si>
  <si>
    <t>Industrial layout.</t>
  </si>
  <si>
    <t>Prov. of infrastructure to inducstrial layout at T/M, Shinkafi &amp; Gusau.</t>
  </si>
  <si>
    <t>Establishment of Sugar Plant</t>
  </si>
  <si>
    <t xml:space="preserve">Micro Credit Scheme </t>
  </si>
  <si>
    <t xml:space="preserve">Micro Credit Disbursement to small and medium entreprenuers. </t>
  </si>
  <si>
    <t>Industral Clusters.</t>
  </si>
  <si>
    <t>Tomatoe paste plant</t>
  </si>
  <si>
    <t>Zamfara Plastic Industry</t>
  </si>
  <si>
    <t>Constr. Of plastic industry.</t>
  </si>
  <si>
    <t>Mineral Development Company</t>
  </si>
  <si>
    <t>Take-up Grant</t>
  </si>
  <si>
    <t>HEAD:- 455</t>
  </si>
  <si>
    <t xml:space="preserve">POWER SUPPLY </t>
  </si>
  <si>
    <t>DIRECTORATE OF RURAL ELECTRIFIC.</t>
  </si>
  <si>
    <t xml:space="preserve">Electrification Programme </t>
  </si>
  <si>
    <t xml:space="preserve">Concrete Poles HT&amp;LT </t>
  </si>
  <si>
    <t>Procurement of Alminium Conductors</t>
  </si>
  <si>
    <t xml:space="preserve">Purchase of Alminium conductors for use State wide. </t>
  </si>
  <si>
    <t>Extension of HT&amp;LT Lines.</t>
  </si>
  <si>
    <t>Prov. Of Extension of HT&amp;LT Lines.</t>
  </si>
  <si>
    <t>HT&amp;LT Fitting&amp; Accessories</t>
  </si>
  <si>
    <t>Supply of HT&amp;LT Fitting&amp; Accessories</t>
  </si>
  <si>
    <t>Extension of HT line .</t>
  </si>
  <si>
    <t xml:space="preserve"> Extension of HT line at major housing estates</t>
  </si>
  <si>
    <t>Transformers.</t>
  </si>
  <si>
    <t>Supply of Transformers state wide.</t>
  </si>
  <si>
    <t>Wind enrgy power electricity</t>
  </si>
  <si>
    <t>Purchase of 2No Cranes</t>
  </si>
  <si>
    <t>To purchase 2 nos. cranes for headquarters</t>
  </si>
  <si>
    <t>Solar Power Electrification Program</t>
  </si>
  <si>
    <t>HEAD:-  456</t>
  </si>
  <si>
    <t>COMMERCE, FIN. &amp; CO-OPT.</t>
  </si>
  <si>
    <t>MIN. OF COMMERCE</t>
  </si>
  <si>
    <t>Gusau Ultra Morden Market</t>
  </si>
  <si>
    <t>Completion of the Market.</t>
  </si>
  <si>
    <t>Mini Modern Markets</t>
  </si>
  <si>
    <t>Renovation at T/Mafara, Nasarawa Burkullu, Shinkafi, K/Daji and Tsafe Markets.</t>
  </si>
  <si>
    <t>Trade Fair Complex</t>
  </si>
  <si>
    <t>Acquiring of Trade Fair site</t>
  </si>
  <si>
    <t>HEAD:-  457</t>
  </si>
  <si>
    <t>TRANSPORT</t>
  </si>
  <si>
    <t>MINIISTRY OF WORKS</t>
  </si>
  <si>
    <t xml:space="preserve">State Roads Construction </t>
  </si>
  <si>
    <t>Procurement of Machineries.</t>
  </si>
  <si>
    <t>Purchase of Crane</t>
  </si>
  <si>
    <t>To purchase 4Nos. Cranes</t>
  </si>
  <si>
    <t>Workshop Complex</t>
  </si>
  <si>
    <t>To constr. Workshop (National Council on work conclusion).</t>
  </si>
  <si>
    <t xml:space="preserve"> Machinaries Repairs</t>
  </si>
  <si>
    <t>To rehabilitate compresors &amp; 4N0s. Tippers.</t>
  </si>
  <si>
    <t>Culverts and Bridges</t>
  </si>
  <si>
    <t>To const./rehabilitate culverts &amp; bridges statewide</t>
  </si>
  <si>
    <t>State work school.</t>
  </si>
  <si>
    <t>Gusau Aerodrum</t>
  </si>
  <si>
    <t>Electricification and Transformers in Urban Towns.</t>
  </si>
  <si>
    <t>Office Complex</t>
  </si>
  <si>
    <t>To rehabilitate office</t>
  </si>
  <si>
    <t>Purchase of Towing Van</t>
  </si>
  <si>
    <t>To purch. Towing Van.</t>
  </si>
  <si>
    <t>V.I.O zonal offices</t>
  </si>
  <si>
    <t>Const. Of VIO Adm. Office at HQ Gusau.</t>
  </si>
  <si>
    <t xml:space="preserve"> V.I.O's Office Weight Bridge.</t>
  </si>
  <si>
    <t xml:space="preserve">HEAD:-  </t>
  </si>
  <si>
    <t>457a</t>
  </si>
  <si>
    <t>Gusau Motor Parks</t>
  </si>
  <si>
    <t>Expansion of the Motor Parks</t>
  </si>
  <si>
    <t>Zamfara State Transport Authority</t>
  </si>
  <si>
    <t>Admn. Office Complex</t>
  </si>
  <si>
    <t>To constr. Administrative office</t>
  </si>
  <si>
    <t>Permanent terminus Gusau.</t>
  </si>
  <si>
    <t>To acquire site for terminus in the state capital</t>
  </si>
  <si>
    <t>Workshop</t>
  </si>
  <si>
    <t>To renovate workshop at ZSTA</t>
  </si>
  <si>
    <t>ROADS MAINTAINANCE AGENCY</t>
  </si>
  <si>
    <t xml:space="preserve">Existing roads </t>
  </si>
  <si>
    <t xml:space="preserve">Maintainance of the state existing roads  .  </t>
  </si>
  <si>
    <t>Equipments</t>
  </si>
  <si>
    <t>To procure 1no.Grader, Asphalt paver &amp; 4 Nos. Hand Rollers.</t>
  </si>
  <si>
    <t>MIN. FOR RURAL DEV. &amp; COOP</t>
  </si>
  <si>
    <t>DIRECTORATE FOR RURAL ROADS DEVELOPMENT</t>
  </si>
  <si>
    <t xml:space="preserve">Rural roads </t>
  </si>
  <si>
    <t>Construction of rural roads acros the 14 LGAs</t>
  </si>
  <si>
    <t>Plant and equipment</t>
  </si>
  <si>
    <t>Repairs and procurement of additional plant and equipment</t>
  </si>
  <si>
    <t>Purchase of Assessories</t>
  </si>
  <si>
    <t>To purchase assessories</t>
  </si>
  <si>
    <t>State &amp; Local Govt. Joint Project</t>
  </si>
  <si>
    <t>Provision of Modern Equipment to cooperative sociaties</t>
  </si>
  <si>
    <t>Procure Modern Production &amp; Processing Equipment for cooperative societies</t>
  </si>
  <si>
    <t>Office Complex &amp; Infrastructure</t>
  </si>
  <si>
    <t>Renovation of Office &amp; Provision of Infrastructure</t>
  </si>
  <si>
    <t>Agro-allied industrialist Scheme</t>
  </si>
  <si>
    <t>TOTAL ECONOMIC SECTOR</t>
  </si>
  <si>
    <t>HEAD:-  458</t>
  </si>
  <si>
    <t>EDUCATION</t>
  </si>
  <si>
    <t>Schools Expansion Programme.</t>
  </si>
  <si>
    <t>School Structure Renovation</t>
  </si>
  <si>
    <t>Laboratory/work shop &amp; Equipment.</t>
  </si>
  <si>
    <t>Game facilities &amp; sport equipment</t>
  </si>
  <si>
    <t>To provide game equipment &amp; rehabilitate game facilities.</t>
  </si>
  <si>
    <t>Audio/Vedio Teaching Aids.</t>
  </si>
  <si>
    <t>Library &amp; equipment</t>
  </si>
  <si>
    <t>Computer centers.</t>
  </si>
  <si>
    <t xml:space="preserve">Students Uniform. </t>
  </si>
  <si>
    <t>To provide uniform to students.</t>
  </si>
  <si>
    <t>Education Resource Center Gusau</t>
  </si>
  <si>
    <t>Nomadic Education Programme.</t>
  </si>
  <si>
    <t>Agency for mass Education</t>
  </si>
  <si>
    <t xml:space="preserve">Boarding Primary Schools </t>
  </si>
  <si>
    <t>Arabic &amp; Islamic Education Board</t>
  </si>
  <si>
    <t>State Library Board, Gusau.</t>
  </si>
  <si>
    <t>Const. of Ultra modern Lib Complex &amp; equiping with modern facilities &amp; Completion of state lib. in Gusau.</t>
  </si>
  <si>
    <t xml:space="preserve"> College of Education, Maru.</t>
  </si>
  <si>
    <t>Completion of females hostels, lecture hall &amp; admin. office etc.</t>
  </si>
  <si>
    <t>Provision of Furniture to schools</t>
  </si>
  <si>
    <t>To purch. student tables, matress, beds &amp; teachers table etc.</t>
  </si>
  <si>
    <t>Purchase of Text Books</t>
  </si>
  <si>
    <t>To Purchase  Text Books for Schools</t>
  </si>
  <si>
    <t>Special Constituency Projects</t>
  </si>
  <si>
    <t>State UBE Programme</t>
  </si>
  <si>
    <t>120 (b)</t>
  </si>
  <si>
    <t>Girl Child Education Programme</t>
  </si>
  <si>
    <t>State contribution to DFID/Unicef Girl Child Educ. Intervention Project</t>
  </si>
  <si>
    <t>National Open University centre Gusau</t>
  </si>
  <si>
    <t xml:space="preserve">Renovation of National open  university (NOUN) temporary study center at Gusau. </t>
  </si>
  <si>
    <t>Zonal Education Offices</t>
  </si>
  <si>
    <t>Special education and inclusive education</t>
  </si>
  <si>
    <t>Consultancy Services</t>
  </si>
  <si>
    <t>MIN. OF SCIENCE AND TECHNICAL EDUCATION</t>
  </si>
  <si>
    <t xml:space="preserve">Science school expansion </t>
  </si>
  <si>
    <t>Expansion of all Science &amp; Technical Schools</t>
  </si>
  <si>
    <t>School structure renovation</t>
  </si>
  <si>
    <t>Renovation of all Science &amp; Technical Schools structure</t>
  </si>
  <si>
    <t>Supply of Science equipment</t>
  </si>
  <si>
    <t>Procurement of Science &amp; Technical equipment</t>
  </si>
  <si>
    <t>Computer Education programme</t>
  </si>
  <si>
    <t xml:space="preserve">Provision of Instructional materials </t>
  </si>
  <si>
    <t xml:space="preserve">Purchase of Text books </t>
  </si>
  <si>
    <t>Furniture Supply</t>
  </si>
  <si>
    <t>Zamfara College of Arts and Sciences, ZACAS.</t>
  </si>
  <si>
    <t>Abdu Gusau Polytechnic T/Mafara.</t>
  </si>
  <si>
    <t xml:space="preserve">Students Uniform </t>
  </si>
  <si>
    <t>School libraries Constr. &amp; Renovat.</t>
  </si>
  <si>
    <t>Games facilities Supply</t>
  </si>
  <si>
    <t xml:space="preserve">Establishment of 2 additional science &amp; technical schools. </t>
  </si>
  <si>
    <t>At either Jangebe, Tsafe,  Dauran &amp; Nasarawa.</t>
  </si>
  <si>
    <t xml:space="preserve">Directorate of Student Affairs </t>
  </si>
  <si>
    <t>Bursary allowance to indigines studying overseas &amp; monthly student allowances</t>
  </si>
  <si>
    <t>HEAD:-  459</t>
  </si>
  <si>
    <t>HEALTH</t>
  </si>
  <si>
    <t>MIN. OF HEALTH</t>
  </si>
  <si>
    <t>Health system development fund</t>
  </si>
  <si>
    <t>State C/part contribution</t>
  </si>
  <si>
    <t>Medical Store Complex.</t>
  </si>
  <si>
    <t>Quality control laboratory</t>
  </si>
  <si>
    <t xml:space="preserve">PHCs Up-grading and rehabilitation.   </t>
  </si>
  <si>
    <t>Completion of G./Hosp.at Gayari,  Kagara &amp; Gangaren Kwata clinic.</t>
  </si>
  <si>
    <t>School of Health Technology Tsafe</t>
  </si>
  <si>
    <t>To Const. Hostel, 2 Block of 4 classrooms, Auditorium, Reh.of  Wall fence &amp; exising structures.</t>
  </si>
  <si>
    <t>Specialist Hospitals</t>
  </si>
  <si>
    <t>Completion of Shinkafi referal Hospital.</t>
  </si>
  <si>
    <t>Four (4) Zonal Health offices</t>
  </si>
  <si>
    <t>To establish 4 new zonal offices.</t>
  </si>
  <si>
    <t>School of Nursing and Midwifery</t>
  </si>
  <si>
    <t>Maternal and Child Care Programme</t>
  </si>
  <si>
    <t>Epidemiological Unit.</t>
  </si>
  <si>
    <t xml:space="preserve">HEALTH </t>
  </si>
  <si>
    <t>State General Hospitals</t>
  </si>
  <si>
    <t>To Reh. &amp; const. additional struct.in G/hospitals at Bung, D/Sadau, Zurmi, Maradun, Bukkuyum, Tsafe &amp; B/Magaji.</t>
  </si>
  <si>
    <t>Hospital Equipment</t>
  </si>
  <si>
    <t>Zamfara state pharmaceutical plant</t>
  </si>
  <si>
    <t xml:space="preserve">Completion of pharmaceutical company in the state. </t>
  </si>
  <si>
    <t>Presidential Comprehensive Response for HIV</t>
  </si>
  <si>
    <t>Psychiatric Hospital Anka</t>
  </si>
  <si>
    <t xml:space="preserve">To rehab. psychiatric hospital Anka </t>
  </si>
  <si>
    <t>Public Health Laboratory</t>
  </si>
  <si>
    <t>Nahuche Health &amp; Demographic Surveillance Site.</t>
  </si>
  <si>
    <t>State Refferal Hospitals</t>
  </si>
  <si>
    <t>Specialised Ambulance</t>
  </si>
  <si>
    <t>State Primary Health Care Management Board</t>
  </si>
  <si>
    <t>Women and Children Hospital Gusau.</t>
  </si>
  <si>
    <t>To provide additional structures and facilities.</t>
  </si>
  <si>
    <t>SACA</t>
  </si>
  <si>
    <t>HEAD:-  460</t>
  </si>
  <si>
    <t>SECTOR:</t>
  </si>
  <si>
    <t>INFORMATION</t>
  </si>
  <si>
    <t xml:space="preserve">ZAMFARA RADIO &amp; TELEVISION SERVICES </t>
  </si>
  <si>
    <t>AM Studio equipment</t>
  </si>
  <si>
    <t>Procurement of Additional studio equipment.</t>
  </si>
  <si>
    <t>Tapes and Tape Recorders</t>
  </si>
  <si>
    <t>Procu.Tapes and Tape Recorders</t>
  </si>
  <si>
    <t>Zonal offices</t>
  </si>
  <si>
    <t>Cons. of 4No zonal offices</t>
  </si>
  <si>
    <t xml:space="preserve">Studio furniture </t>
  </si>
  <si>
    <t>Purch. of  furniture for studio</t>
  </si>
  <si>
    <t>Communication Equipment.</t>
  </si>
  <si>
    <t>Generators</t>
  </si>
  <si>
    <t>Outside broadcasting van</t>
  </si>
  <si>
    <t>Purch. of O.B Vans for Radio &amp; Television</t>
  </si>
  <si>
    <t>Staff quarters</t>
  </si>
  <si>
    <t>Construction of staff quarters</t>
  </si>
  <si>
    <t>State Television</t>
  </si>
  <si>
    <t>Purch.of additional transmitter &amp; cooling system.</t>
  </si>
  <si>
    <t>F. M. Radio</t>
  </si>
  <si>
    <t>Procure Moodern FM transmiter.</t>
  </si>
  <si>
    <t xml:space="preserve"> Zamfara Radio Admin block</t>
  </si>
  <si>
    <t xml:space="preserve">To Complete and furnish admin block </t>
  </si>
  <si>
    <t xml:space="preserve"> Purchase of NewTransmiter</t>
  </si>
  <si>
    <t>To purchase transmitter</t>
  </si>
  <si>
    <t>Landscaping,&amp;Access roads.</t>
  </si>
  <si>
    <t>MIN. OF INFORMATION</t>
  </si>
  <si>
    <t xml:space="preserve"> Television viewing centres</t>
  </si>
  <si>
    <t xml:space="preserve">Public Address Vans </t>
  </si>
  <si>
    <t xml:space="preserve">Purchase of 3 Nos Public Address Vans </t>
  </si>
  <si>
    <t>Zonal Information centres</t>
  </si>
  <si>
    <t>Const. of zonal offices at Anka, Kaura, and T/Mafara.</t>
  </si>
  <si>
    <t>Editing Suites</t>
  </si>
  <si>
    <t>Establishing and equiping of editing suites</t>
  </si>
  <si>
    <t>Zamfara Printing&amp;Publishing Company</t>
  </si>
  <si>
    <t xml:space="preserve">Procurement of equipment </t>
  </si>
  <si>
    <t>Photographic equipment</t>
  </si>
  <si>
    <t>Color &amp; B/W processors &amp;   cameras etc</t>
  </si>
  <si>
    <t>Publication &amp; Prod. of State Prog.</t>
  </si>
  <si>
    <t xml:space="preserve"> Arts and Culture Board</t>
  </si>
  <si>
    <t>Open Air Theater Gusau.</t>
  </si>
  <si>
    <t>Hall of Fame</t>
  </si>
  <si>
    <t>Establishment of hall of fame at government house, Gusau.</t>
  </si>
  <si>
    <t>Drama Village</t>
  </si>
  <si>
    <t>Const. of drama village at Damba area.</t>
  </si>
  <si>
    <t>Survenir Shop</t>
  </si>
  <si>
    <t>Purchase of airfact &amp; other cultural items.</t>
  </si>
  <si>
    <t>Artistes Camp.</t>
  </si>
  <si>
    <t>Const. of Rooms for Artist.</t>
  </si>
  <si>
    <t>Equipment</t>
  </si>
  <si>
    <t>Purchase of projectors, TV Sets &amp; other Electrical appliences.</t>
  </si>
  <si>
    <t xml:space="preserve">Cultural Festivals </t>
  </si>
  <si>
    <t>Attending National &amp; International Cultural Festivals.</t>
  </si>
  <si>
    <t>Costums for Drama</t>
  </si>
  <si>
    <t>Purchase of costumes for drama</t>
  </si>
  <si>
    <t>MIN. OF CULTURE &amp; TOURISM</t>
  </si>
  <si>
    <t>Bureu Complex</t>
  </si>
  <si>
    <t>Const. of Bureau complex at Gusau</t>
  </si>
  <si>
    <t xml:space="preserve">Monuments </t>
  </si>
  <si>
    <t xml:space="preserve">Zonal Museum </t>
  </si>
  <si>
    <t>Provision of 3 zonal Museums.</t>
  </si>
  <si>
    <t>Shelves &amp; Showcases</t>
  </si>
  <si>
    <t>To provide Shelves &amp; Showcases at Gusau permanant site</t>
  </si>
  <si>
    <t>Zamfara gallery at Arewa house.</t>
  </si>
  <si>
    <t>Equipping of Zamfara gallery at Arewa house.</t>
  </si>
  <si>
    <t>Archaeological Excavation</t>
  </si>
  <si>
    <t>Historical books and Arabic manuscript.</t>
  </si>
  <si>
    <t xml:space="preserve">Archival materials </t>
  </si>
  <si>
    <t>Zamfara history project</t>
  </si>
  <si>
    <t xml:space="preserve">Charlets &amp; 4 yrs Stratagic tourism master plan. </t>
  </si>
  <si>
    <t>Eco-Tourism centre and Sovenier shop</t>
  </si>
  <si>
    <t>Cultural Centre Complex</t>
  </si>
  <si>
    <t>Establishment of cultural centre complex at Gusau.</t>
  </si>
  <si>
    <t xml:space="preserve"> City Square </t>
  </si>
  <si>
    <t>Constr. Of City Square at Old Garage Gusau .</t>
  </si>
  <si>
    <t>HOTELS MANAGEMENT  BOARD</t>
  </si>
  <si>
    <t>Gusau Motel</t>
  </si>
  <si>
    <t>Hotels and catering rest houses</t>
  </si>
  <si>
    <t>Gusau Hotel</t>
  </si>
  <si>
    <t>Expansion and renovation of Gusau Hotel.</t>
  </si>
  <si>
    <t xml:space="preserve">Directorate of Public Enlightment </t>
  </si>
  <si>
    <t>HEAD:-  460(a)</t>
  </si>
  <si>
    <t>YOUTH EMPOWERMENT, SKILLS ACQUISION &amp; SPORTS DEVT.</t>
  </si>
  <si>
    <t>MINISTRY OF YOUTH EMP. SKILLS ACQUI &amp; SPORTS DEVT.</t>
  </si>
  <si>
    <t>Youth Development &amp; Skills acquisition centre Gusau</t>
  </si>
  <si>
    <t>To construct youth and skills acquisition centre at Gusau</t>
  </si>
  <si>
    <t>L/Govt Youth Development Centres.</t>
  </si>
  <si>
    <t>Prov.of  youth dev.centres to  local government Headquarters</t>
  </si>
  <si>
    <t xml:space="preserve">3 Zonal youth development offices </t>
  </si>
  <si>
    <t>Agro Based centre</t>
  </si>
  <si>
    <t>Rehab of Gwashi, Damba, Shinkafi  &amp; Maradun Agro centres.</t>
  </si>
  <si>
    <t>Skills Aqcuisition Centres</t>
  </si>
  <si>
    <t>To provide vocational &amp; occupational skills in the state.</t>
  </si>
  <si>
    <t>Citizen/Leadership training centre</t>
  </si>
  <si>
    <t>To construct Citizen/Leadership training centre at Kwatarkwashi</t>
  </si>
  <si>
    <t xml:space="preserve">NYSC  Orientation Camp &amp; Secret. </t>
  </si>
  <si>
    <t>Expantion of NYSC Camp  at Tsafe.</t>
  </si>
  <si>
    <t>DIRECTORATE OF SPORTS DEVELOPMENT</t>
  </si>
  <si>
    <t>Sporting equipment</t>
  </si>
  <si>
    <t>Procurement of  Equipment for the National sport festival.</t>
  </si>
  <si>
    <t>Sardauna Stadium Gusau</t>
  </si>
  <si>
    <t>To upgrade the status of the stadium to a minimum standard</t>
  </si>
  <si>
    <t xml:space="preserve">3Nos. Zonal Stadia </t>
  </si>
  <si>
    <t>To renovate stadia at Gummi, Mafara and Kaura Namoda.</t>
  </si>
  <si>
    <t xml:space="preserve">New Ultra Modern Stadium </t>
  </si>
  <si>
    <t>To start preliminary works</t>
  </si>
  <si>
    <t xml:space="preserve">Zonal Offices </t>
  </si>
  <si>
    <t>Modern Indoor Sport Hall</t>
  </si>
  <si>
    <t>To Conts.new Modern Hall</t>
  </si>
  <si>
    <t>HEAD:-  461</t>
  </si>
  <si>
    <t>SOCIAL WELFARE</t>
  </si>
  <si>
    <t>MIN. OF SOCIAL WELFARE AND COMMUNITY DEVELOPMENT</t>
  </si>
  <si>
    <t>Remand Home Gusau</t>
  </si>
  <si>
    <t>Renovation of remand home.</t>
  </si>
  <si>
    <t>Approved School Bungudu</t>
  </si>
  <si>
    <t>Remand Home Kaura.</t>
  </si>
  <si>
    <t xml:space="preserve">Estb. of Remand Home at Kaura. </t>
  </si>
  <si>
    <t>Disabled Center Gusau.</t>
  </si>
  <si>
    <t>Const. of permanent Centre at Gusau.</t>
  </si>
  <si>
    <t>Bedding &amp; recreational facilities for social welfare institutions</t>
  </si>
  <si>
    <t>Zonal Social Welfare Office.</t>
  </si>
  <si>
    <t>Rehab. of zonal social welfare Offices at Gusau, T/M, K/N, Anka.</t>
  </si>
  <si>
    <t>Working Materials</t>
  </si>
  <si>
    <t>Public Welfare Program</t>
  </si>
  <si>
    <t>For Welfare to needy &amp; destitude</t>
  </si>
  <si>
    <t>Remand Home Anka.</t>
  </si>
  <si>
    <t>MIN. OF WOMEN &amp; CHILDREN AFFAIRS</t>
  </si>
  <si>
    <t>Women Development Centre Gusau</t>
  </si>
  <si>
    <t>Day Care Centre in Gusau</t>
  </si>
  <si>
    <t>Const.of one block of 3 class rooms &amp; supply of facilities.</t>
  </si>
  <si>
    <t>Children's Amusement park</t>
  </si>
  <si>
    <t xml:space="preserve">Developing &amp; supply of equipment to the new hall. </t>
  </si>
  <si>
    <t xml:space="preserve">LGAs Women Development Centres. </t>
  </si>
  <si>
    <t xml:space="preserve">Child craft centres that are not opportune western education </t>
  </si>
  <si>
    <t xml:space="preserve">Cons. of a block of 4 c/rooms where voca.&amp; skills will be taught at Bukkuyum </t>
  </si>
  <si>
    <t>LGAsWomen Skills  Aquisition Centre.</t>
  </si>
  <si>
    <t>Equipment for LGAsWomen Skills  Aquisition Centre.</t>
  </si>
  <si>
    <t>Children's Home Gusau</t>
  </si>
  <si>
    <t>Construction of new home</t>
  </si>
  <si>
    <t>Constr. Of a OVC centre at T/M.</t>
  </si>
  <si>
    <t xml:space="preserve">Orphanage Home Gusau  </t>
  </si>
  <si>
    <t>Data Bank Gusau</t>
  </si>
  <si>
    <t>Establ. Of Data Bank Gusau</t>
  </si>
  <si>
    <t>Children Perliament</t>
  </si>
  <si>
    <t>Training of Children.</t>
  </si>
  <si>
    <t>Women empowerment scheme</t>
  </si>
  <si>
    <t>Amusement Park</t>
  </si>
  <si>
    <t>Rehabilitation of the park</t>
  </si>
  <si>
    <t>DIRECTORATE OF QUR'ANIC SCHOOLS</t>
  </si>
  <si>
    <t>State Qur'anic schools integration</t>
  </si>
  <si>
    <t xml:space="preserve">Sensitiz. &amp; mobiliz. of public on modernizing Qur'anic schs. to Islamia schs. to elimin. child beggi. </t>
  </si>
  <si>
    <t>Qur'anic Schools</t>
  </si>
  <si>
    <t xml:space="preserve">Const. of 2 classrooms in 17 state Emirates  &amp; Prov. Of Accomodation facilities. </t>
  </si>
  <si>
    <t>Furniture and instructional materials</t>
  </si>
  <si>
    <t>Supply of Books, Table &amp; Chairs to Qur'anic shools</t>
  </si>
  <si>
    <t>QURANIC TAJWED &amp; MEMORIZATION BOAD</t>
  </si>
  <si>
    <t>Qur'anic Memorisation Centres</t>
  </si>
  <si>
    <t>Const. of Qur'anic Memorisation Center in Bungudu LG. Along Sokoto Rd</t>
  </si>
  <si>
    <t>TOTAL SOCIAL SECTOR</t>
  </si>
  <si>
    <t>HEAD:  462</t>
  </si>
  <si>
    <t>WATER</t>
  </si>
  <si>
    <t>Urban water supply schemes</t>
  </si>
  <si>
    <t xml:space="preserve">To improve water supply schemes at Gusau, Anka, T/M, Shinkafi, Tsafe &amp; Zurmi. </t>
  </si>
  <si>
    <t>Upgrading of  semi urban to Urban water schemes</t>
  </si>
  <si>
    <t xml:space="preserve">Water conservation/shed management project </t>
  </si>
  <si>
    <t>Standadized motorised B/holes.</t>
  </si>
  <si>
    <t>Hydro Power Plant</t>
  </si>
  <si>
    <t>Water quality laboratory</t>
  </si>
  <si>
    <t>Provision of water quality laboratories</t>
  </si>
  <si>
    <t>Water Sanitation</t>
  </si>
  <si>
    <t>DIRECTORATE OF  RURAL WATER SUPPLY</t>
  </si>
  <si>
    <t>Motorized Boreholes and Hand pumps</t>
  </si>
  <si>
    <t>Earth Dams</t>
  </si>
  <si>
    <t>Drilling Rig and earth moving equipment.</t>
  </si>
  <si>
    <t xml:space="preserve">Purch. of Drilling Rig &amp; earth moving equipt. </t>
  </si>
  <si>
    <t>Spare Parts &amp; water quality laboratory equipment.</t>
  </si>
  <si>
    <t xml:space="preserve">Solar Powered Boreholes   </t>
  </si>
  <si>
    <t xml:space="preserve">Boreholes drilling </t>
  </si>
  <si>
    <t>To construct Hand pumps borehole across the state.</t>
  </si>
  <si>
    <t>Repairs of Brokendown Hand pumps</t>
  </si>
  <si>
    <t>To rehabilitate brokendown handpumps.</t>
  </si>
  <si>
    <t>Purchase of Drilling Rig and accessories</t>
  </si>
  <si>
    <t>Procure drilling rigs &amp; accessories</t>
  </si>
  <si>
    <t>Community hygiene sanitation Program</t>
  </si>
  <si>
    <t>To Provide sanitation equipment to the communities across the state.</t>
  </si>
  <si>
    <t>ZAMFARA STATE WATER BOARD</t>
  </si>
  <si>
    <t>Gusau water scheme</t>
  </si>
  <si>
    <t xml:space="preserve">Water Board &amp; Area offices Premises </t>
  </si>
  <si>
    <t>Fencing of water Board Premises including area offices..</t>
  </si>
  <si>
    <t>Purchase of Spare parts</t>
  </si>
  <si>
    <t>Purchase of Drilling rigs</t>
  </si>
  <si>
    <t>To Procure Drilling Rigs</t>
  </si>
  <si>
    <t>Pumping facilities</t>
  </si>
  <si>
    <t>Replacement of outdated parts</t>
  </si>
  <si>
    <t>Submersible pumps</t>
  </si>
  <si>
    <t>Upgrading &amp; replacement of submersible pumps at Area offices.</t>
  </si>
  <si>
    <t xml:space="preserve">Construction of Standard workshop </t>
  </si>
  <si>
    <t>To construct standard workshop at Gusau</t>
  </si>
  <si>
    <t>HEAD:-  463</t>
  </si>
  <si>
    <t>SEWAGE &amp; DRAINAGE</t>
  </si>
  <si>
    <t xml:space="preserve">Flood &amp; Gully Erosion  </t>
  </si>
  <si>
    <t xml:space="preserve">Flood &amp; Gully erosion control acros the state.  </t>
  </si>
  <si>
    <t xml:space="preserve">Drainages  </t>
  </si>
  <si>
    <t>Range Management</t>
  </si>
  <si>
    <t>Rehab. of existing structures</t>
  </si>
  <si>
    <t>Amenity/Road Side Plantation</t>
  </si>
  <si>
    <t>Survey for town planning.</t>
  </si>
  <si>
    <t>Nursery and Tree Planting.</t>
  </si>
  <si>
    <t>Biofuel and Climate Change</t>
  </si>
  <si>
    <t>Mineral Blocks &amp; Development</t>
  </si>
  <si>
    <t xml:space="preserve">Environmental Sanitation Agency </t>
  </si>
  <si>
    <t>Refuse Banks, VIP pit latrine &amp; Mobile latrine.</t>
  </si>
  <si>
    <t xml:space="preserve">Earth moving equiment </t>
  </si>
  <si>
    <t>Procurement of Earth moving equiment and escavators,Tipper pay loader &amp; trucks.</t>
  </si>
  <si>
    <t>Chemicals, and working materials</t>
  </si>
  <si>
    <t>Purch. of chemical &amp; working materials.</t>
  </si>
  <si>
    <t>Purchase of Wast Recycline Machine.</t>
  </si>
  <si>
    <t>Procurement of Wast Recycline Machine &amp; Equipt.</t>
  </si>
  <si>
    <t>Waste Transfer Loading Station</t>
  </si>
  <si>
    <t>Prov. of Waste Transfer Loading Station</t>
  </si>
  <si>
    <t>Land fill and Incinerations</t>
  </si>
  <si>
    <t>Sub-Total:--</t>
  </si>
  <si>
    <t>HEAD:-   464</t>
  </si>
  <si>
    <t>SECTOR:- HOUSING</t>
  </si>
  <si>
    <t>MIN. OF HOUSING &amp; URBAN DEV.</t>
  </si>
  <si>
    <t>State Housing Programmes</t>
  </si>
  <si>
    <t xml:space="preserve">Constr. Of 2 &amp; 3 B/rooms across the State. </t>
  </si>
  <si>
    <t>Landed property</t>
  </si>
  <si>
    <t>Purchase of landed assets</t>
  </si>
  <si>
    <t>Abandoned Housing project in the State.</t>
  </si>
  <si>
    <t>To complete ongoing &amp; abandoned Housing project.</t>
  </si>
  <si>
    <t>Legislative quarters</t>
  </si>
  <si>
    <t>To constr. Houses for Legislators</t>
  </si>
  <si>
    <t>Primary Mortgage Institutions</t>
  </si>
  <si>
    <t>To promote incorporation of mortgage institutions</t>
  </si>
  <si>
    <t>Special Housing scheme</t>
  </si>
  <si>
    <t>To constract Houses Across the state</t>
  </si>
  <si>
    <t xml:space="preserve">Infrastural facilities </t>
  </si>
  <si>
    <t>To provide access roads to new housing estate</t>
  </si>
  <si>
    <t xml:space="preserve">Private developers housing scheme. </t>
  </si>
  <si>
    <t xml:space="preserve">To const. Mass Housing estate in the State under (PPP). </t>
  </si>
  <si>
    <t>HEAD:-  465</t>
  </si>
  <si>
    <t>SECTOR:-  465</t>
  </si>
  <si>
    <t>TOWN &amp; COUNTRY PLANNING</t>
  </si>
  <si>
    <t xml:space="preserve">Township roads. </t>
  </si>
  <si>
    <t xml:space="preserve">Sites and Services </t>
  </si>
  <si>
    <t>Provision of new Gusau and T/M. sites</t>
  </si>
  <si>
    <t>Roads in designated urban areas.</t>
  </si>
  <si>
    <t>Rehab. and Provision of Township Roads in L/Govt. H/Qs.</t>
  </si>
  <si>
    <t xml:space="preserve">Street Lights </t>
  </si>
  <si>
    <t xml:space="preserve">Provision of Street Lights in the State Capital and LGAs H/Quaters </t>
  </si>
  <si>
    <t>Land Use Planning</t>
  </si>
  <si>
    <t>To prepare Land use planning in 14 LGAs</t>
  </si>
  <si>
    <t>Urban Design Elements</t>
  </si>
  <si>
    <t>Reconstr.of R/about and provision of fly over bridge.</t>
  </si>
  <si>
    <t>Parks and Garden</t>
  </si>
  <si>
    <t>To beautify and Landscape infront of Presidential Lodge and Yariman Bakura Hosp.</t>
  </si>
  <si>
    <t>Gusau urban renewal</t>
  </si>
  <si>
    <t>To upgrade Slums Areas</t>
  </si>
  <si>
    <t>ZUREB</t>
  </si>
  <si>
    <t>Designated urban roads.</t>
  </si>
  <si>
    <t>Mantainance of roads and infrastructural facilities.</t>
  </si>
  <si>
    <t xml:space="preserve">Solar Streat Light Program </t>
  </si>
  <si>
    <t>Gusau Airport</t>
  </si>
  <si>
    <t>Const. of Gusau Airport</t>
  </si>
  <si>
    <t>For township roads constraction</t>
  </si>
  <si>
    <t>MIN. OF LANDS AND SURVEY</t>
  </si>
  <si>
    <t>Payment of Compensation</t>
  </si>
  <si>
    <t>For acquiring of plots and physical structures</t>
  </si>
  <si>
    <t>Survey for Mapping of towns</t>
  </si>
  <si>
    <t>Boundry Survey/Adjustment</t>
  </si>
  <si>
    <t>Constraction of Zonal offices</t>
  </si>
  <si>
    <t>Survey equipment</t>
  </si>
  <si>
    <t>To purchase Survey equipment</t>
  </si>
  <si>
    <t>Registry and Strong Room</t>
  </si>
  <si>
    <t>Const.of Registry&amp;Strong Room</t>
  </si>
  <si>
    <t>Layout Survey in 14 LGA</t>
  </si>
  <si>
    <t xml:space="preserve">Computerization of Land Registry </t>
  </si>
  <si>
    <t xml:space="preserve">To Computerize Land Registry. </t>
  </si>
  <si>
    <t>HEAD:-   466</t>
  </si>
  <si>
    <t>SECTOR:-  466</t>
  </si>
  <si>
    <t>COMMUNITY DEVELOPMENT</t>
  </si>
  <si>
    <t>MIN. OF SOCIAL WELFARE</t>
  </si>
  <si>
    <t xml:space="preserve">Community Development Grant </t>
  </si>
  <si>
    <t>Assistance to clubs and societies for self help projects acrossthe State.</t>
  </si>
  <si>
    <t>Grant to N.Y.S.C CD Projects</t>
  </si>
  <si>
    <t>Assistance to N.Y.S.C CD Activities.</t>
  </si>
  <si>
    <t>Zonal Community Development Offices</t>
  </si>
  <si>
    <t>Constr. of Offices at T/M &amp; K/N</t>
  </si>
  <si>
    <t>Women Community Development Programme</t>
  </si>
  <si>
    <t>Model Villege Scheme</t>
  </si>
  <si>
    <t>Construction of modern village at Kuka Mairahhu, T/M LGA.</t>
  </si>
  <si>
    <t>Facilities for Community Development Registration</t>
  </si>
  <si>
    <t>To Purch. vehicle for Inspection of CD registration.</t>
  </si>
  <si>
    <t>Grant to NGOs</t>
  </si>
  <si>
    <t>Grant to NGOs embark on CD  projects</t>
  </si>
  <si>
    <t>Inter L/Govt Annual Computition.</t>
  </si>
  <si>
    <t>TOTAL ENVT. SECTOR</t>
  </si>
  <si>
    <t>HEAD:-   467</t>
  </si>
  <si>
    <t>SECTOR:-467</t>
  </si>
  <si>
    <t>GENERAL ADMIN</t>
  </si>
  <si>
    <t>New Government House.</t>
  </si>
  <si>
    <t xml:space="preserve">Const. of New Govt House </t>
  </si>
  <si>
    <t>Existing Government House</t>
  </si>
  <si>
    <t>Expansion of existing Govt house.</t>
  </si>
  <si>
    <t xml:space="preserve">Vehicles  </t>
  </si>
  <si>
    <t>Provision of vehicles for officials &amp; ministries</t>
  </si>
  <si>
    <t>House of Assembly Complex</t>
  </si>
  <si>
    <t>House of Assembly Liason Office</t>
  </si>
  <si>
    <t xml:space="preserve">Furniture &amp; Equipment </t>
  </si>
  <si>
    <t>Deputy Governor's Office</t>
  </si>
  <si>
    <t>Construction of Access road &amp; landscaping.</t>
  </si>
  <si>
    <t>Villas and  Lodges Gusau</t>
  </si>
  <si>
    <t>Construction/renovation of  Villas and  Lodges in Gusau</t>
  </si>
  <si>
    <t xml:space="preserve">Conversion of Halal Hotel to office </t>
  </si>
  <si>
    <t xml:space="preserve">New State Secretariat Complex </t>
  </si>
  <si>
    <t xml:space="preserve">Constr. Of New State Secretariat Complex </t>
  </si>
  <si>
    <t>Governors Lodge  Abuja</t>
  </si>
  <si>
    <t>Renov. of Govnors lodge Abuja</t>
  </si>
  <si>
    <t>Joint State and Local Government Projects</t>
  </si>
  <si>
    <t>State Government's Contrib. to const. of L/Govt. secretariate.</t>
  </si>
  <si>
    <t>Liason offices at Kd. &amp; Abuja</t>
  </si>
  <si>
    <t>Rehab.of liason office at Kd. &amp; Abuja.</t>
  </si>
  <si>
    <t>Standby Generators</t>
  </si>
  <si>
    <t>Prov.of Generating set to Governor's lodge Gus. &amp; State Secretariat.</t>
  </si>
  <si>
    <t>HEAD:-  467</t>
  </si>
  <si>
    <t>GENERAL ADMINISTRATION</t>
  </si>
  <si>
    <t xml:space="preserve">Security outfit buildings </t>
  </si>
  <si>
    <t>High court</t>
  </si>
  <si>
    <t>Sharia Court of appeal.</t>
  </si>
  <si>
    <t>MINISTRY FOR LOCAL GOVT &amp; CHIEFTAINCY AFFAIRS</t>
  </si>
  <si>
    <t>Council of Chiefs Secretariat</t>
  </si>
  <si>
    <t>Emir's Palaces</t>
  </si>
  <si>
    <t>Const. of Palaces for emirs</t>
  </si>
  <si>
    <t>STATE INDE. ELECT. COMM.</t>
  </si>
  <si>
    <t>State Secretariat Complex.</t>
  </si>
  <si>
    <t>To Const. permanent Secretariat complex</t>
  </si>
  <si>
    <t>Purchase of Election material &amp; Equipment</t>
  </si>
  <si>
    <t>To procure all needed election materials.</t>
  </si>
  <si>
    <t>Mobile Vehicle &amp; Motorcycles</t>
  </si>
  <si>
    <t>Purch. of M/Vehicle &amp; M/cycles</t>
  </si>
  <si>
    <t>Purchase of Cameras and video camera.</t>
  </si>
  <si>
    <t>Motionless cameras with lengh video camera</t>
  </si>
  <si>
    <t>Printing of Security Documents</t>
  </si>
  <si>
    <t>To prod.Voters registers</t>
  </si>
  <si>
    <t>Public Address appliances</t>
  </si>
  <si>
    <t>Procure Public Address appliances</t>
  </si>
  <si>
    <t>Modern warehouse</t>
  </si>
  <si>
    <t>To const. store house for safe keeping of equipt. &amp; material</t>
  </si>
  <si>
    <t xml:space="preserve">Law Books </t>
  </si>
  <si>
    <t>To procure Law books</t>
  </si>
  <si>
    <t>Purchase of Law Books</t>
  </si>
  <si>
    <t>Law Review and Printing of State Laws</t>
  </si>
  <si>
    <t>To print reviewed state laws</t>
  </si>
  <si>
    <t>Construction of 3nos. Attorney General'sChambers, Courts and Judges Residence.</t>
  </si>
  <si>
    <t>Const. of 3No chambers in 3 zones of T/M, Gummi, K/N &amp; Renovation of Courts &amp; Judges Resident.</t>
  </si>
  <si>
    <t xml:space="preserve"> Senior staff Quarters</t>
  </si>
  <si>
    <t xml:space="preserve">To construct 4 nos. senior staff quarters </t>
  </si>
  <si>
    <t>College of Legal Studies</t>
  </si>
  <si>
    <t xml:space="preserve">LGAs Court and Judges Residenecs. </t>
  </si>
  <si>
    <t>To Renovate Courts and Judges residence in the state.</t>
  </si>
  <si>
    <t>Min. of Justice Complex</t>
  </si>
  <si>
    <t>To Construct the Complex.</t>
  </si>
  <si>
    <t>JUDICIARY</t>
  </si>
  <si>
    <t>Commission Office Complex</t>
  </si>
  <si>
    <t>Purchase of Law Books.</t>
  </si>
  <si>
    <t>High court complex</t>
  </si>
  <si>
    <t>Extention works at H/court Gusau.</t>
  </si>
  <si>
    <t xml:space="preserve">High courts Residence. </t>
  </si>
  <si>
    <t>Construction of offices at T/M. Gummi and K/Namoda</t>
  </si>
  <si>
    <t>Magistrate courts.</t>
  </si>
  <si>
    <t xml:space="preserve">High Court H/Q Standby Generators  4Nos. </t>
  </si>
  <si>
    <t>Purchase of Sharia Law Books</t>
  </si>
  <si>
    <t>Upper Shari'a and Higher Shari'a Courts</t>
  </si>
  <si>
    <t>Renovation of Upper Shari'a and Higher Shari'a Courts accross the state</t>
  </si>
  <si>
    <t>New High Sharia Courts</t>
  </si>
  <si>
    <t>Shari'ah Court of Appeal and  Khadis residence</t>
  </si>
  <si>
    <t xml:space="preserve">Constr.of Shari'ah Court of Appeal and  Khadis residence at T/Mafara. </t>
  </si>
  <si>
    <t>3 nos. Standby Generators.</t>
  </si>
  <si>
    <t>Upper Sharia Court</t>
  </si>
  <si>
    <t>Constr. of Upper Sharia Court</t>
  </si>
  <si>
    <t xml:space="preserve">ZAMFARA STATE LAW REFORM COMMISSION </t>
  </si>
  <si>
    <t>Office Block</t>
  </si>
  <si>
    <t xml:space="preserve">Renov. of office Block </t>
  </si>
  <si>
    <t>Provision of Furniture and equipment</t>
  </si>
  <si>
    <t>Provis. of Furniture &amp; equipment</t>
  </si>
  <si>
    <t>FIRE SERVICE DEPARTMENT</t>
  </si>
  <si>
    <t>Bore holes &amp; Reservoir</t>
  </si>
  <si>
    <t>Provision of Additional facilities</t>
  </si>
  <si>
    <t xml:space="preserve">Drill tower at Gada Biyu. </t>
  </si>
  <si>
    <t>Procurement of Communication equipment</t>
  </si>
  <si>
    <t>Prov. of Communication Equipment at 5 Stations.</t>
  </si>
  <si>
    <t>Provision of Fire fighting equipment</t>
  </si>
  <si>
    <t>Purch.of flame, hose, chemical foam and properties.</t>
  </si>
  <si>
    <t xml:space="preserve">Purchase of New Fire fighting Vehicles </t>
  </si>
  <si>
    <t>New fire sub station.</t>
  </si>
  <si>
    <t>Estab. at Damba, Kanwuri, &amp; B/Ruwa.</t>
  </si>
  <si>
    <t>Purchase of Fire extinguishers</t>
  </si>
  <si>
    <t>Purchase of Fire Protective Clothing.</t>
  </si>
  <si>
    <t>To procure Protective cloth &amp; Uniform.</t>
  </si>
  <si>
    <t>Provision of Computers for MDAs</t>
  </si>
  <si>
    <t>To purchase computers for MDAs.</t>
  </si>
  <si>
    <t>Board of Internal Revenue.</t>
  </si>
  <si>
    <t>Computer Networking</t>
  </si>
  <si>
    <t>Prov. Of Computer Networking in finance H/Quater</t>
  </si>
  <si>
    <t>Consultancy Services General</t>
  </si>
  <si>
    <t>Consultancy &amp; feasibility studies for state Capital proj. and prog.</t>
  </si>
  <si>
    <t>UNDP Assisted Programmes</t>
  </si>
  <si>
    <t>UNICEF Assisted Programmes</t>
  </si>
  <si>
    <t>State C/part funds &amp; CD on Unicef Programs.</t>
  </si>
  <si>
    <t>Economic and Social Development Plans.</t>
  </si>
  <si>
    <t xml:space="preserve">MDGs Program </t>
  </si>
  <si>
    <t>State Contrib. to Co-financing of MDGs Conditional Grant.</t>
  </si>
  <si>
    <t xml:space="preserve">Office Complex and Working Equipment. </t>
  </si>
  <si>
    <t>Completion of Office Expantion &amp; Equipping.</t>
  </si>
  <si>
    <t>Training and Workshop</t>
  </si>
  <si>
    <t>Specialised capacity building for State &amp; LG Planing Officers</t>
  </si>
  <si>
    <t>State Bureau of Statistics</t>
  </si>
  <si>
    <t>Estabt. of D/Bank, statistical survey and C/part for developt. partners &amp; statistic program.</t>
  </si>
  <si>
    <t>Poverty  Alleviation   Programme        (ZAPA)</t>
  </si>
  <si>
    <t>Distrib. of equipt., cars &amp; working capital to beneficiaries on loan &amp; Empowerment programes.</t>
  </si>
  <si>
    <t>Gender Enpowerment Programme</t>
  </si>
  <si>
    <t xml:space="preserve">State counter part funds to support Gender activities. </t>
  </si>
  <si>
    <t>HEAD:467</t>
  </si>
  <si>
    <t>Purchase of Hilux</t>
  </si>
  <si>
    <t>To procure 3 nos. 4WD Hilux for monitoring of projects &amp; inspection</t>
  </si>
  <si>
    <t>Purchase of Internet assessories &amp; Networking</t>
  </si>
  <si>
    <t>Expansion of Internet facilities and provision of assessories</t>
  </si>
  <si>
    <t>Support for establishment of Micro Finance Scheme</t>
  </si>
  <si>
    <t>Mobilisation for loan facilities.</t>
  </si>
  <si>
    <t>Community &amp; Social Dev. Projects (CSDP)</t>
  </si>
  <si>
    <t>World Bank facility for  poverty reduction project.</t>
  </si>
  <si>
    <t>National and International (Bi lateral and Multi-lateral) Cooperation</t>
  </si>
  <si>
    <t>Coordination of Economic Development activities with Natinonal and Internatioal partners.</t>
  </si>
  <si>
    <t xml:space="preserve">Demographic Survellance </t>
  </si>
  <si>
    <t>C/part Fund for Demographic Survellance</t>
  </si>
  <si>
    <t>Monitoring of State Development Plans Implementation.</t>
  </si>
  <si>
    <t>Security Gadgets and Security vehicles.</t>
  </si>
  <si>
    <t xml:space="preserve">Border Villages. </t>
  </si>
  <si>
    <t>To provide security facilities &amp; amennities to Border villages</t>
  </si>
  <si>
    <t>State printing press</t>
  </si>
  <si>
    <t>Supply of Printing equipment to state printing press</t>
  </si>
  <si>
    <t>Standby generator.</t>
  </si>
  <si>
    <t>Procurement of Accessories and maintanance of Gen. Set.</t>
  </si>
  <si>
    <t xml:space="preserve">Provision of Communication Equipment </t>
  </si>
  <si>
    <t xml:space="preserve">Purchase of  Communication Equipment. </t>
  </si>
  <si>
    <t xml:space="preserve"> Zamfara Emergency Mgt. Agency</t>
  </si>
  <si>
    <t>Provision of relief materials and  equipments for IDPs.</t>
  </si>
  <si>
    <t>Recruitment centre</t>
  </si>
  <si>
    <t>To const. recruitment centre</t>
  </si>
  <si>
    <t>Arms depot</t>
  </si>
  <si>
    <t>To construct. Arms depot</t>
  </si>
  <si>
    <t>New Jumuat Mosques.</t>
  </si>
  <si>
    <t xml:space="preserve">Consruction &amp; Renovation of Jumuat Mosques state wide. </t>
  </si>
  <si>
    <t>Renovotion of Jumu'at Mosques</t>
  </si>
  <si>
    <t>Renovation of Jumu'at Mosques State wide</t>
  </si>
  <si>
    <t xml:space="preserve"> Construction of Islamic centres.</t>
  </si>
  <si>
    <t>Construction of 2 Islamic Centres  in K/Namoda and Gummi.</t>
  </si>
  <si>
    <t>Islamiyya schools.</t>
  </si>
  <si>
    <t>Const. of  islamiyya schools state wide</t>
  </si>
  <si>
    <t>Procurement of Materials</t>
  </si>
  <si>
    <t>Cemetries</t>
  </si>
  <si>
    <t xml:space="preserve">HISBAH COMMISSION </t>
  </si>
  <si>
    <t>Working equipment</t>
  </si>
  <si>
    <t>Public Enlightment on Sharia Legal System</t>
  </si>
  <si>
    <t xml:space="preserve">ANTI CORRUPTION COMMISSION </t>
  </si>
  <si>
    <t>Commission complex and Arabic library at Gusau.</t>
  </si>
  <si>
    <t>Enlightment Program.</t>
  </si>
  <si>
    <t>Sharia Research and Development Commission</t>
  </si>
  <si>
    <t>Renovation of office Complex.</t>
  </si>
  <si>
    <t>ZAKKAT &amp; ENDOWMENT BOARD</t>
  </si>
  <si>
    <t xml:space="preserve">Zakkat and Endowmen </t>
  </si>
  <si>
    <t>Const. of Shops/complexes in Gus &amp; 17 zakat stores in all emirate.</t>
  </si>
  <si>
    <t>PREACHING COMMISSION</t>
  </si>
  <si>
    <t>Offices complex</t>
  </si>
  <si>
    <t>OFFICE OF THE HEAD OF SERVICE (ADMIN &amp; ESTAB)</t>
  </si>
  <si>
    <t>New Civil Service Reform Books</t>
  </si>
  <si>
    <t xml:space="preserve">To purchase civil service reform books. </t>
  </si>
  <si>
    <t>Civil Service Recreation Center</t>
  </si>
  <si>
    <t>To establish Civil Service Recreation Center</t>
  </si>
  <si>
    <t>Provision of Generator</t>
  </si>
  <si>
    <t>Procurement of Generator</t>
  </si>
  <si>
    <t xml:space="preserve"> Union Secertariat</t>
  </si>
  <si>
    <t>To Const. and Furnish Union Secertariat</t>
  </si>
  <si>
    <t>Civil Servant  ID Card</t>
  </si>
  <si>
    <t>Provition of ID Card to C/Servants</t>
  </si>
  <si>
    <t xml:space="preserve">STAT. PUBLIC COMPLAIN COM </t>
  </si>
  <si>
    <t>Purchase of working equipment</t>
  </si>
  <si>
    <t xml:space="preserve">Computerization of CSC Records </t>
  </si>
  <si>
    <t>Shelves,Annual Report &amp; Almanac</t>
  </si>
  <si>
    <t>STATE PENSION COMM.</t>
  </si>
  <si>
    <t xml:space="preserve">Printing of report books and plastic I.D cards. </t>
  </si>
  <si>
    <t>BUREAU FOR PROTOCOL MATTERS</t>
  </si>
  <si>
    <t>Additional offices</t>
  </si>
  <si>
    <t>Const. of additional structures.</t>
  </si>
  <si>
    <t xml:space="preserve">Publicity General </t>
  </si>
  <si>
    <t>Special publicity programmes</t>
  </si>
  <si>
    <t xml:space="preserve">Directorate of State Govt. Projects </t>
  </si>
  <si>
    <t xml:space="preserve">To Procure projector,Computers &amp; minor mantainance of Roads, Building, B/holes &amp; E/Dams </t>
  </si>
  <si>
    <t xml:space="preserve">Directorate of L/Govt. Projects </t>
  </si>
  <si>
    <t>Executive Council Secretariat</t>
  </si>
  <si>
    <t>House of Assembly complex</t>
  </si>
  <si>
    <t>Expantion &amp; Renov.</t>
  </si>
  <si>
    <t>Vehicles</t>
  </si>
  <si>
    <t>Purchase of Vehicles</t>
  </si>
  <si>
    <t>Office furniture</t>
  </si>
  <si>
    <t>Purchase of furniture</t>
  </si>
  <si>
    <t>Office Equipment</t>
  </si>
  <si>
    <t>Purchase of Equipment</t>
  </si>
  <si>
    <t>House of Assembly liason Office</t>
  </si>
  <si>
    <t>Constr. Of permanant office</t>
  </si>
  <si>
    <t>Zamfara Accelerated Cotton Development Agency</t>
  </si>
  <si>
    <t>To Produce, purchase, process&amp; sources International Market and encourage Cotton production.</t>
  </si>
  <si>
    <t>Grand Total</t>
  </si>
  <si>
    <t>PART XIII BUDGET STABILIZATION FUND</t>
  </si>
  <si>
    <t>WITHHOLDING TAX</t>
  </si>
  <si>
    <t>Actual Collection   Jan - Dec. 2014</t>
  </si>
  <si>
    <t>LIAISON OFFICES ABUJA</t>
  </si>
  <si>
    <t>432/16A</t>
  </si>
  <si>
    <t>LIAISON OFFICES KADUNA</t>
  </si>
  <si>
    <t>432/16B</t>
  </si>
  <si>
    <t>SCHOOLS INSPECTION</t>
  </si>
  <si>
    <t>FORESTRY REVENUE</t>
  </si>
  <si>
    <t xml:space="preserve">SALES OF FERTILIZER </t>
  </si>
  <si>
    <t>SALES OF CRAFTS-SOURVE SHOPS</t>
  </si>
  <si>
    <t>Furniture Allowance</t>
  </si>
  <si>
    <t>RAMADAN &amp; SALLAH ACTIVITIES</t>
  </si>
  <si>
    <t xml:space="preserve"> TECHNICIAN / CAMERAMAN</t>
  </si>
  <si>
    <t>LOCAL GOVT. INSPECTOR III</t>
  </si>
  <si>
    <t>SALLAH ACTIVITIES</t>
  </si>
  <si>
    <t>MARKETING &amp; DISTRIBUTION</t>
  </si>
  <si>
    <t>SCHOOL IMAN/SERGENT</t>
  </si>
  <si>
    <t>DCR/DIRECTOR LITIGATION.</t>
  </si>
  <si>
    <t>CHAIRMAN (RENT TRIBUNAL)</t>
  </si>
  <si>
    <t>DIRECTOR (SHARI'AH COURT</t>
  </si>
  <si>
    <t>ASST. DIRECTOR (TECH SECT</t>
  </si>
  <si>
    <t>ENVIRONMENTAL HEALTH &amp; POLUTION CONTROL DEPARTMENT</t>
  </si>
  <si>
    <t>PRIN. ENVT. HEALTH OFFICER I</t>
  </si>
  <si>
    <t>PRIN. ENVT. HEALTH OFFICER II</t>
  </si>
  <si>
    <t>SNR. ENVT. HEALTH OFFICER</t>
  </si>
  <si>
    <t>HIGHER ENVT. HEALTH  OFF.</t>
  </si>
  <si>
    <t>ASST. ENVT. HEALTH OFFICER</t>
  </si>
  <si>
    <t>SANITATION INSPECTOR</t>
  </si>
  <si>
    <t>ASST. SANITATION INSPECTOR</t>
  </si>
  <si>
    <t>DRIVER MOTOR/MECH.</t>
  </si>
  <si>
    <t xml:space="preserve"> SNR. MOTOR DRIVER I</t>
  </si>
  <si>
    <t xml:space="preserve"> SNR. MOTOR DRIVER II</t>
  </si>
  <si>
    <r>
      <t xml:space="preserve">% </t>
    </r>
    <r>
      <rPr>
        <b/>
        <sz val="6"/>
        <rFont val="Arial Black"/>
        <family val="2"/>
      </rPr>
      <t>PERFORMANCE</t>
    </r>
  </si>
  <si>
    <t>PROJECTIONS 2015 - 2017</t>
  </si>
  <si>
    <t>SCHEDULE II</t>
  </si>
  <si>
    <t xml:space="preserve">                               ZAMFARA STATE OF NIGERIA</t>
  </si>
  <si>
    <t xml:space="preserve"> Sectoral Distribution of proposed 2015 Capital Expenditure</t>
  </si>
  <si>
    <t>SECTOR</t>
  </si>
  <si>
    <t>ALLOCATION</t>
  </si>
  <si>
    <t>ACTUAL EXP.</t>
  </si>
  <si>
    <t>RECOMMEND</t>
  </si>
  <si>
    <t>JAN-JUN.2014</t>
  </si>
  <si>
    <t>2013</t>
  </si>
  <si>
    <t>ECONOMIC SECTOR</t>
  </si>
  <si>
    <t>Agric. Including Irrig.</t>
  </si>
  <si>
    <t>Livestock</t>
  </si>
  <si>
    <t>Forestry</t>
  </si>
  <si>
    <t>Fisheries</t>
  </si>
  <si>
    <t>Manufacturing</t>
  </si>
  <si>
    <t>Power Supply</t>
  </si>
  <si>
    <t>Commerce, Co-op. and Finance</t>
  </si>
  <si>
    <t>Transport</t>
  </si>
  <si>
    <t xml:space="preserve">SUB-TOTAL </t>
  </si>
  <si>
    <t>SOCIAL SECTOR</t>
  </si>
  <si>
    <t>Education</t>
  </si>
  <si>
    <t>Health</t>
  </si>
  <si>
    <t>Information</t>
  </si>
  <si>
    <t>460a</t>
  </si>
  <si>
    <t>Youth</t>
  </si>
  <si>
    <t>Social Welfare</t>
  </si>
  <si>
    <t>ENVIRONMENTAL DEVELOPMENT SECTOR</t>
  </si>
  <si>
    <t xml:space="preserve">                </t>
  </si>
  <si>
    <t>Water</t>
  </si>
  <si>
    <t>Sewerage &amp; Drainage</t>
  </si>
  <si>
    <t>Housing</t>
  </si>
  <si>
    <t>Town &amp; Country Plan.</t>
  </si>
  <si>
    <t>Community Dev.</t>
  </si>
  <si>
    <t>ADMINISTRATION SECTOR</t>
  </si>
  <si>
    <t>General Admin</t>
  </si>
  <si>
    <t>GRAND-TOTAL:-</t>
  </si>
  <si>
    <t>SCHEDULE III</t>
  </si>
  <si>
    <t>Youth Empowerment Support Promotion Prog</t>
  </si>
  <si>
    <t xml:space="preserve">a. STATUTORY ALLOCATION </t>
  </si>
  <si>
    <t>ZAMFARA STATE APPROVED 2015 - 2017 BUDGET IN BRIEF</t>
  </si>
  <si>
    <t>APPROVED 2015</t>
  </si>
  <si>
    <t>APPROVED RECURRENT REVENUE ESTIMATES 2015</t>
  </si>
  <si>
    <t>APPROVED 2015 PERSONNEL COST</t>
  </si>
  <si>
    <t>APPROVED 2015 OVERHEAD COST</t>
  </si>
  <si>
    <t>MINISTRY OF ANIMAL HEALTH &amp; LIV. DEVT.</t>
  </si>
  <si>
    <t>APPROVED BUDGET 2015</t>
  </si>
  <si>
    <t>ZAMFARA STATE APPROVED ESTIMATES 2015</t>
  </si>
  <si>
    <t>APPROVED OVERHEAD</t>
  </si>
  <si>
    <t>APPROVED PERSONNEL</t>
  </si>
  <si>
    <t>DEV. PART. PROG. (UK AID, UNICEF)</t>
  </si>
  <si>
    <t>SLTR (GEMS 3) Prgram</t>
  </si>
  <si>
    <t>SUMMARY OF 2015 CAPITAL REVENUE</t>
  </si>
  <si>
    <t>A-1</t>
  </si>
  <si>
    <t>DESCRIPTION OF REVENUE</t>
  </si>
  <si>
    <t xml:space="preserve">ACTUAL  </t>
  </si>
  <si>
    <t>REVENUE</t>
  </si>
  <si>
    <t>COLLECTION</t>
  </si>
  <si>
    <t>JAN-DEC.2014</t>
  </si>
  <si>
    <t>TRANSFER  FROM PUBLIC FUNDS</t>
  </si>
  <si>
    <t>VALUE ADDED TAX (VAT)</t>
  </si>
  <si>
    <t>INTERNAL LOAN/BOND ACCRUALS</t>
  </si>
  <si>
    <t>EXTERNAL LOANS</t>
  </si>
  <si>
    <t xml:space="preserve">GRANTS </t>
  </si>
  <si>
    <t xml:space="preserve">OTHERS </t>
  </si>
  <si>
    <t>HEAD 440:  OTHER PUBLIC FUNDS</t>
  </si>
  <si>
    <t>A-2</t>
  </si>
  <si>
    <t>2015- 2017</t>
  </si>
  <si>
    <t>TRANSFER FROM RECURRENT REVENUE</t>
  </si>
  <si>
    <t>SOLID MINERALS DEVT. FUNDS</t>
  </si>
  <si>
    <t>NATIONAL AFFORESTATION PROGRAM</t>
  </si>
  <si>
    <t>DEREGULATION FUNDS/SURE- P</t>
  </si>
  <si>
    <t>CONTRIBUTION TO ZASIDEP</t>
  </si>
  <si>
    <t>PROCEEDS OF FERTILIZER SALES AND</t>
  </si>
  <si>
    <t xml:space="preserve">OTHER AGRIC INPUTS </t>
  </si>
  <si>
    <t>PROCEEDS OF TRACTOR SALES</t>
  </si>
  <si>
    <t>HEAD 441:  VALUE ADDED TAX</t>
  </si>
  <si>
    <t>A - 3</t>
  </si>
  <si>
    <t>VALUE ADDED TAX</t>
  </si>
  <si>
    <t>HEAD 442:  INTERNAL  LOANS</t>
  </si>
  <si>
    <t>A - 4</t>
  </si>
  <si>
    <t xml:space="preserve">DEVELOPMENT BANK LOANS </t>
  </si>
  <si>
    <t>i</t>
  </si>
  <si>
    <t>COM. BANK LOANS FOR DEVT. PROJS.</t>
  </si>
  <si>
    <t xml:space="preserve">CBN LOANS FOR SMSE </t>
  </si>
  <si>
    <t>NACRDB LOANS</t>
  </si>
  <si>
    <t>BOND</t>
  </si>
  <si>
    <t>443:    EXTERNAL LOANS</t>
  </si>
  <si>
    <t>A   5</t>
  </si>
  <si>
    <t>WORLD BANK (CSDP,IFAD, FADAMA III,SACA &amp; ZADP)</t>
  </si>
  <si>
    <t>NATIONAL WATER REH. PROJECT</t>
  </si>
  <si>
    <t>ADB LOANS TO HOSPITAL REH.</t>
  </si>
  <si>
    <t>ISLAMIC DEVELOPMENT BANK</t>
  </si>
  <si>
    <t xml:space="preserve">OTHER INTL. FINANCIERS </t>
  </si>
  <si>
    <t>HEALTH SYSTEM DEVLOPMENT FUND</t>
  </si>
  <si>
    <t>444:    GRANTS</t>
  </si>
  <si>
    <t>A   6</t>
  </si>
  <si>
    <t>FEDERAL/LOCAL GOVT. GRANTS TO ZADP</t>
  </si>
  <si>
    <t>LOCAL GOVT GRANTS TO IFAD</t>
  </si>
  <si>
    <t xml:space="preserve">GRANTS FROM UNICEF  TO ASSISTED </t>
  </si>
  <si>
    <t>PROJECTS.</t>
  </si>
  <si>
    <t>GRANTS FROM DEV. PARTNERS: UNDP,</t>
  </si>
  <si>
    <t>UK-AID AND USAID</t>
  </si>
  <si>
    <t xml:space="preserve">GRANTS FROM ECOLOGICAL FUNDS </t>
  </si>
  <si>
    <t xml:space="preserve">FGN GRANT TO UBE,ETF,GREAT </t>
  </si>
  <si>
    <t>GREEN WORLD</t>
  </si>
  <si>
    <t>FGN GRANT FOR CASSAVA PROG.</t>
  </si>
  <si>
    <t xml:space="preserve">LGA CONTRIBUTION TO UBE &amp; MDG, </t>
  </si>
  <si>
    <t>FGN COTTON DEVT GRANT</t>
  </si>
  <si>
    <t>445:    OTHERS</t>
  </si>
  <si>
    <t xml:space="preserve">LOCAL GOVT CONTRIBUTION TO SKILLS ACQUISITION PROG,FADAMA III </t>
  </si>
  <si>
    <t>GRANTS FROM MDG FUND</t>
  </si>
  <si>
    <t xml:space="preserve"> Sectoral Distribution of Approved 2015 Capital Expenditure</t>
  </si>
  <si>
    <t xml:space="preserve"> APPROVED PROVISION</t>
  </si>
  <si>
    <t>A   6b</t>
  </si>
  <si>
    <t>ACTUAL EXPEND.</t>
  </si>
  <si>
    <t>ZAMFARA STATE APPROVED 2015 CAPITAL ESTIMATES</t>
  </si>
  <si>
    <t>APPROVED. ETAB 2015</t>
  </si>
  <si>
    <t>APPROVED ETAB         2015</t>
  </si>
  <si>
    <t>APPROVED ETAB         2016</t>
  </si>
  <si>
    <t>2015 APPROVED BUDGET ESTIMATES</t>
  </si>
  <si>
    <t>2015 APPROVED REVENUE AND EXPENDITURE (GEN. SUMMARY)</t>
  </si>
  <si>
    <t>APPROVED PROVISION 2015</t>
  </si>
  <si>
    <t>Counterpart to NACRDB Animal Traction loan program.</t>
  </si>
  <si>
    <t xml:space="preserve">To Purch. Fertilizer for sale at subsidised rate to the populace. </t>
  </si>
  <si>
    <t>Procurement of additional equipment</t>
  </si>
  <si>
    <t>Procurement of Equipmentt and Raw materials</t>
  </si>
  <si>
    <t>Orchards</t>
  </si>
  <si>
    <t>State contribution to State Farmers Apex</t>
  </si>
  <si>
    <t>Rehabilitation of Grains stores</t>
  </si>
  <si>
    <t>For rehabilitation and fencing</t>
  </si>
  <si>
    <t>Renovation of existing structure at Daki Takwas</t>
  </si>
  <si>
    <t>For the promotion of Fodder Conservation &amp; Pasture Development</t>
  </si>
  <si>
    <t>Const. Of Zonal Vetirinary Clinic at Gusau</t>
  </si>
  <si>
    <t>Zonal Vetirinary Clinic</t>
  </si>
  <si>
    <t xml:space="preserve">To provide facilities at K/Daji, Shinkaf, Nassarawa, Jangebe &amp; T/M Quarantaine centres </t>
  </si>
  <si>
    <t>Constr. of B/holes &amp; procurement of Evacuation Vehicle at Gusau, T/M &amp; K/N.</t>
  </si>
  <si>
    <t>Improvement of Control Post</t>
  </si>
  <si>
    <t>Hybread Guinea Foul production</t>
  </si>
  <si>
    <t>Guinea Fowl project</t>
  </si>
  <si>
    <t>Provision of Jeep Tracks</t>
  </si>
  <si>
    <t>State Counterpart fund for estab. of shelterbelt along Nigeria/Niger boarder</t>
  </si>
  <si>
    <t>Investment House.</t>
  </si>
  <si>
    <t>Completion of Invetment House</t>
  </si>
  <si>
    <t>To establish a Sugar plant</t>
  </si>
  <si>
    <t>Zamfara Investment &amp; Property Development Company</t>
  </si>
  <si>
    <t>Purchase of shares &amp; company.</t>
  </si>
  <si>
    <t>Establishment of Cottage Industry</t>
  </si>
  <si>
    <t>To establish Cottage Industries</t>
  </si>
  <si>
    <t>Zamfara Technology Business Incubation Centre.</t>
  </si>
  <si>
    <t>To establish Centers</t>
  </si>
  <si>
    <t>Provision of Industrial Clusters in the State.</t>
  </si>
  <si>
    <t>Establishment of Tomatoe paste plant at T/M.</t>
  </si>
  <si>
    <t xml:space="preserve">Connection of towns and villages to national grid statewide. </t>
  </si>
  <si>
    <t xml:space="preserve">Replacement of broken Poles State wide. </t>
  </si>
  <si>
    <t>Provision of Low Tention line to connect housing units</t>
  </si>
  <si>
    <t>To connect housing unit in the state with LT line</t>
  </si>
  <si>
    <t>State to generate power using Wind enrgy for local consumption</t>
  </si>
  <si>
    <t>Construction of 2nos. stores and  office premises fencing</t>
  </si>
  <si>
    <t>To const. 2no stores and fencing of office premises at H/quater</t>
  </si>
  <si>
    <t>To conduct Feasibility study of Solar Power Electrification project.</t>
  </si>
  <si>
    <t>Construction of Tsafe-Hayin Alhaji-Yan Kuzo-Yanwaren Daji- Katsina border road, K/Namoda - Birnin Magaji - Dauran road, Gusau - Rijiya road, Jangebe - Gwaram - Kanoma - Dan Marke road,D/Takwas-B/Tudu-Falale-D/dabi raod, K/Kwashi-Rawayya and completion of on-going road.</t>
  </si>
  <si>
    <t>Purch. of bulldozer, Grader,  DAF, Poocker vibrators, Pay loader for D/labour road const.</t>
  </si>
  <si>
    <t>To acquire permanent site for state works school</t>
  </si>
  <si>
    <t>Construction of Gusau Aerodrum</t>
  </si>
  <si>
    <t>Extention of Electricification and supply of Transformers in Urban Towns.</t>
  </si>
  <si>
    <t>Completion of Zonal offices at T/M &amp; Gummi.</t>
  </si>
  <si>
    <t>VIO Office (Headquarters)</t>
  </si>
  <si>
    <t xml:space="preserve">To purchase specialised 5 Patrol Vehicles </t>
  </si>
  <si>
    <t>Patrol Vehicles</t>
  </si>
  <si>
    <t>Rep. of Weight Bridge &amp; purch. of assessories for V.I.O's Office.</t>
  </si>
  <si>
    <t>Gusau Trucks Parking Space</t>
  </si>
  <si>
    <t>Const. of Parking Space for Trucks and Tippers.</t>
  </si>
  <si>
    <t>Rural Roads Joint Projects across 14 LGAs</t>
  </si>
  <si>
    <t>Constr. of Cooperative Super Markets &amp; Business Centres.</t>
  </si>
  <si>
    <t>Cooperative Super Market &amp; Business Centres.</t>
  </si>
  <si>
    <t>Provision of revolving loan for agro-allied industrialist</t>
  </si>
  <si>
    <t>Provision of school facilities across the State.</t>
  </si>
  <si>
    <t>Renovation of School Structures across the State.</t>
  </si>
  <si>
    <t>To const. 10 Nos. Labs./wkshop &amp; provision of equipt. for Snr.Sec. Schools.</t>
  </si>
  <si>
    <t>Supply of Teaching Aids to GSS K/N, UDSS Bungudu, GGASS Gusau &amp; Unity Sch. Gummi.</t>
  </si>
  <si>
    <t>Const., Reh. &amp; furnishing of Schs.Lib. and supply of Equipt.</t>
  </si>
  <si>
    <t>Const. of computer labs &amp; Procure computer sets in Schs.</t>
  </si>
  <si>
    <t>Const. &amp;  equiping the Centre.</t>
  </si>
  <si>
    <t>Const. Of 45 classrooms, office complex &amp; purch. of instruction materials, 10 set of generators and toilet facilities.</t>
  </si>
  <si>
    <t>Renov. &amp; equiping of rural reading rooms in14 LGAs.</t>
  </si>
  <si>
    <t>To Estab. the Schools at Bungudu (Boys), Maradun (Girls), Shinkafi (Boys), Bukkuyum and Zurmi (Girls).</t>
  </si>
  <si>
    <t>Procurement of funiture and Arabic Textbooks</t>
  </si>
  <si>
    <t>Reh. of existin GFPS &amp; estab. of new at Anka, Bkm, Bug. Maru Shinkafi, Zurmi &amp; Gusau.</t>
  </si>
  <si>
    <t>Members' Constituency Projects</t>
  </si>
  <si>
    <t xml:space="preserve">State Counterpart Funds &amp; state special Intervention in primary Education. </t>
  </si>
  <si>
    <t>Agency for Educ. Quality Assuarance</t>
  </si>
  <si>
    <t xml:space="preserve">To establish the Agency </t>
  </si>
  <si>
    <t>To constr. Zonal Offices</t>
  </si>
  <si>
    <t>Purchase of Inclusive &amp; special educational Materials.</t>
  </si>
  <si>
    <t>Primary Pupils National Insurance Scheme</t>
  </si>
  <si>
    <t>State contribution to the insurance scheme prog.</t>
  </si>
  <si>
    <t>Procurement of Computer &amp; accessories Sets to  Sci. &amp; Tech. Shools</t>
  </si>
  <si>
    <t>To supply Text Books to Science &amp; Technical Schools</t>
  </si>
  <si>
    <t>To supply Instructional materials to Sci. &amp; Technical Schools</t>
  </si>
  <si>
    <t>Supply of furniture to Science &amp; Technical Schools</t>
  </si>
  <si>
    <t>Provision of additional structures</t>
  </si>
  <si>
    <t>Constr. of additional structures to meet NBTE criteria for Accreditation of core Engr. Courses.</t>
  </si>
  <si>
    <t>Provision of students uniform to Science &amp; Technical Schools</t>
  </si>
  <si>
    <t xml:space="preserve">Constr. &amp; Renov. of  Science &amp; Technical Schools libraries. </t>
  </si>
  <si>
    <t>Supply of games facilities to Science &amp; Technical Schools</t>
  </si>
  <si>
    <t xml:space="preserve">Technical &amp; Vocational equipment </t>
  </si>
  <si>
    <t>Procurement of technical &amp; vocational equipment to Science &amp; Technical Schools</t>
  </si>
  <si>
    <t>Audio Visual equipment</t>
  </si>
  <si>
    <t>Supply of Audio-visual equipment to Science &amp; Technical Schools</t>
  </si>
  <si>
    <t>Permanent site G T C Gusau</t>
  </si>
  <si>
    <t>Construction of G T C Gusau permanent site</t>
  </si>
  <si>
    <t>To provide forklift truck and constr. and furnishing of additional drugs store.</t>
  </si>
  <si>
    <t xml:space="preserve">Completion &amp; equipping of Quality control lab. </t>
  </si>
  <si>
    <t>Const. of female hostel, 4 Staff Qts, staff room &amp; procure Instr. materials &amp; furnishing of class/auditorium.</t>
  </si>
  <si>
    <t>Compeltion &amp; funishing of MNCH unit.</t>
  </si>
  <si>
    <t>Completion &amp; funishing of Epidemiological Unit.</t>
  </si>
  <si>
    <t>To purchase medical equipment to meet the standard of MSP.</t>
  </si>
  <si>
    <t>To purchase HIV medical equipt to meet the standard of MSP.</t>
  </si>
  <si>
    <t>Const. &amp; equip Chemical Lab at General Hospitals</t>
  </si>
  <si>
    <t>Four Specialist Clinics &amp; VVF</t>
  </si>
  <si>
    <t>To establish Dialisis, Eye, ANT &amp; Dental centres &amp; VVF</t>
  </si>
  <si>
    <t>Furnishing &amp; equipping of Health &amp; Demographic Surveillance center.</t>
  </si>
  <si>
    <t>Constr. at T/M &amp; K/N and Reh/Exten of Gummi G/Hosp.</t>
  </si>
  <si>
    <t>Procurement of Specialised ambulance</t>
  </si>
  <si>
    <t>Extension and furnishing of SPHCDB</t>
  </si>
  <si>
    <t>Yariman Bakura Specialist Hospital</t>
  </si>
  <si>
    <t>For expantion &amp; development of the hospital</t>
  </si>
  <si>
    <t>State Government constribution to HIV/AIDS programme</t>
  </si>
  <si>
    <t>Purch.of ICT equipment</t>
  </si>
  <si>
    <t>To purch. 250kva Generator &amp; to refurbish  old ones.</t>
  </si>
  <si>
    <t>Landscaping &amp; constr. of access roads at Television station</t>
  </si>
  <si>
    <t>Estab. of 14 nos Viewing centres at each L/Govt. H/quarters.</t>
  </si>
  <si>
    <t>Purch. of cameras, editing machines, character machines &amp; camera stands.</t>
  </si>
  <si>
    <t xml:space="preserve">Equiping of Film Section </t>
  </si>
  <si>
    <t>To Produce &amp; disciminate State Programme</t>
  </si>
  <si>
    <t>Const. of open air  theater at Gusau</t>
  </si>
  <si>
    <t>To rehabilitate Monuments at B/Zaki, K/N, kaya, Gada, Mutuzgi, Katuru</t>
  </si>
  <si>
    <t>To conduct Archaeological excavation across the state.</t>
  </si>
  <si>
    <t>Purchase histocal books &amp; Arabic manuscripts for bureu complex H Q</t>
  </si>
  <si>
    <t>Collection of Archival materials across the state</t>
  </si>
  <si>
    <t>To conduct Seminars and symposiums on Zamfara History &amp; Culture.</t>
  </si>
  <si>
    <t>Dev. of K/bana games reserve, Kalale Hippo ponds, charlet const.&amp; K/Koshi Hills tourist site</t>
  </si>
  <si>
    <t>Establishment of Zoo, Recreation centre &amp; Sovenier Shop.</t>
  </si>
  <si>
    <t>Renovation of Gusau Motel.</t>
  </si>
  <si>
    <t>Const.&amp; Improv. of State Hotels across the state.</t>
  </si>
  <si>
    <t>Estab.of Viewing Cent. &amp; purch. of 3Nos model mobile cinema Van.</t>
  </si>
  <si>
    <t>Const. of zonal office at Anka, T/M &amp;  K/Namoda</t>
  </si>
  <si>
    <t>To rehab.&amp; equipt New skill  acqusition center at Anka, ZRM &amp; BMJ.</t>
  </si>
  <si>
    <t>Youth Employment and Skills  Acquisition</t>
  </si>
  <si>
    <t>Govt. Contribution to the programme</t>
  </si>
  <si>
    <t>Construction of zonal offices at T/M, K/N &amp; Gumi</t>
  </si>
  <si>
    <t>Renov., Fencing, &amp; Electrification of school.</t>
  </si>
  <si>
    <t>To Procure bedding &amp; recreational facilities for the 5 social welfare institutions.</t>
  </si>
  <si>
    <t>To purchase working materials to  Rehab. Centres, approved sch. Bungudu &amp; remand homes.</t>
  </si>
  <si>
    <t>Renovation and Expantion of the Remand Home Anka</t>
  </si>
  <si>
    <t>Const. of New women centre</t>
  </si>
  <si>
    <t xml:space="preserve">Provision of additional facilities &amp; expantion of centres </t>
  </si>
  <si>
    <t>Ophance &amp; vulnerable children (O V C) centres</t>
  </si>
  <si>
    <t>Const. &amp; Furnish of blocks for grown up girls.</t>
  </si>
  <si>
    <t>Promotion of Women empowerment scheme</t>
  </si>
  <si>
    <t>Upgrading of Magami, Keta, Moriki, Jengeru, Nasarawa Burkullu, G/Goga &amp; Gelange water schemes.</t>
  </si>
  <si>
    <t>Provide Meteorological Station for Data collection</t>
  </si>
  <si>
    <t xml:space="preserve">Meteorological station </t>
  </si>
  <si>
    <t>To provide shades for Water conserv. at Dan-maka and Bilbis</t>
  </si>
  <si>
    <t>To Const. motorized B/Hs across the state</t>
  </si>
  <si>
    <t>To Const. Hydrow Power Plant Along Bunsuru River.</t>
  </si>
  <si>
    <t>To support development of Water Sanitation policies in the state</t>
  </si>
  <si>
    <t>Rehabilitation of Earth Dams at Bagega, Magami, K/Lamba, K/daji, N/Mailayi, Gwaram &amp; S/fegi.</t>
  </si>
  <si>
    <t>Purch. of Spare parts, Generators &amp; submercible pumps &amp; laboratory equipment.</t>
  </si>
  <si>
    <t>Provision of Solar Powered Boreholes across the state.</t>
  </si>
  <si>
    <t>Members' constituency projects</t>
  </si>
  <si>
    <t xml:space="preserve">Construction of New Motorized B/Holes &amp; H/Pumps and Reactivation of broken down motorized boreholes. </t>
  </si>
  <si>
    <t>Repairs of Gusau barrage &amp; Gusau old water works.</t>
  </si>
  <si>
    <t>Water reticulation to new areas and housing units</t>
  </si>
  <si>
    <t>To supply water to all new areas in Gusau and Housing units.</t>
  </si>
  <si>
    <t>To purchase of spare parts</t>
  </si>
  <si>
    <t>Rehab. of Drainages  in the state.</t>
  </si>
  <si>
    <t>Amenity/Road Side Plantation for town beautification</t>
  </si>
  <si>
    <t>To conduct Survey for town planning.</t>
  </si>
  <si>
    <t>To establish Geological Laboratory Data Bank.</t>
  </si>
  <si>
    <t>Geological Laboratory Data Bank.</t>
  </si>
  <si>
    <t>Establishment of Biofuel Industry and Climate Control</t>
  </si>
  <si>
    <t>Establishment of Mineral Blocks &amp; Development firm</t>
  </si>
  <si>
    <t>Const. of road side refuse bankers, VIP pit latrine and mobile latrine.</t>
  </si>
  <si>
    <t>To Complete ongoing township roads across the state</t>
  </si>
  <si>
    <t xml:space="preserve">Maint. of Solar Streat Light prog. </t>
  </si>
  <si>
    <t>To conduct Survey for Mapping of towns</t>
  </si>
  <si>
    <t>To conduct Boundry Survey/Adjustment</t>
  </si>
  <si>
    <t>To construct zonal offices at T/M, Gummi, K/N &amp; Gusau</t>
  </si>
  <si>
    <t>To conduct Layout Survey in 14 LGA</t>
  </si>
  <si>
    <t>State Govt. Contribution to GERMS 3 programme</t>
  </si>
  <si>
    <t>Purchase of knitting &amp; sewing materials for women empowerment</t>
  </si>
  <si>
    <t>Award to best performing LGA on CD Activities</t>
  </si>
  <si>
    <t xml:space="preserve">Ren. Of House of Assembly Complex </t>
  </si>
  <si>
    <t>Provition of office accommodation.</t>
  </si>
  <si>
    <t>Prov.of furnit. &amp; Equipt to official and lodges</t>
  </si>
  <si>
    <t xml:space="preserve">Conversion Of Halal Hotel to offices </t>
  </si>
  <si>
    <t xml:space="preserve">To complete Mobile police quarters and renov. of Quarters guard and other secutity outpit </t>
  </si>
  <si>
    <t xml:space="preserve">To provide additional facilities to H/Courts Complex. </t>
  </si>
  <si>
    <t>To provide additional facilities to Sharia court of appeal complex at Gusau</t>
  </si>
  <si>
    <t>To provide additional facilities to Council of Chiefs Sect.</t>
  </si>
  <si>
    <t>Procure Low books for Attor. Gen. Chamber and Zonal Chambers.</t>
  </si>
  <si>
    <t>Construction of collage of Legal Studies at Gummi.</t>
  </si>
  <si>
    <t>To provide additional facilities to JSC Seceteriate.</t>
  </si>
  <si>
    <t>Supply Law books to High Court H/Quarter.</t>
  </si>
  <si>
    <t>Constr. Magistrate courts at Anka, Bukkuyum, Bakura, Bungudu, B/M&amp; Maradun</t>
  </si>
  <si>
    <t>Supply of 4Nos. Generators to high court H/Quarter.</t>
  </si>
  <si>
    <t>Supply Sharia Law books to Sharia Court H/Qrt</t>
  </si>
  <si>
    <t>Constr. of High Sharia Courts at Kagara,U/Gwaza, Gwashi &amp; Gumi</t>
  </si>
  <si>
    <t>Purchase of 3Nos. Generators for T/Mafara and Gummi Upper Sharia Courts.</t>
  </si>
  <si>
    <t>Prov. Of 4 Motorised B/Hs of 20,000 gallons capacity &amp; Reservoir.</t>
  </si>
  <si>
    <t xml:space="preserve">Supply of fire extinguishers to Govt. own building state wide. </t>
  </si>
  <si>
    <t>To purchase Rescue tender and Mordern firefighting Vehicles and Motocycles.</t>
  </si>
  <si>
    <t>State contribution to UNDP assisted programmes. (state contrib.20 mil,UNDP 40 mil)</t>
  </si>
  <si>
    <t>To develop Econ. blue print, Long, Medium and Short term Plans.</t>
  </si>
  <si>
    <t>Quaterly Monitoring of Budget Performance, State Development Plan &amp; M&amp;E Policy.</t>
  </si>
  <si>
    <t xml:space="preserve">Installation of Security Gadgets in Govt  house, Dep. Gov. Resid. and purchase of security vehicles. </t>
  </si>
  <si>
    <t>Supply of Islamic Books, L/Speakers &amp; Carpets to Islamic Centres, Islamiyya and Mosques.</t>
  </si>
  <si>
    <t>Fencing of Cemetries State wide</t>
  </si>
  <si>
    <t>Procurement of Uniforms &amp; Comm. Eqpt</t>
  </si>
  <si>
    <t>To conduct Public Enlightment on Sharia Legal System</t>
  </si>
  <si>
    <t>To acquire of Office Complex</t>
  </si>
  <si>
    <t>To acquire of Office Complex and Arabic library at Gusau</t>
  </si>
  <si>
    <t>To conduct Enlightment Program.</t>
  </si>
  <si>
    <t>Provision of Shelves, Production of Annual Report &amp; Almanac</t>
  </si>
  <si>
    <t xml:space="preserve">Computerization of CSC Records  </t>
  </si>
  <si>
    <t>Directorate of Infor. &amp; Comm. Tech.</t>
  </si>
  <si>
    <t>Furnishing of Gusau ICT center. constr. of cyber mall center, provison of internet service &amp; training/serminers for Govt. official.</t>
  </si>
  <si>
    <t xml:space="preserve">To Procure projector &amp; Computers </t>
  </si>
  <si>
    <t>House of Assembly Service Commission</t>
  </si>
  <si>
    <t>Ren of House of Ass. liason Off.</t>
  </si>
  <si>
    <t>Souvereign Gratuities to Members</t>
  </si>
</sst>
</file>

<file path=xl/styles.xml><?xml version="1.0" encoding="utf-8"?>
<styleSheet xmlns="http://schemas.openxmlformats.org/spreadsheetml/2006/main">
  <numFmts count="11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(* #,##0_);_(* \(#,##0\);_(* &quot;-&quot;??_);_(@_)"/>
    <numFmt numFmtId="167" formatCode="0.0%"/>
    <numFmt numFmtId="168" formatCode="0_)"/>
    <numFmt numFmtId="169" formatCode="_ * #,##0_ ;_ * \-#,##0_ ;_ * &quot;-&quot;??_ ;_ @_ "/>
    <numFmt numFmtId="170" formatCode="0.0_)"/>
    <numFmt numFmtId="171" formatCode="0.0"/>
    <numFmt numFmtId="172" formatCode="_(* #,##0.0_);_(* \(#,##0.0\);_(* &quot;-&quot;??_);_(@_)"/>
    <numFmt numFmtId="173" formatCode="_ * #,##0.0000_ ;_ * \-#,##0.0000_ ;_ * &quot;-&quot;??_ ;_ @_ "/>
  </numFmts>
  <fonts count="11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b/>
      <sz val="11"/>
      <name val="Arial"/>
    </font>
    <font>
      <b/>
      <sz val="10"/>
      <color indexed="8"/>
      <name val="Arial"/>
    </font>
    <font>
      <b/>
      <sz val="14"/>
      <color indexed="8"/>
      <name val="Times New Roman"/>
      <family val="1"/>
    </font>
    <font>
      <b/>
      <sz val="8"/>
      <name val="Arial"/>
      <family val="2"/>
    </font>
    <font>
      <b/>
      <sz val="14"/>
      <color indexed="8"/>
      <name val="Arial"/>
    </font>
    <font>
      <b/>
      <sz val="9"/>
      <color indexed="8"/>
      <name val="Arial"/>
    </font>
    <font>
      <b/>
      <sz val="18"/>
      <name val="Times New Roman"/>
      <family val="1"/>
    </font>
    <font>
      <b/>
      <sz val="10"/>
      <color indexed="8"/>
      <name val="Times New Roman"/>
      <family val="1"/>
    </font>
    <font>
      <b/>
      <sz val="14"/>
      <name val="Times New Roman"/>
      <family val="3"/>
    </font>
    <font>
      <b/>
      <sz val="16"/>
      <name val="Times New Roman"/>
      <family val="1"/>
    </font>
    <font>
      <b/>
      <sz val="10"/>
      <name val="Times New Roman"/>
      <family val="1"/>
    </font>
    <font>
      <b/>
      <sz val="12"/>
      <color indexed="8"/>
      <name val="Arial"/>
    </font>
    <font>
      <b/>
      <sz val="8"/>
      <color indexed="8"/>
      <name val="Arial"/>
    </font>
    <font>
      <b/>
      <sz val="11"/>
      <name val="Times New Roman"/>
      <family val="3"/>
    </font>
    <font>
      <sz val="8"/>
      <name val="Comic Sans MS"/>
      <family val="4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name val="Arial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0"/>
      <name val="Times New Roman"/>
      <family val="1"/>
    </font>
    <font>
      <sz val="9"/>
      <color indexed="8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u/>
      <sz val="8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8"/>
      <name val="Calibri"/>
      <family val="2"/>
    </font>
    <font>
      <b/>
      <sz val="26"/>
      <color indexed="8"/>
      <name val="Times New Roman"/>
      <family val="1"/>
    </font>
    <font>
      <u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b/>
      <u/>
      <sz val="12"/>
      <color indexed="8"/>
      <name val="Times New Roman"/>
      <family val="1"/>
    </font>
    <font>
      <sz val="12"/>
      <name val="Times New Roman"/>
      <family val="1"/>
    </font>
    <font>
      <b/>
      <u/>
      <sz val="10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Times New Roman"/>
      <family val="3"/>
    </font>
    <font>
      <b/>
      <sz val="14"/>
      <name val="Arial"/>
      <family val="2"/>
    </font>
    <font>
      <b/>
      <sz val="11"/>
      <name val="Arial"/>
    </font>
    <font>
      <sz val="11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 Black"/>
      <family val="2"/>
    </font>
    <font>
      <b/>
      <sz val="11"/>
      <name val="Arial Black"/>
      <family val="2"/>
    </font>
    <font>
      <b/>
      <sz val="10.5"/>
      <name val="Arial Black"/>
      <family val="2"/>
    </font>
    <font>
      <b/>
      <sz val="6"/>
      <name val="Arial"/>
      <family val="2"/>
    </font>
    <font>
      <sz val="6"/>
      <name val="Times New Roman"/>
      <family val="1"/>
    </font>
    <font>
      <b/>
      <sz val="9"/>
      <name val="Times New Roman"/>
      <family val="1"/>
    </font>
    <font>
      <sz val="8.5"/>
      <name val="Times New Roman"/>
      <family val="1"/>
    </font>
    <font>
      <b/>
      <sz val="14"/>
      <name val="Calibri"/>
      <family val="2"/>
    </font>
    <font>
      <b/>
      <sz val="10"/>
      <name val="Calibri"/>
      <family val="2"/>
    </font>
    <font>
      <b/>
      <sz val="12"/>
      <name val="Calibri"/>
    </font>
    <font>
      <b/>
      <sz val="8"/>
      <name val="Arial Black"/>
      <family val="2"/>
    </font>
    <font>
      <b/>
      <sz val="6"/>
      <name val="Arial Black"/>
      <family val="2"/>
    </font>
    <font>
      <b/>
      <sz val="9"/>
      <name val="Calibri"/>
      <family val="2"/>
    </font>
    <font>
      <sz val="12"/>
      <name val="Courier New"/>
      <family val="3"/>
    </font>
    <font>
      <b/>
      <sz val="10"/>
      <name val="Helv"/>
    </font>
    <font>
      <sz val="10"/>
      <name val="Helv"/>
    </font>
    <font>
      <u/>
      <sz val="10"/>
      <name val="Helv"/>
    </font>
    <font>
      <b/>
      <sz val="12"/>
      <name val="Helv"/>
    </font>
    <font>
      <b/>
      <u/>
      <sz val="12"/>
      <name val="Helv"/>
    </font>
    <font>
      <b/>
      <u/>
      <sz val="10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Arial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</font>
    <font>
      <b/>
      <sz val="12"/>
      <color theme="1"/>
      <name val="Arial"/>
    </font>
    <font>
      <b/>
      <sz val="11"/>
      <color rgb="FFFF0000"/>
      <name val="Arial"/>
    </font>
    <font>
      <b/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Times New Roman"/>
      <family val="1"/>
    </font>
    <font>
      <sz val="12"/>
      <color rgb="FF00B050"/>
      <name val="Times New Roman"/>
      <family val="1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Black"/>
    </font>
    <font>
      <b/>
      <sz val="20"/>
      <color indexed="8"/>
      <name val="Arial MT"/>
    </font>
    <font>
      <sz val="20"/>
      <name val="Arial"/>
      <family val="2"/>
    </font>
    <font>
      <sz val="20"/>
      <color indexed="8"/>
      <name val="Arial MT"/>
    </font>
    <font>
      <sz val="24"/>
      <color indexed="8"/>
      <name val="Arial MT"/>
      <family val="2"/>
    </font>
    <font>
      <sz val="12"/>
      <color indexed="8"/>
      <name val="Arial MT"/>
    </font>
    <font>
      <b/>
      <sz val="12"/>
      <color indexed="8"/>
      <name val="Arial MT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0"/>
      <color indexed="8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/>
    </fill>
    <fill>
      <patternFill patternType="gray125">
        <fgColor indexed="8"/>
      </patternFill>
    </fill>
    <fill>
      <patternFill patternType="gray0625">
        <bgColor indexed="22"/>
      </patternFill>
    </fill>
    <fill>
      <patternFill patternType="gray0625"/>
    </fill>
    <fill>
      <patternFill patternType="gray0625">
        <fgColor indexed="8"/>
      </patternFill>
    </fill>
    <fill>
      <patternFill patternType="solid">
        <fgColor indexed="9"/>
        <bgColor indexed="64"/>
      </patternFill>
    </fill>
    <fill>
      <patternFill patternType="mediumGray">
        <fgColor indexed="8"/>
      </patternFill>
    </fill>
    <fill>
      <patternFill patternType="solid">
        <fgColor indexed="65"/>
        <bgColor indexed="64"/>
      </patternFill>
    </fill>
    <fill>
      <patternFill patternType="gray125">
        <fgColor indexed="9"/>
      </patternFill>
    </fill>
    <fill>
      <patternFill patternType="lightGray">
        <fgColor indexed="8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4">
    <xf numFmtId="0" fontId="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1111">
    <xf numFmtId="0" fontId="0" fillId="0" borderId="0" xfId="0"/>
    <xf numFmtId="0" fontId="1" fillId="0" borderId="0" xfId="0" applyFont="1" applyAlignment="1">
      <alignment vertical="center"/>
    </xf>
    <xf numFmtId="166" fontId="1" fillId="0" borderId="0" xfId="0" applyNumberFormat="1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164" fontId="1" fillId="0" borderId="0" xfId="1" applyFont="1" applyAlignment="1">
      <alignment vertical="center"/>
    </xf>
    <xf numFmtId="166" fontId="1" fillId="0" borderId="0" xfId="1" applyNumberFormat="1" applyFont="1" applyAlignment="1">
      <alignment vertical="center"/>
    </xf>
    <xf numFmtId="166" fontId="1" fillId="0" borderId="0" xfId="1" applyNumberFormat="1" applyFont="1"/>
    <xf numFmtId="168" fontId="6" fillId="0" borderId="0" xfId="0" applyNumberFormat="1" applyFont="1" applyAlignment="1" applyProtection="1">
      <alignment vertical="top" wrapText="1"/>
    </xf>
    <xf numFmtId="169" fontId="6" fillId="0" borderId="0" xfId="1" applyNumberFormat="1" applyFont="1" applyAlignment="1" applyProtection="1">
      <alignment vertical="top" wrapText="1"/>
    </xf>
    <xf numFmtId="168" fontId="6" fillId="0" borderId="4" xfId="0" applyNumberFormat="1" applyFont="1" applyBorder="1" applyAlignment="1" applyProtection="1">
      <alignment horizontal="right" vertical="top" wrapText="1"/>
    </xf>
    <xf numFmtId="168" fontId="6" fillId="0" borderId="4" xfId="0" applyNumberFormat="1" applyFont="1" applyBorder="1" applyAlignment="1" applyProtection="1">
      <alignment vertical="top" wrapText="1"/>
    </xf>
    <xf numFmtId="169" fontId="6" fillId="0" borderId="4" xfId="1" applyNumberFormat="1" applyFont="1" applyBorder="1" applyAlignment="1" applyProtection="1">
      <alignment vertical="top" wrapText="1"/>
    </xf>
    <xf numFmtId="166" fontId="2" fillId="0" borderId="0" xfId="1" applyNumberFormat="1" applyFont="1" applyAlignment="1">
      <alignment wrapText="1"/>
    </xf>
    <xf numFmtId="169" fontId="6" fillId="0" borderId="4" xfId="1" applyNumberFormat="1" applyFont="1" applyBorder="1" applyAlignment="1" applyProtection="1">
      <alignment horizontal="right" vertical="top" wrapText="1"/>
    </xf>
    <xf numFmtId="169" fontId="10" fillId="0" borderId="4" xfId="1" applyNumberFormat="1" applyFont="1" applyBorder="1" applyAlignment="1" applyProtection="1">
      <alignment horizontal="right" vertical="top" wrapText="1"/>
    </xf>
    <xf numFmtId="168" fontId="6" fillId="0" borderId="4" xfId="0" applyNumberFormat="1" applyFont="1" applyBorder="1" applyAlignment="1" applyProtection="1">
      <alignment horizontal="left" vertical="top" wrapText="1"/>
    </xf>
    <xf numFmtId="168" fontId="6" fillId="2" borderId="4" xfId="0" applyNumberFormat="1" applyFont="1" applyFill="1" applyBorder="1" applyAlignment="1" applyProtection="1">
      <alignment vertical="top" wrapText="1"/>
    </xf>
    <xf numFmtId="169" fontId="2" fillId="0" borderId="4" xfId="1" applyNumberFormat="1" applyFont="1" applyBorder="1" applyAlignment="1">
      <alignment vertical="top" wrapText="1"/>
    </xf>
    <xf numFmtId="168" fontId="6" fillId="3" borderId="4" xfId="0" applyNumberFormat="1" applyFont="1" applyFill="1" applyBorder="1" applyAlignment="1" applyProtection="1">
      <alignment vertical="top" wrapText="1"/>
    </xf>
    <xf numFmtId="0" fontId="11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166" fontId="11" fillId="0" borderId="0" xfId="1" applyNumberFormat="1" applyFont="1" applyAlignment="1">
      <alignment horizontal="center" vertical="top" wrapText="1"/>
    </xf>
    <xf numFmtId="0" fontId="8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8" fillId="4" borderId="5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8" fillId="0" borderId="7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37" fontId="8" fillId="0" borderId="4" xfId="0" applyNumberFormat="1" applyFont="1" applyBorder="1" applyAlignment="1" applyProtection="1">
      <alignment wrapText="1"/>
    </xf>
    <xf numFmtId="37" fontId="0" fillId="0" borderId="0" xfId="0" applyNumberFormat="1" applyAlignment="1" applyProtection="1">
      <alignment wrapText="1"/>
    </xf>
    <xf numFmtId="37" fontId="8" fillId="0" borderId="4" xfId="0" applyNumberFormat="1" applyFont="1" applyBorder="1" applyAlignment="1" applyProtection="1">
      <alignment horizontal="center" wrapText="1"/>
    </xf>
    <xf numFmtId="0" fontId="8" fillId="4" borderId="6" xfId="0" applyFont="1" applyFill="1" applyBorder="1" applyAlignment="1">
      <alignment wrapText="1"/>
    </xf>
    <xf numFmtId="0" fontId="8" fillId="4" borderId="8" xfId="0" applyFont="1" applyFill="1" applyBorder="1" applyAlignment="1">
      <alignment wrapText="1"/>
    </xf>
    <xf numFmtId="37" fontId="8" fillId="4" borderId="8" xfId="0" applyNumberFormat="1" applyFont="1" applyFill="1" applyBorder="1" applyAlignment="1" applyProtection="1">
      <alignment wrapText="1"/>
    </xf>
    <xf numFmtId="37" fontId="8" fillId="4" borderId="4" xfId="0" applyNumberFormat="1" applyFont="1" applyFill="1" applyBorder="1" applyAlignment="1" applyProtection="1">
      <alignment wrapText="1"/>
    </xf>
    <xf numFmtId="37" fontId="8" fillId="0" borderId="0" xfId="0" applyNumberFormat="1" applyFont="1" applyAlignment="1" applyProtection="1">
      <alignment wrapText="1"/>
    </xf>
    <xf numFmtId="0" fontId="13" fillId="0" borderId="0" xfId="0" applyFont="1" applyAlignment="1">
      <alignment wrapText="1"/>
    </xf>
    <xf numFmtId="166" fontId="8" fillId="0" borderId="4" xfId="1" applyNumberFormat="1" applyFont="1" applyBorder="1" applyAlignment="1">
      <alignment wrapText="1"/>
    </xf>
    <xf numFmtId="0" fontId="8" fillId="0" borderId="4" xfId="0" applyFont="1" applyBorder="1" applyAlignment="1">
      <alignment horizontal="right" wrapText="1"/>
    </xf>
    <xf numFmtId="164" fontId="8" fillId="4" borderId="4" xfId="1" applyFont="1" applyFill="1" applyBorder="1" applyAlignment="1" applyProtection="1">
      <alignment wrapText="1"/>
    </xf>
    <xf numFmtId="164" fontId="8" fillId="0" borderId="4" xfId="1" applyFont="1" applyBorder="1" applyAlignment="1" applyProtection="1">
      <alignment wrapText="1"/>
    </xf>
    <xf numFmtId="0" fontId="8" fillId="4" borderId="4" xfId="0" applyFont="1" applyFill="1" applyBorder="1" applyAlignment="1">
      <alignment wrapText="1"/>
    </xf>
    <xf numFmtId="164" fontId="8" fillId="0" borderId="4" xfId="1" applyFont="1" applyBorder="1" applyAlignment="1">
      <alignment wrapText="1"/>
    </xf>
    <xf numFmtId="0" fontId="8" fillId="4" borderId="9" xfId="0" applyFont="1" applyFill="1" applyBorder="1" applyAlignment="1">
      <alignment wrapText="1"/>
    </xf>
    <xf numFmtId="37" fontId="8" fillId="4" borderId="9" xfId="0" applyNumberFormat="1" applyFont="1" applyFill="1" applyBorder="1" applyAlignment="1" applyProtection="1">
      <alignment wrapText="1"/>
    </xf>
    <xf numFmtId="164" fontId="8" fillId="0" borderId="0" xfId="1" applyFont="1" applyAlignment="1">
      <alignment wrapText="1"/>
    </xf>
    <xf numFmtId="166" fontId="8" fillId="0" borderId="4" xfId="1" applyNumberFormat="1" applyFont="1" applyBorder="1" applyAlignment="1" applyProtection="1">
      <alignment wrapText="1"/>
    </xf>
    <xf numFmtId="37" fontId="8" fillId="0" borderId="4" xfId="0" applyNumberFormat="1" applyFont="1" applyBorder="1" applyAlignment="1" applyProtection="1">
      <alignment horizontal="right" wrapText="1"/>
    </xf>
    <xf numFmtId="166" fontId="8" fillId="0" borderId="4" xfId="1" applyNumberFormat="1" applyFont="1" applyBorder="1" applyAlignment="1" applyProtection="1">
      <alignment horizontal="right" wrapText="1"/>
    </xf>
    <xf numFmtId="164" fontId="8" fillId="0" borderId="4" xfId="1" applyFont="1" applyBorder="1" applyAlignment="1" applyProtection="1">
      <alignment horizontal="right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37" fontId="8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19" fillId="0" borderId="0" xfId="0" applyFont="1"/>
    <xf numFmtId="0" fontId="23" fillId="0" borderId="0" xfId="0" applyFont="1"/>
    <xf numFmtId="166" fontId="23" fillId="0" borderId="0" xfId="1" applyNumberFormat="1" applyFont="1"/>
    <xf numFmtId="0" fontId="24" fillId="0" borderId="0" xfId="0" applyFont="1"/>
    <xf numFmtId="0" fontId="23" fillId="0" borderId="1" xfId="0" applyFont="1" applyBorder="1"/>
    <xf numFmtId="0" fontId="25" fillId="0" borderId="2" xfId="0" applyFont="1" applyBorder="1"/>
    <xf numFmtId="0" fontId="23" fillId="0" borderId="2" xfId="0" applyFont="1" applyBorder="1"/>
    <xf numFmtId="166" fontId="23" fillId="0" borderId="2" xfId="1" applyNumberFormat="1" applyFont="1" applyBorder="1"/>
    <xf numFmtId="0" fontId="23" fillId="2" borderId="1" xfId="0" applyFont="1" applyFill="1" applyBorder="1"/>
    <xf numFmtId="0" fontId="23" fillId="2" borderId="2" xfId="0" applyFont="1" applyFill="1" applyBorder="1"/>
    <xf numFmtId="0" fontId="24" fillId="0" borderId="2" xfId="0" applyFont="1" applyBorder="1"/>
    <xf numFmtId="166" fontId="23" fillId="0" borderId="10" xfId="1" applyNumberFormat="1" applyFont="1" applyBorder="1"/>
    <xf numFmtId="164" fontId="23" fillId="0" borderId="2" xfId="1" applyNumberFormat="1" applyFont="1" applyBorder="1"/>
    <xf numFmtId="166" fontId="23" fillId="2" borderId="2" xfId="1" applyNumberFormat="1" applyFont="1" applyFill="1" applyBorder="1"/>
    <xf numFmtId="0" fontId="23" fillId="2" borderId="3" xfId="0" applyFont="1" applyFill="1" applyBorder="1"/>
    <xf numFmtId="0" fontId="23" fillId="2" borderId="11" xfId="0" applyFont="1" applyFill="1" applyBorder="1"/>
    <xf numFmtId="166" fontId="23" fillId="2" borderId="11" xfId="1" applyNumberFormat="1" applyFont="1" applyFill="1" applyBorder="1"/>
    <xf numFmtId="166" fontId="24" fillId="0" borderId="0" xfId="1" applyNumberFormat="1" applyFont="1"/>
    <xf numFmtId="0" fontId="3" fillId="0" borderId="0" xfId="0" applyFont="1"/>
    <xf numFmtId="166" fontId="3" fillId="0" borderId="0" xfId="1" applyNumberFormat="1" applyFont="1"/>
    <xf numFmtId="0" fontId="3" fillId="0" borderId="0" xfId="0" applyFont="1" applyAlignment="1">
      <alignment horizontal="right"/>
    </xf>
    <xf numFmtId="168" fontId="12" fillId="4" borderId="5" xfId="0" applyNumberFormat="1" applyFont="1" applyFill="1" applyBorder="1" applyAlignment="1" applyProtection="1">
      <alignment horizontal="center"/>
    </xf>
    <xf numFmtId="168" fontId="12" fillId="4" borderId="12" xfId="0" applyNumberFormat="1" applyFont="1" applyFill="1" applyBorder="1" applyAlignment="1" applyProtection="1">
      <alignment horizontal="center"/>
    </xf>
    <xf numFmtId="168" fontId="12" fillId="4" borderId="7" xfId="0" applyNumberFormat="1" applyFont="1" applyFill="1" applyBorder="1" applyAlignment="1" applyProtection="1">
      <alignment horizontal="center"/>
    </xf>
    <xf numFmtId="166" fontId="12" fillId="4" borderId="12" xfId="1" applyNumberFormat="1" applyFont="1" applyFill="1" applyBorder="1" applyAlignment="1" applyProtection="1">
      <alignment horizontal="center"/>
    </xf>
    <xf numFmtId="168" fontId="12" fillId="4" borderId="13" xfId="0" applyNumberFormat="1" applyFont="1" applyFill="1" applyBorder="1" applyAlignment="1" applyProtection="1">
      <alignment horizontal="center"/>
    </xf>
    <xf numFmtId="166" fontId="12" fillId="4" borderId="7" xfId="1" applyNumberFormat="1" applyFont="1" applyFill="1" applyBorder="1" applyAlignment="1" applyProtection="1">
      <alignment horizontal="center"/>
    </xf>
    <xf numFmtId="168" fontId="12" fillId="4" borderId="6" xfId="0" applyNumberFormat="1" applyFont="1" applyFill="1" applyBorder="1" applyAlignment="1" applyProtection="1">
      <alignment horizontal="center"/>
    </xf>
    <xf numFmtId="168" fontId="12" fillId="4" borderId="9" xfId="0" applyNumberFormat="1" applyFont="1" applyFill="1" applyBorder="1" applyAlignment="1" applyProtection="1">
      <alignment horizontal="center"/>
    </xf>
    <xf numFmtId="0" fontId="24" fillId="0" borderId="1" xfId="0" applyFont="1" applyBorder="1"/>
    <xf numFmtId="166" fontId="24" fillId="0" borderId="2" xfId="1" applyNumberFormat="1" applyFont="1" applyBorder="1"/>
    <xf numFmtId="0" fontId="26" fillId="0" borderId="2" xfId="0" applyFont="1" applyBorder="1"/>
    <xf numFmtId="166" fontId="24" fillId="0" borderId="2" xfId="1" applyNumberFormat="1" applyFont="1" applyBorder="1" applyAlignment="1">
      <alignment horizontal="right"/>
    </xf>
    <xf numFmtId="0" fontId="24" fillId="2" borderId="1" xfId="0" applyFont="1" applyFill="1" applyBorder="1"/>
    <xf numFmtId="0" fontId="3" fillId="2" borderId="2" xfId="0" applyFont="1" applyFill="1" applyBorder="1"/>
    <xf numFmtId="0" fontId="24" fillId="2" borderId="2" xfId="0" applyFont="1" applyFill="1" applyBorder="1"/>
    <xf numFmtId="166" fontId="3" fillId="2" borderId="14" xfId="1" applyNumberFormat="1" applyFont="1" applyFill="1" applyBorder="1"/>
    <xf numFmtId="164" fontId="3" fillId="2" borderId="14" xfId="1" applyFont="1" applyFill="1" applyBorder="1"/>
    <xf numFmtId="0" fontId="3" fillId="0" borderId="2" xfId="0" applyFont="1" applyBorder="1"/>
    <xf numFmtId="166" fontId="3" fillId="0" borderId="10" xfId="1" applyNumberFormat="1" applyFont="1" applyBorder="1"/>
    <xf numFmtId="166" fontId="3" fillId="0" borderId="10" xfId="1" quotePrefix="1" applyNumberFormat="1" applyFont="1" applyBorder="1" applyAlignment="1">
      <alignment horizontal="center"/>
    </xf>
    <xf numFmtId="166" fontId="24" fillId="0" borderId="14" xfId="1" applyNumberFormat="1" applyFont="1" applyBorder="1"/>
    <xf numFmtId="166" fontId="24" fillId="2" borderId="2" xfId="1" applyNumberFormat="1" applyFont="1" applyFill="1" applyBorder="1"/>
    <xf numFmtId="0" fontId="24" fillId="2" borderId="3" xfId="0" applyFont="1" applyFill="1" applyBorder="1"/>
    <xf numFmtId="0" fontId="3" fillId="2" borderId="11" xfId="0" applyFont="1" applyFill="1" applyBorder="1"/>
    <xf numFmtId="0" fontId="24" fillId="2" borderId="11" xfId="0" applyFont="1" applyFill="1" applyBorder="1"/>
    <xf numFmtId="166" fontId="24" fillId="2" borderId="11" xfId="1" applyNumberFormat="1" applyFont="1" applyFill="1" applyBorder="1"/>
    <xf numFmtId="166" fontId="3" fillId="2" borderId="15" xfId="1" applyNumberFormat="1" applyFont="1" applyFill="1" applyBorder="1"/>
    <xf numFmtId="0" fontId="3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66" fontId="3" fillId="0" borderId="17" xfId="1" applyNumberFormat="1" applyFont="1" applyBorder="1" applyAlignment="1">
      <alignment horizontal="center" vertical="center" wrapText="1"/>
    </xf>
    <xf numFmtId="166" fontId="24" fillId="0" borderId="10" xfId="1" applyNumberFormat="1" applyFont="1" applyBorder="1"/>
    <xf numFmtId="166" fontId="24" fillId="0" borderId="0" xfId="0" applyNumberFormat="1" applyFont="1"/>
    <xf numFmtId="0" fontId="24" fillId="0" borderId="0" xfId="0" applyFont="1" applyBorder="1"/>
    <xf numFmtId="166" fontId="24" fillId="0" borderId="0" xfId="1" applyNumberFormat="1" applyFont="1" applyBorder="1"/>
    <xf numFmtId="0" fontId="24" fillId="0" borderId="17" xfId="0" applyFont="1" applyBorder="1" applyAlignment="1">
      <alignment horizontal="left" vertical="center" wrapText="1"/>
    </xf>
    <xf numFmtId="0" fontId="24" fillId="0" borderId="16" xfId="0" applyFont="1" applyBorder="1"/>
    <xf numFmtId="0" fontId="24" fillId="0" borderId="17" xfId="0" applyFont="1" applyBorder="1"/>
    <xf numFmtId="0" fontId="24" fillId="0" borderId="16" xfId="0" applyFont="1" applyBorder="1" applyAlignment="1">
      <alignment horizontal="right" vertical="center" wrapText="1"/>
    </xf>
    <xf numFmtId="166" fontId="24" fillId="0" borderId="2" xfId="1" quotePrefix="1" applyNumberFormat="1" applyFont="1" applyBorder="1"/>
    <xf numFmtId="0" fontId="24" fillId="0" borderId="16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166" fontId="24" fillId="0" borderId="17" xfId="1" applyNumberFormat="1" applyFont="1" applyBorder="1" applyAlignment="1">
      <alignment horizontal="center" vertical="center" wrapText="1"/>
    </xf>
    <xf numFmtId="166" fontId="3" fillId="2" borderId="2" xfId="1" applyNumberFormat="1" applyFont="1" applyFill="1" applyBorder="1"/>
    <xf numFmtId="164" fontId="3" fillId="2" borderId="2" xfId="1" applyFont="1" applyFill="1" applyBorder="1"/>
    <xf numFmtId="166" fontId="3" fillId="0" borderId="2" xfId="1" quotePrefix="1" applyNumberFormat="1" applyFont="1" applyBorder="1" applyAlignment="1">
      <alignment horizontal="center"/>
    </xf>
    <xf numFmtId="166" fontId="3" fillId="0" borderId="2" xfId="1" applyNumberFormat="1" applyFont="1" applyBorder="1"/>
    <xf numFmtId="0" fontId="24" fillId="0" borderId="18" xfId="0" applyFont="1" applyBorder="1"/>
    <xf numFmtId="0" fontId="26" fillId="0" borderId="17" xfId="0" applyFont="1" applyBorder="1" applyAlignment="1">
      <alignment vertical="center"/>
    </xf>
    <xf numFmtId="166" fontId="3" fillId="2" borderId="11" xfId="1" applyNumberFormat="1" applyFont="1" applyFill="1" applyBorder="1"/>
    <xf numFmtId="0" fontId="24" fillId="0" borderId="17" xfId="0" applyFont="1" applyBorder="1" applyAlignment="1">
      <alignment horizontal="center" vertical="center" wrapText="1"/>
    </xf>
    <xf numFmtId="0" fontId="3" fillId="0" borderId="0" xfId="0" applyFont="1" applyBorder="1"/>
    <xf numFmtId="166" fontId="3" fillId="0" borderId="0" xfId="1" applyNumberFormat="1" applyFont="1" applyBorder="1"/>
    <xf numFmtId="164" fontId="24" fillId="0" borderId="2" xfId="1" applyNumberFormat="1" applyFont="1" applyBorder="1"/>
    <xf numFmtId="0" fontId="24" fillId="0" borderId="0" xfId="0" applyFont="1" applyAlignment="1">
      <alignment horizontal="right"/>
    </xf>
    <xf numFmtId="0" fontId="24" fillId="0" borderId="19" xfId="0" applyFont="1" applyBorder="1"/>
    <xf numFmtId="0" fontId="24" fillId="0" borderId="20" xfId="0" applyFont="1" applyBorder="1"/>
    <xf numFmtId="166" fontId="24" fillId="0" borderId="20" xfId="1" applyNumberFormat="1" applyFont="1" applyBorder="1"/>
    <xf numFmtId="0" fontId="24" fillId="2" borderId="21" xfId="0" applyFont="1" applyFill="1" applyBorder="1"/>
    <xf numFmtId="0" fontId="3" fillId="2" borderId="22" xfId="0" applyFont="1" applyFill="1" applyBorder="1"/>
    <xf numFmtId="0" fontId="24" fillId="2" borderId="22" xfId="0" applyFont="1" applyFill="1" applyBorder="1"/>
    <xf numFmtId="166" fontId="24" fillId="2" borderId="22" xfId="1" applyNumberFormat="1" applyFont="1" applyFill="1" applyBorder="1"/>
    <xf numFmtId="166" fontId="3" fillId="2" borderId="22" xfId="1" applyNumberFormat="1" applyFont="1" applyFill="1" applyBorder="1"/>
    <xf numFmtId="166" fontId="24" fillId="0" borderId="2" xfId="1" quotePrefix="1" applyNumberFormat="1" applyFont="1" applyBorder="1" applyAlignment="1">
      <alignment horizontal="center"/>
    </xf>
    <xf numFmtId="0" fontId="24" fillId="5" borderId="1" xfId="0" applyFont="1" applyFill="1" applyBorder="1"/>
    <xf numFmtId="0" fontId="3" fillId="5" borderId="2" xfId="0" applyFont="1" applyFill="1" applyBorder="1"/>
    <xf numFmtId="0" fontId="24" fillId="5" borderId="2" xfId="0" applyFont="1" applyFill="1" applyBorder="1"/>
    <xf numFmtId="166" fontId="3" fillId="5" borderId="2" xfId="1" quotePrefix="1" applyNumberFormat="1" applyFont="1" applyFill="1" applyBorder="1" applyAlignment="1">
      <alignment horizontal="center"/>
    </xf>
    <xf numFmtId="0" fontId="3" fillId="5" borderId="11" xfId="0" applyFont="1" applyFill="1" applyBorder="1"/>
    <xf numFmtId="0" fontId="24" fillId="5" borderId="11" xfId="0" applyFont="1" applyFill="1" applyBorder="1"/>
    <xf numFmtId="166" fontId="24" fillId="5" borderId="11" xfId="1" applyNumberFormat="1" applyFont="1" applyFill="1" applyBorder="1"/>
    <xf numFmtId="166" fontId="3" fillId="5" borderId="11" xfId="1" applyNumberFormat="1" applyFont="1" applyFill="1" applyBorder="1"/>
    <xf numFmtId="166" fontId="3" fillId="2" borderId="2" xfId="1" quotePrefix="1" applyNumberFormat="1" applyFont="1" applyFill="1" applyBorder="1" applyAlignment="1">
      <alignment horizontal="center"/>
    </xf>
    <xf numFmtId="0" fontId="24" fillId="0" borderId="2" xfId="0" applyFont="1" applyBorder="1" applyAlignment="1">
      <alignment horizontal="right"/>
    </xf>
    <xf numFmtId="37" fontId="24" fillId="0" borderId="2" xfId="0" applyNumberFormat="1" applyFont="1" applyBorder="1"/>
    <xf numFmtId="166" fontId="24" fillId="0" borderId="2" xfId="1" applyNumberFormat="1" applyFont="1" applyBorder="1" applyAlignment="1">
      <alignment horizontal="center"/>
    </xf>
    <xf numFmtId="0" fontId="24" fillId="0" borderId="2" xfId="0" quotePrefix="1" applyFont="1" applyBorder="1"/>
    <xf numFmtId="16" fontId="24" fillId="0" borderId="2" xfId="0" quotePrefix="1" applyNumberFormat="1" applyFont="1" applyBorder="1"/>
    <xf numFmtId="0" fontId="24" fillId="0" borderId="4" xfId="0" applyFont="1" applyBorder="1"/>
    <xf numFmtId="166" fontId="24" fillId="0" borderId="4" xfId="1" applyNumberFormat="1" applyFont="1" applyBorder="1" applyAlignment="1">
      <alignment horizontal="right"/>
    </xf>
    <xf numFmtId="166" fontId="24" fillId="0" borderId="4" xfId="1" quotePrefix="1" applyNumberFormat="1" applyFont="1" applyBorder="1" applyAlignment="1">
      <alignment horizontal="right"/>
    </xf>
    <xf numFmtId="0" fontId="3" fillId="4" borderId="4" xfId="0" applyFont="1" applyFill="1" applyBorder="1"/>
    <xf numFmtId="166" fontId="3" fillId="4" borderId="4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1" applyNumberFormat="1" applyFont="1" applyAlignment="1">
      <alignment horizontal="left"/>
    </xf>
    <xf numFmtId="166" fontId="24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24" fillId="0" borderId="2" xfId="0" applyFont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center"/>
    </xf>
    <xf numFmtId="0" fontId="3" fillId="0" borderId="1" xfId="0" applyFont="1" applyBorder="1"/>
    <xf numFmtId="166" fontId="24" fillId="2" borderId="2" xfId="1" applyNumberFormat="1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166" fontId="24" fillId="2" borderId="11" xfId="1" applyNumberFormat="1" applyFont="1" applyFill="1" applyBorder="1" applyAlignment="1">
      <alignment horizontal="center"/>
    </xf>
    <xf numFmtId="166" fontId="3" fillId="2" borderId="11" xfId="1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right" vertical="top"/>
    </xf>
    <xf numFmtId="0" fontId="26" fillId="0" borderId="1" xfId="0" applyFont="1" applyBorder="1"/>
    <xf numFmtId="0" fontId="24" fillId="0" borderId="2" xfId="0" applyFont="1" applyFill="1" applyBorder="1"/>
    <xf numFmtId="0" fontId="24" fillId="0" borderId="2" xfId="0" applyFont="1" applyFill="1" applyBorder="1" applyAlignment="1">
      <alignment horizontal="center"/>
    </xf>
    <xf numFmtId="166" fontId="3" fillId="2" borderId="2" xfId="1" applyNumberFormat="1" applyFont="1" applyFill="1" applyBorder="1" applyAlignment="1">
      <alignment horizontal="right"/>
    </xf>
    <xf numFmtId="0" fontId="24" fillId="0" borderId="2" xfId="0" quotePrefix="1" applyFont="1" applyBorder="1" applyAlignment="1">
      <alignment horizontal="center"/>
    </xf>
    <xf numFmtId="0" fontId="26" fillId="0" borderId="18" xfId="0" applyFont="1" applyBorder="1"/>
    <xf numFmtId="164" fontId="24" fillId="0" borderId="0" xfId="1" applyFont="1"/>
    <xf numFmtId="0" fontId="0" fillId="0" borderId="0" xfId="0" applyAlignment="1">
      <alignment vertical="top" wrapText="1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wrapText="1"/>
    </xf>
    <xf numFmtId="0" fontId="24" fillId="0" borderId="4" xfId="0" applyFont="1" applyBorder="1" applyAlignment="1">
      <alignment wrapText="1"/>
    </xf>
    <xf numFmtId="37" fontId="0" fillId="0" borderId="0" xfId="0" applyNumberFormat="1" applyAlignment="1">
      <alignment wrapText="1"/>
    </xf>
    <xf numFmtId="166" fontId="8" fillId="0" borderId="4" xfId="0" applyNumberFormat="1" applyFont="1" applyBorder="1" applyAlignment="1">
      <alignment vertical="center" wrapText="1"/>
    </xf>
    <xf numFmtId="0" fontId="0" fillId="0" borderId="0" xfId="0" applyAlignment="1">
      <alignment vertical="top"/>
    </xf>
    <xf numFmtId="0" fontId="24" fillId="0" borderId="0" xfId="0" applyFont="1" applyAlignment="1">
      <alignment vertical="top"/>
    </xf>
    <xf numFmtId="0" fontId="24" fillId="0" borderId="4" xfId="0" applyFont="1" applyBorder="1" applyAlignment="1">
      <alignment vertical="top" wrapText="1"/>
    </xf>
    <xf numFmtId="43" fontId="24" fillId="0" borderId="0" xfId="0" applyNumberFormat="1" applyFont="1"/>
    <xf numFmtId="169" fontId="17" fillId="0" borderId="4" xfId="1" applyNumberFormat="1" applyFont="1" applyBorder="1" applyAlignment="1" applyProtection="1">
      <alignment vertical="top" wrapText="1"/>
    </xf>
    <xf numFmtId="0" fontId="24" fillId="0" borderId="2" xfId="0" applyFont="1" applyBorder="1" applyAlignment="1">
      <alignment wrapText="1"/>
    </xf>
    <xf numFmtId="164" fontId="29" fillId="0" borderId="0" xfId="1" applyFont="1" applyAlignment="1">
      <alignment wrapText="1"/>
    </xf>
    <xf numFmtId="164" fontId="24" fillId="0" borderId="0" xfId="0" applyNumberFormat="1" applyFont="1"/>
    <xf numFmtId="0" fontId="4" fillId="0" borderId="0" xfId="0" applyFont="1" applyAlignment="1"/>
    <xf numFmtId="166" fontId="24" fillId="0" borderId="4" xfId="1" applyNumberFormat="1" applyFont="1" applyBorder="1" applyAlignment="1">
      <alignment horizontal="right" wrapText="1"/>
    </xf>
    <xf numFmtId="0" fontId="24" fillId="0" borderId="0" xfId="0" applyFont="1" applyAlignment="1"/>
    <xf numFmtId="164" fontId="3" fillId="2" borderId="14" xfId="1" applyNumberFormat="1" applyFont="1" applyFill="1" applyBorder="1"/>
    <xf numFmtId="0" fontId="26" fillId="0" borderId="17" xfId="0" applyFont="1" applyBorder="1" applyAlignment="1">
      <alignment horizontal="center" vertical="center"/>
    </xf>
    <xf numFmtId="0" fontId="1" fillId="0" borderId="0" xfId="0" applyFont="1" applyAlignment="1"/>
    <xf numFmtId="9" fontId="2" fillId="0" borderId="0" xfId="3" applyFont="1" applyAlignment="1">
      <alignment vertical="top" wrapText="1"/>
    </xf>
    <xf numFmtId="0" fontId="2" fillId="0" borderId="0" xfId="0" applyFont="1" applyAlignment="1">
      <alignment vertical="top" wrapText="1"/>
    </xf>
    <xf numFmtId="166" fontId="2" fillId="0" borderId="0" xfId="1" applyNumberFormat="1" applyFont="1" applyAlignment="1">
      <alignment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3" xfId="0" applyFont="1" applyBorder="1" applyAlignment="1">
      <alignment vertical="top" wrapText="1"/>
    </xf>
    <xf numFmtId="166" fontId="2" fillId="0" borderId="23" xfId="1" applyNumberFormat="1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166" fontId="2" fillId="0" borderId="2" xfId="1" applyNumberFormat="1" applyFont="1" applyBorder="1" applyAlignment="1">
      <alignment vertical="top" wrapText="1"/>
    </xf>
    <xf numFmtId="9" fontId="2" fillId="0" borderId="2" xfId="3" applyFont="1" applyBorder="1" applyAlignment="1">
      <alignment horizontal="center" vertical="top" wrapText="1"/>
    </xf>
    <xf numFmtId="167" fontId="2" fillId="0" borderId="2" xfId="3" applyNumberFormat="1" applyFont="1" applyBorder="1" applyAlignment="1">
      <alignment vertical="top" wrapText="1"/>
    </xf>
    <xf numFmtId="0" fontId="1" fillId="4" borderId="4" xfId="0" applyFont="1" applyFill="1" applyBorder="1" applyAlignment="1">
      <alignment wrapText="1"/>
    </xf>
    <xf numFmtId="37" fontId="1" fillId="4" borderId="4" xfId="0" applyNumberFormat="1" applyFont="1" applyFill="1" applyBorder="1" applyAlignment="1" applyProtection="1">
      <alignment wrapText="1"/>
    </xf>
    <xf numFmtId="164" fontId="1" fillId="4" borderId="4" xfId="1" applyFont="1" applyFill="1" applyBorder="1" applyAlignment="1" applyProtection="1">
      <alignment wrapText="1"/>
    </xf>
    <xf numFmtId="0" fontId="1" fillId="0" borderId="0" xfId="0" applyFont="1" applyAlignment="1">
      <alignment wrapText="1"/>
    </xf>
    <xf numFmtId="37" fontId="1" fillId="0" borderId="0" xfId="0" applyNumberFormat="1" applyFont="1" applyAlignment="1" applyProtection="1">
      <alignment wrapText="1"/>
    </xf>
    <xf numFmtId="0" fontId="30" fillId="0" borderId="0" xfId="0" applyFont="1" applyAlignment="1">
      <alignment wrapText="1"/>
    </xf>
    <xf numFmtId="0" fontId="1" fillId="4" borderId="5" xfId="0" applyFont="1" applyFill="1" applyBorder="1" applyAlignment="1">
      <alignment horizontal="center" wrapText="1"/>
    </xf>
    <xf numFmtId="0" fontId="1" fillId="4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37" fontId="1" fillId="0" borderId="4" xfId="0" applyNumberFormat="1" applyFont="1" applyBorder="1" applyAlignment="1" applyProtection="1">
      <alignment wrapText="1"/>
    </xf>
    <xf numFmtId="0" fontId="18" fillId="0" borderId="0" xfId="0" applyFont="1" applyAlignment="1"/>
    <xf numFmtId="0" fontId="5" fillId="0" borderId="0" xfId="0" applyFont="1" applyAlignment="1"/>
    <xf numFmtId="0" fontId="15" fillId="0" borderId="0" xfId="0" applyFont="1" applyAlignment="1"/>
    <xf numFmtId="0" fontId="1" fillId="0" borderId="2" xfId="0" applyFont="1" applyBorder="1" applyAlignment="1">
      <alignment vertical="top" wrapText="1"/>
    </xf>
    <xf numFmtId="166" fontId="21" fillId="0" borderId="23" xfId="1" applyNumberFormat="1" applyFont="1" applyBorder="1" applyAlignment="1">
      <alignment vertical="top" wrapText="1"/>
    </xf>
    <xf numFmtId="0" fontId="28" fillId="0" borderId="2" xfId="0" applyFont="1" applyBorder="1" applyAlignment="1">
      <alignment vertical="center" wrapText="1"/>
    </xf>
    <xf numFmtId="168" fontId="6" fillId="6" borderId="4" xfId="0" applyNumberFormat="1" applyFont="1" applyFill="1" applyBorder="1" applyAlignment="1" applyProtection="1">
      <alignment vertical="top" wrapText="1"/>
    </xf>
    <xf numFmtId="169" fontId="6" fillId="6" borderId="4" xfId="1" applyNumberFormat="1" applyFont="1" applyFill="1" applyBorder="1" applyAlignment="1" applyProtection="1">
      <alignment vertical="top" wrapText="1"/>
    </xf>
    <xf numFmtId="170" fontId="6" fillId="7" borderId="5" xfId="0" applyNumberFormat="1" applyFont="1" applyFill="1" applyBorder="1" applyAlignment="1" applyProtection="1">
      <alignment horizontal="center" vertical="top" wrapText="1"/>
    </xf>
    <xf numFmtId="169" fontId="6" fillId="7" borderId="5" xfId="1" applyNumberFormat="1" applyFont="1" applyFill="1" applyBorder="1" applyAlignment="1" applyProtection="1">
      <alignment horizontal="center" vertical="top" wrapText="1"/>
    </xf>
    <xf numFmtId="168" fontId="6" fillId="7" borderId="13" xfId="0" applyNumberFormat="1" applyFont="1" applyFill="1" applyBorder="1" applyAlignment="1" applyProtection="1">
      <alignment horizontal="center" vertical="top" wrapText="1"/>
    </xf>
    <xf numFmtId="169" fontId="6" fillId="7" borderId="13" xfId="1" applyNumberFormat="1" applyFont="1" applyFill="1" applyBorder="1" applyAlignment="1" applyProtection="1">
      <alignment horizontal="center" vertical="top" wrapText="1"/>
    </xf>
    <xf numFmtId="168" fontId="6" fillId="7" borderId="6" xfId="0" applyNumberFormat="1" applyFont="1" applyFill="1" applyBorder="1" applyAlignment="1" applyProtection="1">
      <alignment horizontal="center" vertical="top" wrapText="1"/>
    </xf>
    <xf numFmtId="169" fontId="6" fillId="7" borderId="6" xfId="1" applyNumberFormat="1" applyFont="1" applyFill="1" applyBorder="1" applyAlignment="1" applyProtection="1">
      <alignment horizontal="center" vertical="top" wrapText="1"/>
    </xf>
    <xf numFmtId="2" fontId="3" fillId="0" borderId="0" xfId="0" applyNumberFormat="1" applyFont="1"/>
    <xf numFmtId="166" fontId="23" fillId="0" borderId="0" xfId="1" applyNumberFormat="1" applyFont="1" applyBorder="1"/>
    <xf numFmtId="166" fontId="1" fillId="0" borderId="10" xfId="1" quotePrefix="1" applyNumberFormat="1" applyFont="1" applyBorder="1" applyAlignment="1">
      <alignment horizontal="center"/>
    </xf>
    <xf numFmtId="166" fontId="1" fillId="0" borderId="10" xfId="1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166" fontId="1" fillId="0" borderId="0" xfId="1" quotePrefix="1" applyNumberFormat="1" applyFont="1"/>
    <xf numFmtId="0" fontId="16" fillId="0" borderId="0" xfId="0" applyFont="1" applyAlignment="1" applyProtection="1">
      <alignment vertical="top"/>
    </xf>
    <xf numFmtId="169" fontId="27" fillId="0" borderId="4" xfId="1" applyNumberFormat="1" applyFont="1" applyBorder="1" applyAlignment="1" applyProtection="1">
      <alignment vertical="top" wrapText="1"/>
    </xf>
    <xf numFmtId="169" fontId="0" fillId="0" borderId="0" xfId="0" applyNumberFormat="1" applyAlignment="1">
      <alignment vertical="top" wrapText="1"/>
    </xf>
    <xf numFmtId="166" fontId="31" fillId="0" borderId="0" xfId="1" applyNumberFormat="1" applyFont="1" applyAlignment="1">
      <alignment vertical="top" wrapText="1"/>
    </xf>
    <xf numFmtId="0" fontId="1" fillId="8" borderId="1" xfId="0" applyFont="1" applyFill="1" applyBorder="1" applyAlignment="1">
      <alignment vertical="top"/>
    </xf>
    <xf numFmtId="166" fontId="1" fillId="0" borderId="2" xfId="1" applyNumberFormat="1" applyFont="1" applyBorder="1" applyAlignment="1">
      <alignment horizontal="center" vertical="top" wrapText="1"/>
    </xf>
    <xf numFmtId="49" fontId="3" fillId="0" borderId="2" xfId="1" applyNumberFormat="1" applyFont="1" applyBorder="1" applyAlignment="1">
      <alignment horizontal="center"/>
    </xf>
    <xf numFmtId="166" fontId="24" fillId="0" borderId="17" xfId="1" applyNumberFormat="1" applyFont="1" applyBorder="1"/>
    <xf numFmtId="0" fontId="26" fillId="0" borderId="17" xfId="0" applyFont="1" applyBorder="1"/>
    <xf numFmtId="0" fontId="1" fillId="0" borderId="23" xfId="0" applyFont="1" applyBorder="1" applyAlignment="1">
      <alignment vertical="top" wrapText="1"/>
    </xf>
    <xf numFmtId="166" fontId="0" fillId="0" borderId="0" xfId="0" applyNumberFormat="1"/>
    <xf numFmtId="37" fontId="28" fillId="0" borderId="4" xfId="0" applyNumberFormat="1" applyFont="1" applyBorder="1" applyAlignment="1" applyProtection="1">
      <alignment wrapText="1"/>
    </xf>
    <xf numFmtId="37" fontId="28" fillId="0" borderId="4" xfId="0" applyNumberFormat="1" applyFont="1" applyBorder="1" applyAlignment="1" applyProtection="1">
      <alignment horizontal="right" wrapText="1"/>
    </xf>
    <xf numFmtId="0" fontId="33" fillId="0" borderId="17" xfId="0" applyFont="1" applyBorder="1" applyAlignment="1">
      <alignment horizontal="left" vertical="center" wrapText="1"/>
    </xf>
    <xf numFmtId="0" fontId="26" fillId="0" borderId="2" xfId="0" applyFont="1" applyBorder="1" applyAlignment="1">
      <alignment wrapText="1"/>
    </xf>
    <xf numFmtId="0" fontId="33" fillId="0" borderId="2" xfId="0" applyFont="1" applyBorder="1"/>
    <xf numFmtId="0" fontId="33" fillId="0" borderId="2" xfId="0" applyFont="1" applyBorder="1" applyAlignment="1">
      <alignment wrapText="1"/>
    </xf>
    <xf numFmtId="0" fontId="34" fillId="0" borderId="2" xfId="0" applyFont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5" fillId="0" borderId="2" xfId="0" applyFont="1" applyBorder="1"/>
    <xf numFmtId="0" fontId="34" fillId="2" borderId="2" xfId="0" applyFont="1" applyFill="1" applyBorder="1"/>
    <xf numFmtId="166" fontId="3" fillId="9" borderId="2" xfId="1" applyNumberFormat="1" applyFont="1" applyFill="1" applyBorder="1"/>
    <xf numFmtId="166" fontId="28" fillId="8" borderId="2" xfId="1" applyNumberFormat="1" applyFont="1" applyFill="1" applyBorder="1" applyAlignment="1">
      <alignment vertical="top"/>
    </xf>
    <xf numFmtId="166" fontId="28" fillId="8" borderId="14" xfId="1" applyNumberFormat="1" applyFont="1" applyFill="1" applyBorder="1" applyAlignment="1">
      <alignment vertical="top"/>
    </xf>
    <xf numFmtId="166" fontId="28" fillId="6" borderId="2" xfId="1" applyNumberFormat="1" applyFont="1" applyFill="1" applyBorder="1" applyAlignment="1">
      <alignment vertical="top"/>
    </xf>
    <xf numFmtId="166" fontId="28" fillId="6" borderId="14" xfId="1" applyNumberFormat="1" applyFont="1" applyFill="1" applyBorder="1" applyAlignment="1">
      <alignment vertical="top"/>
    </xf>
    <xf numFmtId="166" fontId="28" fillId="0" borderId="2" xfId="1" applyNumberFormat="1" applyFont="1" applyBorder="1" applyAlignment="1">
      <alignment vertical="top"/>
    </xf>
    <xf numFmtId="166" fontId="28" fillId="0" borderId="14" xfId="1" applyNumberFormat="1" applyFont="1" applyBorder="1" applyAlignment="1">
      <alignment vertical="top"/>
    </xf>
    <xf numFmtId="166" fontId="28" fillId="10" borderId="2" xfId="0" applyNumberFormat="1" applyFont="1" applyFill="1" applyBorder="1" applyAlignment="1">
      <alignment vertical="top"/>
    </xf>
    <xf numFmtId="166" fontId="28" fillId="6" borderId="11" xfId="1" applyNumberFormat="1" applyFont="1" applyFill="1" applyBorder="1" applyAlignment="1">
      <alignment vertical="top"/>
    </xf>
    <xf numFmtId="2" fontId="21" fillId="0" borderId="2" xfId="0" applyNumberFormat="1" applyFont="1" applyBorder="1" applyAlignment="1">
      <alignment horizontal="center" vertical="center" wrapText="1"/>
    </xf>
    <xf numFmtId="0" fontId="36" fillId="0" borderId="2" xfId="0" applyFont="1" applyBorder="1"/>
    <xf numFmtId="0" fontId="16" fillId="0" borderId="2" xfId="0" applyFont="1" applyBorder="1" applyAlignment="1">
      <alignment horizontal="center" vertical="center" wrapText="1"/>
    </xf>
    <xf numFmtId="166" fontId="3" fillId="2" borderId="10" xfId="1" applyNumberFormat="1" applyFont="1" applyFill="1" applyBorder="1"/>
    <xf numFmtId="166" fontId="28" fillId="8" borderId="14" xfId="1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9" fontId="27" fillId="0" borderId="5" xfId="1" applyNumberFormat="1" applyFont="1" applyBorder="1" applyAlignment="1" applyProtection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66" fontId="1" fillId="0" borderId="11" xfId="1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6" fontId="1" fillId="0" borderId="15" xfId="1" applyNumberFormat="1" applyFont="1" applyBorder="1" applyAlignment="1">
      <alignment horizontal="center" vertical="center" wrapText="1"/>
    </xf>
    <xf numFmtId="166" fontId="24" fillId="0" borderId="4" xfId="0" applyNumberFormat="1" applyFont="1" applyBorder="1"/>
    <xf numFmtId="166" fontId="24" fillId="0" borderId="4" xfId="1" applyNumberFormat="1" applyFont="1" applyBorder="1"/>
    <xf numFmtId="166" fontId="3" fillId="0" borderId="24" xfId="1" applyNumberFormat="1" applyFont="1" applyBorder="1" applyAlignment="1">
      <alignment horizontal="center" vertical="center" wrapText="1"/>
    </xf>
    <xf numFmtId="0" fontId="24" fillId="0" borderId="10" xfId="0" applyFont="1" applyBorder="1"/>
    <xf numFmtId="0" fontId="24" fillId="0" borderId="24" xfId="0" applyFont="1" applyBorder="1"/>
    <xf numFmtId="166" fontId="24" fillId="0" borderId="10" xfId="1" applyNumberFormat="1" applyFont="1" applyBorder="1" applyAlignment="1">
      <alignment horizontal="right"/>
    </xf>
    <xf numFmtId="166" fontId="24" fillId="0" borderId="10" xfId="1" quotePrefix="1" applyNumberFormat="1" applyFont="1" applyBorder="1"/>
    <xf numFmtId="166" fontId="24" fillId="0" borderId="24" xfId="1" applyNumberFormat="1" applyFont="1" applyBorder="1" applyAlignment="1">
      <alignment horizontal="center" vertical="center" wrapText="1"/>
    </xf>
    <xf numFmtId="166" fontId="24" fillId="0" borderId="18" xfId="1" applyNumberFormat="1" applyFont="1" applyBorder="1"/>
    <xf numFmtId="166" fontId="3" fillId="2" borderId="18" xfId="1" applyNumberFormat="1" applyFont="1" applyFill="1" applyBorder="1"/>
    <xf numFmtId="166" fontId="23" fillId="0" borderId="18" xfId="1" applyNumberFormat="1" applyFont="1" applyBorder="1"/>
    <xf numFmtId="166" fontId="1" fillId="0" borderId="20" xfId="1" applyNumberFormat="1" applyFont="1" applyBorder="1" applyAlignment="1">
      <alignment horizontal="center" vertical="center" wrapText="1"/>
    </xf>
    <xf numFmtId="166" fontId="1" fillId="0" borderId="25" xfId="1" applyNumberFormat="1" applyFont="1" applyBorder="1" applyAlignment="1">
      <alignment horizontal="center" vertical="center" wrapText="1"/>
    </xf>
    <xf numFmtId="0" fontId="33" fillId="0" borderId="10" xfId="0" applyFont="1" applyBorder="1" applyAlignment="1"/>
    <xf numFmtId="0" fontId="0" fillId="0" borderId="0" xfId="0" applyAlignment="1">
      <alignment wrapText="1"/>
    </xf>
    <xf numFmtId="0" fontId="0" fillId="0" borderId="0" xfId="0" quotePrefix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0" borderId="2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6" fontId="1" fillId="0" borderId="0" xfId="1" quotePrefix="1" applyNumberFormat="1" applyFont="1" applyAlignment="1"/>
    <xf numFmtId="166" fontId="1" fillId="0" borderId="0" xfId="1" applyNumberFormat="1" applyFont="1" applyAlignment="1"/>
    <xf numFmtId="166" fontId="1" fillId="0" borderId="26" xfId="1" applyNumberFormat="1" applyFont="1" applyBorder="1"/>
    <xf numFmtId="169" fontId="1" fillId="0" borderId="4" xfId="1" applyNumberFormat="1" applyFont="1" applyBorder="1" applyAlignment="1">
      <alignment vertical="top" wrapText="1"/>
    </xf>
    <xf numFmtId="166" fontId="1" fillId="0" borderId="2" xfId="1" applyNumberFormat="1" applyFont="1" applyBorder="1" applyAlignment="1">
      <alignment vertical="top" wrapText="1"/>
    </xf>
    <xf numFmtId="167" fontId="1" fillId="0" borderId="2" xfId="3" applyNumberFormat="1" applyFont="1" applyBorder="1" applyAlignment="1">
      <alignment vertical="top" wrapText="1"/>
    </xf>
    <xf numFmtId="2" fontId="32" fillId="0" borderId="2" xfId="0" applyNumberFormat="1" applyFont="1" applyBorder="1" applyAlignment="1">
      <alignment horizontal="center" vertical="center" wrapText="1"/>
    </xf>
    <xf numFmtId="169" fontId="1" fillId="2" borderId="4" xfId="1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9" fontId="8" fillId="0" borderId="2" xfId="3" applyFont="1" applyBorder="1" applyAlignment="1">
      <alignment horizontal="center" vertical="top" wrapText="1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20" xfId="0" applyFont="1" applyBorder="1" applyAlignment="1">
      <alignment vertical="center" wrapText="1"/>
    </xf>
    <xf numFmtId="0" fontId="0" fillId="0" borderId="0" xfId="0" applyAlignment="1">
      <alignment vertical="top" wrapText="1"/>
    </xf>
    <xf numFmtId="164" fontId="80" fillId="0" borderId="0" xfId="1" applyFont="1" applyAlignment="1">
      <alignment vertical="top" wrapText="1"/>
    </xf>
    <xf numFmtId="164" fontId="0" fillId="0" borderId="0" xfId="0" applyNumberFormat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166" fontId="3" fillId="0" borderId="0" xfId="0" applyNumberFormat="1" applyFont="1"/>
    <xf numFmtId="0" fontId="1" fillId="0" borderId="0" xfId="0" applyFont="1" applyAlignment="1">
      <alignment vertical="top"/>
    </xf>
    <xf numFmtId="0" fontId="1" fillId="0" borderId="2" xfId="0" applyFont="1" applyBorder="1" applyAlignment="1">
      <alignment horizontal="center"/>
    </xf>
    <xf numFmtId="0" fontId="1" fillId="0" borderId="2" xfId="0" applyFont="1" applyBorder="1" applyProtection="1"/>
    <xf numFmtId="0" fontId="1" fillId="0" borderId="2" xfId="0" applyFont="1" applyBorder="1"/>
    <xf numFmtId="166" fontId="80" fillId="0" borderId="2" xfId="1" applyNumberFormat="1" applyFont="1" applyBorder="1"/>
    <xf numFmtId="0" fontId="0" fillId="0" borderId="2" xfId="0" applyBorder="1"/>
    <xf numFmtId="164" fontId="80" fillId="0" borderId="0" xfId="1" applyFont="1"/>
    <xf numFmtId="164" fontId="80" fillId="0" borderId="2" xfId="1" applyFont="1" applyBorder="1"/>
    <xf numFmtId="0" fontId="1" fillId="0" borderId="4" xfId="0" applyFont="1" applyBorder="1" applyProtection="1"/>
    <xf numFmtId="171" fontId="0" fillId="0" borderId="0" xfId="0" applyNumberFormat="1"/>
    <xf numFmtId="0" fontId="1" fillId="0" borderId="4" xfId="0" applyFont="1" applyBorder="1"/>
    <xf numFmtId="0" fontId="0" fillId="0" borderId="4" xfId="0" applyBorder="1"/>
    <xf numFmtId="0" fontId="1" fillId="0" borderId="8" xfId="0" applyFont="1" applyBorder="1" applyProtection="1"/>
    <xf numFmtId="171" fontId="0" fillId="0" borderId="4" xfId="0" applyNumberFormat="1" applyBorder="1"/>
    <xf numFmtId="172" fontId="80" fillId="0" borderId="4" xfId="1" applyNumberFormat="1" applyFont="1" applyBorder="1"/>
    <xf numFmtId="168" fontId="7" fillId="0" borderId="0" xfId="0" applyNumberFormat="1" applyFont="1" applyAlignment="1" applyProtection="1">
      <alignment horizontal="left" vertical="top"/>
    </xf>
    <xf numFmtId="168" fontId="8" fillId="0" borderId="0" xfId="0" applyNumberFormat="1" applyFont="1" applyAlignment="1">
      <alignment horizontal="left" vertical="top"/>
    </xf>
    <xf numFmtId="168" fontId="9" fillId="0" borderId="27" xfId="0" applyNumberFormat="1" applyFont="1" applyBorder="1" applyAlignment="1" applyProtection="1">
      <alignment horizontal="left" vertical="top"/>
    </xf>
    <xf numFmtId="168" fontId="8" fillId="0" borderId="27" xfId="0" applyNumberFormat="1" applyFont="1" applyBorder="1" applyAlignment="1">
      <alignment horizontal="left" vertical="top"/>
    </xf>
    <xf numFmtId="37" fontId="83" fillId="0" borderId="0" xfId="0" applyNumberFormat="1" applyFont="1" applyAlignment="1">
      <alignment wrapText="1"/>
    </xf>
    <xf numFmtId="164" fontId="80" fillId="0" borderId="0" xfId="1" applyFont="1" applyAlignment="1">
      <alignment wrapText="1"/>
    </xf>
    <xf numFmtId="169" fontId="84" fillId="0" borderId="4" xfId="1" applyNumberFormat="1" applyFont="1" applyBorder="1" applyAlignment="1" applyProtection="1">
      <alignment vertical="top" wrapText="1"/>
    </xf>
    <xf numFmtId="168" fontId="10" fillId="0" borderId="4" xfId="0" applyNumberFormat="1" applyFont="1" applyBorder="1" applyAlignment="1" applyProtection="1">
      <alignment vertical="top" wrapText="1"/>
    </xf>
    <xf numFmtId="166" fontId="6" fillId="0" borderId="4" xfId="1" applyNumberFormat="1" applyFont="1" applyBorder="1" applyAlignment="1" applyProtection="1">
      <alignment vertical="top" wrapText="1"/>
    </xf>
    <xf numFmtId="166" fontId="85" fillId="0" borderId="0" xfId="1" applyNumberFormat="1" applyFont="1"/>
    <xf numFmtId="0" fontId="86" fillId="0" borderId="0" xfId="0" applyFont="1" applyAlignment="1">
      <alignment horizontal="center" vertical="center"/>
    </xf>
    <xf numFmtId="0" fontId="87" fillId="0" borderId="0" xfId="0" applyFont="1" applyAlignment="1"/>
    <xf numFmtId="0" fontId="88" fillId="0" borderId="0" xfId="0" applyFont="1"/>
    <xf numFmtId="0" fontId="81" fillId="0" borderId="0" xfId="0" applyFont="1"/>
    <xf numFmtId="0" fontId="89" fillId="0" borderId="0" xfId="0" applyFont="1"/>
    <xf numFmtId="166" fontId="89" fillId="0" borderId="0" xfId="1" applyNumberFormat="1" applyFont="1"/>
    <xf numFmtId="166" fontId="86" fillId="0" borderId="0" xfId="1" applyNumberFormat="1" applyFont="1"/>
    <xf numFmtId="164" fontId="80" fillId="0" borderId="0" xfId="1" applyFont="1"/>
    <xf numFmtId="166" fontId="89" fillId="0" borderId="0" xfId="0" applyNumberFormat="1" applyFont="1"/>
    <xf numFmtId="164" fontId="88" fillId="0" borderId="0" xfId="1" applyFont="1"/>
    <xf numFmtId="166" fontId="86" fillId="0" borderId="0" xfId="0" applyNumberFormat="1" applyFont="1"/>
    <xf numFmtId="0" fontId="86" fillId="0" borderId="0" xfId="0" applyFont="1"/>
    <xf numFmtId="0" fontId="85" fillId="0" borderId="0" xfId="0" applyFont="1" applyAlignment="1"/>
    <xf numFmtId="0" fontId="0" fillId="0" borderId="0" xfId="0" applyFont="1"/>
    <xf numFmtId="164" fontId="89" fillId="0" borderId="0" xfId="1" applyFont="1"/>
    <xf numFmtId="166" fontId="85" fillId="0" borderId="0" xfId="0" applyNumberFormat="1" applyFont="1"/>
    <xf numFmtId="164" fontId="0" fillId="0" borderId="0" xfId="0" applyNumberFormat="1" applyFont="1"/>
    <xf numFmtId="164" fontId="88" fillId="0" borderId="0" xfId="0" applyNumberFormat="1" applyFont="1"/>
    <xf numFmtId="0" fontId="83" fillId="0" borderId="0" xfId="0" applyFont="1"/>
    <xf numFmtId="166" fontId="84" fillId="0" borderId="4" xfId="1" applyNumberFormat="1" applyFont="1" applyBorder="1" applyAlignment="1" applyProtection="1">
      <alignment vertical="top" wrapText="1"/>
    </xf>
    <xf numFmtId="166" fontId="90" fillId="0" borderId="0" xfId="1" applyNumberFormat="1" applyFont="1"/>
    <xf numFmtId="166" fontId="0" fillId="0" borderId="0" xfId="0" applyNumberFormat="1" applyAlignment="1">
      <alignment vertical="top" wrapText="1"/>
    </xf>
    <xf numFmtId="166" fontId="80" fillId="0" borderId="0" xfId="1" applyNumberFormat="1" applyFont="1" applyAlignment="1">
      <alignment wrapText="1"/>
    </xf>
    <xf numFmtId="0" fontId="1" fillId="0" borderId="11" xfId="0" applyFont="1" applyBorder="1" applyAlignment="1">
      <alignment vertical="center" wrapText="1"/>
    </xf>
    <xf numFmtId="166" fontId="80" fillId="0" borderId="0" xfId="1" applyNumberFormat="1" applyFont="1" applyAlignment="1">
      <alignment wrapText="1"/>
    </xf>
    <xf numFmtId="166" fontId="1" fillId="0" borderId="0" xfId="1" applyNumberFormat="1" applyFont="1" applyBorder="1" applyAlignment="1">
      <alignment horizontal="center"/>
    </xf>
    <xf numFmtId="164" fontId="3" fillId="2" borderId="0" xfId="1" applyFont="1" applyFill="1" applyBorder="1"/>
    <xf numFmtId="166" fontId="3" fillId="0" borderId="0" xfId="1" quotePrefix="1" applyNumberFormat="1" applyFont="1" applyBorder="1" applyAlignment="1">
      <alignment horizontal="center"/>
    </xf>
    <xf numFmtId="166" fontId="3" fillId="2" borderId="0" xfId="1" applyNumberFormat="1" applyFont="1" applyFill="1" applyBorder="1"/>
    <xf numFmtId="164" fontId="3" fillId="2" borderId="0" xfId="1" applyNumberFormat="1" applyFont="1" applyFill="1" applyBorder="1"/>
    <xf numFmtId="166" fontId="3" fillId="5" borderId="0" xfId="1" quotePrefix="1" applyNumberFormat="1" applyFont="1" applyFill="1" applyBorder="1" applyAlignment="1">
      <alignment horizontal="center"/>
    </xf>
    <xf numFmtId="166" fontId="3" fillId="5" borderId="0" xfId="1" applyNumberFormat="1" applyFont="1" applyFill="1" applyBorder="1"/>
    <xf numFmtId="166" fontId="3" fillId="2" borderId="0" xfId="1" quotePrefix="1" applyNumberFormat="1" applyFont="1" applyFill="1" applyBorder="1" applyAlignment="1">
      <alignment horizontal="center"/>
    </xf>
    <xf numFmtId="166" fontId="24" fillId="0" borderId="0" xfId="1" applyNumberFormat="1" applyFont="1" applyBorder="1" applyAlignment="1">
      <alignment horizontal="right"/>
    </xf>
    <xf numFmtId="166" fontId="3" fillId="4" borderId="0" xfId="1" applyNumberFormat="1" applyFont="1" applyFill="1" applyBorder="1" applyAlignment="1">
      <alignment horizontal="right"/>
    </xf>
    <xf numFmtId="166" fontId="3" fillId="2" borderId="0" xfId="1" applyNumberFormat="1" applyFont="1" applyFill="1" applyBorder="1" applyAlignment="1">
      <alignment horizontal="center"/>
    </xf>
    <xf numFmtId="166" fontId="24" fillId="0" borderId="0" xfId="1" applyNumberFormat="1" applyFont="1" applyBorder="1" applyAlignment="1">
      <alignment horizontal="center"/>
    </xf>
    <xf numFmtId="166" fontId="3" fillId="2" borderId="0" xfId="1" applyNumberFormat="1" applyFont="1" applyFill="1" applyBorder="1" applyAlignment="1">
      <alignment horizontal="right"/>
    </xf>
    <xf numFmtId="166" fontId="3" fillId="9" borderId="0" xfId="1" applyNumberFormat="1" applyFont="1" applyFill="1" applyBorder="1"/>
    <xf numFmtId="166" fontId="1" fillId="2" borderId="0" xfId="1" applyNumberFormat="1" applyFont="1" applyFill="1" applyBorder="1" applyAlignment="1">
      <alignment horizontal="center" vertical="center" wrapText="1"/>
    </xf>
    <xf numFmtId="166" fontId="24" fillId="0" borderId="4" xfId="1" applyNumberFormat="1" applyFont="1" applyBorder="1" applyAlignment="1" applyProtection="1">
      <alignment horizontal="right"/>
    </xf>
    <xf numFmtId="0" fontId="23" fillId="0" borderId="0" xfId="0" applyFont="1" applyAlignment="1"/>
    <xf numFmtId="0" fontId="0" fillId="0" borderId="0" xfId="0" applyAlignment="1">
      <alignment wrapText="1"/>
    </xf>
    <xf numFmtId="164" fontId="90" fillId="0" borderId="0" xfId="0" applyNumberFormat="1" applyFont="1"/>
    <xf numFmtId="166" fontId="91" fillId="0" borderId="0" xfId="0" applyNumberFormat="1" applyFont="1"/>
    <xf numFmtId="166" fontId="82" fillId="0" borderId="0" xfId="1" applyNumberFormat="1" applyFont="1"/>
    <xf numFmtId="166" fontId="82" fillId="0" borderId="0" xfId="0" applyNumberFormat="1" applyFont="1"/>
    <xf numFmtId="164" fontId="92" fillId="0" borderId="0" xfId="0" applyNumberFormat="1" applyFont="1"/>
    <xf numFmtId="0" fontId="0" fillId="0" borderId="0" xfId="0" applyFont="1" applyAlignment="1">
      <alignment wrapText="1"/>
    </xf>
    <xf numFmtId="0" fontId="93" fillId="0" borderId="0" xfId="0" applyFont="1" applyAlignment="1">
      <alignment wrapText="1"/>
    </xf>
    <xf numFmtId="0" fontId="86" fillId="0" borderId="0" xfId="0" applyFont="1" applyAlignment="1">
      <alignment horizontal="center" wrapText="1"/>
    </xf>
    <xf numFmtId="0" fontId="86" fillId="0" borderId="0" xfId="0" applyFont="1" applyAlignment="1">
      <alignment horizontal="center"/>
    </xf>
    <xf numFmtId="164" fontId="85" fillId="0" borderId="0" xfId="1" applyFont="1" applyFill="1"/>
    <xf numFmtId="166" fontId="82" fillId="0" borderId="0" xfId="1" applyNumberFormat="1" applyFont="1" applyFill="1"/>
    <xf numFmtId="0" fontId="0" fillId="0" borderId="0" xfId="0" applyFill="1"/>
    <xf numFmtId="166" fontId="85" fillId="0" borderId="0" xfId="0" applyNumberFormat="1" applyFont="1" applyFill="1"/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vertical="top"/>
    </xf>
    <xf numFmtId="166" fontId="80" fillId="0" borderId="0" xfId="1" applyNumberFormat="1" applyFont="1"/>
    <xf numFmtId="166" fontId="88" fillId="0" borderId="0" xfId="1" applyNumberFormat="1" applyFont="1"/>
    <xf numFmtId="166" fontId="94" fillId="0" borderId="0" xfId="0" applyNumberFormat="1" applyFont="1"/>
    <xf numFmtId="166" fontId="86" fillId="0" borderId="0" xfId="1" applyNumberFormat="1" applyFont="1" applyAlignment="1">
      <alignment horizontal="center"/>
    </xf>
    <xf numFmtId="166" fontId="86" fillId="0" borderId="0" xfId="0" applyNumberFormat="1" applyFont="1" applyAlignment="1">
      <alignment horizontal="center"/>
    </xf>
    <xf numFmtId="166" fontId="8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34" fillId="0" borderId="4" xfId="0" applyFont="1" applyBorder="1" applyAlignment="1">
      <alignment wrapText="1"/>
    </xf>
    <xf numFmtId="168" fontId="38" fillId="0" borderId="0" xfId="0" applyNumberFormat="1" applyFont="1" applyAlignment="1" applyProtection="1">
      <alignment horizontal="left" vertical="top"/>
    </xf>
    <xf numFmtId="168" fontId="39" fillId="0" borderId="0" xfId="0" applyNumberFormat="1" applyFont="1" applyAlignment="1" applyProtection="1">
      <alignment vertical="top" wrapText="1"/>
    </xf>
    <xf numFmtId="166" fontId="39" fillId="0" borderId="0" xfId="1" applyNumberFormat="1" applyFont="1" applyAlignment="1" applyProtection="1">
      <alignment horizontal="center" vertical="top" wrapText="1"/>
    </xf>
    <xf numFmtId="168" fontId="40" fillId="0" borderId="0" xfId="0" applyNumberFormat="1" applyFont="1" applyAlignment="1" applyProtection="1">
      <alignment horizontal="left" vertical="top"/>
    </xf>
    <xf numFmtId="168" fontId="41" fillId="0" borderId="0" xfId="0" applyNumberFormat="1" applyFont="1" applyAlignment="1" applyProtection="1">
      <alignment vertical="top" wrapText="1"/>
    </xf>
    <xf numFmtId="166" fontId="41" fillId="0" borderId="0" xfId="1" applyNumberFormat="1" applyFont="1" applyAlignment="1" applyProtection="1">
      <alignment horizontal="center" vertical="top" wrapText="1"/>
    </xf>
    <xf numFmtId="168" fontId="40" fillId="0" borderId="27" xfId="0" applyNumberFormat="1" applyFont="1" applyBorder="1" applyAlignment="1" applyProtection="1">
      <alignment horizontal="left" vertical="top"/>
    </xf>
    <xf numFmtId="168" fontId="40" fillId="0" borderId="27" xfId="0" applyNumberFormat="1" applyFont="1" applyBorder="1" applyAlignment="1" applyProtection="1">
      <alignment vertical="top" wrapText="1"/>
    </xf>
    <xf numFmtId="166" fontId="40" fillId="0" borderId="27" xfId="1" applyNumberFormat="1" applyFont="1" applyBorder="1" applyAlignment="1" applyProtection="1">
      <alignment horizontal="center" vertical="top" wrapText="1"/>
    </xf>
    <xf numFmtId="168" fontId="40" fillId="4" borderId="13" xfId="0" applyNumberFormat="1" applyFont="1" applyFill="1" applyBorder="1" applyAlignment="1" applyProtection="1">
      <alignment horizontal="left" vertical="top"/>
    </xf>
    <xf numFmtId="168" fontId="40" fillId="4" borderId="13" xfId="0" applyNumberFormat="1" applyFont="1" applyFill="1" applyBorder="1" applyAlignment="1" applyProtection="1">
      <alignment horizontal="center" vertical="top" wrapText="1"/>
    </xf>
    <xf numFmtId="166" fontId="40" fillId="4" borderId="13" xfId="1" applyNumberFormat="1" applyFont="1" applyFill="1" applyBorder="1" applyAlignment="1" applyProtection="1">
      <alignment horizontal="center" vertical="top" wrapText="1"/>
    </xf>
    <xf numFmtId="166" fontId="40" fillId="4" borderId="5" xfId="1" applyNumberFormat="1" applyFont="1" applyFill="1" applyBorder="1" applyAlignment="1" applyProtection="1">
      <alignment horizontal="center" vertical="top" wrapText="1"/>
    </xf>
    <xf numFmtId="168" fontId="40" fillId="4" borderId="5" xfId="0" applyNumberFormat="1" applyFont="1" applyFill="1" applyBorder="1" applyAlignment="1" applyProtection="1">
      <alignment horizontal="center" vertical="top" wrapText="1"/>
    </xf>
    <xf numFmtId="168" fontId="41" fillId="4" borderId="6" xfId="0" applyNumberFormat="1" applyFont="1" applyFill="1" applyBorder="1" applyAlignment="1" applyProtection="1">
      <alignment horizontal="left" vertical="top"/>
    </xf>
    <xf numFmtId="168" fontId="40" fillId="4" borderId="6" xfId="0" applyNumberFormat="1" applyFont="1" applyFill="1" applyBorder="1" applyAlignment="1" applyProtection="1">
      <alignment vertical="top" wrapText="1"/>
    </xf>
    <xf numFmtId="166" fontId="40" fillId="4" borderId="6" xfId="1" applyNumberFormat="1" applyFont="1" applyFill="1" applyBorder="1" applyAlignment="1" applyProtection="1">
      <alignment horizontal="center" vertical="top" wrapText="1"/>
    </xf>
    <xf numFmtId="166" fontId="40" fillId="4" borderId="6" xfId="1" quotePrefix="1" applyNumberFormat="1" applyFont="1" applyFill="1" applyBorder="1" applyAlignment="1" applyProtection="1">
      <alignment horizontal="center" vertical="top" wrapText="1"/>
    </xf>
    <xf numFmtId="168" fontId="40" fillId="4" borderId="6" xfId="0" applyNumberFormat="1" applyFont="1" applyFill="1" applyBorder="1" applyAlignment="1" applyProtection="1">
      <alignment horizontal="center" vertical="top" wrapText="1"/>
    </xf>
    <xf numFmtId="168" fontId="41" fillId="0" borderId="13" xfId="0" applyNumberFormat="1" applyFont="1" applyBorder="1" applyAlignment="1" applyProtection="1">
      <alignment horizontal="left" vertical="top"/>
    </xf>
    <xf numFmtId="168" fontId="40" fillId="0" borderId="13" xfId="0" applyNumberFormat="1" applyFont="1" applyBorder="1" applyAlignment="1" applyProtection="1">
      <alignment vertical="top" wrapText="1"/>
    </xf>
    <xf numFmtId="166" fontId="41" fillId="0" borderId="13" xfId="1" applyNumberFormat="1" applyFont="1" applyBorder="1" applyAlignment="1" applyProtection="1">
      <alignment horizontal="center" vertical="top" wrapText="1"/>
    </xf>
    <xf numFmtId="168" fontId="41" fillId="0" borderId="13" xfId="0" applyNumberFormat="1" applyFont="1" applyBorder="1" applyAlignment="1" applyProtection="1">
      <alignment vertical="top" wrapText="1"/>
    </xf>
    <xf numFmtId="166" fontId="42" fillId="0" borderId="13" xfId="1" applyNumberFormat="1" applyFont="1" applyBorder="1" applyAlignment="1" applyProtection="1">
      <alignment horizontal="center" vertical="top" wrapText="1"/>
    </xf>
    <xf numFmtId="166" fontId="41" fillId="0" borderId="13" xfId="1" quotePrefix="1" applyNumberFormat="1" applyFont="1" applyBorder="1" applyAlignment="1" applyProtection="1">
      <alignment horizontal="center" vertical="top" wrapText="1"/>
    </xf>
    <xf numFmtId="166" fontId="24" fillId="0" borderId="0" xfId="1" applyNumberFormat="1" applyFont="1" applyAlignment="1">
      <alignment horizontal="center" vertical="top"/>
    </xf>
    <xf numFmtId="168" fontId="41" fillId="0" borderId="6" xfId="0" applyNumberFormat="1" applyFont="1" applyBorder="1" applyAlignment="1" applyProtection="1">
      <alignment horizontal="left" vertical="top"/>
    </xf>
    <xf numFmtId="168" fontId="41" fillId="0" borderId="6" xfId="0" applyNumberFormat="1" applyFont="1" applyBorder="1" applyAlignment="1" applyProtection="1">
      <alignment vertical="top" wrapText="1"/>
    </xf>
    <xf numFmtId="166" fontId="41" fillId="0" borderId="6" xfId="1" applyNumberFormat="1" applyFont="1" applyBorder="1" applyAlignment="1" applyProtection="1">
      <alignment horizontal="center" vertical="top" wrapText="1"/>
    </xf>
    <xf numFmtId="168" fontId="43" fillId="0" borderId="13" xfId="0" applyNumberFormat="1" applyFont="1" applyBorder="1" applyAlignment="1" applyProtection="1">
      <alignment vertical="top" wrapText="1"/>
    </xf>
    <xf numFmtId="166" fontId="41" fillId="0" borderId="7" xfId="1" applyNumberFormat="1" applyFont="1" applyBorder="1" applyAlignment="1" applyProtection="1">
      <alignment horizontal="center" vertical="top" wrapText="1"/>
    </xf>
    <xf numFmtId="166" fontId="24" fillId="0" borderId="33" xfId="1" applyNumberFormat="1" applyFont="1" applyBorder="1" applyAlignment="1">
      <alignment horizontal="center" vertical="top"/>
    </xf>
    <xf numFmtId="166" fontId="24" fillId="0" borderId="7" xfId="1" applyNumberFormat="1" applyFont="1" applyBorder="1" applyAlignment="1">
      <alignment horizontal="center" vertical="top"/>
    </xf>
    <xf numFmtId="166" fontId="24" fillId="0" borderId="32" xfId="1" applyNumberFormat="1" applyFont="1" applyBorder="1" applyAlignment="1">
      <alignment horizontal="center" vertical="top"/>
    </xf>
    <xf numFmtId="168" fontId="24" fillId="0" borderId="34" xfId="0" applyNumberFormat="1" applyFont="1" applyBorder="1" applyAlignment="1">
      <alignment horizontal="left" vertical="top"/>
    </xf>
    <xf numFmtId="168" fontId="24" fillId="0" borderId="35" xfId="0" applyNumberFormat="1" applyFont="1" applyBorder="1" applyAlignment="1">
      <alignment vertical="top"/>
    </xf>
    <xf numFmtId="166" fontId="24" fillId="0" borderId="35" xfId="1" applyNumberFormat="1" applyFont="1" applyBorder="1" applyAlignment="1">
      <alignment horizontal="center" vertical="top"/>
    </xf>
    <xf numFmtId="166" fontId="24" fillId="0" borderId="34" xfId="1" applyNumberFormat="1" applyFont="1" applyBorder="1" applyAlignment="1">
      <alignment horizontal="center" vertical="top"/>
    </xf>
    <xf numFmtId="166" fontId="24" fillId="0" borderId="36" xfId="1" applyNumberFormat="1" applyFont="1" applyBorder="1" applyAlignment="1">
      <alignment horizontal="center" vertical="top"/>
    </xf>
    <xf numFmtId="168" fontId="24" fillId="0" borderId="34" xfId="0" applyNumberFormat="1" applyFont="1" applyBorder="1" applyAlignment="1">
      <alignment vertical="top" wrapText="1"/>
    </xf>
    <xf numFmtId="168" fontId="40" fillId="4" borderId="4" xfId="0" applyNumberFormat="1" applyFont="1" applyFill="1" applyBorder="1" applyAlignment="1" applyProtection="1">
      <alignment horizontal="left" vertical="top" wrapText="1"/>
    </xf>
    <xf numFmtId="168" fontId="40" fillId="4" borderId="4" xfId="0" applyNumberFormat="1" applyFont="1" applyFill="1" applyBorder="1" applyAlignment="1" applyProtection="1">
      <alignment vertical="top" wrapText="1"/>
    </xf>
    <xf numFmtId="166" fontId="40" fillId="4" borderId="4" xfId="1" applyNumberFormat="1" applyFont="1" applyFill="1" applyBorder="1" applyAlignment="1" applyProtection="1">
      <alignment horizontal="center" vertical="top" wrapText="1"/>
    </xf>
    <xf numFmtId="168" fontId="40" fillId="0" borderId="0" xfId="0" applyNumberFormat="1" applyFont="1" applyAlignment="1" applyProtection="1">
      <alignment vertical="top" wrapText="1"/>
    </xf>
    <xf numFmtId="168" fontId="40" fillId="4" borderId="5" xfId="0" applyNumberFormat="1" applyFont="1" applyFill="1" applyBorder="1" applyAlignment="1" applyProtection="1">
      <alignment horizontal="left" vertical="top"/>
    </xf>
    <xf numFmtId="168" fontId="40" fillId="4" borderId="5" xfId="0" applyNumberFormat="1" applyFont="1" applyFill="1" applyBorder="1" applyAlignment="1" applyProtection="1">
      <alignment vertical="top" wrapText="1"/>
    </xf>
    <xf numFmtId="166" fontId="40" fillId="4" borderId="37" xfId="1" applyNumberFormat="1" applyFont="1" applyFill="1" applyBorder="1" applyAlignment="1" applyProtection="1">
      <alignment horizontal="center" vertical="top" wrapText="1"/>
    </xf>
    <xf numFmtId="3" fontId="41" fillId="0" borderId="13" xfId="1" applyNumberFormat="1" applyFont="1" applyBorder="1" applyAlignment="1" applyProtection="1">
      <alignment horizontal="center" vertical="top" wrapText="1"/>
    </xf>
    <xf numFmtId="3" fontId="43" fillId="0" borderId="13" xfId="1" applyNumberFormat="1" applyFont="1" applyBorder="1" applyAlignment="1" applyProtection="1">
      <alignment horizontal="left" vertical="top" wrapText="1"/>
    </xf>
    <xf numFmtId="168" fontId="41" fillId="0" borderId="7" xfId="0" applyNumberFormat="1" applyFont="1" applyBorder="1" applyAlignment="1" applyProtection="1">
      <alignment vertical="top" wrapText="1"/>
    </xf>
    <xf numFmtId="166" fontId="41" fillId="0" borderId="0" xfId="1" applyNumberFormat="1" applyFont="1" applyBorder="1" applyAlignment="1" applyProtection="1">
      <alignment horizontal="center" vertical="top" wrapText="1"/>
    </xf>
    <xf numFmtId="166" fontId="41" fillId="0" borderId="33" xfId="1" applyNumberFormat="1" applyFont="1" applyBorder="1" applyAlignment="1" applyProtection="1">
      <alignment horizontal="center" vertical="top" wrapText="1"/>
    </xf>
    <xf numFmtId="168" fontId="41" fillId="0" borderId="33" xfId="0" applyNumberFormat="1" applyFont="1" applyBorder="1" applyAlignment="1" applyProtection="1">
      <alignment vertical="top" wrapText="1"/>
    </xf>
    <xf numFmtId="166" fontId="41" fillId="0" borderId="38" xfId="1" applyNumberFormat="1" applyFont="1" applyBorder="1" applyAlignment="1" applyProtection="1">
      <alignment horizontal="center" vertical="top" wrapText="1"/>
    </xf>
    <xf numFmtId="166" fontId="41" fillId="0" borderId="27" xfId="1" applyNumberFormat="1" applyFont="1" applyBorder="1" applyAlignment="1" applyProtection="1">
      <alignment horizontal="center" vertical="top" wrapText="1"/>
    </xf>
    <xf numFmtId="168" fontId="41" fillId="0" borderId="9" xfId="0" applyNumberFormat="1" applyFont="1" applyBorder="1" applyAlignment="1" applyProtection="1">
      <alignment vertical="top" wrapText="1"/>
    </xf>
    <xf numFmtId="168" fontId="41" fillId="0" borderId="27" xfId="0" applyNumberFormat="1" applyFont="1" applyBorder="1" applyAlignment="1" applyProtection="1">
      <alignment vertical="top" wrapText="1"/>
    </xf>
    <xf numFmtId="168" fontId="40" fillId="4" borderId="13" xfId="0" applyNumberFormat="1" applyFont="1" applyFill="1" applyBorder="1" applyAlignment="1" applyProtection="1">
      <alignment vertical="top" wrapText="1"/>
    </xf>
    <xf numFmtId="168" fontId="41" fillId="0" borderId="5" xfId="0" applyNumberFormat="1" applyFont="1" applyBorder="1" applyAlignment="1" applyProtection="1">
      <alignment horizontal="left" vertical="top"/>
    </xf>
    <xf numFmtId="168" fontId="41" fillId="0" borderId="5" xfId="0" applyNumberFormat="1" applyFont="1" applyBorder="1" applyAlignment="1" applyProtection="1">
      <alignment vertical="top" wrapText="1"/>
    </xf>
    <xf numFmtId="166" fontId="41" fillId="0" borderId="5" xfId="1" applyNumberFormat="1" applyFont="1" applyBorder="1" applyAlignment="1" applyProtection="1">
      <alignment horizontal="center" vertical="top" wrapText="1"/>
    </xf>
    <xf numFmtId="166" fontId="24" fillId="0" borderId="0" xfId="1" applyNumberFormat="1" applyFont="1" applyAlignment="1">
      <alignment vertical="top"/>
    </xf>
    <xf numFmtId="37" fontId="40" fillId="4" borderId="4" xfId="0" applyNumberFormat="1" applyFont="1" applyFill="1" applyBorder="1" applyAlignment="1" applyProtection="1">
      <alignment horizontal="left" vertical="top"/>
    </xf>
    <xf numFmtId="168" fontId="41" fillId="11" borderId="13" xfId="0" applyNumberFormat="1" applyFont="1" applyFill="1" applyBorder="1" applyAlignment="1" applyProtection="1">
      <alignment horizontal="left" vertical="top"/>
    </xf>
    <xf numFmtId="168" fontId="43" fillId="11" borderId="13" xfId="0" applyNumberFormat="1" applyFont="1" applyFill="1" applyBorder="1" applyAlignment="1" applyProtection="1">
      <alignment vertical="top" wrapText="1"/>
    </xf>
    <xf numFmtId="166" fontId="40" fillId="11" borderId="13" xfId="1" applyNumberFormat="1" applyFont="1" applyFill="1" applyBorder="1" applyAlignment="1" applyProtection="1">
      <alignment horizontal="center" vertical="top" wrapText="1"/>
    </xf>
    <xf numFmtId="166" fontId="40" fillId="11" borderId="13" xfId="1" quotePrefix="1" applyNumberFormat="1" applyFont="1" applyFill="1" applyBorder="1" applyAlignment="1" applyProtection="1">
      <alignment horizontal="center" vertical="top" wrapText="1"/>
    </xf>
    <xf numFmtId="168" fontId="40" fillId="11" borderId="13" xfId="0" applyNumberFormat="1" applyFont="1" applyFill="1" applyBorder="1" applyAlignment="1" applyProtection="1">
      <alignment horizontal="center" vertical="top" wrapText="1"/>
    </xf>
    <xf numFmtId="166" fontId="44" fillId="0" borderId="0" xfId="1" applyNumberFormat="1" applyFont="1" applyAlignment="1">
      <alignment horizontal="center" vertical="top"/>
    </xf>
    <xf numFmtId="168" fontId="41" fillId="0" borderId="32" xfId="0" applyNumberFormat="1" applyFont="1" applyBorder="1" applyAlignment="1" applyProtection="1">
      <alignment vertical="top" wrapText="1"/>
    </xf>
    <xf numFmtId="168" fontId="24" fillId="0" borderId="0" xfId="0" applyNumberFormat="1" applyFont="1" applyAlignment="1">
      <alignment vertical="top"/>
    </xf>
    <xf numFmtId="166" fontId="40" fillId="0" borderId="0" xfId="1" applyNumberFormat="1" applyFont="1" applyAlignment="1" applyProtection="1">
      <alignment horizontal="center" vertical="top" wrapText="1"/>
    </xf>
    <xf numFmtId="168" fontId="40" fillId="0" borderId="27" xfId="0" applyNumberFormat="1" applyFont="1" applyBorder="1" applyAlignment="1" applyProtection="1">
      <alignment vertical="top"/>
    </xf>
    <xf numFmtId="169" fontId="41" fillId="0" borderId="13" xfId="1" applyNumberFormat="1" applyFont="1" applyBorder="1" applyAlignment="1" applyProtection="1">
      <alignment horizontal="right" vertical="top" wrapText="1"/>
    </xf>
    <xf numFmtId="168" fontId="41" fillId="0" borderId="13" xfId="0" applyNumberFormat="1" applyFont="1" applyBorder="1" applyAlignment="1" applyProtection="1">
      <alignment vertical="center" wrapText="1"/>
    </xf>
    <xf numFmtId="168" fontId="41" fillId="0" borderId="39" xfId="0" applyNumberFormat="1" applyFont="1" applyBorder="1" applyAlignment="1" applyProtection="1">
      <alignment horizontal="left" vertical="top"/>
    </xf>
    <xf numFmtId="168" fontId="41" fillId="0" borderId="23" xfId="0" applyNumberFormat="1" applyFont="1" applyBorder="1" applyAlignment="1" applyProtection="1">
      <alignment vertical="top" wrapText="1"/>
    </xf>
    <xf numFmtId="166" fontId="41" fillId="0" borderId="23" xfId="1" applyNumberFormat="1" applyFont="1" applyBorder="1" applyAlignment="1" applyProtection="1">
      <alignment horizontal="center" vertical="top" wrapText="1"/>
    </xf>
    <xf numFmtId="168" fontId="41" fillId="0" borderId="26" xfId="0" applyNumberFormat="1" applyFont="1" applyBorder="1" applyAlignment="1" applyProtection="1">
      <alignment horizontal="left" vertical="top"/>
    </xf>
    <xf numFmtId="168" fontId="41" fillId="0" borderId="26" xfId="0" applyNumberFormat="1" applyFont="1" applyBorder="1" applyAlignment="1" applyProtection="1">
      <alignment vertical="top" wrapText="1"/>
    </xf>
    <xf numFmtId="166" fontId="41" fillId="0" borderId="26" xfId="1" applyNumberFormat="1" applyFont="1" applyBorder="1" applyAlignment="1" applyProtection="1">
      <alignment horizontal="center" vertical="top" wrapText="1"/>
    </xf>
    <xf numFmtId="168" fontId="40" fillId="4" borderId="4" xfId="0" applyNumberFormat="1" applyFont="1" applyFill="1" applyBorder="1" applyAlignment="1" applyProtection="1">
      <alignment horizontal="left" vertical="top"/>
    </xf>
    <xf numFmtId="3" fontId="43" fillId="0" borderId="13" xfId="1" applyNumberFormat="1" applyFont="1" applyBorder="1" applyAlignment="1" applyProtection="1">
      <alignment horizontal="center" vertical="top" wrapText="1"/>
    </xf>
    <xf numFmtId="166" fontId="41" fillId="0" borderId="13" xfId="2" applyNumberFormat="1" applyFont="1" applyBorder="1" applyAlignment="1" applyProtection="1">
      <alignment horizontal="center" vertical="top" wrapText="1"/>
    </xf>
    <xf numFmtId="166" fontId="40" fillId="0" borderId="4" xfId="1" applyNumberFormat="1" applyFont="1" applyBorder="1" applyAlignment="1" applyProtection="1">
      <alignment horizontal="center" vertical="top" wrapText="1"/>
    </xf>
    <xf numFmtId="168" fontId="40" fillId="0" borderId="5" xfId="0" applyNumberFormat="1" applyFont="1" applyBorder="1" applyAlignment="1" applyProtection="1">
      <alignment vertical="top" wrapText="1"/>
    </xf>
    <xf numFmtId="166" fontId="41" fillId="13" borderId="13" xfId="1" applyNumberFormat="1" applyFont="1" applyFill="1" applyBorder="1" applyAlignment="1" applyProtection="1">
      <alignment horizontal="center" vertical="top" wrapText="1"/>
    </xf>
    <xf numFmtId="168" fontId="44" fillId="0" borderId="0" xfId="0" applyNumberFormat="1" applyFont="1" applyAlignment="1">
      <alignment vertical="top" wrapText="1"/>
    </xf>
    <xf numFmtId="168" fontId="44" fillId="0" borderId="0" xfId="0" applyNumberFormat="1" applyFont="1" applyAlignment="1">
      <alignment vertical="top"/>
    </xf>
    <xf numFmtId="0" fontId="95" fillId="0" borderId="0" xfId="0" applyFont="1" applyAlignment="1">
      <alignment vertical="top" wrapText="1"/>
    </xf>
    <xf numFmtId="168" fontId="40" fillId="0" borderId="0" xfId="0" applyNumberFormat="1" applyFont="1" applyAlignment="1" applyProtection="1">
      <alignment vertical="top"/>
    </xf>
    <xf numFmtId="3" fontId="43" fillId="0" borderId="13" xfId="1" applyNumberFormat="1" applyFont="1" applyBorder="1" applyAlignment="1" applyProtection="1">
      <alignment horizontal="left" vertical="top"/>
    </xf>
    <xf numFmtId="168" fontId="41" fillId="0" borderId="0" xfId="0" applyNumberFormat="1" applyFont="1" applyBorder="1" applyAlignment="1" applyProtection="1">
      <alignment vertical="top" wrapText="1"/>
    </xf>
    <xf numFmtId="168" fontId="43" fillId="0" borderId="0" xfId="0" applyNumberFormat="1" applyFont="1" applyBorder="1" applyAlignment="1" applyProtection="1">
      <alignment vertical="top" wrapText="1"/>
    </xf>
    <xf numFmtId="168" fontId="41" fillId="0" borderId="0" xfId="0" applyNumberFormat="1" applyFont="1" applyBorder="1" applyAlignment="1" applyProtection="1">
      <alignment horizontal="left" vertical="top"/>
    </xf>
    <xf numFmtId="37" fontId="40" fillId="4" borderId="4" xfId="0" applyNumberFormat="1" applyFont="1" applyFill="1" applyBorder="1" applyAlignment="1" applyProtection="1">
      <alignment horizontal="left" vertical="top" wrapText="1"/>
    </xf>
    <xf numFmtId="168" fontId="40" fillId="0" borderId="4" xfId="0" applyNumberFormat="1" applyFont="1" applyBorder="1" applyAlignment="1" applyProtection="1">
      <alignment vertical="top" wrapText="1"/>
    </xf>
    <xf numFmtId="3" fontId="43" fillId="0" borderId="13" xfId="1" applyNumberFormat="1" applyFont="1" applyBorder="1" applyAlignment="1" applyProtection="1">
      <alignment vertical="top" wrapText="1"/>
    </xf>
    <xf numFmtId="166" fontId="96" fillId="13" borderId="6" xfId="1" applyNumberFormat="1" applyFont="1" applyFill="1" applyBorder="1" applyAlignment="1" applyProtection="1">
      <alignment horizontal="center" vertical="top" wrapText="1"/>
    </xf>
    <xf numFmtId="166" fontId="42" fillId="0" borderId="13" xfId="1" quotePrefix="1" applyNumberFormat="1" applyFont="1" applyBorder="1" applyAlignment="1" applyProtection="1">
      <alignment horizontal="center" vertical="top" wrapText="1"/>
    </xf>
    <xf numFmtId="168" fontId="40" fillId="0" borderId="13" xfId="0" applyNumberFormat="1" applyFont="1" applyBorder="1" applyAlignment="1" applyProtection="1">
      <alignment vertical="top"/>
    </xf>
    <xf numFmtId="166" fontId="41" fillId="0" borderId="13" xfId="1" applyNumberFormat="1" applyFont="1" applyBorder="1" applyAlignment="1" applyProtection="1">
      <alignment horizontal="center" vertical="top"/>
    </xf>
    <xf numFmtId="168" fontId="40" fillId="4" borderId="40" xfId="0" applyNumberFormat="1" applyFont="1" applyFill="1" applyBorder="1" applyAlignment="1" applyProtection="1">
      <alignment horizontal="left" vertical="top" wrapText="1"/>
    </xf>
    <xf numFmtId="168" fontId="41" fillId="0" borderId="13" xfId="0" applyNumberFormat="1" applyFont="1" applyBorder="1" applyAlignment="1" applyProtection="1">
      <alignment horizontal="left" vertical="center"/>
    </xf>
    <xf numFmtId="168" fontId="24" fillId="0" borderId="0" xfId="0" applyNumberFormat="1" applyFont="1" applyAlignment="1">
      <alignment vertical="top" wrapText="1"/>
    </xf>
    <xf numFmtId="168" fontId="40" fillId="4" borderId="2" xfId="0" applyNumberFormat="1" applyFont="1" applyFill="1" applyBorder="1" applyAlignment="1" applyProtection="1">
      <alignment horizontal="left" vertical="top" wrapText="1"/>
    </xf>
    <xf numFmtId="168" fontId="40" fillId="0" borderId="2" xfId="0" applyNumberFormat="1" applyFont="1" applyBorder="1" applyAlignment="1" applyProtection="1">
      <alignment vertical="top" wrapText="1"/>
    </xf>
    <xf numFmtId="166" fontId="40" fillId="0" borderId="2" xfId="1" applyNumberFormat="1" applyFont="1" applyBorder="1" applyAlignment="1" applyProtection="1">
      <alignment horizontal="center" vertical="top" wrapText="1"/>
    </xf>
    <xf numFmtId="168" fontId="41" fillId="0" borderId="13" xfId="0" applyNumberFormat="1" applyFont="1" applyBorder="1" applyAlignment="1" applyProtection="1">
      <alignment vertical="top"/>
    </xf>
    <xf numFmtId="166" fontId="41" fillId="0" borderId="37" xfId="1" applyNumberFormat="1" applyFont="1" applyBorder="1" applyAlignment="1" applyProtection="1">
      <alignment horizontal="center" vertical="top" wrapText="1"/>
    </xf>
    <xf numFmtId="168" fontId="24" fillId="0" borderId="23" xfId="0" applyNumberFormat="1" applyFont="1" applyBorder="1" applyAlignment="1">
      <alignment vertical="top"/>
    </xf>
    <xf numFmtId="166" fontId="24" fillId="0" borderId="23" xfId="1" applyNumberFormat="1" applyFont="1" applyBorder="1" applyAlignment="1">
      <alignment vertical="top"/>
    </xf>
    <xf numFmtId="168" fontId="41" fillId="0" borderId="23" xfId="0" applyNumberFormat="1" applyFont="1" applyBorder="1" applyAlignment="1" applyProtection="1">
      <alignment horizontal="left" vertical="top"/>
    </xf>
    <xf numFmtId="168" fontId="41" fillId="0" borderId="39" xfId="0" applyNumberFormat="1" applyFont="1" applyBorder="1" applyAlignment="1" applyProtection="1">
      <alignment vertical="top" wrapText="1"/>
    </xf>
    <xf numFmtId="168" fontId="41" fillId="0" borderId="17" xfId="0" applyNumberFormat="1" applyFont="1" applyBorder="1" applyAlignment="1" applyProtection="1">
      <alignment horizontal="left" vertical="top"/>
    </xf>
    <xf numFmtId="168" fontId="41" fillId="0" borderId="17" xfId="0" applyNumberFormat="1" applyFont="1" applyBorder="1" applyAlignment="1" applyProtection="1">
      <alignment vertical="top" wrapText="1"/>
    </xf>
    <xf numFmtId="166" fontId="41" fillId="0" borderId="41" xfId="1" applyNumberFormat="1" applyFont="1" applyBorder="1" applyAlignment="1" applyProtection="1">
      <alignment horizontal="center" vertical="top" wrapText="1"/>
    </xf>
    <xf numFmtId="166" fontId="41" fillId="0" borderId="17" xfId="1" applyNumberFormat="1" applyFont="1" applyBorder="1" applyAlignment="1" applyProtection="1">
      <alignment horizontal="center" vertical="top" wrapText="1"/>
    </xf>
    <xf numFmtId="168" fontId="41" fillId="0" borderId="42" xfId="0" applyNumberFormat="1" applyFont="1" applyBorder="1" applyAlignment="1" applyProtection="1">
      <alignment vertical="top" wrapText="1"/>
    </xf>
    <xf numFmtId="0" fontId="41" fillId="0" borderId="0" xfId="0" applyFont="1" applyAlignment="1">
      <alignment vertical="top"/>
    </xf>
    <xf numFmtId="168" fontId="44" fillId="0" borderId="26" xfId="0" applyNumberFormat="1" applyFont="1" applyBorder="1" applyAlignment="1">
      <alignment vertical="top"/>
    </xf>
    <xf numFmtId="166" fontId="44" fillId="0" borderId="26" xfId="1" applyNumberFormat="1" applyFont="1" applyBorder="1" applyAlignment="1">
      <alignment horizontal="center" vertical="top"/>
    </xf>
    <xf numFmtId="168" fontId="44" fillId="0" borderId="26" xfId="0" applyNumberFormat="1" applyFont="1" applyBorder="1" applyAlignment="1">
      <alignment vertical="top" wrapText="1"/>
    </xf>
    <xf numFmtId="166" fontId="44" fillId="0" borderId="13" xfId="1" applyNumberFormat="1" applyFont="1" applyBorder="1" applyAlignment="1">
      <alignment horizontal="center" vertical="top"/>
    </xf>
    <xf numFmtId="168" fontId="40" fillId="0" borderId="0" xfId="0" applyNumberFormat="1" applyFont="1" applyBorder="1" applyAlignment="1" applyProtection="1">
      <alignment vertical="top" wrapText="1"/>
    </xf>
    <xf numFmtId="168" fontId="40" fillId="4" borderId="43" xfId="0" applyNumberFormat="1" applyFont="1" applyFill="1" applyBorder="1" applyAlignment="1" applyProtection="1">
      <alignment horizontal="left" vertical="top"/>
    </xf>
    <xf numFmtId="168" fontId="40" fillId="4" borderId="37" xfId="0" applyNumberFormat="1" applyFont="1" applyFill="1" applyBorder="1" applyAlignment="1" applyProtection="1">
      <alignment vertical="top" wrapText="1"/>
    </xf>
    <xf numFmtId="168" fontId="40" fillId="4" borderId="37" xfId="0" applyNumberFormat="1" applyFont="1" applyFill="1" applyBorder="1" applyAlignment="1" applyProtection="1">
      <alignment horizontal="center" vertical="top" wrapText="1"/>
    </xf>
    <xf numFmtId="168" fontId="41" fillId="4" borderId="43" xfId="0" applyNumberFormat="1" applyFont="1" applyFill="1" applyBorder="1" applyAlignment="1" applyProtection="1">
      <alignment horizontal="left" vertical="top"/>
    </xf>
    <xf numFmtId="166" fontId="41" fillId="0" borderId="6" xfId="1" quotePrefix="1" applyNumberFormat="1" applyFont="1" applyBorder="1" applyAlignment="1" applyProtection="1">
      <alignment horizontal="center" vertical="top" wrapText="1"/>
    </xf>
    <xf numFmtId="170" fontId="41" fillId="0" borderId="0" xfId="0" applyNumberFormat="1" applyFont="1" applyBorder="1" applyAlignment="1" applyProtection="1">
      <alignment vertical="top" wrapText="1"/>
    </xf>
    <xf numFmtId="166" fontId="44" fillId="13" borderId="13" xfId="1" applyNumberFormat="1" applyFont="1" applyFill="1" applyBorder="1" applyAlignment="1" applyProtection="1">
      <alignment horizontal="center" vertical="top" wrapText="1"/>
    </xf>
    <xf numFmtId="168" fontId="45" fillId="0" borderId="13" xfId="0" applyNumberFormat="1" applyFont="1" applyBorder="1" applyAlignment="1" applyProtection="1">
      <alignment vertical="top" wrapText="1"/>
    </xf>
    <xf numFmtId="168" fontId="12" fillId="0" borderId="27" xfId="0" applyNumberFormat="1" applyFont="1" applyBorder="1" applyAlignment="1" applyProtection="1">
      <alignment horizontal="left" vertical="top"/>
    </xf>
    <xf numFmtId="168" fontId="40" fillId="4" borderId="44" xfId="0" applyNumberFormat="1" applyFont="1" applyFill="1" applyBorder="1" applyAlignment="1" applyProtection="1">
      <alignment horizontal="left" vertical="top" wrapText="1"/>
    </xf>
    <xf numFmtId="168" fontId="40" fillId="4" borderId="8" xfId="0" applyNumberFormat="1" applyFont="1" applyFill="1" applyBorder="1" applyAlignment="1" applyProtection="1">
      <alignment vertical="top" wrapText="1"/>
    </xf>
    <xf numFmtId="168" fontId="40" fillId="4" borderId="45" xfId="0" applyNumberFormat="1" applyFont="1" applyFill="1" applyBorder="1" applyAlignment="1" applyProtection="1">
      <alignment vertical="top" wrapText="1"/>
    </xf>
    <xf numFmtId="166" fontId="40" fillId="4" borderId="46" xfId="1" applyNumberFormat="1" applyFont="1" applyFill="1" applyBorder="1" applyAlignment="1" applyProtection="1">
      <alignment horizontal="center" vertical="top" wrapText="1"/>
    </xf>
    <xf numFmtId="168" fontId="40" fillId="4" borderId="47" xfId="0" applyNumberFormat="1" applyFont="1" applyFill="1" applyBorder="1" applyAlignment="1" applyProtection="1">
      <alignment vertical="top" wrapText="1"/>
    </xf>
    <xf numFmtId="168" fontId="41" fillId="0" borderId="0" xfId="0" applyNumberFormat="1" applyFont="1" applyAlignment="1" applyProtection="1">
      <alignment horizontal="left" vertical="top"/>
    </xf>
    <xf numFmtId="0" fontId="18" fillId="0" borderId="0" xfId="0" applyFont="1" applyBorder="1" applyAlignment="1">
      <alignment wrapText="1"/>
    </xf>
    <xf numFmtId="165" fontId="18" fillId="0" borderId="0" xfId="1" applyNumberFormat="1" applyFont="1" applyBorder="1"/>
    <xf numFmtId="169" fontId="41" fillId="0" borderId="0" xfId="1" applyNumberFormat="1" applyFont="1" applyAlignment="1" applyProtection="1">
      <alignment vertical="top" wrapText="1"/>
    </xf>
    <xf numFmtId="166" fontId="1" fillId="0" borderId="0" xfId="1" applyNumberFormat="1" applyFont="1" applyAlignment="1">
      <alignment wrapText="1"/>
    </xf>
    <xf numFmtId="0" fontId="1" fillId="0" borderId="2" xfId="0" applyFont="1" applyBorder="1" applyAlignment="1">
      <alignment horizontal="right"/>
    </xf>
    <xf numFmtId="43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 wrapText="1"/>
    </xf>
    <xf numFmtId="166" fontId="1" fillId="0" borderId="2" xfId="1" applyNumberFormat="1" applyFont="1" applyBorder="1" applyAlignment="1">
      <alignment vertical="center" wrapText="1"/>
    </xf>
    <xf numFmtId="164" fontId="1" fillId="0" borderId="2" xfId="1" applyNumberFormat="1" applyFont="1" applyBorder="1" applyAlignment="1">
      <alignment vertical="center" wrapText="1"/>
    </xf>
    <xf numFmtId="166" fontId="1" fillId="0" borderId="28" xfId="1" applyNumberFormat="1" applyFont="1" applyBorder="1" applyAlignment="1">
      <alignment vertical="center" wrapText="1"/>
    </xf>
    <xf numFmtId="166" fontId="1" fillId="0" borderId="0" xfId="1" applyNumberFormat="1" applyFont="1" applyAlignment="1">
      <alignment vertical="center" wrapText="1"/>
    </xf>
    <xf numFmtId="9" fontId="1" fillId="0" borderId="0" xfId="3" applyFont="1" applyAlignment="1">
      <alignment vertical="center" wrapText="1"/>
    </xf>
    <xf numFmtId="164" fontId="1" fillId="0" borderId="0" xfId="1" applyFont="1" applyAlignment="1">
      <alignment vertical="center" wrapText="1"/>
    </xf>
    <xf numFmtId="164" fontId="1" fillId="0" borderId="2" xfId="1" applyFont="1" applyBorder="1" applyAlignment="1">
      <alignment vertical="center" wrapText="1"/>
    </xf>
    <xf numFmtId="166" fontId="1" fillId="0" borderId="14" xfId="1" applyNumberFormat="1" applyFont="1" applyBorder="1" applyAlignment="1">
      <alignment vertical="center" wrapText="1"/>
    </xf>
    <xf numFmtId="164" fontId="1" fillId="0" borderId="2" xfId="1" applyFont="1" applyBorder="1" applyAlignment="1">
      <alignment horizontal="center" vertical="center" wrapText="1"/>
    </xf>
    <xf numFmtId="164" fontId="1" fillId="0" borderId="11" xfId="1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164" fontId="1" fillId="0" borderId="20" xfId="1" applyFont="1" applyBorder="1" applyAlignment="1">
      <alignment vertical="center" wrapText="1"/>
    </xf>
    <xf numFmtId="164" fontId="1" fillId="0" borderId="48" xfId="1" applyFont="1" applyBorder="1" applyAlignment="1">
      <alignment vertical="center" wrapText="1"/>
    </xf>
    <xf numFmtId="164" fontId="1" fillId="0" borderId="0" xfId="0" applyNumberFormat="1" applyFont="1" applyAlignment="1">
      <alignment vertical="center" wrapText="1"/>
    </xf>
    <xf numFmtId="168" fontId="1" fillId="0" borderId="0" xfId="0" applyNumberFormat="1" applyFont="1" applyAlignment="1" applyProtection="1">
      <alignment vertical="top" wrapText="1"/>
    </xf>
    <xf numFmtId="168" fontId="49" fillId="0" borderId="0" xfId="0" applyNumberFormat="1" applyFont="1" applyAlignment="1" applyProtection="1">
      <alignment horizontal="left" vertical="top"/>
    </xf>
    <xf numFmtId="169" fontId="1" fillId="0" borderId="0" xfId="1" applyNumberFormat="1" applyFont="1" applyAlignment="1" applyProtection="1">
      <alignment vertical="top" wrapText="1"/>
    </xf>
    <xf numFmtId="0" fontId="97" fillId="0" borderId="0" xfId="0" applyFont="1"/>
    <xf numFmtId="170" fontId="1" fillId="7" borderId="5" xfId="0" applyNumberFormat="1" applyFont="1" applyFill="1" applyBorder="1" applyAlignment="1" applyProtection="1">
      <alignment horizontal="center" vertical="top" wrapText="1"/>
    </xf>
    <xf numFmtId="168" fontId="1" fillId="7" borderId="13" xfId="0" applyNumberFormat="1" applyFont="1" applyFill="1" applyBorder="1" applyAlignment="1" applyProtection="1">
      <alignment horizontal="center" vertical="top" wrapText="1"/>
    </xf>
    <xf numFmtId="169" fontId="1" fillId="7" borderId="5" xfId="1" applyNumberFormat="1" applyFont="1" applyFill="1" applyBorder="1" applyAlignment="1" applyProtection="1">
      <alignment horizontal="center" vertical="top" wrapText="1"/>
    </xf>
    <xf numFmtId="169" fontId="1" fillId="7" borderId="13" xfId="1" applyNumberFormat="1" applyFont="1" applyFill="1" applyBorder="1" applyAlignment="1" applyProtection="1">
      <alignment horizontal="center" vertical="top" wrapText="1"/>
    </xf>
    <xf numFmtId="168" fontId="1" fillId="0" borderId="4" xfId="0" applyNumberFormat="1" applyFont="1" applyBorder="1" applyAlignment="1" applyProtection="1">
      <alignment horizontal="right" vertical="top" wrapText="1"/>
    </xf>
    <xf numFmtId="168" fontId="1" fillId="0" borderId="4" xfId="0" applyNumberFormat="1" applyFont="1" applyBorder="1" applyAlignment="1" applyProtection="1">
      <alignment vertical="top" wrapText="1"/>
    </xf>
    <xf numFmtId="169" fontId="1" fillId="0" borderId="4" xfId="1" applyNumberFormat="1" applyFont="1" applyBorder="1" applyAlignment="1" applyProtection="1">
      <alignment vertical="top" wrapText="1"/>
    </xf>
    <xf numFmtId="169" fontId="1" fillId="0" borderId="4" xfId="1" applyNumberFormat="1" applyFont="1" applyFill="1" applyBorder="1" applyAlignment="1" applyProtection="1">
      <alignment vertical="top" wrapText="1"/>
    </xf>
    <xf numFmtId="169" fontId="51" fillId="0" borderId="4" xfId="1" applyNumberFormat="1" applyFont="1" applyBorder="1" applyAlignment="1" applyProtection="1">
      <alignment vertical="top" wrapText="1"/>
    </xf>
    <xf numFmtId="169" fontId="1" fillId="0" borderId="4" xfId="1" applyNumberFormat="1" applyFont="1" applyBorder="1" applyAlignment="1" applyProtection="1">
      <alignment horizontal="right" vertical="top" wrapText="1"/>
    </xf>
    <xf numFmtId="168" fontId="1" fillId="0" borderId="4" xfId="0" applyNumberFormat="1" applyFont="1" applyBorder="1" applyAlignment="1" applyProtection="1">
      <alignment horizontal="left" vertical="top" wrapText="1"/>
    </xf>
    <xf numFmtId="168" fontId="28" fillId="0" borderId="4" xfId="0" applyNumberFormat="1" applyFont="1" applyBorder="1" applyAlignment="1" applyProtection="1">
      <alignment vertical="top" wrapText="1"/>
    </xf>
    <xf numFmtId="169" fontId="28" fillId="0" borderId="4" xfId="1" applyNumberFormat="1" applyFont="1" applyBorder="1" applyAlignment="1" applyProtection="1">
      <alignment horizontal="right" vertical="top" wrapText="1"/>
    </xf>
    <xf numFmtId="168" fontId="1" fillId="2" borderId="4" xfId="0" applyNumberFormat="1" applyFont="1" applyFill="1" applyBorder="1" applyAlignment="1" applyProtection="1">
      <alignment vertical="top" wrapText="1"/>
    </xf>
    <xf numFmtId="169" fontId="51" fillId="2" borderId="4" xfId="1" applyNumberFormat="1" applyFont="1" applyFill="1" applyBorder="1" applyAlignment="1">
      <alignment vertical="top" wrapText="1"/>
    </xf>
    <xf numFmtId="169" fontId="8" fillId="0" borderId="4" xfId="1" applyNumberFormat="1" applyFont="1" applyBorder="1" applyAlignment="1" applyProtection="1">
      <alignment vertical="top" wrapText="1"/>
    </xf>
    <xf numFmtId="169" fontId="51" fillId="0" borderId="4" xfId="1" applyNumberFormat="1" applyFont="1" applyBorder="1" applyAlignment="1">
      <alignment vertical="top" wrapText="1"/>
    </xf>
    <xf numFmtId="168" fontId="1" fillId="3" borderId="4" xfId="0" applyNumberFormat="1" applyFont="1" applyFill="1" applyBorder="1" applyAlignment="1" applyProtection="1">
      <alignment vertical="top" wrapText="1"/>
    </xf>
    <xf numFmtId="168" fontId="1" fillId="6" borderId="4" xfId="0" applyNumberFormat="1" applyFont="1" applyFill="1" applyBorder="1" applyAlignment="1" applyProtection="1">
      <alignment vertical="top" wrapText="1"/>
    </xf>
    <xf numFmtId="169" fontId="1" fillId="6" borderId="4" xfId="1" applyNumberFormat="1" applyFont="1" applyFill="1" applyBorder="1" applyAlignment="1" applyProtection="1">
      <alignment vertical="top" wrapText="1"/>
    </xf>
    <xf numFmtId="169" fontId="51" fillId="6" borderId="4" xfId="1" applyNumberFormat="1" applyFont="1" applyFill="1" applyBorder="1" applyAlignment="1" applyProtection="1">
      <alignment vertical="top" wrapText="1"/>
    </xf>
    <xf numFmtId="164" fontId="52" fillId="0" borderId="0" xfId="1" applyFont="1"/>
    <xf numFmtId="166" fontId="52" fillId="0" borderId="0" xfId="1" applyNumberFormat="1" applyFont="1"/>
    <xf numFmtId="169" fontId="97" fillId="0" borderId="0" xfId="0" applyNumberFormat="1" applyFont="1"/>
    <xf numFmtId="169" fontId="53" fillId="0" borderId="0" xfId="0" applyNumberFormat="1" applyFont="1"/>
    <xf numFmtId="166" fontId="54" fillId="0" borderId="0" xfId="1" applyNumberFormat="1" applyFont="1" applyAlignment="1">
      <alignment vertical="top"/>
    </xf>
    <xf numFmtId="0" fontId="97" fillId="0" borderId="0" xfId="0" applyFont="1" applyAlignment="1">
      <alignment vertical="top" wrapText="1"/>
    </xf>
    <xf numFmtId="0" fontId="55" fillId="0" borderId="0" xfId="0" applyFont="1" applyAlignment="1" applyProtection="1">
      <alignment vertical="top" wrapText="1"/>
    </xf>
    <xf numFmtId="0" fontId="8" fillId="0" borderId="0" xfId="0" applyFont="1" applyAlignment="1" applyProtection="1">
      <alignment vertical="top" wrapText="1"/>
    </xf>
    <xf numFmtId="0" fontId="1" fillId="4" borderId="49" xfId="0" applyFont="1" applyFill="1" applyBorder="1" applyAlignment="1" applyProtection="1">
      <alignment horizontal="center" vertical="top" wrapText="1"/>
    </xf>
    <xf numFmtId="0" fontId="1" fillId="4" borderId="50" xfId="0" applyFont="1" applyFill="1" applyBorder="1" applyAlignment="1" applyProtection="1">
      <alignment horizontal="center" vertical="top" wrapText="1"/>
    </xf>
    <xf numFmtId="0" fontId="1" fillId="4" borderId="51" xfId="0" applyFont="1" applyFill="1" applyBorder="1" applyAlignment="1" applyProtection="1">
      <alignment horizontal="center" vertical="top" wrapText="1"/>
    </xf>
    <xf numFmtId="0" fontId="1" fillId="4" borderId="52" xfId="0" applyFont="1" applyFill="1" applyBorder="1" applyAlignment="1" applyProtection="1">
      <alignment horizontal="center" vertical="top" wrapText="1"/>
    </xf>
    <xf numFmtId="0" fontId="1" fillId="4" borderId="6" xfId="0" applyFont="1" applyFill="1" applyBorder="1" applyAlignment="1" applyProtection="1">
      <alignment horizontal="center" vertical="top" wrapText="1"/>
    </xf>
    <xf numFmtId="0" fontId="1" fillId="4" borderId="53" xfId="0" applyFont="1" applyFill="1" applyBorder="1" applyAlignment="1" applyProtection="1">
      <alignment horizontal="center" vertical="top" wrapText="1"/>
    </xf>
    <xf numFmtId="0" fontId="1" fillId="0" borderId="54" xfId="0" applyFont="1" applyBorder="1" applyAlignment="1" applyProtection="1">
      <alignment vertical="top" wrapText="1"/>
    </xf>
    <xf numFmtId="0" fontId="28" fillId="0" borderId="4" xfId="0" applyFont="1" applyBorder="1" applyAlignment="1" applyProtection="1">
      <alignment vertical="top" wrapText="1"/>
    </xf>
    <xf numFmtId="169" fontId="28" fillId="0" borderId="4" xfId="1" applyNumberFormat="1" applyFont="1" applyBorder="1" applyAlignment="1" applyProtection="1">
      <alignment horizontal="center" vertical="top" wrapText="1"/>
    </xf>
    <xf numFmtId="169" fontId="56" fillId="0" borderId="4" xfId="1" applyNumberFormat="1" applyFont="1" applyBorder="1" applyAlignment="1" applyProtection="1">
      <alignment vertical="top" wrapText="1"/>
    </xf>
    <xf numFmtId="169" fontId="28" fillId="0" borderId="4" xfId="1" applyNumberFormat="1" applyFont="1" applyBorder="1" applyAlignment="1" applyProtection="1">
      <alignment vertical="top" wrapText="1"/>
    </xf>
    <xf numFmtId="169" fontId="28" fillId="0" borderId="55" xfId="1" applyNumberFormat="1" applyFont="1" applyBorder="1" applyAlignment="1" applyProtection="1">
      <alignment vertical="top" wrapText="1"/>
    </xf>
    <xf numFmtId="0" fontId="28" fillId="0" borderId="5" xfId="0" applyFont="1" applyBorder="1" applyAlignment="1" applyProtection="1">
      <alignment vertical="top" wrapText="1"/>
    </xf>
    <xf numFmtId="169" fontId="56" fillId="0" borderId="5" xfId="1" applyNumberFormat="1" applyFont="1" applyBorder="1" applyAlignment="1" applyProtection="1">
      <alignment vertical="top" wrapText="1"/>
    </xf>
    <xf numFmtId="169" fontId="28" fillId="0" borderId="5" xfId="1" applyNumberFormat="1" applyFont="1" applyBorder="1" applyAlignment="1" applyProtection="1">
      <alignment horizontal="center" vertical="top" wrapText="1"/>
    </xf>
    <xf numFmtId="0" fontId="1" fillId="4" borderId="56" xfId="0" applyFont="1" applyFill="1" applyBorder="1" applyAlignment="1" applyProtection="1">
      <alignment vertical="top" wrapText="1"/>
    </xf>
    <xf numFmtId="0" fontId="1" fillId="4" borderId="57" xfId="0" applyFont="1" applyFill="1" applyBorder="1" applyAlignment="1" applyProtection="1">
      <alignment vertical="top" wrapText="1"/>
    </xf>
    <xf numFmtId="169" fontId="1" fillId="4" borderId="57" xfId="1" applyNumberFormat="1" applyFont="1" applyFill="1" applyBorder="1" applyAlignment="1" applyProtection="1">
      <alignment horizontal="center" vertical="top" wrapText="1"/>
    </xf>
    <xf numFmtId="168" fontId="1" fillId="0" borderId="0" xfId="0" applyNumberFormat="1" applyFont="1" applyProtection="1"/>
    <xf numFmtId="168" fontId="1" fillId="0" borderId="0" xfId="0" applyNumberFormat="1" applyFont="1" applyAlignment="1" applyProtection="1">
      <alignment horizontal="right"/>
    </xf>
    <xf numFmtId="168" fontId="3" fillId="4" borderId="5" xfId="0" applyNumberFormat="1" applyFont="1" applyFill="1" applyBorder="1" applyAlignment="1" applyProtection="1">
      <alignment horizontal="center"/>
    </xf>
    <xf numFmtId="168" fontId="3" fillId="4" borderId="12" xfId="0" applyNumberFormat="1" applyFont="1" applyFill="1" applyBorder="1" applyAlignment="1" applyProtection="1">
      <alignment horizontal="center"/>
    </xf>
    <xf numFmtId="168" fontId="3" fillId="4" borderId="13" xfId="0" applyNumberFormat="1" applyFont="1" applyFill="1" applyBorder="1" applyAlignment="1" applyProtection="1">
      <alignment horizontal="center"/>
    </xf>
    <xf numFmtId="168" fontId="3" fillId="4" borderId="7" xfId="0" applyNumberFormat="1" applyFont="1" applyFill="1" applyBorder="1" applyAlignment="1" applyProtection="1">
      <alignment horizontal="center"/>
    </xf>
    <xf numFmtId="168" fontId="3" fillId="4" borderId="6" xfId="0" applyNumberFormat="1" applyFont="1" applyFill="1" applyBorder="1" applyAlignment="1" applyProtection="1">
      <alignment horizontal="center"/>
    </xf>
    <xf numFmtId="168" fontId="3" fillId="4" borderId="9" xfId="0" applyNumberFormat="1" applyFont="1" applyFill="1" applyBorder="1" applyAlignment="1" applyProtection="1">
      <alignment horizontal="center"/>
    </xf>
    <xf numFmtId="168" fontId="23" fillId="0" borderId="4" xfId="0" applyNumberFormat="1" applyFont="1" applyBorder="1" applyProtection="1"/>
    <xf numFmtId="166" fontId="23" fillId="0" borderId="4" xfId="1" applyNumberFormat="1" applyFont="1" applyBorder="1" applyAlignment="1" applyProtection="1">
      <alignment horizontal="right"/>
    </xf>
    <xf numFmtId="166" fontId="23" fillId="0" borderId="4" xfId="1" applyNumberFormat="1" applyFont="1" applyBorder="1" applyAlignment="1" applyProtection="1">
      <alignment horizontal="right" vertical="top"/>
    </xf>
    <xf numFmtId="168" fontId="1" fillId="0" borderId="4" xfId="0" applyNumberFormat="1" applyFont="1" applyBorder="1" applyProtection="1"/>
    <xf numFmtId="168" fontId="1" fillId="4" borderId="4" xfId="0" applyNumberFormat="1" applyFont="1" applyFill="1" applyBorder="1" applyProtection="1"/>
    <xf numFmtId="166" fontId="1" fillId="4" borderId="4" xfId="1" applyNumberFormat="1" applyFont="1" applyFill="1" applyBorder="1" applyAlignment="1" applyProtection="1">
      <alignment horizontal="right"/>
    </xf>
    <xf numFmtId="168" fontId="23" fillId="0" borderId="4" xfId="0" applyNumberFormat="1" applyFont="1" applyBorder="1" applyAlignment="1" applyProtection="1"/>
    <xf numFmtId="166" fontId="23" fillId="0" borderId="0" xfId="1" applyNumberFormat="1" applyFont="1" applyAlignment="1"/>
    <xf numFmtId="164" fontId="23" fillId="0" borderId="4" xfId="1" applyNumberFormat="1" applyFont="1" applyBorder="1" applyAlignment="1" applyProtection="1">
      <alignment horizontal="right"/>
    </xf>
    <xf numFmtId="166" fontId="23" fillId="0" borderId="4" xfId="0" applyNumberFormat="1" applyFont="1" applyBorder="1" applyAlignment="1">
      <alignment horizontal="right"/>
    </xf>
    <xf numFmtId="164" fontId="23" fillId="0" borderId="4" xfId="1" applyNumberFormat="1" applyFont="1" applyBorder="1" applyAlignment="1" applyProtection="1">
      <alignment horizontal="right" vertical="top"/>
    </xf>
    <xf numFmtId="168" fontId="1" fillId="0" borderId="4" xfId="0" applyNumberFormat="1" applyFont="1" applyBorder="1" applyAlignment="1" applyProtection="1"/>
    <xf numFmtId="166" fontId="1" fillId="0" borderId="4" xfId="1" applyNumberFormat="1" applyFont="1" applyBorder="1" applyAlignment="1" applyProtection="1">
      <alignment horizontal="right"/>
    </xf>
    <xf numFmtId="168" fontId="1" fillId="4" borderId="4" xfId="0" applyNumberFormat="1" applyFont="1" applyFill="1" applyBorder="1" applyAlignment="1" applyProtection="1"/>
    <xf numFmtId="166" fontId="1" fillId="0" borderId="0" xfId="1" applyNumberFormat="1" applyFont="1" applyAlignment="1" applyProtection="1"/>
    <xf numFmtId="168" fontId="1" fillId="0" borderId="0" xfId="0" applyNumberFormat="1" applyFont="1" applyAlignment="1" applyProtection="1"/>
    <xf numFmtId="166" fontId="23" fillId="0" borderId="83" xfId="0" applyNumberFormat="1" applyFont="1" applyBorder="1" applyAlignment="1">
      <alignment horizontal="right"/>
    </xf>
    <xf numFmtId="166" fontId="23" fillId="0" borderId="0" xfId="0" applyNumberFormat="1" applyFont="1"/>
    <xf numFmtId="166" fontId="57" fillId="0" borderId="4" xfId="1" applyNumberFormat="1" applyFont="1" applyBorder="1" applyAlignment="1" applyProtection="1">
      <alignment horizontal="right"/>
    </xf>
    <xf numFmtId="166" fontId="56" fillId="0" borderId="4" xfId="1" applyNumberFormat="1" applyFont="1" applyBorder="1" applyAlignment="1" applyProtection="1">
      <alignment horizontal="right"/>
    </xf>
    <xf numFmtId="166" fontId="28" fillId="4" borderId="4" xfId="1" applyNumberFormat="1" applyFont="1" applyFill="1" applyBorder="1" applyAlignment="1" applyProtection="1">
      <alignment horizontal="right"/>
    </xf>
    <xf numFmtId="164" fontId="56" fillId="0" borderId="4" xfId="1" applyNumberFormat="1" applyFont="1" applyBorder="1" applyAlignment="1" applyProtection="1">
      <alignment horizontal="right" vertical="top"/>
    </xf>
    <xf numFmtId="169" fontId="23" fillId="0" borderId="4" xfId="1" applyNumberFormat="1" applyFont="1" applyBorder="1" applyAlignment="1" applyProtection="1">
      <alignment horizontal="right"/>
    </xf>
    <xf numFmtId="164" fontId="1" fillId="0" borderId="0" xfId="1" applyFont="1" applyAlignment="1" applyProtection="1">
      <alignment horizontal="right"/>
    </xf>
    <xf numFmtId="164" fontId="1" fillId="0" borderId="0" xfId="1" applyFont="1" applyAlignment="1" applyProtection="1"/>
    <xf numFmtId="164" fontId="23" fillId="0" borderId="0" xfId="1" applyFont="1" applyAlignment="1"/>
    <xf numFmtId="166" fontId="23" fillId="0" borderId="4" xfId="1" applyNumberFormat="1" applyFont="1" applyBorder="1" applyAlignment="1"/>
    <xf numFmtId="43" fontId="23" fillId="0" borderId="0" xfId="0" applyNumberFormat="1" applyFont="1" applyAlignment="1"/>
    <xf numFmtId="164" fontId="56" fillId="0" borderId="4" xfId="1" applyNumberFormat="1" applyFont="1" applyBorder="1" applyAlignment="1" applyProtection="1">
      <alignment horizontal="right"/>
    </xf>
    <xf numFmtId="0" fontId="23" fillId="0" borderId="6" xfId="0" applyFont="1" applyBorder="1" applyAlignment="1" applyProtection="1"/>
    <xf numFmtId="166" fontId="23" fillId="0" borderId="6" xfId="1" applyNumberFormat="1" applyFont="1" applyBorder="1" applyAlignment="1" applyProtection="1">
      <alignment horizontal="right"/>
    </xf>
    <xf numFmtId="37" fontId="23" fillId="0" borderId="6" xfId="0" applyNumberFormat="1" applyFont="1" applyBorder="1" applyAlignment="1" applyProtection="1">
      <alignment horizontal="right"/>
    </xf>
    <xf numFmtId="0" fontId="23" fillId="0" borderId="4" xfId="0" applyFont="1" applyBorder="1" applyAlignment="1" applyProtection="1">
      <alignment vertical="top"/>
    </xf>
    <xf numFmtId="0" fontId="1" fillId="0" borderId="4" xfId="0" applyFont="1" applyBorder="1" applyAlignment="1" applyProtection="1">
      <alignment vertical="top"/>
    </xf>
    <xf numFmtId="166" fontId="1" fillId="0" borderId="4" xfId="1" applyNumberFormat="1" applyFont="1" applyBorder="1" applyAlignment="1" applyProtection="1">
      <alignment horizontal="right" vertical="top"/>
    </xf>
    <xf numFmtId="0" fontId="1" fillId="4" borderId="4" xfId="0" applyFont="1" applyFill="1" applyBorder="1" applyAlignment="1" applyProtection="1"/>
    <xf numFmtId="166" fontId="23" fillId="0" borderId="0" xfId="0" applyNumberFormat="1" applyFont="1" applyAlignment="1"/>
    <xf numFmtId="166" fontId="23" fillId="0" borderId="84" xfId="0" applyNumberFormat="1" applyFont="1" applyBorder="1" applyAlignment="1">
      <alignment horizontal="right"/>
    </xf>
    <xf numFmtId="168" fontId="1" fillId="0" borderId="0" xfId="0" quotePrefix="1" applyNumberFormat="1" applyFont="1" applyAlignment="1" applyProtection="1">
      <alignment horizontal="right"/>
    </xf>
    <xf numFmtId="165" fontId="23" fillId="0" borderId="4" xfId="1" applyNumberFormat="1" applyFont="1" applyBorder="1" applyAlignment="1" applyProtection="1">
      <alignment horizontal="right"/>
    </xf>
    <xf numFmtId="169" fontId="23" fillId="0" borderId="83" xfId="0" applyNumberFormat="1" applyFont="1" applyBorder="1" applyAlignment="1">
      <alignment horizontal="right"/>
    </xf>
    <xf numFmtId="169" fontId="23" fillId="0" borderId="84" xfId="0" applyNumberFormat="1" applyFont="1" applyBorder="1" applyAlignment="1">
      <alignment horizontal="right"/>
    </xf>
    <xf numFmtId="168" fontId="23" fillId="0" borderId="4" xfId="0" applyNumberFormat="1" applyFont="1" applyBorder="1" applyAlignment="1" applyProtection="1">
      <alignment vertical="top" wrapText="1"/>
    </xf>
    <xf numFmtId="169" fontId="23" fillId="0" borderId="4" xfId="1" applyNumberFormat="1" applyFont="1" applyBorder="1" applyAlignment="1" applyProtection="1">
      <alignment horizontal="right" vertical="top" wrapText="1"/>
    </xf>
    <xf numFmtId="169" fontId="23" fillId="0" borderId="84" xfId="0" applyNumberFormat="1" applyFont="1" applyBorder="1" applyAlignment="1">
      <alignment horizontal="right" vertical="top" wrapText="1"/>
    </xf>
    <xf numFmtId="168" fontId="1" fillId="4" borderId="0" xfId="0" applyNumberFormat="1" applyFont="1" applyFill="1" applyBorder="1" applyAlignment="1" applyProtection="1"/>
    <xf numFmtId="166" fontId="1" fillId="4" borderId="0" xfId="1" applyNumberFormat="1" applyFont="1" applyFill="1" applyBorder="1" applyAlignment="1" applyProtection="1">
      <alignment horizontal="right"/>
    </xf>
    <xf numFmtId="169" fontId="23" fillId="0" borderId="4" xfId="1" applyNumberFormat="1" applyFont="1" applyBorder="1" applyAlignment="1" applyProtection="1">
      <alignment horizontal="right" wrapText="1"/>
    </xf>
    <xf numFmtId="166" fontId="58" fillId="0" borderId="28" xfId="1" applyNumberFormat="1" applyFont="1" applyBorder="1" applyAlignment="1">
      <alignment vertical="center" wrapText="1"/>
    </xf>
    <xf numFmtId="0" fontId="51" fillId="0" borderId="2" xfId="0" applyFont="1" applyBorder="1" applyAlignment="1">
      <alignment vertical="center" wrapText="1"/>
    </xf>
    <xf numFmtId="166" fontId="59" fillId="0" borderId="2" xfId="1" applyNumberFormat="1" applyFont="1" applyBorder="1" applyAlignment="1">
      <alignment vertical="center" wrapText="1"/>
    </xf>
    <xf numFmtId="166" fontId="59" fillId="0" borderId="28" xfId="1" applyNumberFormat="1" applyFont="1" applyBorder="1" applyAlignment="1">
      <alignment vertical="center" wrapText="1"/>
    </xf>
    <xf numFmtId="166" fontId="51" fillId="0" borderId="18" xfId="1" applyNumberFormat="1" applyFont="1" applyBorder="1" applyAlignment="1">
      <alignment vertical="center"/>
    </xf>
    <xf numFmtId="10" fontId="51" fillId="0" borderId="2" xfId="3" applyNumberFormat="1" applyFont="1" applyBorder="1" applyAlignment="1">
      <alignment vertical="center"/>
    </xf>
    <xf numFmtId="0" fontId="51" fillId="0" borderId="2" xfId="0" applyFont="1" applyBorder="1" applyAlignment="1">
      <alignment horizontal="center" vertical="center" wrapText="1"/>
    </xf>
    <xf numFmtId="166" fontId="60" fillId="0" borderId="2" xfId="1" applyNumberFormat="1" applyFont="1" applyBorder="1" applyAlignment="1">
      <alignment vertical="center" wrapText="1"/>
    </xf>
    <xf numFmtId="164" fontId="60" fillId="0" borderId="2" xfId="1" applyNumberFormat="1" applyFont="1" applyBorder="1" applyAlignment="1">
      <alignment vertical="center" wrapText="1"/>
    </xf>
    <xf numFmtId="166" fontId="60" fillId="0" borderId="28" xfId="1" applyNumberFormat="1" applyFont="1" applyBorder="1" applyAlignment="1">
      <alignment vertical="center" wrapText="1"/>
    </xf>
    <xf numFmtId="0" fontId="51" fillId="0" borderId="31" xfId="0" applyFont="1" applyBorder="1" applyAlignment="1">
      <alignment vertical="center" wrapText="1"/>
    </xf>
    <xf numFmtId="166" fontId="59" fillId="0" borderId="31" xfId="1" applyNumberFormat="1" applyFont="1" applyBorder="1" applyAlignment="1">
      <alignment vertical="center" wrapText="1"/>
    </xf>
    <xf numFmtId="164" fontId="59" fillId="0" borderId="31" xfId="1" applyNumberFormat="1" applyFont="1" applyBorder="1" applyAlignment="1">
      <alignment vertical="center" wrapText="1"/>
    </xf>
    <xf numFmtId="166" fontId="59" fillId="0" borderId="58" xfId="1" applyNumberFormat="1" applyFont="1" applyBorder="1" applyAlignment="1">
      <alignment vertical="center" wrapText="1"/>
    </xf>
    <xf numFmtId="164" fontId="61" fillId="0" borderId="0" xfId="0" applyNumberFormat="1" applyFont="1" applyAlignment="1">
      <alignment vertical="center"/>
    </xf>
    <xf numFmtId="0" fontId="51" fillId="0" borderId="11" xfId="0" applyFont="1" applyBorder="1" applyAlignment="1">
      <alignment vertical="center" wrapText="1"/>
    </xf>
    <xf numFmtId="166" fontId="51" fillId="0" borderId="11" xfId="1" applyNumberFormat="1" applyFont="1" applyBorder="1" applyAlignment="1">
      <alignment vertical="center" wrapText="1"/>
    </xf>
    <xf numFmtId="164" fontId="51" fillId="0" borderId="11" xfId="1" applyFont="1" applyBorder="1" applyAlignment="1">
      <alignment vertical="center" wrapText="1"/>
    </xf>
    <xf numFmtId="166" fontId="51" fillId="0" borderId="2" xfId="1" applyNumberFormat="1" applyFont="1" applyBorder="1" applyAlignment="1">
      <alignment vertical="center" wrapText="1"/>
    </xf>
    <xf numFmtId="166" fontId="54" fillId="0" borderId="0" xfId="1" applyNumberFormat="1" applyFont="1" applyAlignment="1">
      <alignment vertical="top" wrapText="1"/>
    </xf>
    <xf numFmtId="166" fontId="54" fillId="0" borderId="0" xfId="0" applyNumberFormat="1" applyFont="1" applyAlignment="1">
      <alignment vertical="top" wrapText="1"/>
    </xf>
    <xf numFmtId="166" fontId="98" fillId="0" borderId="0" xfId="1" applyNumberFormat="1" applyFont="1" applyBorder="1" applyAlignment="1">
      <alignment horizontal="center" wrapText="1"/>
    </xf>
    <xf numFmtId="166" fontId="24" fillId="0" borderId="18" xfId="1" applyNumberFormat="1" applyFont="1" applyFill="1" applyBorder="1" applyProtection="1"/>
    <xf numFmtId="166" fontId="24" fillId="0" borderId="0" xfId="1" applyNumberFormat="1" applyFont="1" applyFill="1" applyBorder="1" applyProtection="1"/>
    <xf numFmtId="0" fontId="97" fillId="0" borderId="0" xfId="0" applyFont="1" applyBorder="1" applyAlignment="1">
      <alignment horizontal="center" vertical="center" wrapText="1"/>
    </xf>
    <xf numFmtId="166" fontId="24" fillId="0" borderId="2" xfId="1" applyNumberFormat="1" applyFont="1" applyFill="1" applyBorder="1" applyProtection="1"/>
    <xf numFmtId="0" fontId="1" fillId="2" borderId="2" xfId="0" applyFont="1" applyFill="1" applyBorder="1"/>
    <xf numFmtId="166" fontId="1" fillId="2" borderId="14" xfId="1" applyNumberFormat="1" applyFont="1" applyFill="1" applyBorder="1"/>
    <xf numFmtId="164" fontId="1" fillId="2" borderId="14" xfId="1" applyFont="1" applyFill="1" applyBorder="1"/>
    <xf numFmtId="164" fontId="1" fillId="2" borderId="0" xfId="1" applyFont="1" applyFill="1" applyBorder="1"/>
    <xf numFmtId="166" fontId="1" fillId="0" borderId="10" xfId="1" applyNumberFormat="1" applyFont="1" applyBorder="1"/>
    <xf numFmtId="166" fontId="1" fillId="2" borderId="10" xfId="1" applyNumberFormat="1" applyFont="1" applyFill="1" applyBorder="1"/>
    <xf numFmtId="166" fontId="1" fillId="2" borderId="0" xfId="1" applyNumberFormat="1" applyFont="1" applyFill="1" applyBorder="1"/>
    <xf numFmtId="0" fontId="1" fillId="2" borderId="11" xfId="0" applyFont="1" applyFill="1" applyBorder="1"/>
    <xf numFmtId="166" fontId="1" fillId="2" borderId="59" xfId="1" applyNumberFormat="1" applyFont="1" applyFill="1" applyBorder="1"/>
    <xf numFmtId="168" fontId="3" fillId="0" borderId="0" xfId="0" applyNumberFormat="1" applyFont="1" applyProtection="1"/>
    <xf numFmtId="168" fontId="3" fillId="0" borderId="0" xfId="0" applyNumberFormat="1" applyFont="1" applyAlignment="1" applyProtection="1">
      <alignment horizontal="right"/>
    </xf>
    <xf numFmtId="166" fontId="3" fillId="0" borderId="0" xfId="1" applyNumberFormat="1" applyFont="1" applyProtection="1"/>
    <xf numFmtId="166" fontId="3" fillId="4" borderId="12" xfId="1" applyNumberFormat="1" applyFont="1" applyFill="1" applyBorder="1" applyAlignment="1" applyProtection="1">
      <alignment horizontal="center"/>
    </xf>
    <xf numFmtId="166" fontId="3" fillId="4" borderId="0" xfId="1" applyNumberFormat="1" applyFont="1" applyFill="1" applyBorder="1" applyAlignment="1" applyProtection="1">
      <alignment horizontal="center"/>
    </xf>
    <xf numFmtId="166" fontId="3" fillId="4" borderId="7" xfId="1" applyNumberFormat="1" applyFont="1" applyFill="1" applyBorder="1" applyAlignment="1" applyProtection="1">
      <alignment horizontal="center"/>
    </xf>
    <xf numFmtId="168" fontId="3" fillId="4" borderId="0" xfId="0" applyNumberFormat="1" applyFont="1" applyFill="1" applyBorder="1" applyAlignment="1" applyProtection="1">
      <alignment horizontal="center"/>
    </xf>
    <xf numFmtId="168" fontId="24" fillId="0" borderId="4" xfId="0" applyNumberFormat="1" applyFont="1" applyBorder="1" applyProtection="1"/>
    <xf numFmtId="166" fontId="24" fillId="0" borderId="4" xfId="1" applyNumberFormat="1" applyFont="1" applyBorder="1" applyAlignment="1" applyProtection="1">
      <alignment horizontal="right" vertical="top"/>
    </xf>
    <xf numFmtId="166" fontId="24" fillId="0" borderId="0" xfId="1" applyNumberFormat="1" applyFont="1" applyBorder="1" applyAlignment="1" applyProtection="1">
      <alignment horizontal="right" vertical="top"/>
    </xf>
    <xf numFmtId="168" fontId="24" fillId="0" borderId="4" xfId="0" applyNumberFormat="1" applyFont="1" applyBorder="1" applyAlignment="1" applyProtection="1">
      <alignment wrapText="1"/>
    </xf>
    <xf numFmtId="166" fontId="24" fillId="0" borderId="0" xfId="1" applyNumberFormat="1" applyFont="1" applyBorder="1" applyAlignment="1" applyProtection="1">
      <alignment horizontal="right"/>
    </xf>
    <xf numFmtId="168" fontId="36" fillId="0" borderId="4" xfId="0" applyNumberFormat="1" applyFont="1" applyBorder="1" applyAlignment="1" applyProtection="1">
      <alignment wrapText="1"/>
    </xf>
    <xf numFmtId="0" fontId="24" fillId="0" borderId="83" xfId="0" applyFont="1" applyBorder="1" applyAlignment="1">
      <alignment wrapText="1"/>
    </xf>
    <xf numFmtId="166" fontId="24" fillId="0" borderId="85" xfId="0" applyNumberFormat="1" applyFont="1" applyBorder="1" applyAlignment="1">
      <alignment horizontal="right"/>
    </xf>
    <xf numFmtId="168" fontId="3" fillId="4" borderId="4" xfId="0" applyNumberFormat="1" applyFont="1" applyFill="1" applyBorder="1" applyProtection="1"/>
    <xf numFmtId="166" fontId="3" fillId="4" borderId="4" xfId="1" applyNumberFormat="1" applyFont="1" applyFill="1" applyBorder="1" applyAlignment="1" applyProtection="1">
      <alignment horizontal="right"/>
    </xf>
    <xf numFmtId="166" fontId="3" fillId="4" borderId="0" xfId="1" applyNumberFormat="1" applyFont="1" applyFill="1" applyBorder="1" applyAlignment="1" applyProtection="1">
      <alignment horizontal="right"/>
    </xf>
    <xf numFmtId="0" fontId="3" fillId="0" borderId="0" xfId="0" applyFont="1" applyBorder="1" applyProtection="1"/>
    <xf numFmtId="166" fontId="97" fillId="0" borderId="0" xfId="0" applyNumberFormat="1" applyFont="1"/>
    <xf numFmtId="164" fontId="24" fillId="0" borderId="4" xfId="1" applyNumberFormat="1" applyFont="1" applyBorder="1" applyAlignment="1" applyProtection="1">
      <alignment horizontal="right"/>
    </xf>
    <xf numFmtId="164" fontId="24" fillId="0" borderId="0" xfId="1" applyNumberFormat="1" applyFont="1" applyBorder="1" applyAlignment="1" applyProtection="1">
      <alignment horizontal="right"/>
    </xf>
    <xf numFmtId="168" fontId="24" fillId="0" borderId="4" xfId="0" applyNumberFormat="1" applyFont="1" applyBorder="1" applyAlignment="1" applyProtection="1">
      <alignment vertical="top" wrapText="1"/>
    </xf>
    <xf numFmtId="166" fontId="24" fillId="0" borderId="4" xfId="1" applyNumberFormat="1" applyFont="1" applyBorder="1" applyAlignment="1" applyProtection="1">
      <alignment horizontal="right" vertical="top" wrapText="1"/>
    </xf>
    <xf numFmtId="164" fontId="24" fillId="0" borderId="4" xfId="1" applyNumberFormat="1" applyFont="1" applyBorder="1" applyAlignment="1" applyProtection="1">
      <alignment horizontal="right" vertical="top" wrapText="1"/>
    </xf>
    <xf numFmtId="164" fontId="24" fillId="0" borderId="4" xfId="1" applyNumberFormat="1" applyFont="1" applyBorder="1" applyAlignment="1" applyProtection="1">
      <alignment horizontal="right" vertical="top"/>
    </xf>
    <xf numFmtId="164" fontId="24" fillId="0" borderId="0" xfId="1" applyNumberFormat="1" applyFont="1" applyBorder="1" applyAlignment="1" applyProtection="1">
      <alignment horizontal="right" vertical="top"/>
    </xf>
    <xf numFmtId="168" fontId="62" fillId="0" borderId="4" xfId="0" applyNumberFormat="1" applyFont="1" applyBorder="1" applyAlignment="1" applyProtection="1">
      <alignment wrapText="1"/>
    </xf>
    <xf numFmtId="164" fontId="24" fillId="0" borderId="4" xfId="1" applyFont="1" applyBorder="1" applyAlignment="1" applyProtection="1">
      <alignment horizontal="right"/>
    </xf>
    <xf numFmtId="164" fontId="24" fillId="0" borderId="60" xfId="1" applyFont="1" applyBorder="1" applyAlignment="1" applyProtection="1">
      <alignment horizontal="right"/>
    </xf>
    <xf numFmtId="164" fontId="24" fillId="0" borderId="8" xfId="1" applyFont="1" applyBorder="1" applyAlignment="1" applyProtection="1">
      <alignment horizontal="right"/>
    </xf>
    <xf numFmtId="164" fontId="24" fillId="0" borderId="0" xfId="1" applyFont="1" applyBorder="1" applyAlignment="1" applyProtection="1">
      <alignment horizontal="right"/>
    </xf>
    <xf numFmtId="166" fontId="24" fillId="0" borderId="60" xfId="1" applyNumberFormat="1" applyFont="1" applyBorder="1" applyAlignment="1" applyProtection="1">
      <alignment horizontal="right"/>
    </xf>
    <xf numFmtId="166" fontId="24" fillId="0" borderId="8" xfId="1" applyNumberFormat="1" applyFont="1" applyBorder="1" applyAlignment="1" applyProtection="1">
      <alignment horizontal="right"/>
    </xf>
    <xf numFmtId="166" fontId="3" fillId="4" borderId="60" xfId="1" applyNumberFormat="1" applyFont="1" applyFill="1" applyBorder="1" applyAlignment="1" applyProtection="1">
      <alignment horizontal="right"/>
    </xf>
    <xf numFmtId="166" fontId="3" fillId="4" borderId="8" xfId="1" applyNumberFormat="1" applyFont="1" applyFill="1" applyBorder="1" applyAlignment="1" applyProtection="1">
      <alignment horizontal="right"/>
    </xf>
    <xf numFmtId="168" fontId="24" fillId="0" borderId="4" xfId="0" applyNumberFormat="1" applyFont="1" applyBorder="1" applyAlignment="1" applyProtection="1">
      <alignment vertical="top"/>
    </xf>
    <xf numFmtId="168" fontId="3" fillId="4" borderId="4" xfId="0" applyNumberFormat="1" applyFont="1" applyFill="1" applyBorder="1" applyAlignment="1" applyProtection="1">
      <alignment wrapText="1"/>
    </xf>
    <xf numFmtId="166" fontId="24" fillId="0" borderId="4" xfId="1" quotePrefix="1" applyNumberFormat="1" applyFont="1" applyBorder="1" applyAlignment="1" applyProtection="1">
      <alignment horizontal="right" vertical="top"/>
    </xf>
    <xf numFmtId="164" fontId="24" fillId="0" borderId="4" xfId="1" quotePrefix="1" applyNumberFormat="1" applyFont="1" applyBorder="1" applyAlignment="1" applyProtection="1">
      <alignment horizontal="right" vertical="top"/>
    </xf>
    <xf numFmtId="166" fontId="24" fillId="0" borderId="0" xfId="1" quotePrefix="1" applyNumberFormat="1" applyFont="1" applyBorder="1" applyAlignment="1" applyProtection="1">
      <alignment horizontal="right" vertical="top"/>
    </xf>
    <xf numFmtId="168" fontId="24" fillId="0" borderId="4" xfId="0" applyNumberFormat="1" applyFont="1" applyBorder="1" applyAlignment="1" applyProtection="1">
      <alignment horizontal="right"/>
    </xf>
    <xf numFmtId="168" fontId="24" fillId="0" borderId="0" xfId="0" applyNumberFormat="1" applyFont="1" applyBorder="1" applyAlignment="1" applyProtection="1">
      <alignment horizontal="right"/>
    </xf>
    <xf numFmtId="166" fontId="24" fillId="0" borderId="4" xfId="1" quotePrefix="1" applyNumberFormat="1" applyFont="1" applyBorder="1" applyAlignment="1" applyProtection="1">
      <alignment horizontal="right"/>
    </xf>
    <xf numFmtId="166" fontId="24" fillId="0" borderId="0" xfId="1" quotePrefix="1" applyNumberFormat="1" applyFont="1" applyBorder="1" applyAlignment="1" applyProtection="1">
      <alignment horizontal="right"/>
    </xf>
    <xf numFmtId="0" fontId="24" fillId="0" borderId="4" xfId="0" applyFont="1" applyBorder="1" applyProtection="1"/>
    <xf numFmtId="0" fontId="36" fillId="0" borderId="4" xfId="0" applyFont="1" applyBorder="1" applyProtection="1"/>
    <xf numFmtId="0" fontId="3" fillId="4" borderId="4" xfId="0" applyFont="1" applyFill="1" applyBorder="1" applyProtection="1"/>
    <xf numFmtId="166" fontId="3" fillId="4" borderId="4" xfId="1" applyNumberFormat="1" applyFont="1" applyFill="1" applyBorder="1" applyProtection="1"/>
    <xf numFmtId="166" fontId="3" fillId="4" borderId="0" xfId="1" applyNumberFormat="1" applyFont="1" applyFill="1" applyBorder="1" applyProtection="1"/>
    <xf numFmtId="0" fontId="24" fillId="0" borderId="4" xfId="0" applyFont="1" applyBorder="1" applyAlignment="1" applyProtection="1">
      <alignment wrapText="1"/>
    </xf>
    <xf numFmtId="37" fontId="24" fillId="0" borderId="4" xfId="0" applyNumberFormat="1" applyFont="1" applyBorder="1" applyAlignment="1" applyProtection="1">
      <alignment horizontal="right"/>
    </xf>
    <xf numFmtId="0" fontId="24" fillId="0" borderId="4" xfId="0" applyFont="1" applyBorder="1" applyAlignment="1" applyProtection="1">
      <alignment vertical="top" wrapText="1"/>
    </xf>
    <xf numFmtId="37" fontId="24" fillId="0" borderId="0" xfId="0" applyNumberFormat="1" applyFont="1" applyBorder="1" applyAlignment="1" applyProtection="1">
      <alignment horizontal="right"/>
    </xf>
    <xf numFmtId="0" fontId="3" fillId="0" borderId="4" xfId="0" applyFont="1" applyBorder="1" applyProtection="1"/>
    <xf numFmtId="166" fontId="3" fillId="0" borderId="4" xfId="1" applyNumberFormat="1" applyFont="1" applyBorder="1" applyAlignment="1" applyProtection="1">
      <alignment horizontal="right"/>
    </xf>
    <xf numFmtId="166" fontId="3" fillId="0" borderId="0" xfId="1" applyNumberFormat="1" applyFont="1" applyBorder="1" applyAlignment="1" applyProtection="1">
      <alignment horizontal="right"/>
    </xf>
    <xf numFmtId="37" fontId="24" fillId="0" borderId="8" xfId="0" applyNumberFormat="1" applyFont="1" applyBorder="1" applyAlignment="1" applyProtection="1">
      <alignment horizontal="right"/>
    </xf>
    <xf numFmtId="166" fontId="3" fillId="4" borderId="8" xfId="1" applyNumberFormat="1" applyFont="1" applyFill="1" applyBorder="1" applyProtection="1"/>
    <xf numFmtId="39" fontId="24" fillId="0" borderId="4" xfId="0" applyNumberFormat="1" applyFont="1" applyBorder="1" applyAlignment="1" applyProtection="1">
      <alignment horizontal="right"/>
    </xf>
    <xf numFmtId="39" fontId="24" fillId="0" borderId="0" xfId="0" applyNumberFormat="1" applyFont="1" applyBorder="1" applyAlignment="1" applyProtection="1">
      <alignment horizontal="right"/>
    </xf>
    <xf numFmtId="0" fontId="3" fillId="4" borderId="4" xfId="0" applyFont="1" applyFill="1" applyBorder="1" applyAlignment="1" applyProtection="1">
      <alignment wrapText="1"/>
    </xf>
    <xf numFmtId="166" fontId="3" fillId="0" borderId="4" xfId="1" applyNumberFormat="1" applyFont="1" applyBorder="1" applyProtection="1"/>
    <xf numFmtId="166" fontId="3" fillId="0" borderId="8" xfId="1" applyNumberFormat="1" applyFont="1" applyBorder="1" applyProtection="1"/>
    <xf numFmtId="166" fontId="3" fillId="0" borderId="0" xfId="1" applyNumberFormat="1" applyFont="1" applyBorder="1" applyProtection="1"/>
    <xf numFmtId="0" fontId="24" fillId="0" borderId="4" xfId="0" applyFont="1" applyBorder="1" applyAlignment="1" applyProtection="1">
      <alignment vertical="top"/>
    </xf>
    <xf numFmtId="0" fontId="24" fillId="0" borderId="4" xfId="0" applyFont="1" applyBorder="1" applyAlignment="1" applyProtection="1">
      <alignment horizontal="left" wrapText="1"/>
    </xf>
    <xf numFmtId="0" fontId="3" fillId="4" borderId="4" xfId="0" applyFont="1" applyFill="1" applyBorder="1" applyAlignment="1" applyProtection="1">
      <alignment vertical="top"/>
    </xf>
    <xf numFmtId="169" fontId="3" fillId="4" borderId="4" xfId="1" applyNumberFormat="1" applyFont="1" applyFill="1" applyBorder="1" applyAlignment="1" applyProtection="1">
      <alignment vertical="top"/>
    </xf>
    <xf numFmtId="169" fontId="3" fillId="4" borderId="0" xfId="1" applyNumberFormat="1" applyFont="1" applyFill="1" applyBorder="1" applyAlignment="1" applyProtection="1">
      <alignment vertical="top"/>
    </xf>
    <xf numFmtId="37" fontId="24" fillId="0" borderId="6" xfId="0" applyNumberFormat="1" applyFont="1" applyBorder="1" applyAlignment="1" applyProtection="1">
      <alignment horizontal="right"/>
    </xf>
    <xf numFmtId="164" fontId="24" fillId="0" borderId="6" xfId="1" applyFont="1" applyBorder="1" applyAlignment="1" applyProtection="1">
      <alignment horizontal="right"/>
    </xf>
    <xf numFmtId="166" fontId="24" fillId="0" borderId="6" xfId="1" applyNumberFormat="1" applyFont="1" applyBorder="1" applyAlignment="1" applyProtection="1">
      <alignment horizontal="right"/>
    </xf>
    <xf numFmtId="166" fontId="24" fillId="0" borderId="6" xfId="1" applyNumberFormat="1" applyFont="1" applyBorder="1" applyAlignment="1" applyProtection="1">
      <alignment horizontal="right" vertical="top"/>
    </xf>
    <xf numFmtId="164" fontId="24" fillId="0" borderId="4" xfId="1" applyFont="1" applyBorder="1" applyAlignment="1" applyProtection="1">
      <alignment horizontal="right" vertical="top"/>
    </xf>
    <xf numFmtId="164" fontId="24" fillId="0" borderId="6" xfId="1" applyFont="1" applyBorder="1" applyAlignment="1" applyProtection="1">
      <alignment horizontal="right" vertical="top"/>
    </xf>
    <xf numFmtId="166" fontId="24" fillId="0" borderId="6" xfId="0" applyNumberFormat="1" applyFont="1" applyBorder="1" applyAlignment="1" applyProtection="1">
      <alignment horizontal="right"/>
    </xf>
    <xf numFmtId="164" fontId="24" fillId="0" borderId="6" xfId="1" applyFont="1" applyBorder="1" applyAlignment="1" applyProtection="1">
      <alignment horizontal="center" vertical="center"/>
    </xf>
    <xf numFmtId="164" fontId="36" fillId="0" borderId="4" xfId="1" applyFont="1" applyBorder="1" applyAlignment="1" applyProtection="1">
      <alignment horizontal="right" vertical="top"/>
    </xf>
    <xf numFmtId="164" fontId="24" fillId="0" borderId="0" xfId="1" applyFont="1" applyBorder="1" applyAlignment="1" applyProtection="1">
      <alignment horizontal="right" vertical="top"/>
    </xf>
    <xf numFmtId="164" fontId="24" fillId="0" borderId="6" xfId="1" applyFont="1" applyBorder="1" applyAlignment="1" applyProtection="1">
      <alignment horizontal="left" vertical="top"/>
    </xf>
    <xf numFmtId="164" fontId="24" fillId="0" borderId="4" xfId="1" applyFont="1" applyBorder="1" applyAlignment="1" applyProtection="1">
      <alignment horizontal="left" vertical="top"/>
    </xf>
    <xf numFmtId="166" fontId="63" fillId="4" borderId="4" xfId="1" applyNumberFormat="1" applyFont="1" applyFill="1" applyBorder="1" applyAlignment="1" applyProtection="1">
      <alignment horizontal="right"/>
    </xf>
    <xf numFmtId="166" fontId="63" fillId="4" borderId="0" xfId="1" applyNumberFormat="1" applyFont="1" applyFill="1" applyBorder="1" applyAlignment="1" applyProtection="1">
      <alignment horizontal="right"/>
    </xf>
    <xf numFmtId="0" fontId="36" fillId="0" borderId="4" xfId="0" applyFont="1" applyBorder="1" applyAlignment="1" applyProtection="1">
      <alignment vertical="top" wrapText="1"/>
    </xf>
    <xf numFmtId="0" fontId="35" fillId="0" borderId="4" xfId="0" applyFont="1" applyBorder="1" applyAlignment="1" applyProtection="1">
      <alignment wrapText="1"/>
    </xf>
    <xf numFmtId="164" fontId="24" fillId="0" borderId="4" xfId="1" quotePrefix="1" applyFont="1" applyBorder="1" applyAlignment="1" applyProtection="1">
      <alignment horizontal="right"/>
    </xf>
    <xf numFmtId="164" fontId="24" fillId="0" borderId="0" xfId="1" quotePrefix="1" applyFont="1" applyBorder="1" applyAlignment="1" applyProtection="1">
      <alignment horizontal="right"/>
    </xf>
    <xf numFmtId="37" fontId="3" fillId="4" borderId="4" xfId="0" applyNumberFormat="1" applyFont="1" applyFill="1" applyBorder="1" applyProtection="1"/>
    <xf numFmtId="39" fontId="3" fillId="4" borderId="4" xfId="0" applyNumberFormat="1" applyFont="1" applyFill="1" applyBorder="1" applyProtection="1"/>
    <xf numFmtId="168" fontId="3" fillId="4" borderId="6" xfId="0" quotePrefix="1" applyNumberFormat="1" applyFont="1" applyFill="1" applyBorder="1" applyAlignment="1" applyProtection="1">
      <alignment horizontal="center"/>
    </xf>
    <xf numFmtId="0" fontId="3" fillId="4" borderId="4" xfId="0" applyFont="1" applyFill="1" applyBorder="1" applyAlignment="1" applyProtection="1">
      <alignment horizontal="right"/>
    </xf>
    <xf numFmtId="0" fontId="3" fillId="4" borderId="4" xfId="0" applyFont="1" applyFill="1" applyBorder="1" applyAlignment="1" applyProtection="1">
      <alignment horizontal="left"/>
    </xf>
    <xf numFmtId="0" fontId="97" fillId="0" borderId="0" xfId="0" applyFont="1" applyAlignment="1"/>
    <xf numFmtId="166" fontId="24" fillId="0" borderId="83" xfId="0" applyNumberFormat="1" applyFont="1" applyBorder="1" applyAlignment="1">
      <alignment horizontal="right" vertical="top"/>
    </xf>
    <xf numFmtId="0" fontId="3" fillId="4" borderId="4" xfId="0" applyFont="1" applyFill="1" applyBorder="1" applyAlignment="1" applyProtection="1">
      <alignment horizontal="right" vertical="top"/>
    </xf>
    <xf numFmtId="0" fontId="3" fillId="4" borderId="4" xfId="0" applyFont="1" applyFill="1" applyBorder="1" applyAlignment="1" applyProtection="1">
      <alignment horizontal="left" vertical="top"/>
    </xf>
    <xf numFmtId="166" fontId="3" fillId="4" borderId="4" xfId="1" applyNumberFormat="1" applyFont="1" applyFill="1" applyBorder="1" applyAlignment="1" applyProtection="1">
      <alignment horizontal="right" vertical="top"/>
    </xf>
    <xf numFmtId="166" fontId="3" fillId="4" borderId="0" xfId="1" applyNumberFormat="1" applyFont="1" applyFill="1" applyBorder="1" applyAlignment="1" applyProtection="1">
      <alignment horizontal="right" vertical="top"/>
    </xf>
    <xf numFmtId="0" fontId="24" fillId="0" borderId="6" xfId="0" applyFont="1" applyBorder="1" applyProtection="1"/>
    <xf numFmtId="0" fontId="24" fillId="0" borderId="9" xfId="0" applyFont="1" applyBorder="1" applyProtection="1"/>
    <xf numFmtId="166" fontId="24" fillId="0" borderId="9" xfId="1" applyNumberFormat="1" applyFont="1" applyBorder="1" applyAlignment="1" applyProtection="1">
      <alignment horizontal="right"/>
    </xf>
    <xf numFmtId="0" fontId="35" fillId="0" borderId="4" xfId="0" applyFont="1" applyBorder="1" applyProtection="1"/>
    <xf numFmtId="0" fontId="64" fillId="0" borderId="4" xfId="0" applyFont="1" applyBorder="1" applyProtection="1"/>
    <xf numFmtId="3" fontId="97" fillId="0" borderId="0" xfId="0" applyNumberFormat="1" applyFont="1"/>
    <xf numFmtId="0" fontId="36" fillId="0" borderId="4" xfId="0" applyFont="1" applyBorder="1" applyAlignment="1" applyProtection="1">
      <alignment wrapText="1"/>
    </xf>
    <xf numFmtId="0" fontId="24" fillId="0" borderId="6" xfId="0" applyFont="1" applyBorder="1" applyAlignment="1" applyProtection="1">
      <alignment vertical="top"/>
    </xf>
    <xf numFmtId="0" fontId="24" fillId="0" borderId="9" xfId="0" applyFont="1" applyBorder="1" applyAlignment="1" applyProtection="1">
      <alignment vertical="top"/>
    </xf>
    <xf numFmtId="166" fontId="24" fillId="0" borderId="9" xfId="1" applyNumberFormat="1" applyFont="1" applyBorder="1" applyAlignment="1" applyProtection="1">
      <alignment horizontal="right" vertical="top"/>
    </xf>
    <xf numFmtId="0" fontId="64" fillId="0" borderId="4" xfId="0" applyFont="1" applyBorder="1" applyAlignment="1" applyProtection="1">
      <alignment vertical="top"/>
    </xf>
    <xf numFmtId="0" fontId="35" fillId="0" borderId="4" xfId="0" applyFont="1" applyBorder="1" applyAlignment="1" applyProtection="1">
      <alignment vertical="top"/>
    </xf>
    <xf numFmtId="166" fontId="24" fillId="0" borderId="86" xfId="0" applyNumberFormat="1" applyFont="1" applyBorder="1" applyAlignment="1">
      <alignment horizontal="right"/>
    </xf>
    <xf numFmtId="164" fontId="24" fillId="0" borderId="9" xfId="1" applyNumberFormat="1" applyFont="1" applyBorder="1" applyAlignment="1" applyProtection="1">
      <alignment horizontal="right"/>
    </xf>
    <xf numFmtId="168" fontId="36" fillId="0" borderId="4" xfId="0" applyNumberFormat="1" applyFont="1" applyBorder="1" applyProtection="1"/>
    <xf numFmtId="168" fontId="35" fillId="0" borderId="4" xfId="0" applyNumberFormat="1" applyFont="1" applyBorder="1" applyAlignment="1" applyProtection="1">
      <alignment vertical="top" wrapText="1"/>
    </xf>
    <xf numFmtId="0" fontId="24" fillId="0" borderId="4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right"/>
    </xf>
    <xf numFmtId="37" fontId="24" fillId="0" borderId="4" xfId="1" applyNumberFormat="1" applyFont="1" applyBorder="1" applyAlignment="1" applyProtection="1">
      <alignment horizontal="right" vertical="top"/>
    </xf>
    <xf numFmtId="37" fontId="24" fillId="0" borderId="0" xfId="1" applyNumberFormat="1" applyFont="1" applyBorder="1" applyAlignment="1" applyProtection="1">
      <alignment horizontal="right" vertical="top"/>
    </xf>
    <xf numFmtId="37" fontId="3" fillId="4" borderId="4" xfId="1" applyNumberFormat="1" applyFont="1" applyFill="1" applyBorder="1" applyAlignment="1" applyProtection="1">
      <alignment horizontal="right"/>
    </xf>
    <xf numFmtId="37" fontId="3" fillId="4" borderId="0" xfId="1" applyNumberFormat="1" applyFont="1" applyFill="1" applyBorder="1" applyAlignment="1" applyProtection="1">
      <alignment horizontal="right"/>
    </xf>
    <xf numFmtId="166" fontId="24" fillId="0" borderId="4" xfId="0" applyNumberFormat="1" applyFont="1" applyBorder="1" applyAlignment="1" applyProtection="1">
      <alignment horizontal="right"/>
    </xf>
    <xf numFmtId="166" fontId="24" fillId="0" borderId="0" xfId="0" applyNumberFormat="1" applyFont="1" applyBorder="1" applyAlignment="1" applyProtection="1">
      <alignment horizontal="right"/>
    </xf>
    <xf numFmtId="168" fontId="64" fillId="0" borderId="4" xfId="0" applyNumberFormat="1" applyFont="1" applyBorder="1" applyProtection="1"/>
    <xf numFmtId="168" fontId="35" fillId="0" borderId="4" xfId="0" applyNumberFormat="1" applyFont="1" applyBorder="1" applyProtection="1"/>
    <xf numFmtId="166" fontId="24" fillId="0" borderId="4" xfId="1" applyNumberFormat="1" applyFont="1" applyBorder="1" applyAlignment="1" applyProtection="1">
      <alignment horizontal="right" wrapText="1"/>
    </xf>
    <xf numFmtId="0" fontId="22" fillId="0" borderId="61" xfId="0" applyFont="1" applyBorder="1" applyAlignment="1"/>
    <xf numFmtId="0" fontId="22" fillId="0" borderId="18" xfId="0" applyFont="1" applyBorder="1" applyAlignment="1"/>
    <xf numFmtId="166" fontId="1" fillId="2" borderId="62" xfId="1" applyNumberFormat="1" applyFont="1" applyFill="1" applyBorder="1" applyAlignment="1">
      <alignment horizontal="center" vertical="center" wrapText="1"/>
    </xf>
    <xf numFmtId="166" fontId="1" fillId="2" borderId="17" xfId="1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vertical="top"/>
    </xf>
    <xf numFmtId="0" fontId="66" fillId="3" borderId="63" xfId="0" applyFont="1" applyFill="1" applyBorder="1" applyAlignment="1">
      <alignment horizontal="center" vertical="top"/>
    </xf>
    <xf numFmtId="0" fontId="67" fillId="3" borderId="62" xfId="0" applyFont="1" applyFill="1" applyBorder="1" applyAlignment="1">
      <alignment horizontal="center" vertical="top" wrapText="1"/>
    </xf>
    <xf numFmtId="166" fontId="51" fillId="3" borderId="62" xfId="1" applyNumberFormat="1" applyFont="1" applyFill="1" applyBorder="1" applyAlignment="1">
      <alignment horizontal="center" vertical="top" wrapText="1"/>
    </xf>
    <xf numFmtId="166" fontId="68" fillId="3" borderId="62" xfId="1" applyNumberFormat="1" applyFont="1" applyFill="1" applyBorder="1" applyAlignment="1">
      <alignment horizontal="center" vertical="top" wrapText="1"/>
    </xf>
    <xf numFmtId="166" fontId="51" fillId="3" borderId="64" xfId="1" applyNumberFormat="1" applyFont="1" applyFill="1" applyBorder="1" applyAlignment="1">
      <alignment horizontal="center" vertical="top" wrapText="1"/>
    </xf>
    <xf numFmtId="0" fontId="54" fillId="8" borderId="2" xfId="0" applyFont="1" applyFill="1" applyBorder="1" applyAlignment="1">
      <alignment vertical="top"/>
    </xf>
    <xf numFmtId="166" fontId="68" fillId="8" borderId="2" xfId="1" applyNumberFormat="1" applyFont="1" applyFill="1" applyBorder="1" applyAlignment="1">
      <alignment vertical="center"/>
    </xf>
    <xf numFmtId="164" fontId="68" fillId="10" borderId="2" xfId="0" applyNumberFormat="1" applyFont="1" applyFill="1" applyBorder="1" applyAlignment="1">
      <alignment horizontal="center" vertical="center"/>
    </xf>
    <xf numFmtId="0" fontId="66" fillId="0" borderId="1" xfId="0" applyFont="1" applyBorder="1" applyAlignment="1">
      <alignment horizontal="right" vertical="top"/>
    </xf>
    <xf numFmtId="0" fontId="66" fillId="0" borderId="2" xfId="0" applyFont="1" applyBorder="1" applyAlignment="1">
      <alignment vertical="top"/>
    </xf>
    <xf numFmtId="166" fontId="70" fillId="0" borderId="2" xfId="1" applyNumberFormat="1" applyFont="1" applyBorder="1" applyAlignment="1">
      <alignment vertical="top"/>
    </xf>
    <xf numFmtId="166" fontId="68" fillId="0" borderId="2" xfId="1" applyNumberFormat="1" applyFont="1" applyBorder="1" applyAlignment="1">
      <alignment vertical="center"/>
    </xf>
    <xf numFmtId="166" fontId="70" fillId="0" borderId="14" xfId="1" applyNumberFormat="1" applyFont="1" applyBorder="1" applyAlignment="1">
      <alignment vertical="top"/>
    </xf>
    <xf numFmtId="0" fontId="54" fillId="0" borderId="2" xfId="0" applyFont="1" applyBorder="1" applyAlignment="1">
      <alignment vertical="top"/>
    </xf>
    <xf numFmtId="166" fontId="70" fillId="0" borderId="2" xfId="0" applyNumberFormat="1" applyFont="1" applyBorder="1" applyAlignment="1">
      <alignment vertical="top"/>
    </xf>
    <xf numFmtId="166" fontId="68" fillId="0" borderId="2" xfId="0" applyNumberFormat="1" applyFont="1" applyBorder="1" applyAlignment="1">
      <alignment vertical="center"/>
    </xf>
    <xf numFmtId="164" fontId="68" fillId="10" borderId="2" xfId="0" applyNumberFormat="1" applyFont="1" applyFill="1" applyBorder="1" applyAlignment="1">
      <alignment vertical="center"/>
    </xf>
    <xf numFmtId="0" fontId="66" fillId="6" borderId="1" xfId="0" applyFont="1" applyFill="1" applyBorder="1" applyAlignment="1">
      <alignment horizontal="right" vertical="top"/>
    </xf>
    <xf numFmtId="0" fontId="51" fillId="6" borderId="2" xfId="0" applyFont="1" applyFill="1" applyBorder="1" applyAlignment="1">
      <alignment vertical="top"/>
    </xf>
    <xf numFmtId="166" fontId="68" fillId="6" borderId="2" xfId="1" applyNumberFormat="1" applyFont="1" applyFill="1" applyBorder="1" applyAlignment="1">
      <alignment vertical="center"/>
    </xf>
    <xf numFmtId="164" fontId="68" fillId="6" borderId="2" xfId="0" applyNumberFormat="1" applyFont="1" applyFill="1" applyBorder="1" applyAlignment="1">
      <alignment vertical="center"/>
    </xf>
    <xf numFmtId="0" fontId="54" fillId="0" borderId="2" xfId="0" applyFont="1" applyBorder="1" applyAlignment="1">
      <alignment vertical="top" wrapText="1"/>
    </xf>
    <xf numFmtId="0" fontId="66" fillId="0" borderId="1" xfId="0" applyFont="1" applyBorder="1" applyAlignment="1">
      <alignment horizontal="right" vertical="top" wrapText="1"/>
    </xf>
    <xf numFmtId="166" fontId="70" fillId="0" borderId="2" xfId="1" applyNumberFormat="1" applyFont="1" applyBorder="1" applyAlignment="1">
      <alignment vertical="top" wrapText="1"/>
    </xf>
    <xf numFmtId="166" fontId="68" fillId="0" borderId="2" xfId="1" applyNumberFormat="1" applyFont="1" applyBorder="1" applyAlignment="1">
      <alignment vertical="center" wrapText="1"/>
    </xf>
    <xf numFmtId="0" fontId="66" fillId="0" borderId="2" xfId="0" applyFont="1" applyBorder="1" applyAlignment="1">
      <alignment vertical="top" wrapText="1"/>
    </xf>
    <xf numFmtId="0" fontId="66" fillId="6" borderId="1" xfId="0" applyFont="1" applyFill="1" applyBorder="1" applyAlignment="1">
      <alignment vertical="top"/>
    </xf>
    <xf numFmtId="0" fontId="54" fillId="6" borderId="2" xfId="0" applyFont="1" applyFill="1" applyBorder="1" applyAlignment="1">
      <alignment vertical="top"/>
    </xf>
    <xf numFmtId="166" fontId="70" fillId="6" borderId="2" xfId="1" applyNumberFormat="1" applyFont="1" applyFill="1" applyBorder="1" applyAlignment="1">
      <alignment vertical="top"/>
    </xf>
    <xf numFmtId="164" fontId="68" fillId="6" borderId="2" xfId="1" applyNumberFormat="1" applyFont="1" applyFill="1" applyBorder="1" applyAlignment="1">
      <alignment vertical="center"/>
    </xf>
    <xf numFmtId="166" fontId="70" fillId="6" borderId="14" xfId="1" applyNumberFormat="1" applyFont="1" applyFill="1" applyBorder="1" applyAlignment="1">
      <alignment vertical="top"/>
    </xf>
    <xf numFmtId="0" fontId="51" fillId="0" borderId="1" xfId="0" applyFont="1" applyBorder="1" applyAlignment="1">
      <alignment horizontal="center" vertical="top"/>
    </xf>
    <xf numFmtId="164" fontId="68" fillId="10" borderId="2" xfId="1" applyNumberFormat="1" applyFont="1" applyFill="1" applyBorder="1" applyAlignment="1">
      <alignment vertical="center"/>
    </xf>
    <xf numFmtId="166" fontId="68" fillId="10" borderId="2" xfId="1" applyNumberFormat="1" applyFont="1" applyFill="1" applyBorder="1" applyAlignment="1">
      <alignment vertical="center"/>
    </xf>
    <xf numFmtId="0" fontId="54" fillId="0" borderId="1" xfId="0" applyFont="1" applyBorder="1" applyAlignment="1">
      <alignment horizontal="center" vertical="top"/>
    </xf>
    <xf numFmtId="166" fontId="68" fillId="10" borderId="2" xfId="0" applyNumberFormat="1" applyFont="1" applyFill="1" applyBorder="1" applyAlignment="1">
      <alignment vertical="center"/>
    </xf>
    <xf numFmtId="166" fontId="68" fillId="6" borderId="11" xfId="1" applyNumberFormat="1" applyFont="1" applyFill="1" applyBorder="1" applyAlignment="1">
      <alignment vertical="center"/>
    </xf>
    <xf numFmtId="166" fontId="28" fillId="6" borderId="15" xfId="1" applyNumberFormat="1" applyFont="1" applyFill="1" applyBorder="1" applyAlignment="1">
      <alignment vertical="top"/>
    </xf>
    <xf numFmtId="3" fontId="71" fillId="0" borderId="0" xfId="1" applyNumberFormat="1" applyFont="1" applyAlignment="1">
      <alignment horizontal="center"/>
    </xf>
    <xf numFmtId="3" fontId="71" fillId="0" borderId="0" xfId="1" applyNumberFormat="1" applyFont="1" applyBorder="1" applyAlignment="1">
      <alignment horizontal="right" vertical="center"/>
    </xf>
    <xf numFmtId="0" fontId="73" fillId="0" borderId="0" xfId="0" applyFont="1" applyAlignment="1" applyProtection="1">
      <alignment horizontal="left"/>
    </xf>
    <xf numFmtId="0" fontId="72" fillId="0" borderId="0" xfId="0" applyFont="1" applyAlignment="1" applyProtection="1">
      <alignment horizontal="left"/>
    </xf>
    <xf numFmtId="3" fontId="74" fillId="0" borderId="0" xfId="1" applyNumberFormat="1" applyFont="1" applyAlignment="1">
      <alignment horizontal="center"/>
    </xf>
    <xf numFmtId="3" fontId="74" fillId="0" borderId="0" xfId="1" applyNumberFormat="1" applyFont="1" applyBorder="1" applyAlignment="1">
      <alignment horizontal="right" vertical="center"/>
    </xf>
    <xf numFmtId="0" fontId="75" fillId="0" borderId="0" xfId="0" applyFont="1" applyAlignment="1" applyProtection="1">
      <alignment horizontal="left"/>
    </xf>
    <xf numFmtId="3" fontId="76" fillId="0" borderId="0" xfId="1" applyNumberFormat="1" applyFont="1" applyAlignment="1">
      <alignment horizontal="center"/>
    </xf>
    <xf numFmtId="3" fontId="76" fillId="0" borderId="27" xfId="1" applyNumberFormat="1" applyFont="1" applyBorder="1" applyAlignment="1">
      <alignment horizontal="right" vertical="center"/>
    </xf>
    <xf numFmtId="0" fontId="72" fillId="4" borderId="5" xfId="0" applyFont="1" applyFill="1" applyBorder="1" applyAlignment="1" applyProtection="1">
      <alignment horizontal="center"/>
    </xf>
    <xf numFmtId="3" fontId="3" fillId="4" borderId="5" xfId="1" applyNumberFormat="1" applyFont="1" applyFill="1" applyBorder="1" applyAlignment="1" applyProtection="1">
      <alignment horizontal="center"/>
    </xf>
    <xf numFmtId="166" fontId="12" fillId="4" borderId="5" xfId="1" applyNumberFormat="1" applyFont="1" applyFill="1" applyBorder="1" applyAlignment="1" applyProtection="1">
      <alignment horizontal="center" vertical="top" wrapText="1"/>
    </xf>
    <xf numFmtId="3" fontId="72" fillId="4" borderId="5" xfId="1" applyNumberFormat="1" applyFont="1" applyFill="1" applyBorder="1" applyAlignment="1" applyProtection="1">
      <alignment horizontal="center"/>
    </xf>
    <xf numFmtId="3" fontId="72" fillId="4" borderId="5" xfId="1" applyNumberFormat="1" applyFont="1" applyFill="1" applyBorder="1" applyAlignment="1" applyProtection="1">
      <alignment horizontal="center" vertical="center"/>
    </xf>
    <xf numFmtId="0" fontId="72" fillId="1" borderId="6" xfId="0" applyFont="1" applyFill="1" applyBorder="1" applyAlignment="1">
      <alignment horizontal="center"/>
    </xf>
    <xf numFmtId="3" fontId="72" fillId="1" borderId="6" xfId="1" applyNumberFormat="1" applyFont="1" applyFill="1" applyBorder="1" applyAlignment="1" applyProtection="1">
      <alignment horizontal="center"/>
    </xf>
    <xf numFmtId="3" fontId="72" fillId="1" borderId="6" xfId="1" quotePrefix="1" applyNumberFormat="1" applyFont="1" applyFill="1" applyBorder="1" applyAlignment="1">
      <alignment horizontal="center"/>
    </xf>
    <xf numFmtId="3" fontId="72" fillId="1" borderId="6" xfId="1" applyNumberFormat="1" applyFont="1" applyFill="1" applyBorder="1" applyAlignment="1">
      <alignment horizontal="center"/>
    </xf>
    <xf numFmtId="166" fontId="12" fillId="4" borderId="6" xfId="1" quotePrefix="1" applyNumberFormat="1" applyFont="1" applyFill="1" applyBorder="1" applyAlignment="1" applyProtection="1">
      <alignment horizontal="center" vertical="top" wrapText="1"/>
    </xf>
    <xf numFmtId="3" fontId="72" fillId="1" borderId="6" xfId="1" quotePrefix="1" applyNumberFormat="1" applyFont="1" applyFill="1" applyBorder="1" applyAlignment="1">
      <alignment horizontal="right" vertical="center"/>
    </xf>
    <xf numFmtId="0" fontId="73" fillId="0" borderId="4" xfId="0" applyFont="1" applyBorder="1"/>
    <xf numFmtId="0" fontId="72" fillId="0" borderId="8" xfId="0" applyFont="1" applyBorder="1" applyAlignment="1" applyProtection="1">
      <alignment horizontal="left"/>
    </xf>
    <xf numFmtId="3" fontId="72" fillId="0" borderId="8" xfId="1" applyNumberFormat="1" applyFont="1" applyBorder="1" applyAlignment="1">
      <alignment horizontal="center"/>
    </xf>
    <xf numFmtId="3" fontId="73" fillId="0" borderId="8" xfId="1" applyNumberFormat="1" applyFont="1" applyBorder="1" applyAlignment="1">
      <alignment horizontal="center"/>
    </xf>
    <xf numFmtId="3" fontId="73" fillId="0" borderId="8" xfId="1" applyNumberFormat="1" applyFont="1" applyBorder="1" applyAlignment="1">
      <alignment horizontal="right" vertical="center"/>
    </xf>
    <xf numFmtId="0" fontId="73" fillId="0" borderId="4" xfId="0" applyFont="1" applyBorder="1" applyProtection="1"/>
    <xf numFmtId="0" fontId="73" fillId="0" borderId="4" xfId="0" applyFont="1" applyBorder="1" applyAlignment="1" applyProtection="1">
      <alignment horizontal="left"/>
    </xf>
    <xf numFmtId="3" fontId="73" fillId="0" borderId="4" xfId="1" applyNumberFormat="1" applyFont="1" applyBorder="1" applyAlignment="1" applyProtection="1">
      <alignment horizontal="center"/>
    </xf>
    <xf numFmtId="166" fontId="73" fillId="0" borderId="4" xfId="1" applyNumberFormat="1" applyFont="1" applyBorder="1" applyAlignment="1" applyProtection="1">
      <alignment horizontal="center"/>
    </xf>
    <xf numFmtId="9" fontId="73" fillId="0" borderId="4" xfId="3" applyFont="1" applyBorder="1" applyAlignment="1" applyProtection="1">
      <alignment horizontal="right" vertical="center"/>
    </xf>
    <xf numFmtId="167" fontId="73" fillId="0" borderId="4" xfId="3" applyNumberFormat="1" applyFont="1" applyBorder="1" applyAlignment="1" applyProtection="1">
      <alignment horizontal="right" vertical="center"/>
    </xf>
    <xf numFmtId="0" fontId="73" fillId="0" borderId="4" xfId="0" applyFont="1" applyBorder="1" applyAlignment="1" applyProtection="1">
      <alignment vertical="top"/>
    </xf>
    <xf numFmtId="0" fontId="73" fillId="0" borderId="4" xfId="0" applyFont="1" applyBorder="1" applyAlignment="1" applyProtection="1">
      <alignment horizontal="left" wrapText="1"/>
    </xf>
    <xf numFmtId="0" fontId="73" fillId="12" borderId="4" xfId="0" applyFont="1" applyFill="1" applyBorder="1"/>
    <xf numFmtId="0" fontId="72" fillId="12" borderId="4" xfId="0" applyFont="1" applyFill="1" applyBorder="1" applyAlignment="1" applyProtection="1">
      <alignment horizontal="left"/>
    </xf>
    <xf numFmtId="3" fontId="72" fillId="12" borderId="4" xfId="1" applyNumberFormat="1" applyFont="1" applyFill="1" applyBorder="1" applyAlignment="1" applyProtection="1">
      <alignment horizontal="center"/>
    </xf>
    <xf numFmtId="166" fontId="72" fillId="12" borderId="4" xfId="1" applyNumberFormat="1" applyFont="1" applyFill="1" applyBorder="1" applyAlignment="1" applyProtection="1">
      <alignment horizontal="center"/>
    </xf>
    <xf numFmtId="9" fontId="72" fillId="4" borderId="5" xfId="3" applyFont="1" applyFill="1" applyBorder="1" applyAlignment="1" applyProtection="1">
      <alignment horizontal="right" vertical="center"/>
    </xf>
    <xf numFmtId="0" fontId="73" fillId="0" borderId="65" xfId="0" applyFont="1" applyBorder="1" applyAlignment="1" applyProtection="1">
      <alignment horizontal="left"/>
    </xf>
    <xf numFmtId="0" fontId="73" fillId="0" borderId="4" xfId="0" applyFont="1" applyBorder="1" applyAlignment="1" applyProtection="1">
      <alignment horizontal="right"/>
    </xf>
    <xf numFmtId="0" fontId="73" fillId="0" borderId="13" xfId="0" applyFont="1" applyBorder="1"/>
    <xf numFmtId="0" fontId="77" fillId="0" borderId="4" xfId="0" applyFont="1" applyBorder="1" applyAlignment="1" applyProtection="1">
      <alignment horizontal="left"/>
    </xf>
    <xf numFmtId="0" fontId="75" fillId="12" borderId="4" xfId="0" applyFont="1" applyFill="1" applyBorder="1" applyAlignment="1" applyProtection="1">
      <alignment horizontal="left"/>
    </xf>
    <xf numFmtId="9" fontId="72" fillId="4" borderId="4" xfId="3" applyFont="1" applyFill="1" applyBorder="1" applyAlignment="1" applyProtection="1">
      <alignment horizontal="right" vertical="center"/>
    </xf>
    <xf numFmtId="3" fontId="20" fillId="0" borderId="0" xfId="1" applyNumberFormat="1" applyFont="1" applyAlignment="1">
      <alignment horizontal="center"/>
    </xf>
    <xf numFmtId="166" fontId="20" fillId="0" borderId="0" xfId="1" applyNumberFormat="1" applyFont="1" applyAlignment="1">
      <alignment horizontal="center"/>
    </xf>
    <xf numFmtId="9" fontId="20" fillId="0" borderId="0" xfId="3" applyFont="1" applyAlignment="1">
      <alignment horizontal="right" vertical="center"/>
    </xf>
    <xf numFmtId="0" fontId="99" fillId="0" borderId="0" xfId="0" applyFont="1" applyAlignment="1">
      <alignment wrapText="1"/>
    </xf>
    <xf numFmtId="166" fontId="100" fillId="0" borderId="0" xfId="0" applyNumberFormat="1" applyFont="1" applyAlignment="1">
      <alignment vertical="top"/>
    </xf>
    <xf numFmtId="166" fontId="5" fillId="3" borderId="62" xfId="1" applyNumberFormat="1" applyFont="1" applyFill="1" applyBorder="1" applyAlignment="1">
      <alignment horizontal="center" vertical="top" wrapText="1"/>
    </xf>
    <xf numFmtId="0" fontId="24" fillId="0" borderId="5" xfId="0" applyFont="1" applyBorder="1"/>
    <xf numFmtId="0" fontId="24" fillId="0" borderId="12" xfId="0" applyFont="1" applyBorder="1" applyAlignment="1">
      <alignment wrapText="1"/>
    </xf>
    <xf numFmtId="166" fontId="24" fillId="0" borderId="60" xfId="1" applyNumberFormat="1" applyFont="1" applyBorder="1" applyAlignment="1">
      <alignment horizontal="right"/>
    </xf>
    <xf numFmtId="166" fontId="24" fillId="0" borderId="66" xfId="1" applyNumberFormat="1" applyFont="1" applyBorder="1" applyAlignment="1">
      <alignment horizontal="right"/>
    </xf>
    <xf numFmtId="166" fontId="24" fillId="0" borderId="8" xfId="1" applyNumberFormat="1" applyFont="1" applyBorder="1" applyAlignment="1">
      <alignment horizontal="right"/>
    </xf>
    <xf numFmtId="166" fontId="24" fillId="0" borderId="12" xfId="1" applyNumberFormat="1" applyFont="1" applyBorder="1" applyAlignment="1">
      <alignment horizontal="right"/>
    </xf>
    <xf numFmtId="166" fontId="41" fillId="0" borderId="32" xfId="1" applyNumberFormat="1" applyFont="1" applyBorder="1" applyAlignment="1" applyProtection="1">
      <alignment horizontal="center" vertical="top" wrapText="1"/>
    </xf>
    <xf numFmtId="0" fontId="102" fillId="0" borderId="0" xfId="0" applyFont="1" applyProtection="1"/>
    <xf numFmtId="0" fontId="103" fillId="0" borderId="0" xfId="0" applyFont="1"/>
    <xf numFmtId="0" fontId="104" fillId="0" borderId="0" xfId="0" applyFont="1" applyProtection="1"/>
    <xf numFmtId="164" fontId="103" fillId="0" borderId="0" xfId="1" applyFont="1"/>
    <xf numFmtId="0" fontId="105" fillId="0" borderId="0" xfId="0" applyFont="1" applyProtection="1"/>
    <xf numFmtId="0" fontId="106" fillId="0" borderId="0" xfId="0" applyFont="1" applyProtection="1"/>
    <xf numFmtId="0" fontId="107" fillId="0" borderId="0" xfId="0" applyFont="1" applyProtection="1"/>
    <xf numFmtId="164" fontId="20" fillId="0" borderId="0" xfId="1" applyFont="1"/>
    <xf numFmtId="0" fontId="107" fillId="0" borderId="87" xfId="0" applyFont="1" applyBorder="1" applyAlignment="1" applyProtection="1">
      <alignment horizontal="center"/>
    </xf>
    <xf numFmtId="0" fontId="107" fillId="0" borderId="5" xfId="0" applyFont="1" applyBorder="1" applyAlignment="1" applyProtection="1">
      <alignment horizontal="center"/>
    </xf>
    <xf numFmtId="0" fontId="107" fillId="0" borderId="87" xfId="0" applyFont="1" applyBorder="1" applyAlignment="1" applyProtection="1">
      <alignment horizontal="center" wrapText="1"/>
    </xf>
    <xf numFmtId="0" fontId="107" fillId="0" borderId="88" xfId="0" applyFont="1" applyBorder="1" applyAlignment="1" applyProtection="1">
      <alignment horizontal="center"/>
    </xf>
    <xf numFmtId="0" fontId="107" fillId="0" borderId="13" xfId="0" applyFont="1" applyBorder="1" applyAlignment="1" applyProtection="1">
      <alignment horizontal="center"/>
    </xf>
    <xf numFmtId="0" fontId="107" fillId="0" borderId="89" xfId="0" applyFont="1" applyBorder="1" applyAlignment="1" applyProtection="1">
      <alignment horizontal="center"/>
    </xf>
    <xf numFmtId="0" fontId="107" fillId="0" borderId="6" xfId="0" applyFont="1" applyBorder="1" applyAlignment="1" applyProtection="1">
      <alignment horizontal="center"/>
    </xf>
    <xf numFmtId="0" fontId="106" fillId="0" borderId="88" xfId="0" applyFont="1" applyBorder="1" applyProtection="1"/>
    <xf numFmtId="37" fontId="106" fillId="0" borderId="13" xfId="0" applyNumberFormat="1" applyFont="1" applyBorder="1" applyProtection="1"/>
    <xf numFmtId="3" fontId="106" fillId="0" borderId="13" xfId="0" applyNumberFormat="1" applyFont="1" applyBorder="1" applyProtection="1"/>
    <xf numFmtId="164" fontId="0" fillId="0" borderId="0" xfId="0" applyNumberFormat="1"/>
    <xf numFmtId="173" fontId="104" fillId="0" borderId="0" xfId="1" applyNumberFormat="1" applyFont="1" applyProtection="1"/>
    <xf numFmtId="0" fontId="106" fillId="0" borderId="88" xfId="0" applyFont="1" applyBorder="1" applyAlignment="1" applyProtection="1">
      <alignment wrapText="1"/>
    </xf>
    <xf numFmtId="3" fontId="106" fillId="0" borderId="13" xfId="0" applyNumberFormat="1" applyFont="1" applyBorder="1" applyAlignment="1" applyProtection="1"/>
    <xf numFmtId="3" fontId="106" fillId="0" borderId="13" xfId="0" applyNumberFormat="1" applyFont="1" applyBorder="1" applyAlignment="1" applyProtection="1">
      <alignment horizontal="right"/>
    </xf>
    <xf numFmtId="166" fontId="106" fillId="0" borderId="13" xfId="1" applyNumberFormat="1" applyFont="1" applyBorder="1" applyAlignment="1" applyProtection="1">
      <alignment horizontal="right"/>
    </xf>
    <xf numFmtId="0" fontId="0" fillId="0" borderId="0" xfId="0" applyBorder="1"/>
    <xf numFmtId="3" fontId="107" fillId="0" borderId="0" xfId="0" applyNumberFormat="1" applyFont="1" applyBorder="1" applyProtection="1"/>
    <xf numFmtId="3" fontId="0" fillId="0" borderId="0" xfId="0" applyNumberFormat="1" applyBorder="1"/>
    <xf numFmtId="169" fontId="106" fillId="0" borderId="6" xfId="1" applyNumberFormat="1" applyFont="1" applyBorder="1" applyProtection="1"/>
    <xf numFmtId="0" fontId="106" fillId="0" borderId="60" xfId="0" applyFont="1" applyBorder="1" applyProtection="1"/>
    <xf numFmtId="0" fontId="107" fillId="0" borderId="60" xfId="0" applyFont="1" applyBorder="1" applyProtection="1"/>
    <xf numFmtId="3" fontId="107" fillId="0" borderId="4" xfId="0" applyNumberFormat="1" applyFont="1" applyBorder="1" applyProtection="1"/>
    <xf numFmtId="3" fontId="107" fillId="0" borderId="7" xfId="0" applyNumberFormat="1" applyFont="1" applyFill="1" applyBorder="1" applyProtection="1"/>
    <xf numFmtId="37" fontId="106" fillId="0" borderId="0" xfId="0" applyNumberFormat="1" applyFont="1" applyProtection="1"/>
    <xf numFmtId="3" fontId="106" fillId="0" borderId="0" xfId="0" applyNumberFormat="1" applyFont="1" applyProtection="1"/>
    <xf numFmtId="3" fontId="107" fillId="0" borderId="0" xfId="0" applyNumberFormat="1" applyFont="1" applyProtection="1"/>
    <xf numFmtId="3" fontId="41" fillId="0" borderId="0" xfId="1" applyNumberFormat="1" applyFont="1" applyAlignment="1" applyProtection="1">
      <alignment horizontal="center" vertical="top" wrapText="1"/>
    </xf>
    <xf numFmtId="3" fontId="106" fillId="0" borderId="5" xfId="0" applyNumberFormat="1" applyFont="1" applyBorder="1" applyProtection="1"/>
    <xf numFmtId="37" fontId="106" fillId="0" borderId="88" xfId="0" applyNumberFormat="1" applyFont="1" applyBorder="1" applyProtection="1"/>
    <xf numFmtId="0" fontId="106" fillId="0" borderId="88" xfId="0" applyFont="1" applyBorder="1" applyAlignment="1" applyProtection="1">
      <alignment vertical="top"/>
    </xf>
    <xf numFmtId="3" fontId="106" fillId="0" borderId="13" xfId="0" applyNumberFormat="1" applyFont="1" applyFill="1" applyBorder="1" applyProtection="1"/>
    <xf numFmtId="0" fontId="106" fillId="0" borderId="32" xfId="0" applyFont="1" applyBorder="1" applyProtection="1"/>
    <xf numFmtId="0" fontId="81" fillId="0" borderId="0" xfId="0" applyFont="1" applyAlignment="1">
      <alignment horizontal="center"/>
    </xf>
    <xf numFmtId="169" fontId="106" fillId="0" borderId="13" xfId="1" quotePrefix="1" applyNumberFormat="1" applyFont="1" applyBorder="1" applyAlignment="1" applyProtection="1">
      <alignment horizontal="center"/>
    </xf>
    <xf numFmtId="0" fontId="81" fillId="0" borderId="32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169" fontId="106" fillId="0" borderId="13" xfId="1" applyNumberFormat="1" applyFont="1" applyBorder="1" applyAlignment="1" applyProtection="1">
      <alignment horizontal="center"/>
    </xf>
    <xf numFmtId="169" fontId="106" fillId="0" borderId="88" xfId="1" applyNumberFormat="1" applyFont="1" applyBorder="1" applyAlignment="1" applyProtection="1">
      <alignment horizontal="center"/>
    </xf>
    <xf numFmtId="169" fontId="106" fillId="0" borderId="13" xfId="1" applyNumberFormat="1" applyFont="1" applyBorder="1" applyProtection="1"/>
    <xf numFmtId="169" fontId="106" fillId="0" borderId="88" xfId="1" applyNumberFormat="1" applyFont="1" applyBorder="1" applyProtection="1"/>
    <xf numFmtId="169" fontId="106" fillId="0" borderId="88" xfId="1" quotePrefix="1" applyNumberFormat="1" applyFont="1" applyBorder="1" applyAlignment="1" applyProtection="1">
      <alignment horizontal="center"/>
    </xf>
    <xf numFmtId="169" fontId="106" fillId="0" borderId="88" xfId="1" quotePrefix="1" applyNumberFormat="1" applyFont="1" applyBorder="1" applyProtection="1"/>
    <xf numFmtId="37" fontId="107" fillId="0" borderId="4" xfId="0" applyNumberFormat="1" applyFont="1" applyBorder="1" applyProtection="1"/>
    <xf numFmtId="3" fontId="0" fillId="0" borderId="0" xfId="0" applyNumberFormat="1"/>
    <xf numFmtId="3" fontId="106" fillId="0" borderId="88" xfId="0" applyNumberFormat="1" applyFont="1" applyBorder="1" applyProtection="1"/>
    <xf numFmtId="169" fontId="106" fillId="0" borderId="13" xfId="1" quotePrefix="1" applyNumberFormat="1" applyFont="1" applyBorder="1" applyAlignment="1" applyProtection="1">
      <alignment horizontal="right"/>
    </xf>
    <xf numFmtId="3" fontId="106" fillId="0" borderId="13" xfId="0" quotePrefix="1" applyNumberFormat="1" applyFont="1" applyBorder="1" applyAlignment="1" applyProtection="1">
      <alignment horizontal="right"/>
    </xf>
    <xf numFmtId="0" fontId="106" fillId="0" borderId="88" xfId="0" applyFont="1" applyBorder="1" applyAlignment="1" applyProtection="1">
      <alignment horizontal="right"/>
    </xf>
    <xf numFmtId="169" fontId="20" fillId="0" borderId="0" xfId="1" applyNumberFormat="1" applyFont="1"/>
    <xf numFmtId="37" fontId="106" fillId="0" borderId="13" xfId="0" applyNumberFormat="1" applyFont="1" applyBorder="1" applyAlignment="1" applyProtection="1">
      <alignment horizontal="right"/>
    </xf>
    <xf numFmtId="3" fontId="106" fillId="0" borderId="6" xfId="0" applyNumberFormat="1" applyFont="1" applyBorder="1" applyProtection="1"/>
    <xf numFmtId="3" fontId="107" fillId="0" borderId="4" xfId="0" applyNumberFormat="1" applyFont="1" applyBorder="1" applyAlignment="1" applyProtection="1"/>
    <xf numFmtId="169" fontId="106" fillId="0" borderId="13" xfId="1" applyNumberFormat="1" applyFont="1" applyBorder="1" applyAlignment="1" applyProtection="1">
      <alignment horizontal="right"/>
    </xf>
    <xf numFmtId="169" fontId="106" fillId="0" borderId="13" xfId="1" applyNumberFormat="1" applyFont="1" applyBorder="1" applyAlignment="1" applyProtection="1"/>
    <xf numFmtId="166" fontId="108" fillId="0" borderId="0" xfId="1" applyNumberFormat="1" applyFont="1"/>
    <xf numFmtId="166" fontId="109" fillId="0" borderId="0" xfId="1" applyNumberFormat="1" applyFont="1"/>
    <xf numFmtId="3" fontId="106" fillId="0" borderId="13" xfId="0" applyNumberFormat="1" applyFont="1" applyBorder="1" applyAlignment="1" applyProtection="1">
      <alignment horizontal="center"/>
    </xf>
    <xf numFmtId="3" fontId="106" fillId="0" borderId="6" xfId="0" applyNumberFormat="1" applyFont="1" applyBorder="1" applyAlignment="1" applyProtection="1">
      <alignment horizontal="center"/>
    </xf>
    <xf numFmtId="3" fontId="106" fillId="0" borderId="26" xfId="0" applyNumberFormat="1" applyFont="1" applyBorder="1" applyAlignment="1" applyProtection="1">
      <alignment horizontal="center"/>
    </xf>
    <xf numFmtId="3" fontId="106" fillId="0" borderId="89" xfId="0" applyNumberFormat="1" applyFont="1" applyBorder="1" applyAlignment="1" applyProtection="1">
      <alignment horizontal="center"/>
    </xf>
    <xf numFmtId="37" fontId="107" fillId="0" borderId="89" xfId="0" applyNumberFormat="1" applyFont="1" applyBorder="1" applyProtection="1"/>
    <xf numFmtId="37" fontId="107" fillId="0" borderId="60" xfId="0" applyNumberFormat="1" applyFont="1" applyBorder="1" applyProtection="1"/>
    <xf numFmtId="164" fontId="0" fillId="0" borderId="0" xfId="1" applyFont="1"/>
    <xf numFmtId="166" fontId="110" fillId="0" borderId="9" xfId="1" applyNumberFormat="1" applyFont="1" applyBorder="1" applyAlignment="1" applyProtection="1">
      <alignment horizontal="right" vertical="top"/>
    </xf>
    <xf numFmtId="166" fontId="110" fillId="0" borderId="4" xfId="1" applyNumberFormat="1" applyFont="1" applyBorder="1" applyAlignment="1" applyProtection="1">
      <alignment horizontal="right" vertical="top"/>
    </xf>
    <xf numFmtId="168" fontId="43" fillId="0" borderId="13" xfId="0" applyNumberFormat="1" applyFont="1" applyBorder="1" applyAlignment="1" applyProtection="1">
      <alignment vertical="top"/>
    </xf>
    <xf numFmtId="166" fontId="106" fillId="0" borderId="13" xfId="1" applyNumberFormat="1" applyFont="1" applyBorder="1" applyAlignment="1" applyProtection="1">
      <alignment horizontal="center"/>
    </xf>
    <xf numFmtId="166" fontId="106" fillId="0" borderId="13" xfId="1" applyNumberFormat="1" applyFont="1" applyBorder="1" applyProtection="1"/>
    <xf numFmtId="168" fontId="43" fillId="0" borderId="32" xfId="0" applyNumberFormat="1" applyFont="1" applyBorder="1" applyAlignment="1" applyProtection="1">
      <alignment vertical="top"/>
    </xf>
    <xf numFmtId="0" fontId="44" fillId="0" borderId="26" xfId="0" applyFont="1" applyBorder="1" applyAlignment="1" applyProtection="1">
      <alignment vertical="top" wrapText="1"/>
    </xf>
    <xf numFmtId="168" fontId="45" fillId="0" borderId="13" xfId="0" applyNumberFormat="1" applyFont="1" applyBorder="1" applyAlignment="1" applyProtection="1">
      <alignment vertical="top"/>
    </xf>
    <xf numFmtId="168" fontId="12" fillId="0" borderId="13" xfId="0" applyNumberFormat="1" applyFont="1" applyBorder="1" applyAlignment="1" applyProtection="1">
      <alignment vertical="top" wrapText="1"/>
    </xf>
    <xf numFmtId="168" fontId="46" fillId="0" borderId="13" xfId="0" applyNumberFormat="1" applyFont="1" applyBorder="1" applyAlignment="1" applyProtection="1">
      <alignment vertical="top"/>
    </xf>
    <xf numFmtId="0" fontId="2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168" fontId="50" fillId="0" borderId="27" xfId="0" applyNumberFormat="1" applyFont="1" applyBorder="1" applyAlignment="1" applyProtection="1">
      <alignment horizontal="left" vertical="top"/>
    </xf>
    <xf numFmtId="166" fontId="1" fillId="2" borderId="67" xfId="1" applyNumberFormat="1" applyFont="1" applyFill="1" applyBorder="1" applyAlignment="1">
      <alignment horizontal="center" vertical="center" wrapText="1"/>
    </xf>
    <xf numFmtId="0" fontId="97" fillId="0" borderId="16" xfId="0" applyFont="1" applyBorder="1" applyAlignment="1">
      <alignment horizontal="center" vertical="center" wrapText="1"/>
    </xf>
    <xf numFmtId="168" fontId="3" fillId="4" borderId="60" xfId="0" applyNumberFormat="1" applyFont="1" applyFill="1" applyBorder="1" applyAlignment="1" applyProtection="1">
      <alignment horizontal="center"/>
    </xf>
    <xf numFmtId="0" fontId="97" fillId="0" borderId="66" xfId="0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97" fillId="0" borderId="62" xfId="0" applyFont="1" applyBorder="1" applyAlignment="1">
      <alignment horizontal="center"/>
    </xf>
    <xf numFmtId="0" fontId="97" fillId="0" borderId="64" xfId="0" applyFont="1" applyBorder="1" applyAlignment="1">
      <alignment horizontal="center"/>
    </xf>
    <xf numFmtId="0" fontId="1" fillId="0" borderId="69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1" fillId="0" borderId="68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97" fillId="0" borderId="3" xfId="0" applyFont="1" applyBorder="1" applyAlignment="1"/>
    <xf numFmtId="0" fontId="1" fillId="0" borderId="62" xfId="0" applyFont="1" applyBorder="1" applyAlignment="1">
      <alignment horizontal="center" vertical="center" wrapText="1"/>
    </xf>
    <xf numFmtId="0" fontId="97" fillId="0" borderId="11" xfId="0" applyFont="1" applyBorder="1" applyAlignment="1"/>
    <xf numFmtId="168" fontId="3" fillId="4" borderId="5" xfId="0" applyNumberFormat="1" applyFont="1" applyFill="1" applyBorder="1" applyAlignment="1" applyProtection="1">
      <alignment horizontal="center" wrapText="1"/>
    </xf>
    <xf numFmtId="0" fontId="97" fillId="0" borderId="6" xfId="0" applyFont="1" applyBorder="1" applyAlignment="1">
      <alignment horizontal="center" wrapText="1"/>
    </xf>
    <xf numFmtId="0" fontId="1" fillId="0" borderId="71" xfId="0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1" fillId="0" borderId="74" xfId="0" applyFont="1" applyBorder="1" applyAlignment="1">
      <alignment horizontal="center"/>
    </xf>
    <xf numFmtId="168" fontId="3" fillId="4" borderId="13" xfId="0" applyNumberFormat="1" applyFont="1" applyFill="1" applyBorder="1" applyAlignment="1" applyProtection="1">
      <alignment horizontal="center"/>
    </xf>
    <xf numFmtId="0" fontId="97" fillId="0" borderId="6" xfId="0" applyFont="1" applyBorder="1" applyAlignment="1">
      <alignment horizontal="center"/>
    </xf>
    <xf numFmtId="166" fontId="3" fillId="0" borderId="0" xfId="1" applyNumberFormat="1" applyFont="1" applyAlignment="1">
      <alignment horizontal="left"/>
    </xf>
    <xf numFmtId="0" fontId="24" fillId="0" borderId="0" xfId="0" applyFont="1" applyAlignment="1"/>
    <xf numFmtId="0" fontId="97" fillId="0" borderId="0" xfId="0" applyFont="1" applyAlignment="1"/>
    <xf numFmtId="0" fontId="1" fillId="0" borderId="2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166" fontId="3" fillId="0" borderId="0" xfId="1" applyNumberFormat="1" applyFont="1" applyAlignment="1">
      <alignment horizontal="left" wrapText="1"/>
    </xf>
    <xf numFmtId="0" fontId="24" fillId="0" borderId="0" xfId="0" applyFont="1" applyAlignment="1">
      <alignment wrapText="1"/>
    </xf>
    <xf numFmtId="0" fontId="1" fillId="0" borderId="73" xfId="0" applyFont="1" applyBorder="1" applyAlignment="1">
      <alignment horizontal="center"/>
    </xf>
    <xf numFmtId="0" fontId="26" fillId="0" borderId="10" xfId="0" applyFont="1" applyBorder="1" applyAlignment="1"/>
    <xf numFmtId="0" fontId="97" fillId="0" borderId="18" xfId="0" applyFont="1" applyBorder="1" applyAlignment="1"/>
    <xf numFmtId="0" fontId="11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168" fontId="12" fillId="4" borderId="60" xfId="0" applyNumberFormat="1" applyFont="1" applyFill="1" applyBorder="1" applyAlignment="1" applyProtection="1">
      <alignment horizontal="center"/>
    </xf>
    <xf numFmtId="0" fontId="0" fillId="0" borderId="66" xfId="0" applyBorder="1" applyAlignment="1">
      <alignment horizontal="center"/>
    </xf>
    <xf numFmtId="0" fontId="0" fillId="0" borderId="8" xfId="0" applyBorder="1" applyAlignment="1">
      <alignment horizontal="center"/>
    </xf>
    <xf numFmtId="168" fontId="12" fillId="4" borderId="13" xfId="0" applyNumberFormat="1" applyFont="1" applyFill="1" applyBorder="1" applyAlignment="1" applyProtection="1">
      <alignment horizontal="center"/>
    </xf>
    <xf numFmtId="0" fontId="0" fillId="0" borderId="6" xfId="0" applyBorder="1" applyAlignment="1">
      <alignment horizontal="center"/>
    </xf>
    <xf numFmtId="168" fontId="12" fillId="4" borderId="5" xfId="0" applyNumberFormat="1" applyFont="1" applyFill="1" applyBorder="1" applyAlignment="1" applyProtection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3" xfId="0" applyBorder="1" applyAlignment="1"/>
    <xf numFmtId="0" fontId="0" fillId="0" borderId="11" xfId="0" applyBorder="1" applyAlignment="1"/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166" fontId="1" fillId="0" borderId="0" xfId="1" applyNumberFormat="1" applyFont="1" applyAlignment="1">
      <alignment wrapText="1"/>
    </xf>
    <xf numFmtId="0" fontId="55" fillId="0" borderId="0" xfId="0" applyFont="1" applyAlignment="1" applyProtection="1">
      <alignment vertical="top" wrapText="1"/>
    </xf>
    <xf numFmtId="0" fontId="55" fillId="0" borderId="0" xfId="0" applyFont="1" applyAlignment="1" applyProtection="1">
      <alignment vertical="top"/>
    </xf>
    <xf numFmtId="0" fontId="51" fillId="6" borderId="1" xfId="0" applyFont="1" applyFill="1" applyBorder="1" applyAlignment="1">
      <alignment horizontal="center" vertical="top"/>
    </xf>
    <xf numFmtId="0" fontId="51" fillId="6" borderId="2" xfId="0" applyFont="1" applyFill="1" applyBorder="1" applyAlignment="1">
      <alignment horizontal="center" vertical="top"/>
    </xf>
    <xf numFmtId="0" fontId="51" fillId="6" borderId="3" xfId="0" applyFont="1" applyFill="1" applyBorder="1" applyAlignment="1">
      <alignment horizontal="center" vertical="top"/>
    </xf>
    <xf numFmtId="0" fontId="51" fillId="6" borderId="11" xfId="0" applyFont="1" applyFill="1" applyBorder="1" applyAlignment="1">
      <alignment horizontal="center" vertical="top"/>
    </xf>
    <xf numFmtId="0" fontId="4" fillId="0" borderId="75" xfId="0" applyFont="1" applyBorder="1" applyAlignment="1">
      <alignment horizontal="center" vertical="center"/>
    </xf>
    <xf numFmtId="0" fontId="65" fillId="0" borderId="75" xfId="0" applyFont="1" applyBorder="1" applyAlignment="1">
      <alignment horizontal="center" vertical="center"/>
    </xf>
    <xf numFmtId="0" fontId="97" fillId="0" borderId="75" xfId="0" applyFont="1" applyBorder="1" applyAlignment="1">
      <alignment horizontal="center" vertical="center"/>
    </xf>
    <xf numFmtId="0" fontId="97" fillId="0" borderId="1" xfId="0" applyFont="1" applyBorder="1" applyAlignment="1">
      <alignment vertical="center"/>
    </xf>
    <xf numFmtId="0" fontId="97" fillId="0" borderId="2" xfId="0" applyFont="1" applyBorder="1" applyAlignment="1">
      <alignment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center" vertical="center" wrapText="1"/>
    </xf>
    <xf numFmtId="0" fontId="1" fillId="0" borderId="78" xfId="0" applyFont="1" applyBorder="1" applyAlignment="1">
      <alignment horizontal="center" vertical="center" wrapText="1"/>
    </xf>
    <xf numFmtId="0" fontId="1" fillId="0" borderId="6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79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wrapText="1"/>
    </xf>
    <xf numFmtId="0" fontId="1" fillId="0" borderId="81" xfId="0" applyFont="1" applyBorder="1" applyAlignment="1">
      <alignment horizontal="center" vertical="center" wrapText="1"/>
    </xf>
    <xf numFmtId="0" fontId="97" fillId="0" borderId="81" xfId="0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/>
    </xf>
    <xf numFmtId="0" fontId="86" fillId="0" borderId="0" xfId="0" applyFont="1" applyAlignment="1">
      <alignment horizontal="center" wrapText="1"/>
    </xf>
    <xf numFmtId="3" fontId="13" fillId="0" borderId="0" xfId="1" applyNumberFormat="1" applyFont="1" applyAlignment="1" applyProtection="1">
      <alignment horizontal="center"/>
    </xf>
  </cellXfs>
  <cellStyles count="4">
    <cellStyle name="Comma" xfId="1" builtinId="3"/>
    <cellStyle name="Comma 8" xfId="2"/>
    <cellStyle name="Normal" xfId="0" builtinId="0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NO%20NAMEHAMZAM%20HDUsers/hamzasalihu/Downloads/APPROVED%20Capital%202014%2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NO%20NAMEHAMZAM%20HDUsers/hamzasalihu/Downloads/ZMSCALE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15%20Prop.%20Rec.%20Budget%20Council%20Approv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5%20Prop.%20Rec.%20Budget%20ZMHA%20Apprd.xlsxNE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ALHATU%20MUSA%20MORAI\Documents\2015%20PROPOSED%20CAP%2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HAMZAM%20HDUsers/hamzasalihu/Desktop/2015%20PROPOSED%20CAP%2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V.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</sheetNames>
    <sheetDataSet>
      <sheetData sheetId="0">
        <row r="2">
          <cell r="A2" t="str">
            <v>GL/STEP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</row>
        <row r="3">
          <cell r="A3">
            <v>1</v>
          </cell>
          <cell r="B3">
            <v>201395.57893036498</v>
          </cell>
          <cell r="C3">
            <v>202823.57893036498</v>
          </cell>
          <cell r="D3">
            <v>204251.57893036498</v>
          </cell>
          <cell r="E3">
            <v>205679.57893036498</v>
          </cell>
          <cell r="F3">
            <v>207107.57893036498</v>
          </cell>
          <cell r="G3">
            <v>208535.57893036498</v>
          </cell>
          <cell r="H3">
            <v>209963.57893036498</v>
          </cell>
          <cell r="I3">
            <v>211391.57893036498</v>
          </cell>
          <cell r="J3">
            <v>212819.57893036498</v>
          </cell>
          <cell r="K3">
            <v>214247.57893036498</v>
          </cell>
          <cell r="L3">
            <v>215675.57893036498</v>
          </cell>
          <cell r="M3">
            <v>217103.57893036498</v>
          </cell>
          <cell r="N3">
            <v>218531.57893036498</v>
          </cell>
          <cell r="O3">
            <v>219959.57893036498</v>
          </cell>
          <cell r="P3">
            <v>221387.57893036498</v>
          </cell>
        </row>
        <row r="4">
          <cell r="A4">
            <v>2</v>
          </cell>
          <cell r="B4">
            <v>207025.37893036503</v>
          </cell>
          <cell r="C4">
            <v>208933.37893036503</v>
          </cell>
          <cell r="D4">
            <v>210841.37893036503</v>
          </cell>
          <cell r="E4">
            <v>212749.37893036503</v>
          </cell>
          <cell r="F4">
            <v>214657.37893036503</v>
          </cell>
          <cell r="G4">
            <v>216565.37893036503</v>
          </cell>
          <cell r="H4">
            <v>218473.37893036503</v>
          </cell>
          <cell r="I4">
            <v>220381.37893036503</v>
          </cell>
          <cell r="J4">
            <v>222289.37893036503</v>
          </cell>
          <cell r="K4">
            <v>224197.37893036503</v>
          </cell>
          <cell r="L4">
            <v>226105.37893036503</v>
          </cell>
          <cell r="M4">
            <v>228013.37893036503</v>
          </cell>
          <cell r="N4">
            <v>229921.37893036503</v>
          </cell>
          <cell r="O4">
            <v>231829.37893036503</v>
          </cell>
          <cell r="P4">
            <v>233737.37893036503</v>
          </cell>
        </row>
        <row r="5">
          <cell r="A5">
            <v>3</v>
          </cell>
          <cell r="B5">
            <v>209784.17893036499</v>
          </cell>
          <cell r="C5">
            <v>212172.17893036499</v>
          </cell>
          <cell r="D5">
            <v>214560.17893036499</v>
          </cell>
          <cell r="E5">
            <v>216948.17893036499</v>
          </cell>
          <cell r="F5">
            <v>219336.17893036499</v>
          </cell>
          <cell r="G5">
            <v>221724.17893036499</v>
          </cell>
          <cell r="H5">
            <v>224112.17893036499</v>
          </cell>
          <cell r="I5">
            <v>226500.17893036499</v>
          </cell>
          <cell r="J5">
            <v>228888.17893036499</v>
          </cell>
          <cell r="K5">
            <v>231276.17893036499</v>
          </cell>
          <cell r="L5">
            <v>233664.17893036499</v>
          </cell>
          <cell r="M5">
            <v>236052.17893036499</v>
          </cell>
          <cell r="N5">
            <v>238440.17893036499</v>
          </cell>
          <cell r="O5">
            <v>240828.17893036499</v>
          </cell>
          <cell r="P5">
            <v>243216.17893036499</v>
          </cell>
        </row>
        <row r="6">
          <cell r="A6">
            <v>4</v>
          </cell>
          <cell r="B6">
            <v>213070.978930365</v>
          </cell>
          <cell r="C6">
            <v>215938.978930365</v>
          </cell>
          <cell r="D6">
            <v>218806.978930365</v>
          </cell>
          <cell r="E6">
            <v>221674.978930365</v>
          </cell>
          <cell r="F6">
            <v>224542.978930365</v>
          </cell>
          <cell r="G6">
            <v>227410.978930365</v>
          </cell>
          <cell r="H6">
            <v>230278.978930365</v>
          </cell>
          <cell r="I6">
            <v>233146.978930365</v>
          </cell>
          <cell r="J6">
            <v>236014.978930365</v>
          </cell>
          <cell r="K6">
            <v>238882.978930365</v>
          </cell>
          <cell r="L6">
            <v>241750.978930365</v>
          </cell>
          <cell r="M6">
            <v>244618.978930365</v>
          </cell>
          <cell r="N6">
            <v>247486.978930365</v>
          </cell>
          <cell r="O6">
            <v>250354.978930365</v>
          </cell>
          <cell r="P6">
            <v>253222.978930365</v>
          </cell>
        </row>
        <row r="7">
          <cell r="A7">
            <v>5</v>
          </cell>
          <cell r="B7">
            <v>216225.77893036499</v>
          </cell>
          <cell r="C7">
            <v>219561.77893036499</v>
          </cell>
          <cell r="D7">
            <v>222897.77893036499</v>
          </cell>
          <cell r="E7">
            <v>226233.77893036499</v>
          </cell>
          <cell r="F7">
            <v>229569.77893036499</v>
          </cell>
          <cell r="G7">
            <v>232905.77893036499</v>
          </cell>
          <cell r="H7">
            <v>236241.77893036499</v>
          </cell>
          <cell r="I7">
            <v>239577.77893036499</v>
          </cell>
          <cell r="J7">
            <v>242913.77893036499</v>
          </cell>
          <cell r="K7">
            <v>246249.77893036499</v>
          </cell>
          <cell r="L7">
            <v>249585.77893036499</v>
          </cell>
          <cell r="M7">
            <v>252921.77893036499</v>
          </cell>
          <cell r="N7">
            <v>256257.77893036499</v>
          </cell>
          <cell r="O7">
            <v>259593.77893036499</v>
          </cell>
          <cell r="P7">
            <v>262929.77893036499</v>
          </cell>
        </row>
        <row r="8">
          <cell r="A8">
            <v>6</v>
          </cell>
          <cell r="B8">
            <v>221875.37893036497</v>
          </cell>
          <cell r="C8">
            <v>225931.37893036497</v>
          </cell>
          <cell r="D8">
            <v>229987.37893036497</v>
          </cell>
          <cell r="E8">
            <v>234043.37893036497</v>
          </cell>
          <cell r="F8">
            <v>238099.37893036497</v>
          </cell>
          <cell r="G8">
            <v>242155.37893036497</v>
          </cell>
          <cell r="H8">
            <v>246211.37893036497</v>
          </cell>
          <cell r="I8">
            <v>250267.37893036497</v>
          </cell>
          <cell r="J8">
            <v>254323.37893036497</v>
          </cell>
          <cell r="K8">
            <v>258379.37893036497</v>
          </cell>
          <cell r="L8">
            <v>262435.37893036497</v>
          </cell>
          <cell r="M8">
            <v>266491.37893036497</v>
          </cell>
          <cell r="N8">
            <v>270547.37893036497</v>
          </cell>
          <cell r="O8">
            <v>274603.37893036497</v>
          </cell>
          <cell r="P8">
            <v>278659.37893036497</v>
          </cell>
        </row>
        <row r="9">
          <cell r="A9">
            <v>7</v>
          </cell>
          <cell r="B9">
            <v>297698.70240000007</v>
          </cell>
          <cell r="C9">
            <v>302702.70240000007</v>
          </cell>
          <cell r="D9">
            <v>307706.70240000007</v>
          </cell>
          <cell r="E9">
            <v>312710.70240000007</v>
          </cell>
          <cell r="F9">
            <v>317714.70240000007</v>
          </cell>
          <cell r="G9">
            <v>322718.70240000007</v>
          </cell>
          <cell r="H9">
            <v>327722.70240000007</v>
          </cell>
          <cell r="I9">
            <v>332726.70240000007</v>
          </cell>
          <cell r="J9">
            <v>337730.70240000007</v>
          </cell>
          <cell r="K9">
            <v>342734.70240000007</v>
          </cell>
          <cell r="L9">
            <v>347738.70240000007</v>
          </cell>
          <cell r="M9">
            <v>352742.70240000007</v>
          </cell>
          <cell r="N9">
            <v>357746.70240000007</v>
          </cell>
          <cell r="O9">
            <v>362750.70240000007</v>
          </cell>
          <cell r="P9">
            <v>367754.70240000007</v>
          </cell>
        </row>
        <row r="10">
          <cell r="A10">
            <v>8</v>
          </cell>
          <cell r="B10">
            <v>330117.27408</v>
          </cell>
          <cell r="C10">
            <v>336129.27408</v>
          </cell>
          <cell r="D10">
            <v>342141.27408</v>
          </cell>
          <cell r="E10">
            <v>348153.27408</v>
          </cell>
          <cell r="F10">
            <v>354165.27408</v>
          </cell>
          <cell r="G10">
            <v>360177.27408</v>
          </cell>
          <cell r="H10">
            <v>366189.27408</v>
          </cell>
          <cell r="I10">
            <v>372201.27408</v>
          </cell>
          <cell r="J10">
            <v>378213.27408</v>
          </cell>
          <cell r="K10">
            <v>384225.27408</v>
          </cell>
          <cell r="L10">
            <v>390237.27408</v>
          </cell>
          <cell r="M10">
            <v>396249.27408000006</v>
          </cell>
          <cell r="N10">
            <v>402261.27408000006</v>
          </cell>
          <cell r="O10">
            <v>408273.27408000006</v>
          </cell>
          <cell r="P10">
            <v>414285.27408000006</v>
          </cell>
        </row>
        <row r="11">
          <cell r="A11">
            <v>9</v>
          </cell>
          <cell r="B11">
            <v>395353.90619999997</v>
          </cell>
          <cell r="C11">
            <v>402517.90619999997</v>
          </cell>
          <cell r="D11">
            <v>409681.90619999997</v>
          </cell>
          <cell r="E11">
            <v>416845.90619999997</v>
          </cell>
          <cell r="F11">
            <v>424009.90619999997</v>
          </cell>
          <cell r="G11">
            <v>431173.90619999997</v>
          </cell>
          <cell r="H11">
            <v>438337.90619999997</v>
          </cell>
          <cell r="I11">
            <v>445501.90619999997</v>
          </cell>
          <cell r="J11">
            <v>452665.90619999997</v>
          </cell>
          <cell r="K11">
            <v>459829.90619999997</v>
          </cell>
          <cell r="L11">
            <v>466993.90619999997</v>
          </cell>
          <cell r="M11">
            <v>474157.90619999997</v>
          </cell>
          <cell r="N11">
            <v>481321.90619999997</v>
          </cell>
          <cell r="O11">
            <v>488485.90619999997</v>
          </cell>
          <cell r="P11">
            <v>495649.90619999997</v>
          </cell>
        </row>
        <row r="12">
          <cell r="A12">
            <v>10</v>
          </cell>
          <cell r="B12">
            <v>468206.5687200001</v>
          </cell>
          <cell r="C12">
            <v>476090.5687200001</v>
          </cell>
          <cell r="D12">
            <v>483974.5687200001</v>
          </cell>
          <cell r="E12">
            <v>491858.5687200001</v>
          </cell>
          <cell r="F12">
            <v>499742.5687200001</v>
          </cell>
          <cell r="G12">
            <v>507626.5687200001</v>
          </cell>
          <cell r="H12">
            <v>515510.5687200001</v>
          </cell>
          <cell r="I12">
            <v>523394.5687200001</v>
          </cell>
          <cell r="J12">
            <v>531278.5687200001</v>
          </cell>
          <cell r="K12">
            <v>539162.5687200001</v>
          </cell>
          <cell r="L12">
            <v>547046.5687200001</v>
          </cell>
          <cell r="M12">
            <v>554930.5687200001</v>
          </cell>
          <cell r="N12">
            <v>562814.5687200001</v>
          </cell>
          <cell r="O12">
            <v>570698.5687200001</v>
          </cell>
          <cell r="P12">
            <v>578582.5687200001</v>
          </cell>
        </row>
        <row r="13">
          <cell r="A13">
            <v>12</v>
          </cell>
          <cell r="B13">
            <v>527773.0537200002</v>
          </cell>
          <cell r="C13">
            <v>540229.0537200002</v>
          </cell>
          <cell r="D13">
            <v>552685.0537200002</v>
          </cell>
          <cell r="E13">
            <v>565141.0537200002</v>
          </cell>
          <cell r="F13">
            <v>577597.0537200002</v>
          </cell>
          <cell r="G13">
            <v>590053.0537200002</v>
          </cell>
          <cell r="H13">
            <v>602509.0537200002</v>
          </cell>
          <cell r="I13">
            <v>614965.0537200002</v>
          </cell>
          <cell r="J13">
            <v>627421.0537200002</v>
          </cell>
          <cell r="K13">
            <v>639877.0537200002</v>
          </cell>
          <cell r="L13">
            <v>652333.0537200002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13</v>
          </cell>
          <cell r="B14">
            <v>602407.53804000001</v>
          </cell>
          <cell r="C14">
            <v>615583.53804000001</v>
          </cell>
          <cell r="D14">
            <v>628759.53804000001</v>
          </cell>
          <cell r="E14">
            <v>641935.53804000001</v>
          </cell>
          <cell r="F14">
            <v>655111.53804000001</v>
          </cell>
          <cell r="G14">
            <v>668287.53804000001</v>
          </cell>
          <cell r="H14">
            <v>681463.53804000001</v>
          </cell>
          <cell r="I14">
            <v>694639.53804000001</v>
          </cell>
          <cell r="J14">
            <v>707815.53804000001</v>
          </cell>
          <cell r="K14">
            <v>720991.53804000001</v>
          </cell>
          <cell r="L14">
            <v>734167.53804000001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14</v>
          </cell>
          <cell r="B15">
            <v>640731.40824000002</v>
          </cell>
          <cell r="C15">
            <v>654915.40824000002</v>
          </cell>
          <cell r="D15">
            <v>669099.40824000002</v>
          </cell>
          <cell r="E15">
            <v>683283.40824000002</v>
          </cell>
          <cell r="F15">
            <v>697467.40824000002</v>
          </cell>
          <cell r="G15">
            <v>711651.40824000002</v>
          </cell>
          <cell r="H15">
            <v>725835.40824000002</v>
          </cell>
          <cell r="I15">
            <v>740019.40824000002</v>
          </cell>
          <cell r="J15">
            <v>754203.40824000002</v>
          </cell>
          <cell r="K15">
            <v>768387.40824000002</v>
          </cell>
          <cell r="L15">
            <v>782571.40824000002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15</v>
          </cell>
          <cell r="B16">
            <v>620027.89992</v>
          </cell>
          <cell r="C16">
            <v>639179.89992</v>
          </cell>
          <cell r="D16">
            <v>658331.89992</v>
          </cell>
          <cell r="E16">
            <v>677483.89992</v>
          </cell>
          <cell r="F16">
            <v>696635.89992</v>
          </cell>
          <cell r="G16">
            <v>715787.89992</v>
          </cell>
          <cell r="H16">
            <v>734939.89992</v>
          </cell>
          <cell r="I16">
            <v>754091.89992</v>
          </cell>
          <cell r="J16">
            <v>773243.89992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16</v>
          </cell>
          <cell r="B17">
            <v>631249.26084</v>
          </cell>
          <cell r="C17">
            <v>654265.26084</v>
          </cell>
          <cell r="D17">
            <v>677281.26084</v>
          </cell>
          <cell r="E17">
            <v>700297.26084</v>
          </cell>
          <cell r="F17">
            <v>723313.26084</v>
          </cell>
          <cell r="G17">
            <v>746329.26084</v>
          </cell>
          <cell r="H17">
            <v>769345.26084</v>
          </cell>
          <cell r="I17">
            <v>792361.26083999989</v>
          </cell>
          <cell r="J17">
            <v>815377.26083999989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17</v>
          </cell>
          <cell r="B18">
            <v>820624.03909199999</v>
          </cell>
          <cell r="C18">
            <v>850544.83909200004</v>
          </cell>
          <cell r="D18">
            <v>880465.63909200008</v>
          </cell>
          <cell r="E18">
            <v>910386.43909200002</v>
          </cell>
          <cell r="F18">
            <v>940307.23909200006</v>
          </cell>
          <cell r="G18">
            <v>970228.03909199999</v>
          </cell>
          <cell r="H18">
            <v>1000148.839092</v>
          </cell>
          <cell r="I18">
            <v>1030069.6390919999</v>
          </cell>
          <cell r="J18">
            <v>1059990.4390919998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IST"/>
      <sheetName val="GENSUM"/>
      <sheetName val="Ministries Breakdown"/>
      <sheetName val="CRF"/>
      <sheetName val="432 Breakdown"/>
      <sheetName val="Parastatals"/>
      <sheetName val="BUDBRF"/>
      <sheetName val="Revenue"/>
      <sheetName val="SAL TABLE"/>
      <sheetName val="CAPITAL"/>
      <sheetName val="SALARIES"/>
      <sheetName val="OVHC"/>
      <sheetName val="SCHEDU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D21">
            <v>50022048668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IST"/>
      <sheetName val="GENSUM"/>
      <sheetName val="Ministries Breakdown"/>
      <sheetName val="CRF"/>
      <sheetName val="432 Breakdown"/>
      <sheetName val="Parastatals"/>
      <sheetName val="BUDBRF"/>
      <sheetName val="Revenue"/>
      <sheetName val="SAL TABLE"/>
      <sheetName val="CAPITAL"/>
      <sheetName val="SALARIES"/>
      <sheetName val="OVHC"/>
      <sheetName val="SCHEDULE I"/>
      <sheetName val="SCHDULE II"/>
      <sheetName val="SCHDULE 111"/>
      <sheetName val="A7"/>
      <sheetName val="CAP REVENUE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C60">
            <v>14706412500</v>
          </cell>
          <cell r="D60">
            <v>8712000000</v>
          </cell>
          <cell r="E60">
            <v>1583072727</v>
          </cell>
          <cell r="F60">
            <v>6745000000</v>
          </cell>
          <cell r="G60">
            <v>4670000000</v>
          </cell>
        </row>
        <row r="98">
          <cell r="C98">
            <v>962460000</v>
          </cell>
          <cell r="D98">
            <v>394000000</v>
          </cell>
          <cell r="E98">
            <v>0</v>
          </cell>
          <cell r="F98">
            <v>304000000</v>
          </cell>
          <cell r="G98">
            <v>304000000</v>
          </cell>
        </row>
        <row r="121">
          <cell r="C121">
            <v>309892500</v>
          </cell>
          <cell r="D121">
            <v>104000000</v>
          </cell>
          <cell r="E121">
            <v>0</v>
          </cell>
          <cell r="F121">
            <v>0</v>
          </cell>
          <cell r="G121">
            <v>97000000</v>
          </cell>
        </row>
        <row r="134">
          <cell r="C134">
            <v>82812500</v>
          </cell>
          <cell r="D134">
            <v>25000000</v>
          </cell>
          <cell r="E134">
            <v>0</v>
          </cell>
          <cell r="F134">
            <v>25000000</v>
          </cell>
          <cell r="G134">
            <v>25000000</v>
          </cell>
        </row>
        <row r="160">
          <cell r="C160">
            <v>126100000</v>
          </cell>
          <cell r="D160">
            <v>550000000</v>
          </cell>
          <cell r="E160">
            <v>0</v>
          </cell>
          <cell r="F160">
            <v>620000000</v>
          </cell>
          <cell r="G160">
            <v>45000000</v>
          </cell>
        </row>
        <row r="187">
          <cell r="C187">
            <v>9935375000</v>
          </cell>
          <cell r="D187">
            <v>4155000000</v>
          </cell>
          <cell r="E187">
            <v>1379499165</v>
          </cell>
          <cell r="F187">
            <v>0</v>
          </cell>
          <cell r="G187">
            <v>3155000000</v>
          </cell>
        </row>
        <row r="203">
          <cell r="C203">
            <v>63050000</v>
          </cell>
          <cell r="D203">
            <v>150000000</v>
          </cell>
          <cell r="E203">
            <v>0</v>
          </cell>
          <cell r="F203">
            <v>230000000</v>
          </cell>
          <cell r="G203">
            <v>30000000</v>
          </cell>
        </row>
        <row r="253">
          <cell r="C253">
            <v>40628683125</v>
          </cell>
          <cell r="D253">
            <v>19179500000</v>
          </cell>
          <cell r="E253">
            <v>5767501155</v>
          </cell>
          <cell r="F253">
            <v>65678000000</v>
          </cell>
          <cell r="G253">
            <v>12998250000</v>
          </cell>
        </row>
        <row r="313">
          <cell r="C313">
            <v>19867751250</v>
          </cell>
          <cell r="D313">
            <v>7076000000</v>
          </cell>
          <cell r="E313">
            <v>171642983</v>
          </cell>
          <cell r="F313">
            <v>4252000000</v>
          </cell>
          <cell r="G313">
            <v>7124500000</v>
          </cell>
        </row>
        <row r="352">
          <cell r="C352">
            <v>11443575000</v>
          </cell>
          <cell r="D352">
            <v>5045000000</v>
          </cell>
          <cell r="E352">
            <v>31923291</v>
          </cell>
          <cell r="F352">
            <v>7729000000</v>
          </cell>
          <cell r="G352">
            <v>6229000000</v>
          </cell>
        </row>
        <row r="420">
          <cell r="C420">
            <v>4604922500</v>
          </cell>
          <cell r="D420">
            <v>1351000000</v>
          </cell>
          <cell r="E420">
            <v>163063850</v>
          </cell>
          <cell r="F420">
            <v>3954000000</v>
          </cell>
          <cell r="G420">
            <v>1579000000</v>
          </cell>
        </row>
        <row r="444">
          <cell r="C444">
            <v>849650000</v>
          </cell>
          <cell r="D444">
            <v>240000000</v>
          </cell>
          <cell r="E444">
            <v>20000000</v>
          </cell>
          <cell r="F444">
            <v>415000000</v>
          </cell>
          <cell r="G444">
            <v>490000000</v>
          </cell>
        </row>
        <row r="490">
          <cell r="C490">
            <v>2049685000</v>
          </cell>
          <cell r="D490">
            <v>1261800000</v>
          </cell>
          <cell r="E490">
            <v>50000000</v>
          </cell>
          <cell r="F490">
            <v>545000000</v>
          </cell>
          <cell r="G490">
            <v>685000000</v>
          </cell>
        </row>
        <row r="534">
          <cell r="C534">
            <v>7566000000</v>
          </cell>
          <cell r="D534">
            <v>3076000000</v>
          </cell>
          <cell r="E534">
            <v>297334429</v>
          </cell>
          <cell r="F534">
            <v>500000000</v>
          </cell>
          <cell r="G534">
            <v>2400000000</v>
          </cell>
        </row>
        <row r="556">
          <cell r="C556">
            <v>709312500</v>
          </cell>
          <cell r="D556">
            <v>570000000</v>
          </cell>
          <cell r="E556">
            <v>65202577</v>
          </cell>
          <cell r="F556">
            <v>471300000</v>
          </cell>
          <cell r="G556">
            <v>225000000</v>
          </cell>
        </row>
        <row r="578">
          <cell r="C578">
            <v>1261000000</v>
          </cell>
          <cell r="D578">
            <v>750000000</v>
          </cell>
          <cell r="E578">
            <v>68242099</v>
          </cell>
          <cell r="F578">
            <v>600000000</v>
          </cell>
          <cell r="G578">
            <v>400000000</v>
          </cell>
        </row>
        <row r="606">
          <cell r="C606">
            <v>13070337500</v>
          </cell>
          <cell r="D606">
            <v>5265000000</v>
          </cell>
          <cell r="E606">
            <v>1773397729</v>
          </cell>
          <cell r="F606">
            <v>7816750000</v>
          </cell>
          <cell r="G606">
            <v>4385000000</v>
          </cell>
        </row>
        <row r="634">
          <cell r="C634">
            <v>214217500</v>
          </cell>
          <cell r="D634">
            <v>35000000</v>
          </cell>
          <cell r="E634">
            <v>0</v>
          </cell>
          <cell r="F634">
            <v>70000000</v>
          </cell>
          <cell r="G634">
            <v>70000000</v>
          </cell>
        </row>
        <row r="831">
          <cell r="C831">
            <v>17123370625</v>
          </cell>
          <cell r="D831">
            <v>8870250000</v>
          </cell>
          <cell r="E831">
            <v>1274683257</v>
          </cell>
          <cell r="F831">
            <v>5378250000</v>
          </cell>
          <cell r="G831">
            <v>6362250000</v>
          </cell>
        </row>
        <row r="832">
          <cell r="C832">
            <v>145574607500</v>
          </cell>
          <cell r="D832">
            <v>66809550000</v>
          </cell>
          <cell r="E832">
            <v>12645563262</v>
          </cell>
          <cell r="F832">
            <v>105333300000</v>
          </cell>
          <cell r="G832">
            <v>51274000000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IST"/>
      <sheetName val="GENSUM"/>
      <sheetName val="Ministries Breakdown"/>
      <sheetName val="CRF"/>
      <sheetName val="432 Breakdown"/>
      <sheetName val="Parastatals"/>
      <sheetName val="BUDBRF"/>
      <sheetName val="Revenue"/>
      <sheetName val="SAL TABLE"/>
      <sheetName val="CAPITAL"/>
      <sheetName val="SALARIES"/>
      <sheetName val="OVHC"/>
      <sheetName val="SCHEDULE I"/>
      <sheetName val="SCHDULE II"/>
      <sheetName val="SCHDULE 11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0">
          <cell r="C60">
            <v>14548787500</v>
          </cell>
          <cell r="H60">
            <v>4898250000</v>
          </cell>
          <cell r="I60">
            <v>5143162500</v>
          </cell>
        </row>
        <row r="98">
          <cell r="H98">
            <v>321200000</v>
          </cell>
          <cell r="I98">
            <v>337260000</v>
          </cell>
        </row>
        <row r="121">
          <cell r="H121">
            <v>103850000</v>
          </cell>
          <cell r="I121">
            <v>109042500</v>
          </cell>
        </row>
        <row r="134">
          <cell r="H134">
            <v>28250000</v>
          </cell>
          <cell r="I134">
            <v>29562500</v>
          </cell>
        </row>
        <row r="160">
          <cell r="H160">
            <v>47250000</v>
          </cell>
          <cell r="I160">
            <v>49612500</v>
          </cell>
        </row>
        <row r="187">
          <cell r="H187">
            <v>3307500000</v>
          </cell>
          <cell r="I187">
            <v>3472875000</v>
          </cell>
        </row>
        <row r="212">
          <cell r="H212">
            <v>31500000</v>
          </cell>
          <cell r="I212">
            <v>33075000</v>
          </cell>
        </row>
        <row r="262">
          <cell r="H262">
            <v>13522162500</v>
          </cell>
          <cell r="I262">
            <v>14198270625</v>
          </cell>
        </row>
        <row r="322">
          <cell r="H322">
            <v>7480725000</v>
          </cell>
          <cell r="I322">
            <v>7854761250</v>
          </cell>
        </row>
        <row r="361">
          <cell r="H361">
            <v>6540450000</v>
          </cell>
          <cell r="I361">
            <v>6867472500</v>
          </cell>
        </row>
        <row r="429">
          <cell r="H429">
            <v>1500450000</v>
          </cell>
          <cell r="I429">
            <v>1575472500</v>
          </cell>
        </row>
        <row r="451">
          <cell r="H451" t="str">
            <v>10t</v>
          </cell>
          <cell r="I451" t="str">
            <v>10t</v>
          </cell>
        </row>
        <row r="497">
          <cell r="H497">
            <v>0</v>
          </cell>
          <cell r="I497">
            <v>0</v>
          </cell>
        </row>
        <row r="541">
          <cell r="H541">
            <v>52500000</v>
          </cell>
          <cell r="I541">
            <v>55125000</v>
          </cell>
        </row>
        <row r="563">
          <cell r="H563">
            <v>5250000</v>
          </cell>
          <cell r="I563">
            <v>5512500</v>
          </cell>
        </row>
        <row r="585">
          <cell r="H585">
            <v>52500000</v>
          </cell>
          <cell r="I585">
            <v>55125000</v>
          </cell>
        </row>
        <row r="613">
          <cell r="H613">
            <v>31500000</v>
          </cell>
          <cell r="I613">
            <v>33075000</v>
          </cell>
        </row>
        <row r="641">
          <cell r="H641" t="str">
            <v>10t</v>
          </cell>
          <cell r="I641" t="str">
            <v>10t</v>
          </cell>
        </row>
        <row r="838">
          <cell r="H838">
            <v>0</v>
          </cell>
          <cell r="I83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7"/>
      <sheetName val="CAPITAL"/>
      <sheetName val="REV."/>
    </sheetNames>
    <sheetDataSet>
      <sheetData sheetId="0"/>
      <sheetData sheetId="1">
        <row r="60">
          <cell r="C60">
            <v>14548787500</v>
          </cell>
          <cell r="D60">
            <v>8712000000</v>
          </cell>
          <cell r="E60">
            <v>1583072727</v>
          </cell>
          <cell r="F60">
            <v>6745000000</v>
          </cell>
          <cell r="G60">
            <v>4620000000</v>
          </cell>
          <cell r="H60">
            <v>4845750000</v>
          </cell>
          <cell r="I60">
            <v>5088037500</v>
          </cell>
        </row>
        <row r="98">
          <cell r="C98">
            <v>962460000</v>
          </cell>
          <cell r="D98">
            <v>394000000</v>
          </cell>
          <cell r="E98">
            <v>0</v>
          </cell>
          <cell r="F98">
            <v>304000000</v>
          </cell>
          <cell r="G98">
            <v>304000000</v>
          </cell>
          <cell r="H98">
            <v>321200000</v>
          </cell>
          <cell r="I98">
            <v>337260000</v>
          </cell>
        </row>
        <row r="121">
          <cell r="C121">
            <v>309892500</v>
          </cell>
          <cell r="D121">
            <v>104000000</v>
          </cell>
          <cell r="E121">
            <v>0</v>
          </cell>
          <cell r="F121">
            <v>0</v>
          </cell>
          <cell r="G121">
            <v>97000000</v>
          </cell>
          <cell r="H121">
            <v>103850000</v>
          </cell>
          <cell r="I121">
            <v>109042500</v>
          </cell>
        </row>
        <row r="134">
          <cell r="C134">
            <v>82812500</v>
          </cell>
          <cell r="D134">
            <v>25000000</v>
          </cell>
          <cell r="E134">
            <v>0</v>
          </cell>
          <cell r="F134">
            <v>25000000</v>
          </cell>
          <cell r="G134">
            <v>25000000</v>
          </cell>
          <cell r="H134">
            <v>28250000</v>
          </cell>
          <cell r="I134">
            <v>29562500</v>
          </cell>
        </row>
        <row r="160">
          <cell r="C160">
            <v>126100000</v>
          </cell>
          <cell r="D160">
            <v>550000000</v>
          </cell>
          <cell r="E160">
            <v>0</v>
          </cell>
          <cell r="F160">
            <v>620000000</v>
          </cell>
          <cell r="G160">
            <v>90000000</v>
          </cell>
          <cell r="H160">
            <v>94500000</v>
          </cell>
          <cell r="I160">
            <v>99225000</v>
          </cell>
        </row>
        <row r="187">
          <cell r="C187">
            <v>9935375000</v>
          </cell>
          <cell r="D187">
            <v>4155000000</v>
          </cell>
          <cell r="E187">
            <v>1379499165</v>
          </cell>
          <cell r="F187">
            <v>0</v>
          </cell>
          <cell r="G187">
            <v>3155000000</v>
          </cell>
          <cell r="H187">
            <v>3307500000</v>
          </cell>
          <cell r="I187">
            <v>3472875000</v>
          </cell>
        </row>
        <row r="212">
          <cell r="C212">
            <v>409825000</v>
          </cell>
          <cell r="D212">
            <v>150000000</v>
          </cell>
          <cell r="E212">
            <v>0</v>
          </cell>
          <cell r="F212">
            <v>230000000</v>
          </cell>
          <cell r="G212">
            <v>140000000</v>
          </cell>
          <cell r="H212">
            <v>147000000</v>
          </cell>
          <cell r="I212">
            <v>154350000</v>
          </cell>
        </row>
        <row r="262">
          <cell r="C262">
            <v>40628683125</v>
          </cell>
          <cell r="D262">
            <v>19179500000</v>
          </cell>
          <cell r="E262">
            <v>5767501155</v>
          </cell>
          <cell r="F262">
            <v>65678000000</v>
          </cell>
          <cell r="G262">
            <v>12998250000</v>
          </cell>
          <cell r="H262">
            <v>13522162500</v>
          </cell>
          <cell r="I262">
            <v>14198270625</v>
          </cell>
        </row>
        <row r="322">
          <cell r="C322">
            <v>20083001250</v>
          </cell>
          <cell r="D322">
            <v>7076000000</v>
          </cell>
          <cell r="E322">
            <v>171642983</v>
          </cell>
          <cell r="F322">
            <v>4252000000</v>
          </cell>
          <cell r="G322">
            <v>7124500000</v>
          </cell>
          <cell r="H322">
            <v>7480725000</v>
          </cell>
          <cell r="I322">
            <v>7854761250</v>
          </cell>
        </row>
        <row r="361">
          <cell r="C361">
            <v>11443575000</v>
          </cell>
          <cell r="D361">
            <v>5045000000</v>
          </cell>
          <cell r="E361">
            <v>31923291</v>
          </cell>
          <cell r="F361">
            <v>7729000000</v>
          </cell>
          <cell r="G361">
            <v>6229000000</v>
          </cell>
          <cell r="H361">
            <v>6540450000</v>
          </cell>
          <cell r="I361">
            <v>6867472500</v>
          </cell>
        </row>
        <row r="429">
          <cell r="C429">
            <v>4604922500</v>
          </cell>
          <cell r="D429">
            <v>1351000000</v>
          </cell>
          <cell r="E429">
            <v>163063850</v>
          </cell>
          <cell r="F429">
            <v>3954000000</v>
          </cell>
          <cell r="G429">
            <v>1579000000</v>
          </cell>
          <cell r="H429">
            <v>1500450000</v>
          </cell>
          <cell r="I429">
            <v>1575472500</v>
          </cell>
        </row>
        <row r="451">
          <cell r="C451">
            <v>849650000</v>
          </cell>
          <cell r="D451">
            <v>240000000</v>
          </cell>
          <cell r="E451">
            <v>20000000</v>
          </cell>
          <cell r="F451">
            <v>415000000</v>
          </cell>
          <cell r="G451">
            <v>290000000</v>
          </cell>
          <cell r="H451">
            <v>273000000</v>
          </cell>
          <cell r="I451">
            <v>286650000</v>
          </cell>
        </row>
        <row r="497">
          <cell r="C497">
            <v>2049685000</v>
          </cell>
          <cell r="D497">
            <v>1261800000</v>
          </cell>
          <cell r="E497">
            <v>50000000</v>
          </cell>
          <cell r="F497">
            <v>545000000</v>
          </cell>
          <cell r="G497">
            <v>685000000</v>
          </cell>
          <cell r="H497">
            <v>665700000</v>
          </cell>
          <cell r="I497">
            <v>698985000</v>
          </cell>
        </row>
        <row r="541">
          <cell r="C541">
            <v>7566000000</v>
          </cell>
          <cell r="D541">
            <v>3076000000</v>
          </cell>
          <cell r="E541">
            <v>297334429</v>
          </cell>
          <cell r="F541">
            <v>500000000</v>
          </cell>
          <cell r="G541">
            <v>2400000000</v>
          </cell>
          <cell r="H541">
            <v>2520000000</v>
          </cell>
          <cell r="I541">
            <v>2646000000</v>
          </cell>
        </row>
        <row r="563">
          <cell r="C563">
            <v>709312500</v>
          </cell>
          <cell r="D563">
            <v>570000000</v>
          </cell>
          <cell r="E563">
            <v>65202577</v>
          </cell>
          <cell r="F563">
            <v>471300000</v>
          </cell>
          <cell r="G563">
            <v>225000000</v>
          </cell>
          <cell r="H563">
            <v>236250000</v>
          </cell>
          <cell r="I563">
            <v>248062500</v>
          </cell>
        </row>
        <row r="585">
          <cell r="C585">
            <v>1261000000</v>
          </cell>
          <cell r="D585">
            <v>750000000</v>
          </cell>
          <cell r="E585">
            <v>68242099</v>
          </cell>
          <cell r="F585">
            <v>600000000</v>
          </cell>
          <cell r="G585">
            <v>400000000</v>
          </cell>
          <cell r="H585">
            <v>420000000</v>
          </cell>
          <cell r="I585">
            <v>441000000</v>
          </cell>
        </row>
        <row r="613">
          <cell r="C613">
            <v>17276212500</v>
          </cell>
          <cell r="D613">
            <v>5265000000</v>
          </cell>
          <cell r="E613">
            <v>1773397729</v>
          </cell>
          <cell r="F613">
            <v>7766750000</v>
          </cell>
          <cell r="G613">
            <v>5685000000</v>
          </cell>
          <cell r="H613">
            <v>5654250000</v>
          </cell>
          <cell r="I613">
            <v>5936962500</v>
          </cell>
        </row>
        <row r="641">
          <cell r="C641">
            <v>214217500</v>
          </cell>
          <cell r="D641">
            <v>35000000</v>
          </cell>
          <cell r="E641">
            <v>0</v>
          </cell>
          <cell r="F641">
            <v>70000000</v>
          </cell>
          <cell r="G641">
            <v>70000000</v>
          </cell>
          <cell r="H641">
            <v>70350000</v>
          </cell>
          <cell r="I641">
            <v>73867500</v>
          </cell>
        </row>
        <row r="838">
          <cell r="C838">
            <v>22690685625</v>
          </cell>
          <cell r="D838">
            <v>8870250000</v>
          </cell>
          <cell r="E838">
            <v>1274683257</v>
          </cell>
          <cell r="F838">
            <v>5378250000</v>
          </cell>
          <cell r="G838">
            <v>7428250000</v>
          </cell>
          <cell r="H838">
            <v>7619062500</v>
          </cell>
          <cell r="I838">
            <v>7988623125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H31"/>
  <sheetViews>
    <sheetView topLeftCell="A19" zoomScale="150" workbookViewId="0">
      <selection activeCell="D22" sqref="D22"/>
    </sheetView>
  </sheetViews>
  <sheetFormatPr defaultColWidth="8.85546875" defaultRowHeight="15"/>
  <cols>
    <col min="1" max="1" width="5.85546875" style="190" customWidth="1"/>
    <col min="2" max="2" width="19.42578125" style="190" customWidth="1"/>
    <col min="3" max="5" width="16.85546875" style="190" customWidth="1"/>
    <col min="6" max="6" width="17.7109375" style="190" customWidth="1"/>
    <col min="7" max="7" width="7.42578125" style="190" hidden="1" customWidth="1"/>
    <col min="8" max="8" width="10.140625" style="190" customWidth="1"/>
    <col min="9" max="16384" width="8.85546875" style="190"/>
  </cols>
  <sheetData>
    <row r="1" spans="1:8">
      <c r="A1" s="1031" t="s">
        <v>3881</v>
      </c>
      <c r="B1" s="1031"/>
      <c r="C1" s="1031"/>
      <c r="D1" s="1031"/>
      <c r="E1" s="1031"/>
      <c r="F1" s="1031"/>
      <c r="G1" s="204"/>
      <c r="H1" s="184"/>
    </row>
    <row r="2" spans="1:8">
      <c r="A2" s="1032" t="s">
        <v>5508</v>
      </c>
      <c r="B2" s="1031"/>
      <c r="C2" s="1031"/>
      <c r="D2" s="1031"/>
      <c r="E2" s="1031"/>
      <c r="F2" s="1031"/>
      <c r="G2" s="204"/>
      <c r="H2" s="184"/>
    </row>
    <row r="3" spans="1:8">
      <c r="A3" s="1032" t="s">
        <v>5509</v>
      </c>
      <c r="B3" s="1031"/>
      <c r="C3" s="1031"/>
      <c r="D3" s="1031"/>
      <c r="E3" s="1031"/>
      <c r="F3" s="1031"/>
      <c r="G3" s="1031"/>
      <c r="H3" s="184"/>
    </row>
    <row r="4" spans="1:8">
      <c r="A4" s="205"/>
      <c r="B4" s="205"/>
      <c r="C4" s="206"/>
      <c r="D4" s="206"/>
      <c r="E4" s="206"/>
      <c r="F4" s="206"/>
      <c r="G4" s="204"/>
      <c r="H4" s="184"/>
    </row>
    <row r="5" spans="1:8" ht="25.5">
      <c r="A5" s="207" t="s">
        <v>2791</v>
      </c>
      <c r="B5" s="207" t="s">
        <v>1624</v>
      </c>
      <c r="C5" s="250" t="s">
        <v>4194</v>
      </c>
      <c r="D5" s="250" t="s">
        <v>5510</v>
      </c>
      <c r="E5" s="250" t="s">
        <v>4174</v>
      </c>
      <c r="F5" s="250" t="s">
        <v>4255</v>
      </c>
      <c r="G5" s="204"/>
      <c r="H5" s="184"/>
    </row>
    <row r="6" spans="1:8">
      <c r="A6" s="208">
        <v>1</v>
      </c>
      <c r="B6" s="208" t="s">
        <v>2538</v>
      </c>
      <c r="C6" s="228">
        <f>BUDBRF!C5</f>
        <v>45121821455</v>
      </c>
      <c r="D6" s="228">
        <f>BUDBRF!F5</f>
        <v>45264866794.940002</v>
      </c>
      <c r="E6" s="228" t="str">
        <f>Revenue!E284</f>
        <v>PROJECTED 2016</v>
      </c>
      <c r="F6" s="228" t="str">
        <f>Revenue!F284</f>
        <v>PROJECTED 2017</v>
      </c>
      <c r="G6" s="204"/>
      <c r="H6" s="184"/>
    </row>
    <row r="7" spans="1:8" ht="25.5">
      <c r="A7" s="208">
        <v>2</v>
      </c>
      <c r="B7" s="208" t="s">
        <v>2278</v>
      </c>
      <c r="C7" s="228">
        <f>BUDBRF!C7</f>
        <v>9741982155</v>
      </c>
      <c r="D7" s="228">
        <f>BUDBRF!F7</f>
        <v>813428792</v>
      </c>
      <c r="E7" s="228">
        <f>Revenue!E285</f>
        <v>46170164130.838806</v>
      </c>
      <c r="F7" s="228">
        <f>Revenue!F285</f>
        <v>47093567413.455582</v>
      </c>
      <c r="G7" s="204"/>
      <c r="H7" s="184"/>
    </row>
    <row r="8" spans="1:8">
      <c r="A8" s="208">
        <v>3</v>
      </c>
      <c r="B8" s="254" t="s">
        <v>3088</v>
      </c>
      <c r="C8" s="228">
        <f>BUDBRF!C9</f>
        <v>0</v>
      </c>
      <c r="D8" s="228">
        <f>+Revenue!G18</f>
        <v>0</v>
      </c>
      <c r="E8" s="228">
        <f>+Revenue!H18</f>
        <v>0</v>
      </c>
      <c r="F8" s="228">
        <f>+Revenue!I18</f>
        <v>0</v>
      </c>
      <c r="G8" s="204"/>
      <c r="H8" s="184"/>
    </row>
    <row r="9" spans="1:8" ht="25.5">
      <c r="A9" s="208">
        <v>4</v>
      </c>
      <c r="B9" s="208" t="s">
        <v>2530</v>
      </c>
      <c r="C9" s="228">
        <f>BUDBRF!C11</f>
        <v>3116964852</v>
      </c>
      <c r="D9" s="228">
        <f>Revenue!D14</f>
        <v>4086798421</v>
      </c>
      <c r="E9" s="228">
        <f>Revenue!E14</f>
        <v>4168534389.4200001</v>
      </c>
      <c r="F9" s="228">
        <f>Revenue!F14</f>
        <v>4251905077.2083998</v>
      </c>
      <c r="G9" s="204"/>
      <c r="H9" s="184"/>
    </row>
    <row r="10" spans="1:8">
      <c r="A10" s="208"/>
      <c r="B10" s="208"/>
      <c r="C10" s="209"/>
      <c r="D10" s="209"/>
      <c r="E10" s="209"/>
      <c r="F10" s="209"/>
      <c r="G10" s="204"/>
      <c r="H10" s="184"/>
    </row>
    <row r="11" spans="1:8">
      <c r="A11" s="210"/>
      <c r="B11" s="210" t="s">
        <v>2531</v>
      </c>
      <c r="C11" s="211">
        <f>SUM(C6:C10)</f>
        <v>57980768462</v>
      </c>
      <c r="D11" s="211">
        <f>SUM(D6:D10)</f>
        <v>50165094007.940002</v>
      </c>
      <c r="E11" s="211">
        <f>SUM(E6:E10)</f>
        <v>50338698520.258804</v>
      </c>
      <c r="F11" s="211">
        <f>SUM(F6:F10)</f>
        <v>51345472490.663979</v>
      </c>
      <c r="G11" s="204"/>
      <c r="H11" s="184"/>
    </row>
    <row r="12" spans="1:8" ht="18.75" customHeight="1">
      <c r="A12" s="1033" t="s">
        <v>2482</v>
      </c>
      <c r="B12" s="1033"/>
      <c r="C12" s="1033"/>
      <c r="D12" s="1033"/>
      <c r="E12" s="1033"/>
      <c r="F12" s="1033"/>
      <c r="G12" s="204"/>
      <c r="H12" s="184"/>
    </row>
    <row r="13" spans="1:8" ht="25.5">
      <c r="A13" s="210"/>
      <c r="B13" s="210"/>
      <c r="C13" s="250" t="s">
        <v>4194</v>
      </c>
      <c r="D13" s="250" t="s">
        <v>5510</v>
      </c>
      <c r="E13" s="250" t="s">
        <v>4174</v>
      </c>
      <c r="F13" s="250" t="s">
        <v>4255</v>
      </c>
      <c r="G13" s="212" t="s">
        <v>1172</v>
      </c>
      <c r="H13" s="212" t="s">
        <v>4063</v>
      </c>
    </row>
    <row r="14" spans="1:8" ht="25.5">
      <c r="A14" s="210" t="s">
        <v>2483</v>
      </c>
      <c r="B14" s="210" t="s">
        <v>2484</v>
      </c>
      <c r="C14" s="211">
        <f>+C11*0.1</f>
        <v>5798076846.2000008</v>
      </c>
      <c r="D14" s="211">
        <f>+D11*0.1</f>
        <v>5016509400.7940006</v>
      </c>
      <c r="E14" s="211">
        <f>+E11*0.1</f>
        <v>5033869852.0258808</v>
      </c>
      <c r="F14" s="211">
        <f>+F11*0.1</f>
        <v>5134547249.0663977</v>
      </c>
      <c r="G14" s="204"/>
      <c r="H14" s="278">
        <f>D14/D19*100</f>
        <v>10</v>
      </c>
    </row>
    <row r="15" spans="1:8" ht="25.5">
      <c r="A15" s="210" t="s">
        <v>2485</v>
      </c>
      <c r="B15" s="210" t="s">
        <v>1164</v>
      </c>
      <c r="C15" s="211">
        <f>+C11*0.45</f>
        <v>26091345807.900002</v>
      </c>
      <c r="D15" s="211">
        <f>+D11*0.45</f>
        <v>22574292303.573002</v>
      </c>
      <c r="E15" s="211">
        <f>+E11*0.45</f>
        <v>22652414334.116463</v>
      </c>
      <c r="F15" s="211">
        <f>+F11*0.45</f>
        <v>23105462620.79879</v>
      </c>
      <c r="G15" s="204"/>
      <c r="H15" s="278">
        <f>D15/D19*100</f>
        <v>45</v>
      </c>
    </row>
    <row r="16" spans="1:8" ht="25.5">
      <c r="A16" s="210" t="s">
        <v>1165</v>
      </c>
      <c r="B16" s="210" t="s">
        <v>1166</v>
      </c>
      <c r="C16" s="211">
        <f>+C11*0.2</f>
        <v>11596153692.400002</v>
      </c>
      <c r="D16" s="211">
        <f>+D11*0.2</f>
        <v>10033018801.588001</v>
      </c>
      <c r="E16" s="211">
        <f>+E11*0.2</f>
        <v>10067739704.051762</v>
      </c>
      <c r="F16" s="211">
        <f>+F11*0.2</f>
        <v>10269094498.132795</v>
      </c>
      <c r="G16" s="204"/>
      <c r="H16" s="278">
        <f>D16/D19*100</f>
        <v>20</v>
      </c>
    </row>
    <row r="17" spans="1:8" ht="25.5">
      <c r="A17" s="210" t="s">
        <v>1167</v>
      </c>
      <c r="B17" s="210" t="s">
        <v>1168</v>
      </c>
      <c r="C17" s="211">
        <f>+C11*0.2</f>
        <v>11596153692.400002</v>
      </c>
      <c r="D17" s="211">
        <f>+D11*0.2</f>
        <v>10033018801.588001</v>
      </c>
      <c r="E17" s="211">
        <f>+E11*0.2</f>
        <v>10067739704.051762</v>
      </c>
      <c r="F17" s="211">
        <f>+F11*0.2</f>
        <v>10269094498.132795</v>
      </c>
      <c r="G17" s="204"/>
      <c r="H17" s="278">
        <f>D17/D19*100</f>
        <v>20</v>
      </c>
    </row>
    <row r="18" spans="1:8" ht="25.5">
      <c r="A18" s="210" t="s">
        <v>1169</v>
      </c>
      <c r="B18" s="210" t="s">
        <v>1170</v>
      </c>
      <c r="C18" s="211">
        <f>+C11*0.05</f>
        <v>2899038423.1000004</v>
      </c>
      <c r="D18" s="211">
        <f>+D11*0.05</f>
        <v>2508254700.3970003</v>
      </c>
      <c r="E18" s="211">
        <f>+E11*0.05</f>
        <v>2516934926.0129404</v>
      </c>
      <c r="F18" s="211">
        <f>+F11*0.05</f>
        <v>2567273624.5331988</v>
      </c>
      <c r="G18" s="204"/>
      <c r="H18" s="278">
        <f>D18/D19*100</f>
        <v>5</v>
      </c>
    </row>
    <row r="19" spans="1:8" ht="15.75">
      <c r="A19" s="210" t="s">
        <v>1171</v>
      </c>
      <c r="B19" s="210" t="s">
        <v>2531</v>
      </c>
      <c r="C19" s="211">
        <f>SUM(C14:C18)</f>
        <v>57980768462</v>
      </c>
      <c r="D19" s="211">
        <f>SUM(D14:D18)</f>
        <v>50165094007.940002</v>
      </c>
      <c r="E19" s="211">
        <f>SUM(E14:E18)</f>
        <v>50338698520.258804</v>
      </c>
      <c r="F19" s="211">
        <f>SUM(F14:F18)</f>
        <v>51345472490.663979</v>
      </c>
      <c r="G19" s="204"/>
      <c r="H19" s="278">
        <f>SUM(H14:H18)</f>
        <v>100</v>
      </c>
    </row>
    <row r="20" spans="1:8">
      <c r="A20" s="325" t="s">
        <v>4256</v>
      </c>
      <c r="C20" s="206"/>
      <c r="D20" s="206"/>
      <c r="E20" s="206"/>
      <c r="F20" s="206"/>
      <c r="G20" s="204"/>
      <c r="H20" s="184"/>
    </row>
    <row r="21" spans="1:8" ht="25.5">
      <c r="A21" s="210"/>
      <c r="B21" s="210"/>
      <c r="C21" s="250" t="s">
        <v>4194</v>
      </c>
      <c r="D21" s="250" t="s">
        <v>5510</v>
      </c>
      <c r="E21" s="250" t="s">
        <v>4174</v>
      </c>
      <c r="F21" s="250" t="s">
        <v>4255</v>
      </c>
      <c r="G21" s="212" t="s">
        <v>1172</v>
      </c>
      <c r="H21" s="316" t="s">
        <v>4063</v>
      </c>
    </row>
    <row r="22" spans="1:8">
      <c r="A22" s="210" t="s">
        <v>2483</v>
      </c>
      <c r="B22" s="210" t="s">
        <v>1173</v>
      </c>
      <c r="C22" s="211">
        <f>GENSUM!E74</f>
        <v>5304968503.9174995</v>
      </c>
      <c r="D22" s="211">
        <f>GENSUM!J74</f>
        <v>3719178844.0775003</v>
      </c>
      <c r="E22" s="211">
        <f>D22*1.02</f>
        <v>3793562420.9590502</v>
      </c>
      <c r="F22" s="211">
        <f>D22*1.04</f>
        <v>3867945997.8406005</v>
      </c>
      <c r="G22" s="213">
        <f>F22/F27</f>
        <v>7.5331783119610002E-2</v>
      </c>
      <c r="H22" s="276">
        <f>D22/D27*100</f>
        <v>7.4138779516466924</v>
      </c>
    </row>
    <row r="23" spans="1:8">
      <c r="A23" s="210" t="s">
        <v>2485</v>
      </c>
      <c r="B23" s="210" t="s">
        <v>1837</v>
      </c>
      <c r="C23" s="211">
        <f>GENSUM!C78</f>
        <v>17915377743.642075</v>
      </c>
      <c r="D23" s="211">
        <f>GENSUM!H78</f>
        <v>17537984896.767841</v>
      </c>
      <c r="E23" s="211">
        <f>D23*1.02-880</f>
        <v>17888743714.703197</v>
      </c>
      <c r="F23" s="211">
        <f>D23*1.04</f>
        <v>18239504292.638557</v>
      </c>
      <c r="G23" s="213">
        <f>F23/F27</f>
        <v>0.35523101469082796</v>
      </c>
      <c r="H23" s="276">
        <f>D23/D27*100</f>
        <v>34.960534298992791</v>
      </c>
    </row>
    <row r="24" spans="1:8">
      <c r="A24" s="210" t="s">
        <v>1165</v>
      </c>
      <c r="B24" s="210" t="s">
        <v>941</v>
      </c>
      <c r="C24" s="211">
        <f>GENSUM!E73+GENSUM!E77</f>
        <v>15454550749.75</v>
      </c>
      <c r="D24" s="211">
        <f>GENSUM!I73+GENSUM!I77</f>
        <v>13673625509</v>
      </c>
      <c r="E24" s="211">
        <f>D24*1.02</f>
        <v>13947098019.18</v>
      </c>
      <c r="F24" s="211">
        <f>D24*1.04</f>
        <v>14220570529.360001</v>
      </c>
      <c r="G24" s="213">
        <f>F24/F27</f>
        <v>0.27695860685566176</v>
      </c>
      <c r="H24" s="276">
        <f>D24/D27*100</f>
        <v>27.257250842260504</v>
      </c>
    </row>
    <row r="25" spans="1:8">
      <c r="A25" s="210" t="s">
        <v>1167</v>
      </c>
      <c r="B25" s="210" t="s">
        <v>942</v>
      </c>
      <c r="C25" s="211">
        <f>C11-(C22+C23+C24+C26)</f>
        <v>9986867167.6904297</v>
      </c>
      <c r="D25" s="211">
        <f>D11-(D22+D23+D24+D26)</f>
        <v>10968317167.994667</v>
      </c>
      <c r="E25" s="211">
        <f>E11-(E22+E23+E24+E26)</f>
        <v>10357987023.514557</v>
      </c>
      <c r="F25" s="211">
        <f>F11-(F22+F23+F24+F26)</f>
        <v>10580824577.120819</v>
      </c>
      <c r="G25" s="213">
        <f>F25/F27</f>
        <v>0.2060712281700145</v>
      </c>
      <c r="H25" s="276">
        <f>D25/D27*100</f>
        <v>21.864440573476511</v>
      </c>
    </row>
    <row r="26" spans="1:8">
      <c r="A26" s="210" t="s">
        <v>1169</v>
      </c>
      <c r="B26" s="210" t="s">
        <v>943</v>
      </c>
      <c r="C26" s="211">
        <f>GENSUM!E75</f>
        <v>9319004297</v>
      </c>
      <c r="D26" s="211">
        <f>GENSUM!J75</f>
        <v>4265987590.0999999</v>
      </c>
      <c r="E26" s="211">
        <f>D26*1.02</f>
        <v>4351307341.9020004</v>
      </c>
      <c r="F26" s="211">
        <f>D26*1.04</f>
        <v>4436627093.7040005</v>
      </c>
      <c r="G26" s="213">
        <f>F26/F27</f>
        <v>8.6407367163885807E-2</v>
      </c>
      <c r="H26" s="276">
        <f>D26/D27*100</f>
        <v>8.5038963336235156</v>
      </c>
    </row>
    <row r="27" spans="1:8">
      <c r="A27" s="210"/>
      <c r="B27" s="210" t="s">
        <v>2531</v>
      </c>
      <c r="C27" s="311">
        <f t="shared" ref="C27:H27" si="0">SUM(C22:C26)</f>
        <v>57980768462</v>
      </c>
      <c r="D27" s="311">
        <f t="shared" si="0"/>
        <v>50165094007.940002</v>
      </c>
      <c r="E27" s="311">
        <f t="shared" si="0"/>
        <v>50338698520.258804</v>
      </c>
      <c r="F27" s="311">
        <f t="shared" si="0"/>
        <v>51345472490.663979</v>
      </c>
      <c r="G27" s="312">
        <f t="shared" si="0"/>
        <v>1</v>
      </c>
      <c r="H27" s="313">
        <f t="shared" si="0"/>
        <v>100.00000000000001</v>
      </c>
    </row>
    <row r="28" spans="1:8">
      <c r="A28" s="205"/>
      <c r="B28" s="205"/>
      <c r="C28" s="206"/>
      <c r="D28" s="206"/>
      <c r="E28" s="206"/>
      <c r="F28" s="206"/>
      <c r="G28" s="204"/>
      <c r="H28" s="184"/>
    </row>
    <row r="29" spans="1:8">
      <c r="A29" s="205"/>
      <c r="B29" s="205"/>
      <c r="C29" s="206"/>
      <c r="D29" s="206" t="e">
        <f>D25-[1]REV.!$E$27</f>
        <v>#REF!</v>
      </c>
      <c r="E29" s="206"/>
      <c r="F29" s="206"/>
      <c r="G29" s="204"/>
      <c r="H29" s="184"/>
    </row>
    <row r="30" spans="1:8">
      <c r="A30" s="205"/>
      <c r="B30" s="205"/>
      <c r="C30" s="206"/>
      <c r="D30" s="206"/>
      <c r="E30" s="206"/>
      <c r="F30" s="206"/>
      <c r="G30" s="204"/>
      <c r="H30" s="184"/>
    </row>
    <row r="31" spans="1:8">
      <c r="A31" s="184"/>
      <c r="B31" s="184"/>
      <c r="C31" s="184"/>
      <c r="D31" s="184"/>
      <c r="E31" s="371">
        <f>10717317168-D25</f>
        <v>-250999999.99466705</v>
      </c>
      <c r="F31" s="184"/>
      <c r="G31" s="184"/>
      <c r="H31" s="184"/>
    </row>
  </sheetData>
  <mergeCells count="4">
    <mergeCell ref="A1:F1"/>
    <mergeCell ref="A2:F2"/>
    <mergeCell ref="A3:G3"/>
    <mergeCell ref="A12:F12"/>
  </mergeCells>
  <phoneticPr fontId="22" type="noConversion"/>
  <pageMargins left="0.59055118110236227" right="0.55118110236220474" top="0.31496062992125984" bottom="0.6692913385826772" header="0.31496062992125984" footer="0.31496062992125984"/>
  <pageSetup paperSize="9" firstPageNumber="3" orientation="landscape" useFirstPageNumber="1" r:id="rId1"/>
  <headerFooter alignWithMargins="0"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J822"/>
  <sheetViews>
    <sheetView view="pageBreakPreview" zoomScale="120" zoomScaleNormal="100" zoomScaleSheetLayoutView="120" workbookViewId="0"/>
  </sheetViews>
  <sheetFormatPr defaultColWidth="11.42578125" defaultRowHeight="15"/>
  <cols>
    <col min="1" max="1" width="10.42578125" customWidth="1"/>
    <col min="2" max="2" width="31.5703125" customWidth="1"/>
    <col min="3" max="3" width="17.5703125" customWidth="1"/>
    <col min="4" max="4" width="17" customWidth="1"/>
    <col min="5" max="5" width="16.28515625" customWidth="1"/>
    <col min="6" max="6" width="19" customWidth="1"/>
    <col min="7" max="7" width="21.28515625" customWidth="1"/>
    <col min="8" max="8" width="18.7109375" customWidth="1"/>
    <col min="9" max="9" width="20.5703125" customWidth="1"/>
    <col min="10" max="10" width="33.85546875" customWidth="1"/>
  </cols>
  <sheetData>
    <row r="1" spans="1:10" ht="33">
      <c r="A1" s="420" t="s">
        <v>5504</v>
      </c>
      <c r="B1" s="421"/>
      <c r="C1" s="422"/>
      <c r="D1" s="422"/>
      <c r="E1" s="422"/>
      <c r="F1" s="422"/>
      <c r="G1" s="422"/>
      <c r="H1" s="422"/>
      <c r="I1" s="422"/>
      <c r="J1" s="421"/>
    </row>
    <row r="2" spans="1:10" ht="15.75">
      <c r="A2" s="423" t="s">
        <v>4507</v>
      </c>
      <c r="B2" s="424"/>
      <c r="C2" s="425"/>
      <c r="D2" s="425"/>
      <c r="E2" s="425"/>
      <c r="F2" s="425"/>
      <c r="G2" s="425"/>
      <c r="H2" s="425"/>
      <c r="I2" s="425"/>
      <c r="J2" s="424"/>
    </row>
    <row r="3" spans="1:10" ht="15.75">
      <c r="A3" s="426" t="s">
        <v>4508</v>
      </c>
      <c r="B3" s="427"/>
      <c r="C3" s="428"/>
      <c r="D3" s="425"/>
      <c r="E3" s="425"/>
      <c r="F3" s="425"/>
      <c r="G3" s="425"/>
      <c r="H3" s="425"/>
      <c r="I3" s="425"/>
      <c r="J3" s="424"/>
    </row>
    <row r="4" spans="1:10" ht="33.75" customHeight="1">
      <c r="A4" s="429" t="s">
        <v>4509</v>
      </c>
      <c r="B4" s="430" t="s">
        <v>4510</v>
      </c>
      <c r="C4" s="431" t="s">
        <v>4511</v>
      </c>
      <c r="D4" s="432" t="s">
        <v>4512</v>
      </c>
      <c r="E4" s="432" t="s">
        <v>5503</v>
      </c>
      <c r="F4" s="432" t="s">
        <v>4305</v>
      </c>
      <c r="G4" s="432" t="s">
        <v>5501</v>
      </c>
      <c r="H4" s="432" t="s">
        <v>4305</v>
      </c>
      <c r="I4" s="432" t="s">
        <v>4305</v>
      </c>
      <c r="J4" s="433" t="s">
        <v>4513</v>
      </c>
    </row>
    <row r="5" spans="1:10" ht="31.5">
      <c r="A5" s="434"/>
      <c r="B5" s="435"/>
      <c r="C5" s="436" t="s">
        <v>4514</v>
      </c>
      <c r="D5" s="437" t="s">
        <v>4515</v>
      </c>
      <c r="E5" s="437" t="s">
        <v>4516</v>
      </c>
      <c r="F5" s="437" t="s">
        <v>243</v>
      </c>
      <c r="G5" s="437" t="s">
        <v>243</v>
      </c>
      <c r="H5" s="437" t="s">
        <v>4130</v>
      </c>
      <c r="I5" s="437" t="s">
        <v>4202</v>
      </c>
      <c r="J5" s="438"/>
    </row>
    <row r="6" spans="1:10" ht="15.75">
      <c r="A6" s="439"/>
      <c r="B6" s="440" t="s">
        <v>4517</v>
      </c>
      <c r="C6" s="441"/>
      <c r="D6" s="441"/>
      <c r="E6" s="441"/>
      <c r="F6" s="441"/>
      <c r="G6" s="441"/>
      <c r="H6" s="441"/>
      <c r="I6" s="441"/>
      <c r="J6" s="442"/>
    </row>
    <row r="7" spans="1:10" ht="15.75">
      <c r="A7" s="439">
        <v>101</v>
      </c>
      <c r="B7" s="442" t="s">
        <v>4518</v>
      </c>
      <c r="C7" s="441">
        <f t="shared" ref="C7:C20" si="0">G7+H7+I7</f>
        <v>63050000</v>
      </c>
      <c r="D7" s="441">
        <v>20000000</v>
      </c>
      <c r="E7" s="441"/>
      <c r="F7" s="441">
        <v>25000000</v>
      </c>
      <c r="G7" s="441">
        <v>20000000</v>
      </c>
      <c r="H7" s="441">
        <f t="shared" ref="H7:I11" si="1">G7*5/100+G7</f>
        <v>21000000</v>
      </c>
      <c r="I7" s="441">
        <f t="shared" si="1"/>
        <v>22050000</v>
      </c>
      <c r="J7" s="442" t="s">
        <v>4519</v>
      </c>
    </row>
    <row r="8" spans="1:10" ht="31.5">
      <c r="A8" s="439" t="s">
        <v>4520</v>
      </c>
      <c r="B8" s="442" t="s">
        <v>4521</v>
      </c>
      <c r="C8" s="441">
        <f t="shared" si="0"/>
        <v>100880000</v>
      </c>
      <c r="D8" s="441">
        <v>32000000</v>
      </c>
      <c r="E8" s="441"/>
      <c r="F8" s="441">
        <v>32000000</v>
      </c>
      <c r="G8" s="441">
        <v>32000000</v>
      </c>
      <c r="H8" s="441">
        <f t="shared" si="1"/>
        <v>33600000</v>
      </c>
      <c r="I8" s="441">
        <f t="shared" si="1"/>
        <v>35280000</v>
      </c>
      <c r="J8" s="442" t="s">
        <v>4522</v>
      </c>
    </row>
    <row r="9" spans="1:10" ht="31.5">
      <c r="A9" s="439" t="s">
        <v>4523</v>
      </c>
      <c r="B9" s="442" t="s">
        <v>4524</v>
      </c>
      <c r="C9" s="441">
        <f t="shared" si="0"/>
        <v>703007500</v>
      </c>
      <c r="D9" s="441">
        <v>50000000</v>
      </c>
      <c r="E9" s="443">
        <v>3587000</v>
      </c>
      <c r="F9" s="441">
        <v>323000000</v>
      </c>
      <c r="G9" s="441">
        <v>223000000</v>
      </c>
      <c r="H9" s="441">
        <f t="shared" si="1"/>
        <v>234150000</v>
      </c>
      <c r="I9" s="441">
        <f t="shared" si="1"/>
        <v>245857500</v>
      </c>
      <c r="J9" s="442" t="s">
        <v>4525</v>
      </c>
    </row>
    <row r="10" spans="1:10" ht="31.5">
      <c r="A10" s="439">
        <f>1+A7</f>
        <v>102</v>
      </c>
      <c r="B10" s="442" t="s">
        <v>4526</v>
      </c>
      <c r="C10" s="441">
        <f t="shared" si="0"/>
        <v>315250000</v>
      </c>
      <c r="D10" s="441">
        <v>100000000</v>
      </c>
      <c r="E10" s="441">
        <v>19550000</v>
      </c>
      <c r="F10" s="441">
        <v>150000000</v>
      </c>
      <c r="G10" s="441">
        <v>100000000</v>
      </c>
      <c r="H10" s="441">
        <f t="shared" si="1"/>
        <v>105000000</v>
      </c>
      <c r="I10" s="441">
        <f t="shared" si="1"/>
        <v>110250000</v>
      </c>
      <c r="J10" s="442" t="s">
        <v>4527</v>
      </c>
    </row>
    <row r="11" spans="1:10" ht="31.5">
      <c r="A11" s="439">
        <v>103</v>
      </c>
      <c r="B11" s="442" t="s">
        <v>4528</v>
      </c>
      <c r="C11" s="441">
        <f t="shared" si="0"/>
        <v>315250000</v>
      </c>
      <c r="D11" s="441">
        <v>100000000</v>
      </c>
      <c r="E11" s="444">
        <v>15000000</v>
      </c>
      <c r="F11" s="441">
        <v>200000000</v>
      </c>
      <c r="G11" s="441">
        <v>100000000</v>
      </c>
      <c r="H11" s="441">
        <f t="shared" si="1"/>
        <v>105000000</v>
      </c>
      <c r="I11" s="441">
        <f t="shared" si="1"/>
        <v>110250000</v>
      </c>
      <c r="J11" s="442" t="s">
        <v>4529</v>
      </c>
    </row>
    <row r="12" spans="1:10" ht="31.5">
      <c r="A12" s="439">
        <v>104</v>
      </c>
      <c r="B12" s="442" t="s">
        <v>4530</v>
      </c>
      <c r="C12" s="441" t="s">
        <v>3007</v>
      </c>
      <c r="D12" s="441">
        <v>100000000</v>
      </c>
      <c r="E12" s="441"/>
      <c r="F12" s="441" t="s">
        <v>3007</v>
      </c>
      <c r="G12" s="441" t="s">
        <v>3007</v>
      </c>
      <c r="H12" s="441" t="s">
        <v>3007</v>
      </c>
      <c r="I12" s="441" t="s">
        <v>3007</v>
      </c>
      <c r="J12" s="442" t="s">
        <v>5511</v>
      </c>
    </row>
    <row r="13" spans="1:10" ht="31.5">
      <c r="A13" s="439">
        <f>1+A12</f>
        <v>105</v>
      </c>
      <c r="B13" s="442" t="s">
        <v>4531</v>
      </c>
      <c r="C13" s="441" t="s">
        <v>3007</v>
      </c>
      <c r="D13" s="441" t="s">
        <v>3007</v>
      </c>
      <c r="E13" s="441"/>
      <c r="F13" s="441" t="s">
        <v>3007</v>
      </c>
      <c r="G13" s="441" t="s">
        <v>3007</v>
      </c>
      <c r="H13" s="441" t="s">
        <v>3007</v>
      </c>
      <c r="I13" s="441" t="s">
        <v>3007</v>
      </c>
      <c r="J13" s="442" t="s">
        <v>4532</v>
      </c>
    </row>
    <row r="14" spans="1:10" ht="31.5">
      <c r="A14" s="439">
        <f>1+A13</f>
        <v>106</v>
      </c>
      <c r="B14" s="442" t="s">
        <v>4533</v>
      </c>
      <c r="C14" s="441">
        <f t="shared" si="0"/>
        <v>15762500</v>
      </c>
      <c r="D14" s="441">
        <v>5000000</v>
      </c>
      <c r="E14" s="444"/>
      <c r="F14" s="441">
        <v>5000000</v>
      </c>
      <c r="G14" s="441">
        <v>5000000</v>
      </c>
      <c r="H14" s="441">
        <f>G14*5/100+G14</f>
        <v>5250000</v>
      </c>
      <c r="I14" s="441">
        <f>H14*5/100+H14</f>
        <v>5512500</v>
      </c>
      <c r="J14" s="442" t="s">
        <v>4534</v>
      </c>
    </row>
    <row r="15" spans="1:10" ht="31.5">
      <c r="A15" s="439">
        <f>1+A14</f>
        <v>107</v>
      </c>
      <c r="B15" s="442" t="s">
        <v>4535</v>
      </c>
      <c r="C15" s="441">
        <f t="shared" si="0"/>
        <v>157625000</v>
      </c>
      <c r="D15" s="441">
        <v>50000000</v>
      </c>
      <c r="E15" s="441"/>
      <c r="F15" s="441">
        <v>50000000</v>
      </c>
      <c r="G15" s="441">
        <v>50000000</v>
      </c>
      <c r="H15" s="441">
        <f>G15*5/100+G15</f>
        <v>52500000</v>
      </c>
      <c r="I15" s="441">
        <f>H15*5/100+H15</f>
        <v>55125000</v>
      </c>
      <c r="J15" s="442" t="s">
        <v>4536</v>
      </c>
    </row>
    <row r="16" spans="1:10" ht="47.25">
      <c r="A16" s="439">
        <f>1+A15</f>
        <v>108</v>
      </c>
      <c r="B16" s="442" t="s">
        <v>4537</v>
      </c>
      <c r="C16" s="441">
        <f t="shared" si="0"/>
        <v>157625000</v>
      </c>
      <c r="D16" s="441">
        <v>200000000</v>
      </c>
      <c r="E16" s="441"/>
      <c r="F16" s="441">
        <v>100000000</v>
      </c>
      <c r="G16" s="441">
        <v>50000000</v>
      </c>
      <c r="H16" s="441">
        <f>G16*1.05</f>
        <v>52500000</v>
      </c>
      <c r="I16" s="441">
        <f>H16*1.05</f>
        <v>55125000</v>
      </c>
      <c r="J16" s="442" t="s">
        <v>4538</v>
      </c>
    </row>
    <row r="17" spans="1:10" ht="31.5">
      <c r="A17" s="439">
        <f>1+A16</f>
        <v>109</v>
      </c>
      <c r="B17" s="442" t="s">
        <v>4539</v>
      </c>
      <c r="C17" s="441">
        <f t="shared" si="0"/>
        <v>31525000</v>
      </c>
      <c r="D17" s="441">
        <v>10000000</v>
      </c>
      <c r="E17" s="445"/>
      <c r="F17" s="441">
        <v>10000000</v>
      </c>
      <c r="G17" s="441">
        <v>10000000</v>
      </c>
      <c r="H17" s="441">
        <f>G17*5/100+G17</f>
        <v>10500000</v>
      </c>
      <c r="I17" s="441">
        <f>H17*5/100+H17</f>
        <v>11025000</v>
      </c>
      <c r="J17" s="442" t="s">
        <v>4540</v>
      </c>
    </row>
    <row r="18" spans="1:10" ht="15.75">
      <c r="A18" s="439"/>
      <c r="B18" s="442"/>
      <c r="C18" s="441"/>
      <c r="D18" s="441"/>
      <c r="E18" s="441"/>
      <c r="F18" s="441"/>
      <c r="G18" s="441"/>
      <c r="H18" s="441"/>
      <c r="I18" s="441"/>
      <c r="J18" s="442"/>
    </row>
    <row r="19" spans="1:10" ht="31.5">
      <c r="A19" s="439">
        <f>A17+1</f>
        <v>110</v>
      </c>
      <c r="B19" s="442" t="s">
        <v>4541</v>
      </c>
      <c r="C19" s="441">
        <f t="shared" si="0"/>
        <v>6305000000</v>
      </c>
      <c r="D19" s="441">
        <v>4900000000</v>
      </c>
      <c r="E19" s="441">
        <f>1269724613+236144613</f>
        <v>1505869226</v>
      </c>
      <c r="F19" s="441">
        <v>3145000000</v>
      </c>
      <c r="G19" s="441">
        <v>2000000000</v>
      </c>
      <c r="H19" s="441">
        <f>G19*1.05</f>
        <v>2100000000</v>
      </c>
      <c r="I19" s="441">
        <f>H19*1.05</f>
        <v>2205000000</v>
      </c>
      <c r="J19" s="442" t="s">
        <v>5512</v>
      </c>
    </row>
    <row r="20" spans="1:10" ht="31.5">
      <c r="A20" s="446">
        <f>1+A19</f>
        <v>111</v>
      </c>
      <c r="B20" s="447" t="s">
        <v>4542</v>
      </c>
      <c r="C20" s="448">
        <f t="shared" si="0"/>
        <v>157625000</v>
      </c>
      <c r="D20" s="448">
        <v>50000000</v>
      </c>
      <c r="E20" s="448"/>
      <c r="F20" s="448">
        <v>50000000</v>
      </c>
      <c r="G20" s="448">
        <v>50000000</v>
      </c>
      <c r="H20" s="448">
        <f>G20*5/100+G20</f>
        <v>52500000</v>
      </c>
      <c r="I20" s="448">
        <f>H20*5/100+H20</f>
        <v>55125000</v>
      </c>
      <c r="J20" s="447" t="s">
        <v>4543</v>
      </c>
    </row>
    <row r="21" spans="1:10" ht="31.5">
      <c r="A21" s="439">
        <f>A20+1</f>
        <v>112</v>
      </c>
      <c r="B21" s="442" t="s">
        <v>4544</v>
      </c>
      <c r="C21" s="441">
        <f t="shared" ref="C21:C38" si="2">G21+H21+I21</f>
        <v>157625000</v>
      </c>
      <c r="D21" s="441">
        <v>50000000</v>
      </c>
      <c r="E21" s="441"/>
      <c r="F21" s="441">
        <v>50000000</v>
      </c>
      <c r="G21" s="441">
        <v>50000000</v>
      </c>
      <c r="H21" s="441">
        <f>G21*1.05</f>
        <v>52500000</v>
      </c>
      <c r="I21" s="441">
        <f>H21*1.05</f>
        <v>55125000</v>
      </c>
      <c r="J21" s="442" t="s">
        <v>4545</v>
      </c>
    </row>
    <row r="22" spans="1:10" ht="31.5">
      <c r="A22" s="439">
        <f>1+A21</f>
        <v>113</v>
      </c>
      <c r="B22" s="442" t="s">
        <v>4546</v>
      </c>
      <c r="C22" s="441">
        <f t="shared" si="2"/>
        <v>31525000</v>
      </c>
      <c r="D22" s="441">
        <v>10000000</v>
      </c>
      <c r="E22" s="441"/>
      <c r="F22" s="441">
        <v>15000000</v>
      </c>
      <c r="G22" s="441">
        <v>10000000</v>
      </c>
      <c r="H22" s="441">
        <f>G22*5/100+G22</f>
        <v>10500000</v>
      </c>
      <c r="I22" s="441">
        <f>H22*1.05</f>
        <v>11025000</v>
      </c>
      <c r="J22" s="442" t="s">
        <v>4547</v>
      </c>
    </row>
    <row r="23" spans="1:10" ht="31.5">
      <c r="A23" s="439">
        <f>1+A22</f>
        <v>114</v>
      </c>
      <c r="B23" s="442" t="s">
        <v>4548</v>
      </c>
      <c r="C23" s="441">
        <f t="shared" si="2"/>
        <v>15762500</v>
      </c>
      <c r="D23" s="441">
        <v>5000000</v>
      </c>
      <c r="E23" s="441"/>
      <c r="F23" s="441">
        <v>5000000</v>
      </c>
      <c r="G23" s="441">
        <v>5000000</v>
      </c>
      <c r="H23" s="441">
        <f>G23*5/100+G23</f>
        <v>5250000</v>
      </c>
      <c r="I23" s="441">
        <f>H23*5/100+H23</f>
        <v>5512500</v>
      </c>
      <c r="J23" s="442" t="s">
        <v>4549</v>
      </c>
    </row>
    <row r="24" spans="1:10" ht="31.5">
      <c r="A24" s="439">
        <f>1+A23</f>
        <v>115</v>
      </c>
      <c r="B24" s="442" t="s">
        <v>4550</v>
      </c>
      <c r="C24" s="441">
        <f t="shared" si="2"/>
        <v>945750000</v>
      </c>
      <c r="D24" s="441">
        <v>1000000000</v>
      </c>
      <c r="E24" s="441"/>
      <c r="F24" s="441">
        <v>500000000</v>
      </c>
      <c r="G24" s="441">
        <v>300000000</v>
      </c>
      <c r="H24" s="441">
        <f t="shared" ref="H24:H33" si="3">G24*5/100+G24</f>
        <v>315000000</v>
      </c>
      <c r="I24" s="441">
        <f>H24*5/100+H24</f>
        <v>330750000</v>
      </c>
      <c r="J24" s="442" t="s">
        <v>4551</v>
      </c>
    </row>
    <row r="25" spans="1:10" ht="15.75">
      <c r="A25" s="423" t="s">
        <v>4507</v>
      </c>
      <c r="B25" s="424"/>
      <c r="C25" s="425"/>
      <c r="D25" s="425"/>
      <c r="E25" s="425"/>
      <c r="F25" s="425"/>
      <c r="G25" s="425"/>
      <c r="H25" s="425"/>
      <c r="I25" s="425"/>
      <c r="J25" s="424"/>
    </row>
    <row r="26" spans="1:10" ht="15.75">
      <c r="A26" s="426" t="s">
        <v>4508</v>
      </c>
      <c r="B26" s="427"/>
      <c r="C26" s="428"/>
      <c r="D26" s="425"/>
      <c r="E26" s="425"/>
      <c r="F26" s="425"/>
      <c r="G26" s="425"/>
      <c r="H26" s="425"/>
      <c r="I26" s="425"/>
      <c r="J26" s="424"/>
    </row>
    <row r="27" spans="1:10" ht="31.5">
      <c r="A27" s="429" t="s">
        <v>4509</v>
      </c>
      <c r="B27" s="430" t="s">
        <v>4510</v>
      </c>
      <c r="C27" s="431" t="s">
        <v>4511</v>
      </c>
      <c r="D27" s="432" t="s">
        <v>4512</v>
      </c>
      <c r="E27" s="432" t="s">
        <v>5503</v>
      </c>
      <c r="F27" s="432" t="s">
        <v>4305</v>
      </c>
      <c r="G27" s="432" t="s">
        <v>5501</v>
      </c>
      <c r="H27" s="432" t="s">
        <v>4305</v>
      </c>
      <c r="I27" s="432" t="s">
        <v>4305</v>
      </c>
      <c r="J27" s="433" t="s">
        <v>4513</v>
      </c>
    </row>
    <row r="28" spans="1:10" ht="31.5">
      <c r="A28" s="434"/>
      <c r="B28" s="435"/>
      <c r="C28" s="436" t="s">
        <v>4514</v>
      </c>
      <c r="D28" s="437" t="s">
        <v>4515</v>
      </c>
      <c r="E28" s="437" t="s">
        <v>4516</v>
      </c>
      <c r="F28" s="437" t="s">
        <v>243</v>
      </c>
      <c r="G28" s="437" t="s">
        <v>243</v>
      </c>
      <c r="H28" s="437" t="s">
        <v>4130</v>
      </c>
      <c r="I28" s="437" t="s">
        <v>4202</v>
      </c>
      <c r="J28" s="438"/>
    </row>
    <row r="29" spans="1:10" ht="15.75">
      <c r="A29" s="439">
        <v>117</v>
      </c>
      <c r="B29" s="442" t="s">
        <v>4552</v>
      </c>
      <c r="C29" s="441"/>
      <c r="D29" s="441">
        <v>5000000</v>
      </c>
      <c r="E29" s="441"/>
      <c r="F29" s="441" t="s">
        <v>3007</v>
      </c>
      <c r="G29" s="441" t="s">
        <v>3007</v>
      </c>
      <c r="H29" s="441" t="s">
        <v>3007</v>
      </c>
      <c r="I29" s="441" t="s">
        <v>3007</v>
      </c>
      <c r="J29" s="442" t="s">
        <v>4553</v>
      </c>
    </row>
    <row r="30" spans="1:10" ht="31.5">
      <c r="A30" s="439">
        <f>1+A29</f>
        <v>118</v>
      </c>
      <c r="B30" s="442" t="s">
        <v>4554</v>
      </c>
      <c r="C30" s="441">
        <f>G30</f>
        <v>5000000</v>
      </c>
      <c r="D30" s="441">
        <v>5000000</v>
      </c>
      <c r="E30" s="441"/>
      <c r="F30" s="441">
        <v>5000000</v>
      </c>
      <c r="G30" s="441">
        <v>5000000</v>
      </c>
      <c r="H30" s="441" t="s">
        <v>3007</v>
      </c>
      <c r="I30" s="441" t="s">
        <v>3007</v>
      </c>
      <c r="J30" s="442" t="s">
        <v>4555</v>
      </c>
    </row>
    <row r="31" spans="1:10" ht="31.5">
      <c r="A31" s="439">
        <f>1+A30</f>
        <v>119</v>
      </c>
      <c r="B31" s="442" t="s">
        <v>4556</v>
      </c>
      <c r="C31" s="441">
        <f t="shared" si="2"/>
        <v>630500000</v>
      </c>
      <c r="D31" s="441">
        <v>300000000</v>
      </c>
      <c r="E31" s="441">
        <v>39066501</v>
      </c>
      <c r="F31" s="441">
        <v>300000000</v>
      </c>
      <c r="G31" s="441">
        <v>200000000</v>
      </c>
      <c r="H31" s="441">
        <f t="shared" si="3"/>
        <v>210000000</v>
      </c>
      <c r="I31" s="441">
        <f>H31*5/100+H31</f>
        <v>220500000</v>
      </c>
      <c r="J31" s="442" t="s">
        <v>4557</v>
      </c>
    </row>
    <row r="32" spans="1:10" ht="31.5">
      <c r="A32" s="439">
        <f>1+A31</f>
        <v>120</v>
      </c>
      <c r="B32" s="442" t="s">
        <v>4558</v>
      </c>
      <c r="C32" s="441">
        <f t="shared" si="2"/>
        <v>31525000</v>
      </c>
      <c r="D32" s="441">
        <v>20000000</v>
      </c>
      <c r="E32" s="441"/>
      <c r="F32" s="441">
        <v>10000000</v>
      </c>
      <c r="G32" s="441">
        <v>10000000</v>
      </c>
      <c r="H32" s="441">
        <f t="shared" si="3"/>
        <v>10500000</v>
      </c>
      <c r="I32" s="441">
        <f>H32*5/100+H32</f>
        <v>11025000</v>
      </c>
      <c r="J32" s="442" t="s">
        <v>4559</v>
      </c>
    </row>
    <row r="33" spans="1:10" ht="31.5">
      <c r="A33" s="439">
        <f>1+A32</f>
        <v>121</v>
      </c>
      <c r="B33" s="442" t="s">
        <v>4560</v>
      </c>
      <c r="C33" s="441">
        <f t="shared" si="2"/>
        <v>9457500</v>
      </c>
      <c r="D33" s="441">
        <v>3000000</v>
      </c>
      <c r="E33" s="441"/>
      <c r="F33" s="441">
        <v>3000000</v>
      </c>
      <c r="G33" s="441">
        <v>3000000</v>
      </c>
      <c r="H33" s="441">
        <f t="shared" si="3"/>
        <v>3150000</v>
      </c>
      <c r="I33" s="441">
        <f>H33*5/100+H33</f>
        <v>3307500</v>
      </c>
      <c r="J33" s="442" t="s">
        <v>5513</v>
      </c>
    </row>
    <row r="34" spans="1:10" ht="31.5">
      <c r="A34" s="439">
        <f>1+A33</f>
        <v>122</v>
      </c>
      <c r="B34" s="442" t="s">
        <v>4561</v>
      </c>
      <c r="C34" s="441">
        <f t="shared" si="2"/>
        <v>157625000</v>
      </c>
      <c r="D34" s="441">
        <v>200000000</v>
      </c>
      <c r="E34" s="441"/>
      <c r="F34" s="441">
        <v>200000000</v>
      </c>
      <c r="G34" s="441">
        <v>50000000</v>
      </c>
      <c r="H34" s="441">
        <f>G34*1.05</f>
        <v>52500000</v>
      </c>
      <c r="I34" s="441">
        <f>H34*1.05</f>
        <v>55125000</v>
      </c>
      <c r="J34" s="442" t="s">
        <v>5514</v>
      </c>
    </row>
    <row r="35" spans="1:10" ht="31.5">
      <c r="A35" s="439">
        <v>123</v>
      </c>
      <c r="B35" s="442" t="s">
        <v>5515</v>
      </c>
      <c r="C35" s="441"/>
      <c r="D35" s="441" t="s">
        <v>3007</v>
      </c>
      <c r="E35" s="441"/>
      <c r="F35" s="441" t="s">
        <v>3007</v>
      </c>
      <c r="G35" s="441" t="s">
        <v>3007</v>
      </c>
      <c r="H35" s="441"/>
      <c r="I35" s="441"/>
      <c r="J35" s="442" t="s">
        <v>4562</v>
      </c>
    </row>
    <row r="36" spans="1:10" ht="31.5">
      <c r="A36" s="439">
        <v>124</v>
      </c>
      <c r="B36" s="442" t="s">
        <v>4563</v>
      </c>
      <c r="C36" s="441">
        <f t="shared" si="2"/>
        <v>94575000</v>
      </c>
      <c r="D36" s="441">
        <v>30000000</v>
      </c>
      <c r="E36" s="441"/>
      <c r="F36" s="441">
        <v>30000000</v>
      </c>
      <c r="G36" s="441">
        <v>30000000</v>
      </c>
      <c r="H36" s="441">
        <f t="shared" ref="H36:I38" si="4">G36*5/100+G36</f>
        <v>31500000</v>
      </c>
      <c r="I36" s="441">
        <f t="shared" si="4"/>
        <v>33075000</v>
      </c>
      <c r="J36" s="442" t="s">
        <v>4564</v>
      </c>
    </row>
    <row r="37" spans="1:10" ht="31.5">
      <c r="A37" s="439">
        <v>125</v>
      </c>
      <c r="B37" s="442" t="s">
        <v>4565</v>
      </c>
      <c r="C37" s="441">
        <f t="shared" si="2"/>
        <v>31525000</v>
      </c>
      <c r="D37" s="441">
        <v>10000000</v>
      </c>
      <c r="E37" s="441"/>
      <c r="F37" s="441">
        <v>10000000</v>
      </c>
      <c r="G37" s="441">
        <v>10000000</v>
      </c>
      <c r="H37" s="441">
        <f t="shared" si="4"/>
        <v>10500000</v>
      </c>
      <c r="I37" s="441">
        <f t="shared" si="4"/>
        <v>11025000</v>
      </c>
      <c r="J37" s="442" t="s">
        <v>5516</v>
      </c>
    </row>
    <row r="38" spans="1:10" ht="31.5">
      <c r="A38" s="439">
        <v>126</v>
      </c>
      <c r="B38" s="442" t="s">
        <v>4566</v>
      </c>
      <c r="C38" s="441">
        <f t="shared" si="2"/>
        <v>37830000</v>
      </c>
      <c r="D38" s="441">
        <v>12000000</v>
      </c>
      <c r="E38" s="441"/>
      <c r="F38" s="441">
        <v>15000000</v>
      </c>
      <c r="G38" s="441">
        <v>12000000</v>
      </c>
      <c r="H38" s="441">
        <f t="shared" si="4"/>
        <v>12600000</v>
      </c>
      <c r="I38" s="441">
        <f t="shared" si="4"/>
        <v>13230000</v>
      </c>
      <c r="J38" s="442" t="s">
        <v>4567</v>
      </c>
    </row>
    <row r="39" spans="1:10" ht="31.5">
      <c r="A39" s="439"/>
      <c r="B39" s="449" t="s">
        <v>4568</v>
      </c>
      <c r="C39" s="441"/>
      <c r="D39" s="441"/>
      <c r="E39" s="441"/>
      <c r="F39" s="441"/>
      <c r="G39" s="441"/>
      <c r="H39" s="441"/>
      <c r="I39" s="441"/>
      <c r="J39" s="442"/>
    </row>
    <row r="40" spans="1:10" ht="15.75">
      <c r="A40" s="439"/>
      <c r="B40" s="442"/>
      <c r="C40" s="441"/>
      <c r="D40" s="441"/>
      <c r="E40" s="441"/>
      <c r="F40" s="441"/>
      <c r="G40" s="441"/>
      <c r="H40" s="441"/>
      <c r="I40" s="441"/>
      <c r="J40" s="442"/>
    </row>
    <row r="41" spans="1:10" ht="31.5">
      <c r="A41" s="439">
        <v>201</v>
      </c>
      <c r="B41" s="442" t="s">
        <v>4569</v>
      </c>
      <c r="C41" s="441">
        <f t="shared" ref="C41:C50" si="5">G41+H41+I41</f>
        <v>3783000000</v>
      </c>
      <c r="D41" s="441">
        <v>1300000000</v>
      </c>
      <c r="E41" s="441"/>
      <c r="F41" s="441">
        <v>1500000000</v>
      </c>
      <c r="G41" s="441">
        <v>1200000000</v>
      </c>
      <c r="H41" s="441">
        <f>G41*1.05</f>
        <v>1260000000</v>
      </c>
      <c r="I41" s="441">
        <f>H41*1.05</f>
        <v>1323000000</v>
      </c>
      <c r="J41" s="442" t="s">
        <v>4570</v>
      </c>
    </row>
    <row r="42" spans="1:10" ht="15.75">
      <c r="A42" s="439"/>
      <c r="B42" s="442"/>
      <c r="C42" s="441"/>
      <c r="D42" s="441"/>
      <c r="E42" s="441"/>
      <c r="F42" s="441"/>
      <c r="G42" s="441"/>
      <c r="H42" s="441"/>
      <c r="I42" s="441"/>
      <c r="J42" s="442"/>
    </row>
    <row r="43" spans="1:10" ht="31.5">
      <c r="A43" s="439">
        <v>202</v>
      </c>
      <c r="B43" s="442" t="s">
        <v>4571</v>
      </c>
      <c r="C43" s="441">
        <f t="shared" si="5"/>
        <v>15762500</v>
      </c>
      <c r="D43" s="441">
        <v>5000000</v>
      </c>
      <c r="E43" s="441"/>
      <c r="F43" s="441">
        <v>5000000</v>
      </c>
      <c r="G43" s="441">
        <v>5000000</v>
      </c>
      <c r="H43" s="441">
        <f>G43*5/100+G43</f>
        <v>5250000</v>
      </c>
      <c r="I43" s="441">
        <f>H43*5/100+H43</f>
        <v>5512500</v>
      </c>
      <c r="J43" s="442" t="s">
        <v>4572</v>
      </c>
    </row>
    <row r="44" spans="1:10" ht="15.75">
      <c r="A44" s="439">
        <v>203</v>
      </c>
      <c r="B44" s="442" t="s">
        <v>5517</v>
      </c>
      <c r="C44" s="441">
        <f t="shared" si="5"/>
        <v>63050000</v>
      </c>
      <c r="D44" s="441">
        <v>20000000</v>
      </c>
      <c r="E44" s="441"/>
      <c r="F44" s="441">
        <v>20000000</v>
      </c>
      <c r="G44" s="441">
        <v>20000000</v>
      </c>
      <c r="H44" s="441">
        <f>G44*5/100+G44</f>
        <v>21000000</v>
      </c>
      <c r="I44" s="441">
        <f>H44*5/100+H44</f>
        <v>22050000</v>
      </c>
      <c r="J44" s="442" t="s">
        <v>4573</v>
      </c>
    </row>
    <row r="45" spans="1:10" ht="15.75">
      <c r="A45" s="439">
        <v>204</v>
      </c>
      <c r="B45" s="442" t="s">
        <v>4574</v>
      </c>
      <c r="C45" s="441">
        <f t="shared" si="5"/>
        <v>157625000</v>
      </c>
      <c r="D45" s="441">
        <v>50000000</v>
      </c>
      <c r="E45" s="441"/>
      <c r="F45" s="441">
        <v>50000000</v>
      </c>
      <c r="G45" s="441">
        <v>50000000</v>
      </c>
      <c r="H45" s="441">
        <f>G45*5/100+G45</f>
        <v>52500000</v>
      </c>
      <c r="I45" s="441">
        <f>H45*1.05</f>
        <v>55125000</v>
      </c>
      <c r="J45" s="442" t="s">
        <v>4575</v>
      </c>
    </row>
    <row r="46" spans="1:10" ht="15.75">
      <c r="A46" s="439"/>
      <c r="B46" s="442"/>
      <c r="C46" s="441"/>
      <c r="D46" s="441"/>
      <c r="E46" s="441"/>
      <c r="F46" s="441"/>
      <c r="G46" s="441"/>
      <c r="H46" s="441"/>
      <c r="I46" s="441"/>
      <c r="J46" s="442"/>
    </row>
    <row r="47" spans="1:10" ht="15.75">
      <c r="A47" s="439"/>
      <c r="B47" s="1026" t="s">
        <v>4576</v>
      </c>
      <c r="C47" s="450"/>
      <c r="D47" s="441"/>
      <c r="E47" s="451"/>
      <c r="F47" s="452"/>
      <c r="G47" s="441"/>
      <c r="H47" s="453"/>
      <c r="I47" s="445"/>
      <c r="J47" s="442"/>
    </row>
    <row r="48" spans="1:10" ht="15.75">
      <c r="A48" s="439"/>
      <c r="B48" s="442"/>
      <c r="C48" s="441"/>
      <c r="D48" s="441"/>
      <c r="E48" s="441"/>
      <c r="F48" s="441"/>
      <c r="G48" s="441"/>
      <c r="H48" s="441"/>
      <c r="I48" s="441"/>
      <c r="J48" s="442"/>
    </row>
    <row r="49" spans="1:10" ht="15.75">
      <c r="A49" s="439">
        <v>301</v>
      </c>
      <c r="B49" s="442" t="s">
        <v>4577</v>
      </c>
      <c r="C49" s="441">
        <f t="shared" si="5"/>
        <v>157625000</v>
      </c>
      <c r="D49" s="441">
        <v>50000000</v>
      </c>
      <c r="E49" s="441"/>
      <c r="F49" s="441"/>
      <c r="G49" s="441">
        <v>50000000</v>
      </c>
      <c r="H49" s="441">
        <f>G49*5/100+G49</f>
        <v>52500000</v>
      </c>
      <c r="I49" s="441">
        <f>H49*5/100+H49</f>
        <v>55125000</v>
      </c>
      <c r="J49" s="442" t="s">
        <v>4577</v>
      </c>
    </row>
    <row r="50" spans="1:10" ht="15.75">
      <c r="A50" s="439">
        <v>302</v>
      </c>
      <c r="B50" s="442" t="s">
        <v>4578</v>
      </c>
      <c r="C50" s="441">
        <f t="shared" si="5"/>
        <v>63050000</v>
      </c>
      <c r="D50" s="441">
        <v>20000000</v>
      </c>
      <c r="E50" s="441"/>
      <c r="F50" s="441"/>
      <c r="G50" s="441">
        <v>20000000</v>
      </c>
      <c r="H50" s="441">
        <f>G50*5/100+G50</f>
        <v>21000000</v>
      </c>
      <c r="I50" s="441">
        <f>H50*5/100+H50</f>
        <v>22050000</v>
      </c>
      <c r="J50" s="442" t="s">
        <v>4579</v>
      </c>
    </row>
    <row r="51" spans="1:10">
      <c r="A51" s="454"/>
      <c r="B51" s="455"/>
      <c r="C51" s="456"/>
      <c r="D51" s="456"/>
      <c r="E51" s="456"/>
      <c r="F51" s="456"/>
      <c r="G51" s="457"/>
      <c r="H51" s="458"/>
      <c r="I51" s="445"/>
      <c r="J51" s="459"/>
    </row>
    <row r="52" spans="1:10" ht="15.75">
      <c r="A52" s="460"/>
      <c r="B52" s="461" t="s">
        <v>4580</v>
      </c>
      <c r="C52" s="462">
        <f t="shared" ref="C52:I52" si="6">SUM(C6:C51)</f>
        <v>14711412500</v>
      </c>
      <c r="D52" s="462">
        <f t="shared" si="6"/>
        <v>8712000000</v>
      </c>
      <c r="E52" s="462">
        <f t="shared" si="6"/>
        <v>1583072727</v>
      </c>
      <c r="F52" s="462">
        <f t="shared" si="6"/>
        <v>6808000000</v>
      </c>
      <c r="G52" s="462">
        <f t="shared" si="6"/>
        <v>4670000000</v>
      </c>
      <c r="H52" s="462">
        <f t="shared" si="6"/>
        <v>4898250000</v>
      </c>
      <c r="I52" s="462">
        <f t="shared" si="6"/>
        <v>5143162500</v>
      </c>
      <c r="J52" s="461"/>
    </row>
    <row r="53" spans="1:10" ht="15.75">
      <c r="A53" s="423" t="s">
        <v>4581</v>
      </c>
      <c r="B53" s="463"/>
      <c r="C53" s="425" t="s">
        <v>1840</v>
      </c>
      <c r="D53" s="425"/>
      <c r="E53" s="425"/>
      <c r="F53" s="425"/>
      <c r="G53" s="425"/>
      <c r="H53" s="425"/>
      <c r="I53" s="425"/>
      <c r="J53" s="424"/>
    </row>
    <row r="54" spans="1:10" ht="31.5">
      <c r="A54" s="423" t="s">
        <v>4582</v>
      </c>
      <c r="B54" s="463" t="s">
        <v>4583</v>
      </c>
      <c r="C54" s="425" t="s">
        <v>1840</v>
      </c>
      <c r="D54" s="425"/>
      <c r="E54" s="425"/>
      <c r="F54" s="425"/>
      <c r="G54" s="425"/>
      <c r="H54" s="425"/>
      <c r="I54" s="425"/>
      <c r="J54" s="424"/>
    </row>
    <row r="55" spans="1:10" ht="31.5">
      <c r="A55" s="464" t="s">
        <v>4509</v>
      </c>
      <c r="B55" s="465" t="s">
        <v>4510</v>
      </c>
      <c r="C55" s="466" t="s">
        <v>4511</v>
      </c>
      <c r="D55" s="432" t="s">
        <v>4512</v>
      </c>
      <c r="E55" s="432" t="s">
        <v>5503</v>
      </c>
      <c r="F55" s="432" t="s">
        <v>4305</v>
      </c>
      <c r="G55" s="432" t="s">
        <v>5501</v>
      </c>
      <c r="H55" s="432" t="s">
        <v>4305</v>
      </c>
      <c r="I55" s="432" t="s">
        <v>4305</v>
      </c>
      <c r="J55" s="433" t="s">
        <v>4513</v>
      </c>
    </row>
    <row r="56" spans="1:10" ht="31.5">
      <c r="A56" s="434"/>
      <c r="B56" s="435"/>
      <c r="C56" s="436" t="s">
        <v>4514</v>
      </c>
      <c r="D56" s="437" t="s">
        <v>4515</v>
      </c>
      <c r="E56" s="437" t="s">
        <v>4516</v>
      </c>
      <c r="F56" s="437" t="s">
        <v>243</v>
      </c>
      <c r="G56" s="437" t="s">
        <v>243</v>
      </c>
      <c r="H56" s="437" t="s">
        <v>4130</v>
      </c>
      <c r="I56" s="437" t="s">
        <v>4202</v>
      </c>
      <c r="J56" s="438"/>
    </row>
    <row r="57" spans="1:10" ht="15.75">
      <c r="A57" s="467"/>
      <c r="B57" s="468" t="s">
        <v>4584</v>
      </c>
      <c r="C57" s="441"/>
      <c r="D57" s="441"/>
      <c r="E57" s="441"/>
      <c r="F57" s="441"/>
      <c r="G57" s="441"/>
      <c r="H57" s="441"/>
      <c r="I57" s="441"/>
      <c r="J57" s="467"/>
    </row>
    <row r="58" spans="1:10" ht="15.75">
      <c r="A58" s="439">
        <v>101</v>
      </c>
      <c r="B58" s="442" t="s">
        <v>4585</v>
      </c>
      <c r="C58" s="441">
        <f t="shared" ref="C58:C72" si="7">G58+H58+I58</f>
        <v>47287500</v>
      </c>
      <c r="D58" s="441">
        <v>20000000</v>
      </c>
      <c r="E58" s="441"/>
      <c r="F58" s="441">
        <v>30000000</v>
      </c>
      <c r="G58" s="441">
        <v>15000000</v>
      </c>
      <c r="H58" s="441">
        <f>G58*5/100+G58</f>
        <v>15750000</v>
      </c>
      <c r="I58" s="441">
        <f>H58*5/100+H58</f>
        <v>16537500</v>
      </c>
      <c r="J58" s="442" t="s">
        <v>5518</v>
      </c>
    </row>
    <row r="59" spans="1:10" ht="31.5">
      <c r="A59" s="439">
        <f t="shared" ref="A59:A67" si="8">1+A58</f>
        <v>102</v>
      </c>
      <c r="B59" s="442" t="s">
        <v>4586</v>
      </c>
      <c r="C59" s="441">
        <f t="shared" si="7"/>
        <v>47287500</v>
      </c>
      <c r="D59" s="441">
        <v>20000000</v>
      </c>
      <c r="E59" s="441"/>
      <c r="F59" s="441">
        <v>25000000</v>
      </c>
      <c r="G59" s="441">
        <v>15000000</v>
      </c>
      <c r="H59" s="441">
        <f t="shared" ref="H59:H72" si="9">G59*5/100+G59</f>
        <v>15750000</v>
      </c>
      <c r="I59" s="441">
        <f>H59*1.05</f>
        <v>16537500</v>
      </c>
      <c r="J59" s="442" t="s">
        <v>4587</v>
      </c>
    </row>
    <row r="60" spans="1:10" ht="31.5">
      <c r="A60" s="439">
        <f t="shared" si="8"/>
        <v>103</v>
      </c>
      <c r="B60" s="442" t="s">
        <v>4588</v>
      </c>
      <c r="C60" s="441">
        <f t="shared" si="7"/>
        <v>15762500</v>
      </c>
      <c r="D60" s="441">
        <v>5000000</v>
      </c>
      <c r="E60" s="441"/>
      <c r="F60" s="441">
        <v>5000000</v>
      </c>
      <c r="G60" s="441">
        <v>5000000</v>
      </c>
      <c r="H60" s="441">
        <f t="shared" si="9"/>
        <v>5250000</v>
      </c>
      <c r="I60" s="441">
        <f>H60*5/100+H60</f>
        <v>5512500</v>
      </c>
      <c r="J60" s="442" t="s">
        <v>4589</v>
      </c>
    </row>
    <row r="61" spans="1:10" ht="31.5">
      <c r="A61" s="439">
        <f t="shared" si="8"/>
        <v>104</v>
      </c>
      <c r="B61" s="442" t="s">
        <v>4590</v>
      </c>
      <c r="C61" s="441">
        <f t="shared" si="7"/>
        <v>15762500</v>
      </c>
      <c r="D61" s="441">
        <v>5000000</v>
      </c>
      <c r="E61" s="441"/>
      <c r="F61" s="441">
        <v>5000000</v>
      </c>
      <c r="G61" s="441">
        <v>5000000</v>
      </c>
      <c r="H61" s="441">
        <f t="shared" si="9"/>
        <v>5250000</v>
      </c>
      <c r="I61" s="441">
        <f>H61*5/100+H61</f>
        <v>5512500</v>
      </c>
      <c r="J61" s="442" t="s">
        <v>4591</v>
      </c>
    </row>
    <row r="62" spans="1:10" ht="31.5">
      <c r="A62" s="439">
        <f t="shared" si="8"/>
        <v>105</v>
      </c>
      <c r="B62" s="442" t="s">
        <v>4592</v>
      </c>
      <c r="C62" s="441">
        <f t="shared" si="7"/>
        <v>31525000</v>
      </c>
      <c r="D62" s="441">
        <v>10000000</v>
      </c>
      <c r="E62" s="441"/>
      <c r="F62" s="441">
        <v>20000000</v>
      </c>
      <c r="G62" s="441">
        <v>10000000</v>
      </c>
      <c r="H62" s="441">
        <f t="shared" si="9"/>
        <v>10500000</v>
      </c>
      <c r="I62" s="441">
        <f>H62*5/100+H62</f>
        <v>11025000</v>
      </c>
      <c r="J62" s="442" t="s">
        <v>4593</v>
      </c>
    </row>
    <row r="63" spans="1:10" ht="31.5">
      <c r="A63" s="439">
        <f t="shared" si="8"/>
        <v>106</v>
      </c>
      <c r="B63" s="442" t="s">
        <v>4594</v>
      </c>
      <c r="C63" s="441">
        <f t="shared" si="7"/>
        <v>31525000</v>
      </c>
      <c r="D63" s="441">
        <v>10000000</v>
      </c>
      <c r="E63" s="441"/>
      <c r="F63" s="441">
        <v>10000000</v>
      </c>
      <c r="G63" s="441">
        <v>10000000</v>
      </c>
      <c r="H63" s="441">
        <f t="shared" si="9"/>
        <v>10500000</v>
      </c>
      <c r="I63" s="441">
        <f>H63*1.05</f>
        <v>11025000</v>
      </c>
      <c r="J63" s="442" t="s">
        <v>5519</v>
      </c>
    </row>
    <row r="64" spans="1:10" ht="47.25">
      <c r="A64" s="439">
        <f t="shared" si="8"/>
        <v>107</v>
      </c>
      <c r="B64" s="442" t="s">
        <v>4595</v>
      </c>
      <c r="C64" s="441">
        <f>SUM(G64:I64)</f>
        <v>0</v>
      </c>
      <c r="D64" s="441"/>
      <c r="E64" s="441"/>
      <c r="F64" s="441" t="s">
        <v>3007</v>
      </c>
      <c r="G64" s="441" t="s">
        <v>3007</v>
      </c>
      <c r="H64" s="441" t="s">
        <v>3007</v>
      </c>
      <c r="I64" s="441" t="s">
        <v>3007</v>
      </c>
      <c r="J64" s="442" t="s">
        <v>5520</v>
      </c>
    </row>
    <row r="65" spans="1:10" ht="15.75">
      <c r="A65" s="439">
        <f t="shared" si="8"/>
        <v>108</v>
      </c>
      <c r="B65" s="442" t="s">
        <v>4596</v>
      </c>
      <c r="C65" s="441">
        <f t="shared" si="7"/>
        <v>22067500</v>
      </c>
      <c r="D65" s="441">
        <v>10000000</v>
      </c>
      <c r="E65" s="441"/>
      <c r="F65" s="441">
        <v>10000000</v>
      </c>
      <c r="G65" s="441">
        <v>7000000</v>
      </c>
      <c r="H65" s="441">
        <f t="shared" si="9"/>
        <v>7350000</v>
      </c>
      <c r="I65" s="441">
        <f>H65*5/100+H65</f>
        <v>7717500</v>
      </c>
      <c r="J65" s="442" t="s">
        <v>4597</v>
      </c>
    </row>
    <row r="66" spans="1:10" ht="31.5">
      <c r="A66" s="439">
        <f t="shared" si="8"/>
        <v>109</v>
      </c>
      <c r="B66" s="442" t="s">
        <v>5522</v>
      </c>
      <c r="C66" s="441">
        <f>SUM(G66:I66)</f>
        <v>78812500</v>
      </c>
      <c r="D66" s="441">
        <v>40000000</v>
      </c>
      <c r="E66" s="441"/>
      <c r="F66" s="441">
        <v>30000000</v>
      </c>
      <c r="G66" s="441">
        <v>25000000</v>
      </c>
      <c r="H66" s="441">
        <f t="shared" si="9"/>
        <v>26250000</v>
      </c>
      <c r="I66" s="441">
        <f>H66*1.05</f>
        <v>27562500</v>
      </c>
      <c r="J66" s="442" t="s">
        <v>5521</v>
      </c>
    </row>
    <row r="67" spans="1:10" ht="31.5">
      <c r="A67" s="439">
        <f t="shared" si="8"/>
        <v>110</v>
      </c>
      <c r="B67" s="442" t="s">
        <v>4598</v>
      </c>
      <c r="C67" s="441">
        <f>SUM(G67:I67)</f>
        <v>0</v>
      </c>
      <c r="D67" s="441"/>
      <c r="E67" s="441"/>
      <c r="F67" s="441" t="s">
        <v>3007</v>
      </c>
      <c r="G67" s="441" t="s">
        <v>3007</v>
      </c>
      <c r="H67" s="441" t="s">
        <v>3007</v>
      </c>
      <c r="I67" s="441" t="s">
        <v>3007</v>
      </c>
      <c r="J67" s="442" t="s">
        <v>4599</v>
      </c>
    </row>
    <row r="68" spans="1:10" ht="47.25">
      <c r="A68" s="439">
        <v>111</v>
      </c>
      <c r="B68" s="442" t="s">
        <v>4600</v>
      </c>
      <c r="C68" s="441">
        <f t="shared" si="7"/>
        <v>22067500</v>
      </c>
      <c r="D68" s="444">
        <v>10000000</v>
      </c>
      <c r="E68" s="444"/>
      <c r="F68" s="444">
        <v>7000000</v>
      </c>
      <c r="G68" s="444">
        <v>7000000</v>
      </c>
      <c r="H68" s="444">
        <f t="shared" si="9"/>
        <v>7350000</v>
      </c>
      <c r="I68" s="444">
        <f>H68*5/100+H68</f>
        <v>7717500</v>
      </c>
      <c r="J68" s="442" t="s">
        <v>5523</v>
      </c>
    </row>
    <row r="69" spans="1:10" ht="31.5">
      <c r="A69" s="439">
        <f>1+A68</f>
        <v>112</v>
      </c>
      <c r="B69" s="442" t="s">
        <v>4601</v>
      </c>
      <c r="C69" s="441">
        <f t="shared" si="7"/>
        <v>315250000</v>
      </c>
      <c r="D69" s="441">
        <v>100000000</v>
      </c>
      <c r="E69" s="441"/>
      <c r="F69" s="441">
        <v>150000000</v>
      </c>
      <c r="G69" s="441">
        <v>100000000</v>
      </c>
      <c r="H69" s="441">
        <f t="shared" si="9"/>
        <v>105000000</v>
      </c>
      <c r="I69" s="441">
        <f>H69*5/100+H69</f>
        <v>110250000</v>
      </c>
      <c r="J69" s="442" t="s">
        <v>4602</v>
      </c>
    </row>
    <row r="70" spans="1:10" ht="15.75">
      <c r="A70" s="439">
        <f>1+A69</f>
        <v>113</v>
      </c>
      <c r="B70" s="442" t="s">
        <v>4603</v>
      </c>
      <c r="C70" s="441">
        <f t="shared" si="7"/>
        <v>94575000</v>
      </c>
      <c r="D70" s="441">
        <v>45000000</v>
      </c>
      <c r="E70" s="441"/>
      <c r="F70" s="441">
        <v>30000000</v>
      </c>
      <c r="G70" s="441">
        <v>30000000</v>
      </c>
      <c r="H70" s="441">
        <f t="shared" si="9"/>
        <v>31500000</v>
      </c>
      <c r="I70" s="441">
        <f>H70*5/100+H70</f>
        <v>33075000</v>
      </c>
      <c r="J70" s="442" t="s">
        <v>4604</v>
      </c>
    </row>
    <row r="71" spans="1:10" ht="15.75">
      <c r="A71" s="439">
        <f>1+A70</f>
        <v>114</v>
      </c>
      <c r="B71" s="442" t="s">
        <v>4605</v>
      </c>
      <c r="C71" s="441">
        <f t="shared" si="7"/>
        <v>31525000</v>
      </c>
      <c r="D71" s="441">
        <v>15000000</v>
      </c>
      <c r="E71" s="441"/>
      <c r="F71" s="441">
        <v>10000000</v>
      </c>
      <c r="G71" s="441">
        <v>10000000</v>
      </c>
      <c r="H71" s="441">
        <f t="shared" si="9"/>
        <v>10500000</v>
      </c>
      <c r="I71" s="441">
        <f>H71*5/100+H71</f>
        <v>11025000</v>
      </c>
      <c r="J71" s="442" t="s">
        <v>4606</v>
      </c>
    </row>
    <row r="72" spans="1:10" ht="47.25">
      <c r="A72" s="439">
        <v>115</v>
      </c>
      <c r="B72" s="442" t="s">
        <v>4607</v>
      </c>
      <c r="C72" s="441">
        <f t="shared" si="7"/>
        <v>173387500</v>
      </c>
      <c r="D72" s="441">
        <v>100000000</v>
      </c>
      <c r="E72" s="441"/>
      <c r="F72" s="441">
        <v>55000000</v>
      </c>
      <c r="G72" s="441">
        <v>55000000</v>
      </c>
      <c r="H72" s="441">
        <f t="shared" si="9"/>
        <v>57750000</v>
      </c>
      <c r="I72" s="441">
        <f>H72*5/100+H72</f>
        <v>60637500</v>
      </c>
      <c r="J72" s="442" t="s">
        <v>5524</v>
      </c>
    </row>
    <row r="73" spans="1:10" ht="15.75">
      <c r="A73" s="439">
        <v>116</v>
      </c>
      <c r="B73" s="442" t="s">
        <v>4608</v>
      </c>
      <c r="C73" s="441" t="s">
        <v>3007</v>
      </c>
      <c r="D73" s="441" t="s">
        <v>3007</v>
      </c>
      <c r="E73" s="441"/>
      <c r="F73" s="441" t="s">
        <v>3007</v>
      </c>
      <c r="G73" s="441" t="s">
        <v>3007</v>
      </c>
      <c r="H73" s="441" t="s">
        <v>3007</v>
      </c>
      <c r="I73" s="441" t="s">
        <v>3007</v>
      </c>
      <c r="J73" s="442" t="s">
        <v>4609</v>
      </c>
    </row>
    <row r="74" spans="1:10" ht="31.5">
      <c r="A74" s="439">
        <v>117</v>
      </c>
      <c r="B74" s="442" t="s">
        <v>4610</v>
      </c>
      <c r="C74" s="441" t="s">
        <v>3007</v>
      </c>
      <c r="D74" s="441" t="s">
        <v>3007</v>
      </c>
      <c r="E74" s="441"/>
      <c r="F74" s="441" t="s">
        <v>3007</v>
      </c>
      <c r="G74" s="441" t="s">
        <v>3007</v>
      </c>
      <c r="H74" s="441" t="s">
        <v>3007</v>
      </c>
      <c r="I74" s="441" t="s">
        <v>3007</v>
      </c>
      <c r="J74" s="469" t="s">
        <v>4611</v>
      </c>
    </row>
    <row r="75" spans="1:10" ht="15.75">
      <c r="A75" s="439">
        <v>118</v>
      </c>
      <c r="B75" s="442" t="s">
        <v>4612</v>
      </c>
      <c r="C75" s="441" t="s">
        <v>3007</v>
      </c>
      <c r="D75" s="441" t="s">
        <v>3007</v>
      </c>
      <c r="E75" s="470"/>
      <c r="F75" s="441" t="s">
        <v>3007</v>
      </c>
      <c r="G75" s="441" t="s">
        <v>3007</v>
      </c>
      <c r="H75" s="441" t="s">
        <v>3007</v>
      </c>
      <c r="I75" s="441" t="s">
        <v>3007</v>
      </c>
      <c r="J75" s="469" t="s">
        <v>5525</v>
      </c>
    </row>
    <row r="76" spans="1:10" ht="15.75">
      <c r="A76" s="439">
        <v>119</v>
      </c>
      <c r="B76" s="442" t="s">
        <v>5527</v>
      </c>
      <c r="C76" s="441" t="s">
        <v>3007</v>
      </c>
      <c r="D76" s="470" t="s">
        <v>3007</v>
      </c>
      <c r="E76" s="471"/>
      <c r="F76" s="470" t="s">
        <v>3007</v>
      </c>
      <c r="G76" s="470" t="s">
        <v>3007</v>
      </c>
      <c r="H76" s="470" t="s">
        <v>3007</v>
      </c>
      <c r="I76" s="470" t="s">
        <v>3007</v>
      </c>
      <c r="J76" s="472" t="s">
        <v>5526</v>
      </c>
    </row>
    <row r="77" spans="1:10" ht="15.75">
      <c r="A77" s="446"/>
      <c r="B77" s="447"/>
      <c r="C77" s="448"/>
      <c r="D77" s="448"/>
      <c r="E77" s="473"/>
      <c r="F77" s="448"/>
      <c r="G77" s="448"/>
      <c r="H77" s="474"/>
      <c r="I77" s="474"/>
      <c r="J77" s="475"/>
    </row>
    <row r="78" spans="1:10" ht="15.75">
      <c r="A78" s="423" t="s">
        <v>4581</v>
      </c>
      <c r="B78" s="463"/>
      <c r="C78" s="425" t="s">
        <v>1840</v>
      </c>
      <c r="D78" s="425"/>
      <c r="E78" s="425"/>
      <c r="F78" s="425"/>
      <c r="G78" s="425"/>
      <c r="H78" s="425"/>
      <c r="I78" s="425"/>
      <c r="J78" s="424"/>
    </row>
    <row r="79" spans="1:10" ht="31.5">
      <c r="A79" s="423" t="s">
        <v>4582</v>
      </c>
      <c r="B79" s="463" t="s">
        <v>4583</v>
      </c>
      <c r="C79" s="425" t="s">
        <v>1840</v>
      </c>
      <c r="D79" s="425"/>
      <c r="E79" s="425"/>
      <c r="F79" s="425"/>
      <c r="G79" s="425"/>
      <c r="H79" s="425"/>
      <c r="I79" s="425"/>
      <c r="J79" s="424"/>
    </row>
    <row r="80" spans="1:10" ht="31.5">
      <c r="A80" s="464" t="s">
        <v>4509</v>
      </c>
      <c r="B80" s="465" t="s">
        <v>4510</v>
      </c>
      <c r="C80" s="466" t="s">
        <v>4511</v>
      </c>
      <c r="D80" s="432" t="s">
        <v>4512</v>
      </c>
      <c r="E80" s="432" t="s">
        <v>5503</v>
      </c>
      <c r="F80" s="432" t="s">
        <v>4305</v>
      </c>
      <c r="G80" s="432" t="s">
        <v>5501</v>
      </c>
      <c r="H80" s="432" t="s">
        <v>4305</v>
      </c>
      <c r="I80" s="432" t="s">
        <v>4305</v>
      </c>
      <c r="J80" s="433" t="s">
        <v>4513</v>
      </c>
    </row>
    <row r="81" spans="1:10" ht="31.5">
      <c r="A81" s="434"/>
      <c r="B81" s="435"/>
      <c r="C81" s="436" t="s">
        <v>4514</v>
      </c>
      <c r="D81" s="437" t="s">
        <v>4515</v>
      </c>
      <c r="E81" s="437" t="s">
        <v>4516</v>
      </c>
      <c r="F81" s="437" t="s">
        <v>243</v>
      </c>
      <c r="G81" s="437" t="s">
        <v>243</v>
      </c>
      <c r="H81" s="437" t="s">
        <v>4130</v>
      </c>
      <c r="I81" s="437" t="s">
        <v>4202</v>
      </c>
      <c r="J81" s="438"/>
    </row>
    <row r="82" spans="1:10" ht="15.75">
      <c r="A82" s="439"/>
      <c r="B82" s="449" t="s">
        <v>4613</v>
      </c>
      <c r="C82" s="441"/>
      <c r="D82" s="441"/>
      <c r="E82" s="441"/>
      <c r="F82" s="441"/>
      <c r="G82" s="441"/>
      <c r="H82" s="441"/>
      <c r="I82" s="441"/>
      <c r="J82" s="442"/>
    </row>
    <row r="83" spans="1:10" ht="31.5">
      <c r="A83" s="439">
        <v>201</v>
      </c>
      <c r="B83" s="442" t="s">
        <v>4614</v>
      </c>
      <c r="C83" s="441">
        <f>G83+H83+I83</f>
        <v>15762500</v>
      </c>
      <c r="D83" s="441">
        <v>2000000</v>
      </c>
      <c r="E83" s="441"/>
      <c r="F83" s="441">
        <v>5000000</v>
      </c>
      <c r="G83" s="441">
        <v>5000000</v>
      </c>
      <c r="H83" s="441">
        <f>G83*5/100+G83</f>
        <v>5250000</v>
      </c>
      <c r="I83" s="441">
        <f>H83*5/100+H83</f>
        <v>5512500</v>
      </c>
      <c r="J83" s="442" t="s">
        <v>4615</v>
      </c>
    </row>
    <row r="84" spans="1:10" ht="15.75">
      <c r="A84" s="439"/>
      <c r="B84" s="442"/>
      <c r="C84" s="441">
        <f>G84+H84+I84</f>
        <v>0</v>
      </c>
      <c r="D84" s="441"/>
      <c r="E84" s="441"/>
      <c r="F84" s="441"/>
      <c r="G84" s="441"/>
      <c r="H84" s="441"/>
      <c r="I84" s="441"/>
      <c r="J84" s="442"/>
    </row>
    <row r="85" spans="1:10" ht="31.5">
      <c r="A85" s="439">
        <v>202</v>
      </c>
      <c r="B85" s="442" t="s">
        <v>4616</v>
      </c>
      <c r="C85" s="441">
        <f>G85+H85+I85</f>
        <v>15762500</v>
      </c>
      <c r="D85" s="441">
        <v>2000000</v>
      </c>
      <c r="E85" s="441"/>
      <c r="F85" s="441">
        <v>5000000</v>
      </c>
      <c r="G85" s="441">
        <v>5000000</v>
      </c>
      <c r="H85" s="441">
        <f>G85*5/100+G85</f>
        <v>5250000</v>
      </c>
      <c r="I85" s="441">
        <f>H85*5/100+H85</f>
        <v>5512500</v>
      </c>
      <c r="J85" s="442" t="s">
        <v>4617</v>
      </c>
    </row>
    <row r="86" spans="1:10" ht="15.75">
      <c r="A86" s="439"/>
      <c r="B86" s="442"/>
      <c r="C86" s="441"/>
      <c r="D86" s="441"/>
      <c r="E86" s="441"/>
      <c r="F86" s="441"/>
      <c r="G86" s="441"/>
      <c r="H86" s="441"/>
      <c r="I86" s="441"/>
      <c r="J86" s="442"/>
    </row>
    <row r="87" spans="1:10" ht="15.75">
      <c r="A87" s="439"/>
      <c r="B87" s="442"/>
      <c r="C87" s="441"/>
      <c r="D87" s="441"/>
      <c r="E87" s="441"/>
      <c r="F87" s="441"/>
      <c r="G87" s="441"/>
      <c r="H87" s="441"/>
      <c r="I87" s="441"/>
      <c r="J87" s="442"/>
    </row>
    <row r="88" spans="1:10" ht="47.25">
      <c r="A88" s="439">
        <v>203</v>
      </c>
      <c r="B88" s="442" t="s">
        <v>4618</v>
      </c>
      <c r="C88" s="441">
        <f>SUM(G88:I88)</f>
        <v>4100000</v>
      </c>
      <c r="D88" s="470" t="s">
        <v>3007</v>
      </c>
      <c r="E88" s="441"/>
      <c r="F88" s="470" t="s">
        <v>3007</v>
      </c>
      <c r="G88" s="470" t="s">
        <v>3007</v>
      </c>
      <c r="H88" s="441">
        <v>2000000</v>
      </c>
      <c r="I88" s="441">
        <f>H88*5/100+H88</f>
        <v>2100000</v>
      </c>
      <c r="J88" s="442" t="s">
        <v>4619</v>
      </c>
    </row>
    <row r="89" spans="1:10" ht="15.75">
      <c r="A89" s="439"/>
      <c r="B89" s="442"/>
      <c r="C89" s="441"/>
      <c r="D89" s="441"/>
      <c r="E89" s="441"/>
      <c r="F89" s="441"/>
      <c r="G89" s="441"/>
      <c r="H89" s="441"/>
      <c r="I89" s="441"/>
      <c r="J89" s="442"/>
    </row>
    <row r="90" spans="1:10" ht="15.75">
      <c r="A90" s="460"/>
      <c r="B90" s="461" t="s">
        <v>4580</v>
      </c>
      <c r="C90" s="462">
        <f t="shared" ref="C90:I90" si="10">SUM(C58:C89)</f>
        <v>962460000</v>
      </c>
      <c r="D90" s="462">
        <f t="shared" si="10"/>
        <v>394000000</v>
      </c>
      <c r="E90" s="462">
        <f t="shared" si="10"/>
        <v>0</v>
      </c>
      <c r="F90" s="462">
        <f t="shared" si="10"/>
        <v>397000000</v>
      </c>
      <c r="G90" s="462">
        <f t="shared" si="10"/>
        <v>304000000</v>
      </c>
      <c r="H90" s="462">
        <f t="shared" si="10"/>
        <v>321200000</v>
      </c>
      <c r="I90" s="462">
        <f t="shared" si="10"/>
        <v>337260000</v>
      </c>
      <c r="J90" s="461"/>
    </row>
    <row r="91" spans="1:10" ht="15.75">
      <c r="A91" s="423" t="s">
        <v>4620</v>
      </c>
      <c r="B91" s="463"/>
      <c r="C91" s="425" t="s">
        <v>1840</v>
      </c>
      <c r="D91" s="425"/>
      <c r="E91" s="425"/>
      <c r="F91" s="425"/>
      <c r="G91" s="425"/>
      <c r="H91" s="425"/>
      <c r="I91" s="425"/>
      <c r="J91" s="424"/>
    </row>
    <row r="92" spans="1:10" ht="15.75">
      <c r="A92" s="426" t="s">
        <v>4582</v>
      </c>
      <c r="B92" s="427" t="s">
        <v>4621</v>
      </c>
      <c r="C92" s="425" t="s">
        <v>1840</v>
      </c>
      <c r="D92" s="474"/>
      <c r="E92" s="474"/>
      <c r="F92" s="474"/>
      <c r="G92" s="474"/>
      <c r="H92" s="474"/>
      <c r="I92" s="474"/>
      <c r="J92" s="476"/>
    </row>
    <row r="93" spans="1:10" ht="31.5">
      <c r="A93" s="429" t="s">
        <v>4509</v>
      </c>
      <c r="B93" s="477" t="s">
        <v>4510</v>
      </c>
      <c r="C93" s="466" t="s">
        <v>4511</v>
      </c>
      <c r="D93" s="432" t="s">
        <v>4512</v>
      </c>
      <c r="E93" s="432" t="s">
        <v>5503</v>
      </c>
      <c r="F93" s="432" t="s">
        <v>4305</v>
      </c>
      <c r="G93" s="432" t="s">
        <v>5501</v>
      </c>
      <c r="H93" s="432" t="s">
        <v>4305</v>
      </c>
      <c r="I93" s="432" t="s">
        <v>4305</v>
      </c>
      <c r="J93" s="433" t="s">
        <v>4513</v>
      </c>
    </row>
    <row r="94" spans="1:10" ht="31.5">
      <c r="A94" s="434"/>
      <c r="B94" s="435"/>
      <c r="C94" s="436" t="s">
        <v>4514</v>
      </c>
      <c r="D94" s="437" t="s">
        <v>4515</v>
      </c>
      <c r="E94" s="437" t="s">
        <v>4516</v>
      </c>
      <c r="F94" s="437" t="s">
        <v>243</v>
      </c>
      <c r="G94" s="437" t="s">
        <v>243</v>
      </c>
      <c r="H94" s="437" t="s">
        <v>4130</v>
      </c>
      <c r="I94" s="437" t="s">
        <v>4202</v>
      </c>
      <c r="J94" s="438"/>
    </row>
    <row r="95" spans="1:10" ht="47.25">
      <c r="A95" s="439">
        <v>101</v>
      </c>
      <c r="B95" s="442" t="s">
        <v>4622</v>
      </c>
      <c r="C95" s="441">
        <f t="shared" ref="C95:C112" si="11">G95+H95+I95</f>
        <v>31525000</v>
      </c>
      <c r="D95" s="441">
        <v>10000000</v>
      </c>
      <c r="E95" s="441"/>
      <c r="F95" s="441"/>
      <c r="G95" s="441">
        <v>10000000</v>
      </c>
      <c r="H95" s="441">
        <f>G95*5/100+G95</f>
        <v>10500000</v>
      </c>
      <c r="I95" s="441">
        <f>H95*5/100+H95</f>
        <v>11025000</v>
      </c>
      <c r="J95" s="442" t="s">
        <v>4623</v>
      </c>
    </row>
    <row r="96" spans="1:10" ht="31.5">
      <c r="A96" s="439" t="s">
        <v>4624</v>
      </c>
      <c r="B96" s="442" t="s">
        <v>4625</v>
      </c>
      <c r="C96" s="441">
        <f>SUM(G96:I96)</f>
        <v>25220000</v>
      </c>
      <c r="D96" s="441">
        <v>8000000</v>
      </c>
      <c r="E96" s="441"/>
      <c r="F96" s="441"/>
      <c r="G96" s="441">
        <v>8000000</v>
      </c>
      <c r="H96" s="441">
        <f>G96*5/100+G96</f>
        <v>8400000</v>
      </c>
      <c r="I96" s="441">
        <f>H96*5/100+H96</f>
        <v>8820000</v>
      </c>
      <c r="J96" s="442" t="s">
        <v>4626</v>
      </c>
    </row>
    <row r="97" spans="1:10" ht="15.75">
      <c r="A97" s="439"/>
      <c r="B97" s="442"/>
      <c r="C97" s="441"/>
      <c r="D97" s="441"/>
      <c r="E97" s="441"/>
      <c r="F97" s="441"/>
      <c r="G97" s="441"/>
      <c r="H97" s="441"/>
      <c r="I97" s="441"/>
      <c r="J97" s="442"/>
    </row>
    <row r="98" spans="1:10" ht="15.75">
      <c r="A98" s="439">
        <v>102</v>
      </c>
      <c r="B98" s="442" t="s">
        <v>4627</v>
      </c>
      <c r="C98" s="441">
        <f t="shared" si="11"/>
        <v>9457500</v>
      </c>
      <c r="D98" s="441">
        <v>3000000</v>
      </c>
      <c r="E98" s="441"/>
      <c r="F98" s="441"/>
      <c r="G98" s="441">
        <v>3000000</v>
      </c>
      <c r="H98" s="441">
        <f t="shared" ref="H98:I101" si="12">G98*5/100+G98</f>
        <v>3150000</v>
      </c>
      <c r="I98" s="441">
        <f t="shared" si="12"/>
        <v>3307500</v>
      </c>
      <c r="J98" s="442" t="s">
        <v>4628</v>
      </c>
    </row>
    <row r="99" spans="1:10" ht="15.75">
      <c r="A99" s="439">
        <v>103</v>
      </c>
      <c r="B99" s="442" t="s">
        <v>4629</v>
      </c>
      <c r="C99" s="441"/>
      <c r="D99" s="441">
        <v>1000000</v>
      </c>
      <c r="E99" s="441"/>
      <c r="F99" s="441"/>
      <c r="G99" s="441" t="s">
        <v>3007</v>
      </c>
      <c r="H99" s="441" t="s">
        <v>3007</v>
      </c>
      <c r="I99" s="441" t="s">
        <v>3007</v>
      </c>
      <c r="J99" s="442" t="s">
        <v>4630</v>
      </c>
    </row>
    <row r="100" spans="1:10" ht="31.5">
      <c r="A100" s="439">
        <v>104</v>
      </c>
      <c r="B100" s="442" t="s">
        <v>4631</v>
      </c>
      <c r="C100" s="441">
        <f t="shared" si="11"/>
        <v>6305000</v>
      </c>
      <c r="D100" s="441">
        <v>2000000</v>
      </c>
      <c r="E100" s="441"/>
      <c r="F100" s="441"/>
      <c r="G100" s="441">
        <v>2000000</v>
      </c>
      <c r="H100" s="441">
        <f t="shared" si="12"/>
        <v>2100000</v>
      </c>
      <c r="I100" s="441">
        <f t="shared" si="12"/>
        <v>2205000</v>
      </c>
      <c r="J100" s="442" t="s">
        <v>4632</v>
      </c>
    </row>
    <row r="101" spans="1:10" ht="15.75">
      <c r="A101" s="439">
        <v>105</v>
      </c>
      <c r="B101" s="442" t="s">
        <v>4633</v>
      </c>
      <c r="C101" s="441">
        <f t="shared" si="11"/>
        <v>4100000</v>
      </c>
      <c r="D101" s="441">
        <v>1000000</v>
      </c>
      <c r="E101" s="441"/>
      <c r="F101" s="441"/>
      <c r="G101" s="441">
        <v>0</v>
      </c>
      <c r="H101" s="441">
        <v>2000000</v>
      </c>
      <c r="I101" s="441">
        <f t="shared" si="12"/>
        <v>2100000</v>
      </c>
      <c r="J101" s="442" t="s">
        <v>4634</v>
      </c>
    </row>
    <row r="102" spans="1:10" ht="15.75">
      <c r="A102" s="439"/>
      <c r="B102" s="442"/>
      <c r="C102" s="441"/>
      <c r="D102" s="441"/>
      <c r="E102" s="441"/>
      <c r="F102" s="441"/>
      <c r="G102" s="441"/>
      <c r="H102" s="441"/>
      <c r="I102" s="441"/>
      <c r="J102" s="442"/>
    </row>
    <row r="103" spans="1:10" ht="31.5">
      <c r="A103" s="439">
        <v>106</v>
      </c>
      <c r="B103" s="442" t="s">
        <v>4635</v>
      </c>
      <c r="C103" s="441"/>
      <c r="D103" s="441"/>
      <c r="E103" s="441"/>
      <c r="F103" s="441"/>
      <c r="G103" s="441" t="s">
        <v>3007</v>
      </c>
      <c r="H103" s="441" t="s">
        <v>3007</v>
      </c>
      <c r="I103" s="441" t="s">
        <v>3007</v>
      </c>
      <c r="J103" s="442" t="s">
        <v>4636</v>
      </c>
    </row>
    <row r="104" spans="1:10" ht="15.75">
      <c r="A104" s="439"/>
      <c r="B104" s="442"/>
      <c r="C104" s="441"/>
      <c r="D104" s="441"/>
      <c r="E104" s="441"/>
      <c r="F104" s="441"/>
      <c r="G104" s="441"/>
      <c r="H104" s="441"/>
      <c r="I104" s="441"/>
      <c r="J104" s="442"/>
    </row>
    <row r="105" spans="1:10" ht="15.75">
      <c r="A105" s="439">
        <f>A103+1</f>
        <v>107</v>
      </c>
      <c r="B105" s="442" t="s">
        <v>4637</v>
      </c>
      <c r="C105" s="441"/>
      <c r="D105" s="441"/>
      <c r="E105" s="441"/>
      <c r="F105" s="441"/>
      <c r="G105" s="441" t="s">
        <v>3007</v>
      </c>
      <c r="H105" s="441" t="s">
        <v>3007</v>
      </c>
      <c r="I105" s="441" t="s">
        <v>3007</v>
      </c>
      <c r="J105" s="442" t="s">
        <v>5528</v>
      </c>
    </row>
    <row r="106" spans="1:10" ht="15.75">
      <c r="A106" s="439"/>
      <c r="B106" s="442"/>
      <c r="C106" s="441"/>
      <c r="D106" s="441"/>
      <c r="E106" s="441"/>
      <c r="F106" s="441"/>
      <c r="G106" s="441"/>
      <c r="H106" s="441"/>
      <c r="I106" s="441"/>
      <c r="J106" s="442"/>
    </row>
    <row r="107" spans="1:10" ht="47.25">
      <c r="A107" s="439">
        <f>A105+1</f>
        <v>108</v>
      </c>
      <c r="B107" s="442" t="s">
        <v>4638</v>
      </c>
      <c r="C107" s="441">
        <f t="shared" si="11"/>
        <v>6305000</v>
      </c>
      <c r="D107" s="441">
        <v>2000000</v>
      </c>
      <c r="E107" s="441"/>
      <c r="F107" s="441"/>
      <c r="G107" s="441">
        <v>2000000</v>
      </c>
      <c r="H107" s="441">
        <f>G107*5/100+G107</f>
        <v>2100000</v>
      </c>
      <c r="I107" s="441">
        <f>H107*5/100+H107</f>
        <v>2205000</v>
      </c>
      <c r="J107" s="442" t="s">
        <v>4639</v>
      </c>
    </row>
    <row r="108" spans="1:10" ht="15.75">
      <c r="A108" s="439"/>
      <c r="B108" s="442"/>
      <c r="C108" s="441">
        <f t="shared" si="11"/>
        <v>0</v>
      </c>
      <c r="D108" s="441"/>
      <c r="E108" s="441"/>
      <c r="F108" s="441"/>
      <c r="G108" s="441"/>
      <c r="H108" s="441"/>
      <c r="I108" s="441"/>
      <c r="J108" s="442"/>
    </row>
    <row r="109" spans="1:10" ht="31.5">
      <c r="A109" s="439">
        <f>A107+1</f>
        <v>109</v>
      </c>
      <c r="B109" s="442" t="s">
        <v>4640</v>
      </c>
      <c r="C109" s="441">
        <f t="shared" si="11"/>
        <v>6305000</v>
      </c>
      <c r="D109" s="441">
        <v>2000000</v>
      </c>
      <c r="E109" s="441"/>
      <c r="F109" s="441"/>
      <c r="G109" s="441">
        <v>2000000</v>
      </c>
      <c r="H109" s="441">
        <f>G109*5/100+G109</f>
        <v>2100000</v>
      </c>
      <c r="I109" s="441">
        <f>H109*5/100+H109</f>
        <v>2205000</v>
      </c>
      <c r="J109" s="442" t="s">
        <v>4641</v>
      </c>
    </row>
    <row r="110" spans="1:10" ht="15.75">
      <c r="A110" s="439">
        <f>A108+1</f>
        <v>1</v>
      </c>
      <c r="B110" s="442"/>
      <c r="C110" s="441">
        <f t="shared" si="11"/>
        <v>0</v>
      </c>
      <c r="D110" s="441"/>
      <c r="E110" s="441"/>
      <c r="F110" s="441"/>
      <c r="G110" s="441"/>
      <c r="H110" s="441"/>
      <c r="I110" s="441"/>
      <c r="J110" s="442"/>
    </row>
    <row r="111" spans="1:10" ht="15.75">
      <c r="A111" s="439"/>
      <c r="B111" s="442"/>
      <c r="C111" s="441"/>
      <c r="D111" s="441"/>
      <c r="E111" s="441"/>
      <c r="F111" s="441"/>
      <c r="G111" s="441"/>
      <c r="H111" s="441"/>
      <c r="I111" s="441"/>
      <c r="J111" s="442"/>
    </row>
    <row r="112" spans="1:10" ht="47.25">
      <c r="A112" s="439">
        <f>A109+1</f>
        <v>110</v>
      </c>
      <c r="B112" s="442" t="s">
        <v>4642</v>
      </c>
      <c r="C112" s="441">
        <f t="shared" si="11"/>
        <v>220675000</v>
      </c>
      <c r="D112" s="441">
        <v>75000000</v>
      </c>
      <c r="E112" s="441"/>
      <c r="F112" s="441"/>
      <c r="G112" s="441">
        <v>70000000</v>
      </c>
      <c r="H112" s="441">
        <f>G112*5/100+G112</f>
        <v>73500000</v>
      </c>
      <c r="I112" s="441">
        <f>H112*5/100+H112</f>
        <v>77175000</v>
      </c>
      <c r="J112" s="442" t="s">
        <v>5529</v>
      </c>
    </row>
    <row r="113" spans="1:10" ht="15.75">
      <c r="A113" s="460"/>
      <c r="B113" s="461" t="s">
        <v>4580</v>
      </c>
      <c r="C113" s="462">
        <f t="shared" ref="C113:I113" si="13">SUM(C95:C112)</f>
        <v>309892500</v>
      </c>
      <c r="D113" s="462">
        <f>SUM(D95:D112)</f>
        <v>104000000</v>
      </c>
      <c r="E113" s="462">
        <f t="shared" si="13"/>
        <v>0</v>
      </c>
      <c r="F113" s="462">
        <f>SUM(F95:F112)</f>
        <v>0</v>
      </c>
      <c r="G113" s="462">
        <f>SUM(G95:G112)</f>
        <v>97000000</v>
      </c>
      <c r="H113" s="462">
        <f t="shared" si="13"/>
        <v>103850000</v>
      </c>
      <c r="I113" s="462">
        <f t="shared" si="13"/>
        <v>109042500</v>
      </c>
      <c r="J113" s="461"/>
    </row>
    <row r="114" spans="1:10" ht="15.75">
      <c r="A114" s="423" t="s">
        <v>4643</v>
      </c>
      <c r="B114" s="463"/>
      <c r="C114" s="425" t="s">
        <v>1840</v>
      </c>
      <c r="D114" s="425"/>
      <c r="E114" s="425"/>
      <c r="F114" s="425"/>
      <c r="G114" s="425"/>
      <c r="H114" s="425"/>
      <c r="I114" s="425"/>
      <c r="J114" s="424"/>
    </row>
    <row r="115" spans="1:10" ht="15.75">
      <c r="A115" s="426" t="s">
        <v>4582</v>
      </c>
      <c r="B115" s="427" t="s">
        <v>4644</v>
      </c>
      <c r="C115" s="425" t="s">
        <v>1840</v>
      </c>
      <c r="D115" s="474"/>
      <c r="E115" s="474"/>
      <c r="F115" s="474"/>
      <c r="G115" s="474"/>
      <c r="H115" s="474"/>
      <c r="I115" s="474"/>
      <c r="J115" s="476"/>
    </row>
    <row r="116" spans="1:10" ht="31.5">
      <c r="A116" s="429" t="s">
        <v>4509</v>
      </c>
      <c r="B116" s="477" t="s">
        <v>4510</v>
      </c>
      <c r="C116" s="466" t="s">
        <v>4511</v>
      </c>
      <c r="D116" s="432" t="s">
        <v>4512</v>
      </c>
      <c r="E116" s="432" t="s">
        <v>5503</v>
      </c>
      <c r="F116" s="432" t="s">
        <v>4305</v>
      </c>
      <c r="G116" s="432" t="s">
        <v>5501</v>
      </c>
      <c r="H116" s="432" t="s">
        <v>4305</v>
      </c>
      <c r="I116" s="432" t="s">
        <v>4305</v>
      </c>
      <c r="J116" s="433" t="s">
        <v>4513</v>
      </c>
    </row>
    <row r="117" spans="1:10" ht="31.5">
      <c r="A117" s="434"/>
      <c r="B117" s="435"/>
      <c r="C117" s="436" t="s">
        <v>4514</v>
      </c>
      <c r="D117" s="437" t="s">
        <v>4515</v>
      </c>
      <c r="E117" s="437" t="s">
        <v>4516</v>
      </c>
      <c r="F117" s="437" t="s">
        <v>243</v>
      </c>
      <c r="G117" s="437" t="s">
        <v>243</v>
      </c>
      <c r="H117" s="437" t="s">
        <v>4130</v>
      </c>
      <c r="I117" s="437" t="s">
        <v>4202</v>
      </c>
      <c r="J117" s="438"/>
    </row>
    <row r="118" spans="1:10" ht="15.75">
      <c r="A118" s="478"/>
      <c r="B118" s="479"/>
      <c r="C118" s="480"/>
      <c r="D118" s="480"/>
      <c r="E118" s="480"/>
      <c r="F118" s="480"/>
      <c r="G118" s="480"/>
      <c r="H118" s="480"/>
      <c r="I118" s="480"/>
      <c r="J118" s="479"/>
    </row>
    <row r="119" spans="1:10" ht="31.5">
      <c r="A119" s="439">
        <v>101</v>
      </c>
      <c r="B119" s="442" t="s">
        <v>4645</v>
      </c>
      <c r="C119" s="441">
        <f>G119+H119+I119</f>
        <v>31525000</v>
      </c>
      <c r="D119" s="441">
        <v>10000000</v>
      </c>
      <c r="E119" s="441"/>
      <c r="F119" s="441">
        <v>20000000</v>
      </c>
      <c r="G119" s="441">
        <v>10000000</v>
      </c>
      <c r="H119" s="441">
        <f>G119*5/100+G119</f>
        <v>10500000</v>
      </c>
      <c r="I119" s="441">
        <f>H119*5/100+H119</f>
        <v>11025000</v>
      </c>
      <c r="J119" s="442" t="s">
        <v>4650</v>
      </c>
    </row>
    <row r="120" spans="1:10" ht="15.75">
      <c r="A120" s="439"/>
      <c r="B120" s="442"/>
      <c r="C120" s="441"/>
      <c r="D120" s="441"/>
      <c r="E120" s="441"/>
      <c r="F120" s="441"/>
      <c r="G120" s="441"/>
      <c r="H120" s="441"/>
      <c r="I120" s="441"/>
      <c r="J120" s="442"/>
    </row>
    <row r="121" spans="1:10" ht="31.5">
      <c r="A121" s="439">
        <v>102</v>
      </c>
      <c r="B121" s="442" t="s">
        <v>4647</v>
      </c>
      <c r="C121" s="441">
        <f>G121+H121+I121</f>
        <v>31525000</v>
      </c>
      <c r="D121" s="441">
        <v>10000000</v>
      </c>
      <c r="E121" s="441"/>
      <c r="F121" s="441">
        <v>10000000</v>
      </c>
      <c r="G121" s="441">
        <v>10000000</v>
      </c>
      <c r="H121" s="441">
        <f>G121*5/100+G121</f>
        <v>10500000</v>
      </c>
      <c r="I121" s="441">
        <f>H121*5/100+H121</f>
        <v>11025000</v>
      </c>
      <c r="J121" s="442" t="s">
        <v>4648</v>
      </c>
    </row>
    <row r="122" spans="1:10" ht="15.75">
      <c r="A122" s="439"/>
      <c r="B122" s="442"/>
      <c r="C122" s="441"/>
      <c r="D122" s="441"/>
      <c r="E122" s="441"/>
      <c r="F122" s="441"/>
      <c r="G122" s="441"/>
      <c r="H122" s="441"/>
      <c r="I122" s="441"/>
      <c r="J122" s="442"/>
    </row>
    <row r="123" spans="1:10" ht="15.75">
      <c r="A123" s="439">
        <v>103</v>
      </c>
      <c r="B123" s="442" t="s">
        <v>4649</v>
      </c>
      <c r="C123" s="441">
        <f>SUM(G123:I123)</f>
        <v>4000000</v>
      </c>
      <c r="D123" s="441"/>
      <c r="E123" s="441"/>
      <c r="F123" s="441"/>
      <c r="G123" s="441" t="s">
        <v>3007</v>
      </c>
      <c r="H123" s="441">
        <v>2000000</v>
      </c>
      <c r="I123" s="441">
        <v>2000000</v>
      </c>
      <c r="J123" s="442" t="s">
        <v>4646</v>
      </c>
    </row>
    <row r="124" spans="1:10" ht="15.75">
      <c r="A124" s="439"/>
      <c r="B124" s="442"/>
      <c r="C124" s="441"/>
      <c r="D124" s="441"/>
      <c r="E124" s="441"/>
      <c r="F124" s="441"/>
      <c r="G124" s="441"/>
      <c r="H124" s="441"/>
      <c r="I124" s="441"/>
      <c r="J124" s="442"/>
    </row>
    <row r="125" spans="1:10" ht="31.5">
      <c r="A125" s="439">
        <v>104</v>
      </c>
      <c r="B125" s="442" t="s">
        <v>4651</v>
      </c>
      <c r="C125" s="441">
        <f>G125+H125+I125</f>
        <v>15762500</v>
      </c>
      <c r="D125" s="441">
        <v>5000000</v>
      </c>
      <c r="E125" s="441"/>
      <c r="F125" s="441">
        <v>10000000</v>
      </c>
      <c r="G125" s="441">
        <v>5000000</v>
      </c>
      <c r="H125" s="441">
        <f>G125*5/100+G125</f>
        <v>5250000</v>
      </c>
      <c r="I125" s="441">
        <f>H125*5/100+H125</f>
        <v>5512500</v>
      </c>
      <c r="J125" s="442" t="s">
        <v>4652</v>
      </c>
    </row>
    <row r="126" spans="1:10" ht="15.75">
      <c r="A126" s="460"/>
      <c r="B126" s="461" t="s">
        <v>2593</v>
      </c>
      <c r="C126" s="462">
        <f t="shared" ref="C126:I126" si="14">SUM(C118:C125)</f>
        <v>82812500</v>
      </c>
      <c r="D126" s="462">
        <f t="shared" si="14"/>
        <v>25000000</v>
      </c>
      <c r="E126" s="462">
        <f t="shared" si="14"/>
        <v>0</v>
      </c>
      <c r="F126" s="462">
        <f>SUM(F118:F125)</f>
        <v>40000000</v>
      </c>
      <c r="G126" s="462">
        <f t="shared" si="14"/>
        <v>25000000</v>
      </c>
      <c r="H126" s="462">
        <f t="shared" si="14"/>
        <v>28250000</v>
      </c>
      <c r="I126" s="462">
        <f t="shared" si="14"/>
        <v>29562500</v>
      </c>
      <c r="J126" s="461"/>
    </row>
    <row r="127" spans="1:10" ht="15.75">
      <c r="A127" s="423" t="s">
        <v>4653</v>
      </c>
      <c r="B127" s="463"/>
      <c r="C127" s="425" t="s">
        <v>1840</v>
      </c>
      <c r="D127" s="425"/>
      <c r="E127" s="425"/>
      <c r="F127" s="425"/>
      <c r="G127" s="425"/>
      <c r="H127" s="425"/>
      <c r="I127" s="425"/>
      <c r="J127" s="424"/>
    </row>
    <row r="128" spans="1:10" ht="15.75">
      <c r="A128" s="426" t="s">
        <v>4582</v>
      </c>
      <c r="B128" s="427" t="s">
        <v>4654</v>
      </c>
      <c r="C128" s="425" t="s">
        <v>1840</v>
      </c>
      <c r="D128" s="474"/>
      <c r="E128" s="474"/>
      <c r="F128" s="474"/>
      <c r="G128" s="474"/>
      <c r="H128" s="474"/>
      <c r="I128" s="474"/>
      <c r="J128" s="476"/>
    </row>
    <row r="129" spans="1:10" ht="31.5">
      <c r="A129" s="429" t="s">
        <v>4655</v>
      </c>
      <c r="B129" s="477" t="s">
        <v>4510</v>
      </c>
      <c r="C129" s="466" t="s">
        <v>4511</v>
      </c>
      <c r="D129" s="432" t="s">
        <v>4512</v>
      </c>
      <c r="E129" s="432" t="s">
        <v>5503</v>
      </c>
      <c r="F129" s="432" t="s">
        <v>4305</v>
      </c>
      <c r="G129" s="432" t="s">
        <v>5501</v>
      </c>
      <c r="H129" s="432" t="s">
        <v>4305</v>
      </c>
      <c r="I129" s="432" t="s">
        <v>4305</v>
      </c>
      <c r="J129" s="433" t="s">
        <v>4513</v>
      </c>
    </row>
    <row r="130" spans="1:10" ht="31.5">
      <c r="A130" s="434"/>
      <c r="B130" s="435"/>
      <c r="C130" s="436" t="s">
        <v>4514</v>
      </c>
      <c r="D130" s="437" t="s">
        <v>4515</v>
      </c>
      <c r="E130" s="437" t="s">
        <v>4516</v>
      </c>
      <c r="F130" s="437" t="s">
        <v>243</v>
      </c>
      <c r="G130" s="437" t="s">
        <v>243</v>
      </c>
      <c r="H130" s="437" t="s">
        <v>4130</v>
      </c>
      <c r="I130" s="437" t="s">
        <v>4202</v>
      </c>
      <c r="J130" s="438"/>
    </row>
    <row r="131" spans="1:10" ht="15.75">
      <c r="A131" s="439"/>
      <c r="B131" s="442"/>
      <c r="C131" s="441"/>
      <c r="D131" s="441"/>
      <c r="E131" s="441"/>
      <c r="F131" s="441"/>
      <c r="G131" s="441"/>
      <c r="H131" s="441"/>
      <c r="I131" s="441"/>
      <c r="J131" s="442"/>
    </row>
    <row r="132" spans="1:10" ht="31.5">
      <c r="A132" s="439">
        <v>101</v>
      </c>
      <c r="B132" s="442" t="s">
        <v>4656</v>
      </c>
      <c r="C132" s="441">
        <v>0</v>
      </c>
      <c r="D132" s="441" t="s">
        <v>3007</v>
      </c>
      <c r="E132" s="441"/>
      <c r="F132" s="441" t="s">
        <v>3007</v>
      </c>
      <c r="G132" s="441" t="s">
        <v>3007</v>
      </c>
      <c r="H132" s="441" t="s">
        <v>3007</v>
      </c>
      <c r="I132" s="441" t="s">
        <v>3007</v>
      </c>
      <c r="J132" s="442" t="s">
        <v>4657</v>
      </c>
    </row>
    <row r="133" spans="1:10" ht="15.75">
      <c r="A133" s="439"/>
      <c r="B133" s="442"/>
      <c r="C133" s="441"/>
      <c r="D133" s="441"/>
      <c r="E133" s="441"/>
      <c r="F133" s="441"/>
      <c r="G133" s="441"/>
      <c r="H133" s="441"/>
      <c r="I133" s="441"/>
      <c r="J133" s="442"/>
    </row>
    <row r="134" spans="1:10" ht="15.75">
      <c r="A134" s="439">
        <v>102</v>
      </c>
      <c r="B134" s="442" t="s">
        <v>5530</v>
      </c>
      <c r="C134" s="441">
        <f>G134+H134+I134</f>
        <v>15762500</v>
      </c>
      <c r="D134" s="441" t="s">
        <v>3007</v>
      </c>
      <c r="E134" s="441"/>
      <c r="F134" s="441">
        <v>50000000</v>
      </c>
      <c r="G134" s="441">
        <v>5000000</v>
      </c>
      <c r="H134" s="441">
        <f>G134*1.05</f>
        <v>5250000</v>
      </c>
      <c r="I134" s="441">
        <f>H134*1.05</f>
        <v>5512500</v>
      </c>
      <c r="J134" s="442" t="s">
        <v>5531</v>
      </c>
    </row>
    <row r="135" spans="1:10" ht="15.75">
      <c r="A135" s="439"/>
      <c r="B135" s="442"/>
      <c r="C135" s="441"/>
      <c r="D135" s="441"/>
      <c r="E135" s="441"/>
      <c r="F135" s="441">
        <v>0</v>
      </c>
      <c r="G135" s="441"/>
      <c r="H135" s="441"/>
      <c r="I135" s="441"/>
      <c r="J135" s="442"/>
    </row>
    <row r="136" spans="1:10" ht="15.75">
      <c r="A136" s="439">
        <v>103</v>
      </c>
      <c r="B136" s="442" t="s">
        <v>4658</v>
      </c>
      <c r="C136" s="441"/>
      <c r="D136" s="441" t="s">
        <v>3007</v>
      </c>
      <c r="E136" s="441"/>
      <c r="F136" s="441" t="s">
        <v>3007</v>
      </c>
      <c r="G136" s="441" t="s">
        <v>3007</v>
      </c>
      <c r="H136" s="441" t="s">
        <v>3007</v>
      </c>
      <c r="I136" s="441" t="s">
        <v>3007</v>
      </c>
      <c r="J136" s="442" t="s">
        <v>5532</v>
      </c>
    </row>
    <row r="137" spans="1:10" ht="15.75">
      <c r="A137" s="439"/>
      <c r="B137" s="442"/>
      <c r="C137" s="441"/>
      <c r="D137" s="441"/>
      <c r="E137" s="441"/>
      <c r="F137" s="441"/>
      <c r="G137" s="441"/>
      <c r="H137" s="441"/>
      <c r="I137" s="441"/>
      <c r="J137" s="442"/>
    </row>
    <row r="138" spans="1:10" ht="31.5">
      <c r="A138" s="439">
        <v>104</v>
      </c>
      <c r="B138" s="442" t="s">
        <v>5533</v>
      </c>
      <c r="C138" s="441">
        <f>G138+H138+I138</f>
        <v>31525000</v>
      </c>
      <c r="D138" s="441">
        <v>50000000</v>
      </c>
      <c r="E138" s="441"/>
      <c r="F138" s="441">
        <v>50000000</v>
      </c>
      <c r="G138" s="441">
        <v>10000000</v>
      </c>
      <c r="H138" s="441">
        <f t="shared" ref="H138:I142" si="15">G138*1.05</f>
        <v>10500000</v>
      </c>
      <c r="I138" s="441">
        <f t="shared" si="15"/>
        <v>11025000</v>
      </c>
      <c r="J138" s="442" t="s">
        <v>5534</v>
      </c>
    </row>
    <row r="139" spans="1:10" ht="15.75">
      <c r="A139" s="439"/>
      <c r="B139" s="442"/>
      <c r="C139" s="441"/>
      <c r="D139" s="441"/>
      <c r="E139" s="441"/>
      <c r="F139" s="441"/>
      <c r="G139" s="441"/>
      <c r="H139" s="441"/>
      <c r="I139" s="441"/>
      <c r="J139" s="442"/>
    </row>
    <row r="140" spans="1:10" ht="15.75">
      <c r="A140" s="439">
        <v>105</v>
      </c>
      <c r="B140" s="442" t="s">
        <v>5535</v>
      </c>
      <c r="C140" s="441">
        <f>G140+H140+I140</f>
        <v>31525000</v>
      </c>
      <c r="D140" s="441" t="s">
        <v>3007</v>
      </c>
      <c r="E140" s="441"/>
      <c r="F140" s="441">
        <v>10000000</v>
      </c>
      <c r="G140" s="441">
        <v>10000000</v>
      </c>
      <c r="H140" s="441">
        <f t="shared" si="15"/>
        <v>10500000</v>
      </c>
      <c r="I140" s="441">
        <f t="shared" si="15"/>
        <v>11025000</v>
      </c>
      <c r="J140" s="442" t="s">
        <v>5536</v>
      </c>
    </row>
    <row r="141" spans="1:10" ht="15.75">
      <c r="A141" s="439"/>
      <c r="B141" s="442"/>
      <c r="C141" s="441"/>
      <c r="D141" s="441"/>
      <c r="E141" s="441"/>
      <c r="F141" s="441"/>
      <c r="G141" s="441"/>
      <c r="H141" s="441">
        <f t="shared" si="15"/>
        <v>0</v>
      </c>
      <c r="I141" s="441">
        <f t="shared" si="15"/>
        <v>0</v>
      </c>
      <c r="J141" s="442"/>
    </row>
    <row r="142" spans="1:10" ht="31.5">
      <c r="A142" s="439">
        <v>106</v>
      </c>
      <c r="B142" s="442" t="s">
        <v>5537</v>
      </c>
      <c r="C142" s="441">
        <f>G142+H142+I142</f>
        <v>31525000</v>
      </c>
      <c r="D142" s="441" t="s">
        <v>3007</v>
      </c>
      <c r="E142" s="441"/>
      <c r="F142" s="441">
        <v>500000000</v>
      </c>
      <c r="G142" s="441">
        <v>10000000</v>
      </c>
      <c r="H142" s="441">
        <f t="shared" si="15"/>
        <v>10500000</v>
      </c>
      <c r="I142" s="441">
        <f t="shared" si="15"/>
        <v>11025000</v>
      </c>
      <c r="J142" s="442" t="s">
        <v>5538</v>
      </c>
    </row>
    <row r="143" spans="1:10" ht="15.75">
      <c r="A143" s="439"/>
      <c r="B143" s="442"/>
      <c r="C143" s="441">
        <f>G143+H143+I143</f>
        <v>0</v>
      </c>
      <c r="D143" s="441"/>
      <c r="E143" s="441"/>
      <c r="F143" s="441">
        <v>0</v>
      </c>
      <c r="G143" s="441"/>
      <c r="H143" s="441"/>
      <c r="I143" s="441"/>
      <c r="J143" s="442"/>
    </row>
    <row r="144" spans="1:10" ht="31.5">
      <c r="A144" s="439">
        <v>107</v>
      </c>
      <c r="B144" s="442" t="s">
        <v>4659</v>
      </c>
      <c r="C144" s="441">
        <f>G144+H144+I144</f>
        <v>31525000</v>
      </c>
      <c r="D144" s="441">
        <v>500000000</v>
      </c>
      <c r="E144" s="441"/>
      <c r="F144" s="441">
        <v>10000000</v>
      </c>
      <c r="G144" s="441">
        <v>10000000</v>
      </c>
      <c r="H144" s="441">
        <f>G144*5/100+G144</f>
        <v>10500000</v>
      </c>
      <c r="I144" s="441">
        <f>H144*5/100+H144</f>
        <v>11025000</v>
      </c>
      <c r="J144" s="442" t="s">
        <v>4660</v>
      </c>
    </row>
    <row r="145" spans="1:10" ht="15.75">
      <c r="A145" s="439"/>
      <c r="B145" s="442"/>
      <c r="C145" s="441"/>
      <c r="D145" s="441"/>
      <c r="E145" s="441"/>
      <c r="F145" s="441"/>
      <c r="G145" s="441"/>
      <c r="H145" s="441"/>
      <c r="I145" s="441"/>
      <c r="J145" s="442"/>
    </row>
    <row r="146" spans="1:10" ht="31.5">
      <c r="A146" s="439">
        <v>108</v>
      </c>
      <c r="B146" s="442" t="s">
        <v>4661</v>
      </c>
      <c r="C146" s="441"/>
      <c r="D146" s="441" t="s">
        <v>3007</v>
      </c>
      <c r="E146" s="441"/>
      <c r="F146" s="441" t="s">
        <v>3007</v>
      </c>
      <c r="G146" s="441" t="s">
        <v>3007</v>
      </c>
      <c r="H146" s="441" t="s">
        <v>3007</v>
      </c>
      <c r="I146" s="441" t="s">
        <v>3007</v>
      </c>
      <c r="J146" s="442" t="s">
        <v>5539</v>
      </c>
    </row>
    <row r="147" spans="1:10" ht="15.75">
      <c r="A147" s="439"/>
      <c r="B147" s="442"/>
      <c r="C147" s="441"/>
      <c r="D147" s="441"/>
      <c r="E147" s="441"/>
      <c r="F147" s="441"/>
      <c r="G147" s="441"/>
      <c r="H147" s="441"/>
      <c r="I147" s="441"/>
      <c r="J147" s="442"/>
    </row>
    <row r="148" spans="1:10" ht="31.5">
      <c r="A148" s="439">
        <v>109</v>
      </c>
      <c r="B148" s="442" t="s">
        <v>4662</v>
      </c>
      <c r="C148" s="441">
        <v>0</v>
      </c>
      <c r="D148" s="441" t="s">
        <v>3007</v>
      </c>
      <c r="E148" s="441"/>
      <c r="F148" s="441" t="s">
        <v>3007</v>
      </c>
      <c r="G148" s="441" t="s">
        <v>3007</v>
      </c>
      <c r="H148" s="441" t="s">
        <v>3007</v>
      </c>
      <c r="I148" s="441" t="s">
        <v>3007</v>
      </c>
      <c r="J148" s="442" t="s">
        <v>5540</v>
      </c>
    </row>
    <row r="149" spans="1:10" ht="15.75">
      <c r="A149" s="439">
        <v>110</v>
      </c>
      <c r="B149" s="442" t="s">
        <v>4663</v>
      </c>
      <c r="C149" s="441"/>
      <c r="D149" s="441" t="s">
        <v>3007</v>
      </c>
      <c r="E149" s="481"/>
      <c r="F149" s="441" t="s">
        <v>3007</v>
      </c>
      <c r="G149" s="441" t="s">
        <v>3007</v>
      </c>
      <c r="H149" s="441" t="s">
        <v>3007</v>
      </c>
      <c r="I149" s="441" t="s">
        <v>3007</v>
      </c>
      <c r="J149" s="442" t="s">
        <v>4664</v>
      </c>
    </row>
    <row r="150" spans="1:10" ht="15.75">
      <c r="A150" s="439">
        <v>111</v>
      </c>
      <c r="B150" s="442" t="s">
        <v>4665</v>
      </c>
      <c r="C150" s="441"/>
      <c r="D150" s="441" t="s">
        <v>3007</v>
      </c>
      <c r="E150" s="481"/>
      <c r="F150" s="441" t="s">
        <v>3007</v>
      </c>
      <c r="G150" s="441" t="s">
        <v>3007</v>
      </c>
      <c r="H150" s="441" t="s">
        <v>3007</v>
      </c>
      <c r="I150" s="441" t="s">
        <v>3007</v>
      </c>
      <c r="J150" s="442" t="s">
        <v>4666</v>
      </c>
    </row>
    <row r="151" spans="1:10" ht="15.75">
      <c r="A151" s="482"/>
      <c r="B151" s="461" t="s">
        <v>4580</v>
      </c>
      <c r="C151" s="462">
        <f t="shared" ref="C151:I151" si="16">SUM(C131:C150)</f>
        <v>141862500</v>
      </c>
      <c r="D151" s="462">
        <f>SUM(D131:D150)</f>
        <v>550000000</v>
      </c>
      <c r="E151" s="462">
        <f t="shared" si="16"/>
        <v>0</v>
      </c>
      <c r="F151" s="462">
        <f>SUM(F131:F150)</f>
        <v>620000000</v>
      </c>
      <c r="G151" s="462">
        <f>SUM(G131:G150)</f>
        <v>45000000</v>
      </c>
      <c r="H151" s="462">
        <f t="shared" si="16"/>
        <v>47250000</v>
      </c>
      <c r="I151" s="462">
        <f t="shared" si="16"/>
        <v>49612500</v>
      </c>
      <c r="J151" s="461"/>
    </row>
    <row r="152" spans="1:10" ht="15.75">
      <c r="A152" s="423" t="s">
        <v>4667</v>
      </c>
      <c r="B152" s="463"/>
      <c r="C152" s="425" t="s">
        <v>1840</v>
      </c>
      <c r="D152" s="425"/>
      <c r="E152" s="425"/>
      <c r="F152" s="425"/>
      <c r="G152" s="425"/>
      <c r="H152" s="425"/>
      <c r="I152" s="425"/>
      <c r="J152" s="424"/>
    </row>
    <row r="153" spans="1:10" ht="15.75">
      <c r="A153" s="426" t="s">
        <v>4582</v>
      </c>
      <c r="B153" s="427" t="s">
        <v>4668</v>
      </c>
      <c r="C153" s="425" t="s">
        <v>1840</v>
      </c>
      <c r="D153" s="474"/>
      <c r="E153" s="474"/>
      <c r="F153" s="474"/>
      <c r="G153" s="474"/>
      <c r="H153" s="474"/>
      <c r="I153" s="474"/>
      <c r="J153" s="476"/>
    </row>
    <row r="154" spans="1:10" ht="31.5">
      <c r="A154" s="429" t="s">
        <v>4509</v>
      </c>
      <c r="B154" s="477" t="s">
        <v>4510</v>
      </c>
      <c r="C154" s="466" t="s">
        <v>4511</v>
      </c>
      <c r="D154" s="432" t="s">
        <v>4512</v>
      </c>
      <c r="E154" s="432" t="s">
        <v>5503</v>
      </c>
      <c r="F154" s="432" t="s">
        <v>4305</v>
      </c>
      <c r="G154" s="432" t="s">
        <v>5501</v>
      </c>
      <c r="H154" s="432" t="s">
        <v>4305</v>
      </c>
      <c r="I154" s="432" t="s">
        <v>4305</v>
      </c>
      <c r="J154" s="433" t="s">
        <v>4513</v>
      </c>
    </row>
    <row r="155" spans="1:10" ht="31.5">
      <c r="A155" s="434"/>
      <c r="B155" s="435"/>
      <c r="C155" s="436" t="s">
        <v>4514</v>
      </c>
      <c r="D155" s="437" t="s">
        <v>4515</v>
      </c>
      <c r="E155" s="437" t="s">
        <v>4516</v>
      </c>
      <c r="F155" s="437" t="s">
        <v>243</v>
      </c>
      <c r="G155" s="437" t="s">
        <v>243</v>
      </c>
      <c r="H155" s="437" t="s">
        <v>4130</v>
      </c>
      <c r="I155" s="437" t="s">
        <v>4202</v>
      </c>
      <c r="J155" s="438"/>
    </row>
    <row r="156" spans="1:10" ht="31.5">
      <c r="A156" s="483"/>
      <c r="B156" s="484" t="s">
        <v>4669</v>
      </c>
      <c r="C156" s="485"/>
      <c r="D156" s="486"/>
      <c r="E156" s="486"/>
      <c r="F156" s="486"/>
      <c r="G156" s="486"/>
      <c r="H156" s="486"/>
      <c r="I156" s="486"/>
      <c r="J156" s="487"/>
    </row>
    <row r="157" spans="1:10" ht="15.75">
      <c r="A157" s="439"/>
      <c r="B157" s="440"/>
      <c r="C157" s="441"/>
      <c r="D157" s="441"/>
      <c r="E157" s="441"/>
      <c r="F157" s="441"/>
      <c r="G157" s="441"/>
      <c r="H157" s="441"/>
      <c r="I157" s="441"/>
      <c r="J157" s="442"/>
    </row>
    <row r="158" spans="1:10" ht="31.5">
      <c r="A158" s="439">
        <v>101</v>
      </c>
      <c r="B158" s="442" t="s">
        <v>4670</v>
      </c>
      <c r="C158" s="441">
        <f>G158+H158+I158</f>
        <v>9457500000</v>
      </c>
      <c r="D158" s="441">
        <v>4000000000</v>
      </c>
      <c r="E158" s="441">
        <v>1379499165</v>
      </c>
      <c r="F158" s="441"/>
      <c r="G158" s="441">
        <v>3000000000</v>
      </c>
      <c r="H158" s="441">
        <f>G158*1.05</f>
        <v>3150000000</v>
      </c>
      <c r="I158" s="441">
        <f>H158*1.05</f>
        <v>3307500000</v>
      </c>
      <c r="J158" s="442" t="s">
        <v>5541</v>
      </c>
    </row>
    <row r="159" spans="1:10" ht="15.75">
      <c r="A159" s="439"/>
      <c r="B159" s="442"/>
      <c r="C159" s="441"/>
      <c r="D159" s="441"/>
      <c r="E159" s="441"/>
      <c r="F159" s="441"/>
      <c r="G159" s="441"/>
      <c r="H159" s="441"/>
      <c r="I159" s="441"/>
      <c r="J159" s="442"/>
    </row>
    <row r="160" spans="1:10" ht="31.5">
      <c r="A160" s="439">
        <v>102</v>
      </c>
      <c r="B160" s="442" t="s">
        <v>4671</v>
      </c>
      <c r="C160" s="441">
        <f>G160+H160+I160</f>
        <v>31525000</v>
      </c>
      <c r="D160" s="441">
        <v>10000000</v>
      </c>
      <c r="E160" s="441"/>
      <c r="F160" s="441"/>
      <c r="G160" s="441">
        <v>10000000</v>
      </c>
      <c r="H160" s="441">
        <f>G160*5/100+G160</f>
        <v>10500000</v>
      </c>
      <c r="I160" s="441">
        <f>H160*5/100+H160</f>
        <v>11025000</v>
      </c>
      <c r="J160" s="442" t="s">
        <v>5542</v>
      </c>
    </row>
    <row r="161" spans="1:10" ht="15.75">
      <c r="A161" s="439"/>
      <c r="B161" s="442"/>
      <c r="C161" s="441"/>
      <c r="D161" s="441"/>
      <c r="E161" s="441"/>
      <c r="F161" s="441"/>
      <c r="G161" s="441"/>
      <c r="H161" s="441"/>
      <c r="I161" s="441"/>
      <c r="J161" s="442"/>
    </row>
    <row r="162" spans="1:10" ht="31.5">
      <c r="A162" s="439">
        <v>103</v>
      </c>
      <c r="B162" s="442" t="s">
        <v>4672</v>
      </c>
      <c r="C162" s="441">
        <f>G162+H162+I162</f>
        <v>31525000</v>
      </c>
      <c r="D162" s="441">
        <v>10000000</v>
      </c>
      <c r="E162" s="441"/>
      <c r="F162" s="441"/>
      <c r="G162" s="441">
        <v>10000000</v>
      </c>
      <c r="H162" s="441">
        <f>G162*5/100+G162</f>
        <v>10500000</v>
      </c>
      <c r="I162" s="441">
        <f>H162*5/100+H162</f>
        <v>11025000</v>
      </c>
      <c r="J162" s="442" t="s">
        <v>4673</v>
      </c>
    </row>
    <row r="163" spans="1:10" ht="15.75">
      <c r="A163" s="439"/>
      <c r="B163" s="442"/>
      <c r="C163" s="441"/>
      <c r="D163" s="444"/>
      <c r="E163" s="444"/>
      <c r="F163" s="444"/>
      <c r="G163" s="444"/>
      <c r="H163" s="444"/>
      <c r="I163" s="444"/>
      <c r="J163" s="442"/>
    </row>
    <row r="164" spans="1:10" ht="31.5">
      <c r="A164" s="439">
        <v>104</v>
      </c>
      <c r="B164" s="442" t="s">
        <v>4674</v>
      </c>
      <c r="C164" s="441">
        <f>G164+H164+I164</f>
        <v>15762500</v>
      </c>
      <c r="D164" s="441">
        <v>5000000</v>
      </c>
      <c r="E164" s="441"/>
      <c r="F164" s="441"/>
      <c r="G164" s="441">
        <v>5000000</v>
      </c>
      <c r="H164" s="488">
        <f>G164*1.05</f>
        <v>5250000</v>
      </c>
      <c r="I164" s="488">
        <f>H164*1.05</f>
        <v>5512500</v>
      </c>
      <c r="J164" s="489" t="s">
        <v>4675</v>
      </c>
    </row>
    <row r="165" spans="1:10" ht="15.75">
      <c r="A165" s="439"/>
      <c r="B165" s="442"/>
      <c r="C165" s="441"/>
      <c r="D165" s="444"/>
      <c r="E165" s="444"/>
      <c r="F165" s="444"/>
      <c r="G165" s="444"/>
      <c r="H165" s="444"/>
      <c r="I165" s="444"/>
      <c r="J165" s="442"/>
    </row>
    <row r="166" spans="1:10" ht="15.75">
      <c r="A166" s="439">
        <v>105</v>
      </c>
      <c r="B166" s="490" t="s">
        <v>4676</v>
      </c>
      <c r="C166" s="441">
        <f t="shared" ref="C166:C172" si="17">G166+H166+I166</f>
        <v>15762500</v>
      </c>
      <c r="D166" s="441">
        <v>5000000</v>
      </c>
      <c r="E166" s="441"/>
      <c r="F166" s="441"/>
      <c r="G166" s="441">
        <v>5000000</v>
      </c>
      <c r="H166" s="441">
        <f>G166*5/100+G166</f>
        <v>5250000</v>
      </c>
      <c r="I166" s="441">
        <f>H166*5/100+H166</f>
        <v>5512500</v>
      </c>
      <c r="J166" s="490" t="s">
        <v>4677</v>
      </c>
    </row>
    <row r="167" spans="1:10" ht="15.75">
      <c r="A167" s="439"/>
      <c r="B167" s="442"/>
      <c r="C167" s="441">
        <f t="shared" si="17"/>
        <v>0</v>
      </c>
      <c r="D167" s="441"/>
      <c r="E167" s="441"/>
      <c r="F167" s="441"/>
      <c r="G167" s="441"/>
      <c r="H167" s="441"/>
      <c r="I167" s="441"/>
      <c r="J167" s="442"/>
    </row>
    <row r="168" spans="1:10" ht="31.5">
      <c r="A168" s="439">
        <v>106</v>
      </c>
      <c r="B168" s="442" t="s">
        <v>4678</v>
      </c>
      <c r="C168" s="441">
        <f t="shared" si="17"/>
        <v>31525000</v>
      </c>
      <c r="D168" s="441">
        <v>10000000</v>
      </c>
      <c r="E168" s="441"/>
      <c r="F168" s="441"/>
      <c r="G168" s="441">
        <v>10000000</v>
      </c>
      <c r="H168" s="441">
        <f>G168*1.05</f>
        <v>10500000</v>
      </c>
      <c r="I168" s="441">
        <f>H168*1.05</f>
        <v>11025000</v>
      </c>
      <c r="J168" s="442" t="s">
        <v>4679</v>
      </c>
    </row>
    <row r="169" spans="1:10" ht="15.75">
      <c r="A169" s="439"/>
      <c r="B169" s="442"/>
      <c r="C169" s="441">
        <f t="shared" si="17"/>
        <v>0</v>
      </c>
      <c r="D169" s="441"/>
      <c r="E169" s="441"/>
      <c r="F169" s="441"/>
      <c r="G169" s="441"/>
      <c r="H169" s="441"/>
      <c r="I169" s="441"/>
      <c r="J169" s="442"/>
    </row>
    <row r="170" spans="1:10" ht="15.75">
      <c r="A170" s="439">
        <v>107</v>
      </c>
      <c r="B170" s="442" t="s">
        <v>4680</v>
      </c>
      <c r="C170" s="441">
        <f t="shared" si="17"/>
        <v>315250000</v>
      </c>
      <c r="D170" s="441">
        <v>100000000</v>
      </c>
      <c r="E170" s="441"/>
      <c r="F170" s="441"/>
      <c r="G170" s="441">
        <v>100000000</v>
      </c>
      <c r="H170" s="488">
        <f>G170*1.05</f>
        <v>105000000</v>
      </c>
      <c r="I170" s="441">
        <f>H170*1.05</f>
        <v>110250000</v>
      </c>
      <c r="J170" s="442" t="s">
        <v>4681</v>
      </c>
    </row>
    <row r="171" spans="1:10" ht="31.5">
      <c r="A171" s="439">
        <v>108</v>
      </c>
      <c r="B171" s="442" t="s">
        <v>5543</v>
      </c>
      <c r="C171" s="441">
        <f t="shared" si="17"/>
        <v>31525000</v>
      </c>
      <c r="D171" s="441">
        <v>10000000</v>
      </c>
      <c r="E171" s="441"/>
      <c r="F171" s="441"/>
      <c r="G171" s="441">
        <v>10000000</v>
      </c>
      <c r="H171" s="441">
        <f>G171*5/100+G171</f>
        <v>10500000</v>
      </c>
      <c r="I171" s="441">
        <f>H171*5/100+H171</f>
        <v>11025000</v>
      </c>
      <c r="J171" s="442" t="s">
        <v>5544</v>
      </c>
    </row>
    <row r="172" spans="1:10" ht="15.75">
      <c r="A172" s="439"/>
      <c r="B172" s="442"/>
      <c r="C172" s="441">
        <f t="shared" si="17"/>
        <v>0</v>
      </c>
      <c r="D172" s="441"/>
      <c r="E172" s="441"/>
      <c r="F172" s="441"/>
      <c r="G172" s="441"/>
      <c r="H172" s="441"/>
      <c r="I172" s="441"/>
      <c r="J172" s="442"/>
    </row>
    <row r="173" spans="1:10" ht="31.5">
      <c r="A173" s="439">
        <v>109</v>
      </c>
      <c r="B173" s="442" t="s">
        <v>4682</v>
      </c>
      <c r="C173" s="441"/>
      <c r="D173" s="441" t="s">
        <v>3007</v>
      </c>
      <c r="E173" s="445"/>
      <c r="F173" s="441"/>
      <c r="G173" s="441" t="s">
        <v>3007</v>
      </c>
      <c r="H173" s="441" t="s">
        <v>3007</v>
      </c>
      <c r="I173" s="441" t="s">
        <v>3007</v>
      </c>
      <c r="J173" s="442" t="s">
        <v>5545</v>
      </c>
    </row>
    <row r="174" spans="1:10" ht="31.5">
      <c r="A174" s="439">
        <v>110</v>
      </c>
      <c r="B174" s="442" t="s">
        <v>5546</v>
      </c>
      <c r="C174" s="441"/>
      <c r="D174" s="441" t="s">
        <v>3007</v>
      </c>
      <c r="E174" s="441"/>
      <c r="F174" s="441"/>
      <c r="G174" s="441" t="s">
        <v>3007</v>
      </c>
      <c r="H174" s="441" t="s">
        <v>3007</v>
      </c>
      <c r="I174" s="441" t="s">
        <v>3007</v>
      </c>
      <c r="J174" s="442" t="s">
        <v>5547</v>
      </c>
    </row>
    <row r="175" spans="1:10" ht="31.5">
      <c r="A175" s="439">
        <v>111</v>
      </c>
      <c r="B175" s="442" t="s">
        <v>4683</v>
      </c>
      <c r="C175" s="444">
        <v>0</v>
      </c>
      <c r="D175" s="441" t="s">
        <v>3007</v>
      </c>
      <c r="E175" s="441"/>
      <c r="F175" s="441"/>
      <c r="G175" s="441" t="s">
        <v>3007</v>
      </c>
      <c r="H175" s="441" t="s">
        <v>3007</v>
      </c>
      <c r="I175" s="441" t="s">
        <v>3007</v>
      </c>
      <c r="J175" s="442" t="s">
        <v>4684</v>
      </c>
    </row>
    <row r="176" spans="1:10" ht="31.5">
      <c r="A176" s="439">
        <v>112</v>
      </c>
      <c r="B176" s="442" t="s">
        <v>4685</v>
      </c>
      <c r="C176" s="441">
        <f>SUM(G176:I176)</f>
        <v>5000000</v>
      </c>
      <c r="D176" s="441">
        <v>5000000</v>
      </c>
      <c r="E176" s="441"/>
      <c r="F176" s="441"/>
      <c r="G176" s="441">
        <v>5000000</v>
      </c>
      <c r="H176" s="441" t="s">
        <v>3007</v>
      </c>
      <c r="I176" s="441" t="s">
        <v>3007</v>
      </c>
      <c r="J176" s="442" t="s">
        <v>5548</v>
      </c>
    </row>
    <row r="177" spans="1:10" ht="15.75">
      <c r="A177" s="460"/>
      <c r="B177" s="461" t="s">
        <v>4580</v>
      </c>
      <c r="C177" s="462">
        <f t="shared" ref="C177:I177" si="18">SUM(C156:C176)</f>
        <v>9935375000</v>
      </c>
      <c r="D177" s="462">
        <f t="shared" si="18"/>
        <v>4155000000</v>
      </c>
      <c r="E177" s="462">
        <f t="shared" si="18"/>
        <v>1379499165</v>
      </c>
      <c r="F177" s="462">
        <f t="shared" si="18"/>
        <v>0</v>
      </c>
      <c r="G177" s="462">
        <f t="shared" si="18"/>
        <v>3155000000</v>
      </c>
      <c r="H177" s="462">
        <f t="shared" si="18"/>
        <v>3307500000</v>
      </c>
      <c r="I177" s="462">
        <f t="shared" si="18"/>
        <v>3472875000</v>
      </c>
      <c r="J177" s="461"/>
    </row>
    <row r="178" spans="1:10" ht="15.75">
      <c r="A178" s="423" t="s">
        <v>4686</v>
      </c>
      <c r="B178" s="463"/>
      <c r="C178" s="425" t="s">
        <v>1840</v>
      </c>
      <c r="D178" s="491"/>
      <c r="E178" s="491"/>
      <c r="F178" s="491"/>
      <c r="G178" s="491"/>
      <c r="H178" s="491"/>
      <c r="I178" s="491"/>
      <c r="J178" s="463"/>
    </row>
    <row r="179" spans="1:10" ht="15.75">
      <c r="A179" s="426" t="s">
        <v>4582</v>
      </c>
      <c r="B179" s="492" t="s">
        <v>4687</v>
      </c>
      <c r="C179" s="474" t="s">
        <v>1840</v>
      </c>
      <c r="D179" s="428"/>
      <c r="E179" s="428"/>
      <c r="F179" s="428"/>
      <c r="G179" s="428"/>
      <c r="H179" s="428"/>
      <c r="I179" s="428"/>
      <c r="J179" s="427"/>
    </row>
    <row r="180" spans="1:10" ht="31.5">
      <c r="A180" s="429" t="s">
        <v>4509</v>
      </c>
      <c r="B180" s="477" t="s">
        <v>4510</v>
      </c>
      <c r="C180" s="431" t="s">
        <v>4511</v>
      </c>
      <c r="D180" s="432" t="s">
        <v>4512</v>
      </c>
      <c r="E180" s="432" t="s">
        <v>5503</v>
      </c>
      <c r="F180" s="432" t="s">
        <v>4305</v>
      </c>
      <c r="G180" s="432" t="s">
        <v>5501</v>
      </c>
      <c r="H180" s="432" t="s">
        <v>4305</v>
      </c>
      <c r="I180" s="432" t="s">
        <v>4305</v>
      </c>
      <c r="J180" s="433" t="s">
        <v>4513</v>
      </c>
    </row>
    <row r="181" spans="1:10" ht="31.5">
      <c r="A181" s="434"/>
      <c r="B181" s="435"/>
      <c r="C181" s="436" t="s">
        <v>4514</v>
      </c>
      <c r="D181" s="437" t="s">
        <v>4515</v>
      </c>
      <c r="E181" s="437" t="s">
        <v>4516</v>
      </c>
      <c r="F181" s="437" t="s">
        <v>243</v>
      </c>
      <c r="G181" s="437" t="s">
        <v>243</v>
      </c>
      <c r="H181" s="437" t="s">
        <v>4130</v>
      </c>
      <c r="I181" s="437" t="s">
        <v>4202</v>
      </c>
      <c r="J181" s="438"/>
    </row>
    <row r="182" spans="1:10" ht="15.75">
      <c r="A182" s="439"/>
      <c r="B182" s="449" t="s">
        <v>4688</v>
      </c>
      <c r="C182" s="441">
        <f>G182+H182+I182</f>
        <v>0</v>
      </c>
      <c r="D182" s="441"/>
      <c r="E182" s="441"/>
      <c r="F182" s="441"/>
      <c r="G182" s="441"/>
      <c r="H182" s="441"/>
      <c r="I182" s="441"/>
      <c r="J182" s="493"/>
    </row>
    <row r="183" spans="1:10" ht="15.75">
      <c r="A183" s="439">
        <v>101</v>
      </c>
      <c r="B183" s="442" t="s">
        <v>4689</v>
      </c>
      <c r="C183" s="441">
        <f>G183+H183+I183</f>
        <v>31525000</v>
      </c>
      <c r="D183" s="441">
        <v>150000000</v>
      </c>
      <c r="E183" s="441"/>
      <c r="F183" s="441">
        <v>150000000</v>
      </c>
      <c r="G183" s="441">
        <v>10000000</v>
      </c>
      <c r="H183" s="441">
        <f>G183*5/100+G183</f>
        <v>10500000</v>
      </c>
      <c r="I183" s="441">
        <f>H183*5/100+H183</f>
        <v>11025000</v>
      </c>
      <c r="J183" s="442" t="s">
        <v>4690</v>
      </c>
    </row>
    <row r="184" spans="1:10" ht="15.75">
      <c r="A184" s="439"/>
      <c r="B184" s="442"/>
      <c r="C184" s="441"/>
      <c r="D184" s="441"/>
      <c r="E184" s="441"/>
      <c r="F184" s="441"/>
      <c r="G184" s="441"/>
      <c r="H184" s="441"/>
      <c r="I184" s="441"/>
      <c r="J184" s="442"/>
    </row>
    <row r="185" spans="1:10" ht="47.25">
      <c r="A185" s="439">
        <v>102</v>
      </c>
      <c r="B185" s="442" t="s">
        <v>4691</v>
      </c>
      <c r="C185" s="441">
        <f>G185+H185+I185</f>
        <v>31525000</v>
      </c>
      <c r="D185" s="441"/>
      <c r="E185" s="441"/>
      <c r="F185" s="441">
        <v>50000000</v>
      </c>
      <c r="G185" s="441">
        <v>10000000</v>
      </c>
      <c r="H185" s="441">
        <f>G185*1.05</f>
        <v>10500000</v>
      </c>
      <c r="I185" s="441">
        <f>H185*1.05</f>
        <v>11025000</v>
      </c>
      <c r="J185" s="442" t="s">
        <v>4692</v>
      </c>
    </row>
    <row r="186" spans="1:10" ht="15.75">
      <c r="A186" s="439"/>
      <c r="B186" s="442"/>
      <c r="C186" s="441"/>
      <c r="D186" s="441"/>
      <c r="E186" s="441"/>
      <c r="F186" s="441"/>
      <c r="G186" s="441"/>
      <c r="H186" s="441"/>
      <c r="I186" s="441"/>
      <c r="J186" s="442"/>
    </row>
    <row r="187" spans="1:10" ht="15.75">
      <c r="A187" s="439">
        <v>103</v>
      </c>
      <c r="B187" s="442" t="s">
        <v>4693</v>
      </c>
      <c r="C187" s="441">
        <f>G187+H187+I187</f>
        <v>31525000</v>
      </c>
      <c r="D187" s="441" t="s">
        <v>3007</v>
      </c>
      <c r="E187" s="441"/>
      <c r="F187" s="441">
        <v>30000000</v>
      </c>
      <c r="G187" s="441">
        <v>10000000</v>
      </c>
      <c r="H187" s="441">
        <f>G187*1.05</f>
        <v>10500000</v>
      </c>
      <c r="I187" s="441">
        <f>H187*1.05</f>
        <v>11025000</v>
      </c>
      <c r="J187" s="442" t="s">
        <v>4694</v>
      </c>
    </row>
    <row r="188" spans="1:10" ht="15.75">
      <c r="A188" s="439"/>
      <c r="B188" s="442"/>
      <c r="C188" s="441"/>
      <c r="D188" s="441"/>
      <c r="E188" s="441"/>
      <c r="F188" s="441"/>
      <c r="G188" s="441"/>
      <c r="H188" s="441"/>
      <c r="I188" s="441"/>
      <c r="J188" s="494"/>
    </row>
    <row r="189" spans="1:10" ht="15.75">
      <c r="A189" s="439"/>
      <c r="B189" s="442"/>
      <c r="C189" s="441"/>
      <c r="D189" s="441"/>
      <c r="E189" s="441"/>
      <c r="F189" s="441"/>
      <c r="G189" s="441"/>
      <c r="H189" s="441"/>
      <c r="I189" s="441"/>
      <c r="J189" s="442"/>
    </row>
    <row r="190" spans="1:10" ht="15.75">
      <c r="A190" s="439"/>
      <c r="B190" s="442"/>
      <c r="C190" s="441"/>
      <c r="D190" s="441"/>
      <c r="E190" s="441"/>
      <c r="F190" s="441"/>
      <c r="G190" s="441"/>
      <c r="H190" s="441"/>
      <c r="I190" s="441"/>
      <c r="J190" s="442"/>
    </row>
    <row r="191" spans="1:10" ht="15.75">
      <c r="A191" s="460"/>
      <c r="B191" s="461" t="s">
        <v>4580</v>
      </c>
      <c r="C191" s="462">
        <f t="shared" ref="C191:I191" si="19">SUM(C183:C189)</f>
        <v>94575000</v>
      </c>
      <c r="D191" s="462">
        <f t="shared" si="19"/>
        <v>150000000</v>
      </c>
      <c r="E191" s="462">
        <f t="shared" si="19"/>
        <v>0</v>
      </c>
      <c r="F191" s="462">
        <f t="shared" si="19"/>
        <v>230000000</v>
      </c>
      <c r="G191" s="462">
        <f t="shared" si="19"/>
        <v>30000000</v>
      </c>
      <c r="H191" s="462">
        <f t="shared" si="19"/>
        <v>31500000</v>
      </c>
      <c r="I191" s="462">
        <f t="shared" si="19"/>
        <v>33075000</v>
      </c>
      <c r="J191" s="461"/>
    </row>
    <row r="192" spans="1:10" ht="15.75">
      <c r="A192" s="423" t="s">
        <v>4695</v>
      </c>
      <c r="B192" s="463"/>
      <c r="C192" s="425" t="s">
        <v>1840</v>
      </c>
      <c r="D192" s="425"/>
      <c r="E192" s="425"/>
      <c r="F192" s="425"/>
      <c r="G192" s="425"/>
      <c r="H192" s="425"/>
      <c r="I192" s="425"/>
      <c r="J192" s="424"/>
    </row>
    <row r="193" spans="1:10" ht="15.75">
      <c r="A193" s="426" t="s">
        <v>4582</v>
      </c>
      <c r="B193" s="427" t="s">
        <v>4696</v>
      </c>
      <c r="C193" s="425" t="s">
        <v>1840</v>
      </c>
      <c r="D193" s="474"/>
      <c r="E193" s="474"/>
      <c r="F193" s="474"/>
      <c r="G193" s="474"/>
      <c r="H193" s="474"/>
      <c r="I193" s="474"/>
      <c r="J193" s="476"/>
    </row>
    <row r="194" spans="1:10" ht="31.5">
      <c r="A194" s="429" t="s">
        <v>4509</v>
      </c>
      <c r="B194" s="477" t="s">
        <v>4510</v>
      </c>
      <c r="C194" s="466" t="s">
        <v>4511</v>
      </c>
      <c r="D194" s="432" t="s">
        <v>4512</v>
      </c>
      <c r="E194" s="432" t="s">
        <v>5503</v>
      </c>
      <c r="F194" s="432" t="s">
        <v>4305</v>
      </c>
      <c r="G194" s="432" t="s">
        <v>5501</v>
      </c>
      <c r="H194" s="432" t="s">
        <v>4305</v>
      </c>
      <c r="I194" s="432" t="s">
        <v>4305</v>
      </c>
      <c r="J194" s="433" t="s">
        <v>4513</v>
      </c>
    </row>
    <row r="195" spans="1:10" ht="31.5">
      <c r="A195" s="434"/>
      <c r="B195" s="435"/>
      <c r="C195" s="436" t="s">
        <v>4514</v>
      </c>
      <c r="D195" s="437" t="s">
        <v>4515</v>
      </c>
      <c r="E195" s="437" t="s">
        <v>4516</v>
      </c>
      <c r="F195" s="437" t="s">
        <v>243</v>
      </c>
      <c r="G195" s="437" t="s">
        <v>243</v>
      </c>
      <c r="H195" s="437" t="s">
        <v>4130</v>
      </c>
      <c r="I195" s="437" t="s">
        <v>4202</v>
      </c>
      <c r="J195" s="438"/>
    </row>
    <row r="196" spans="1:10" ht="15.75">
      <c r="A196" s="439"/>
      <c r="B196" s="440" t="s">
        <v>4697</v>
      </c>
      <c r="C196" s="441"/>
      <c r="D196" s="441"/>
      <c r="E196" s="445"/>
      <c r="F196" s="445"/>
      <c r="G196" s="441"/>
      <c r="H196" s="441"/>
      <c r="I196" s="441"/>
      <c r="J196" s="442"/>
    </row>
    <row r="197" spans="1:10" ht="141.75">
      <c r="A197" s="439">
        <v>101</v>
      </c>
      <c r="B197" s="442" t="s">
        <v>4698</v>
      </c>
      <c r="C197" s="441">
        <f>G197+H197+I197</f>
        <v>34677500000</v>
      </c>
      <c r="D197" s="441">
        <v>17000000000</v>
      </c>
      <c r="E197" s="443">
        <v>5761501155</v>
      </c>
      <c r="F197" s="441">
        <v>64209000000</v>
      </c>
      <c r="G197" s="441">
        <v>11000000000</v>
      </c>
      <c r="H197" s="441">
        <f>G197*1.05</f>
        <v>11550000000</v>
      </c>
      <c r="I197" s="441">
        <f>H197*1.05</f>
        <v>12127500000</v>
      </c>
      <c r="J197" s="442" t="s">
        <v>5549</v>
      </c>
    </row>
    <row r="198" spans="1:10" ht="47.25">
      <c r="A198" s="439">
        <v>102</v>
      </c>
      <c r="B198" s="442" t="s">
        <v>4699</v>
      </c>
      <c r="C198" s="441">
        <f>SUM(G198:I198)</f>
        <v>30000000</v>
      </c>
      <c r="D198" s="441" t="s">
        <v>3007</v>
      </c>
      <c r="E198" s="441"/>
      <c r="F198" s="441">
        <v>35000000</v>
      </c>
      <c r="G198" s="441">
        <v>30000000</v>
      </c>
      <c r="H198" s="441" t="s">
        <v>3007</v>
      </c>
      <c r="I198" s="441" t="s">
        <v>3007</v>
      </c>
      <c r="J198" s="442" t="s">
        <v>5550</v>
      </c>
    </row>
    <row r="199" spans="1:10" ht="15.75">
      <c r="A199" s="439">
        <f>1+A198</f>
        <v>103</v>
      </c>
      <c r="B199" s="442" t="s">
        <v>4700</v>
      </c>
      <c r="C199" s="441">
        <f>G199+H199+I199</f>
        <v>31525000</v>
      </c>
      <c r="D199" s="441">
        <v>10000000</v>
      </c>
      <c r="E199" s="441"/>
      <c r="F199" s="441">
        <v>10000000</v>
      </c>
      <c r="G199" s="441">
        <v>10000000</v>
      </c>
      <c r="H199" s="441">
        <f>G199*5/100+G199</f>
        <v>10500000</v>
      </c>
      <c r="I199" s="441">
        <f>H199*5/100+H199</f>
        <v>11025000</v>
      </c>
      <c r="J199" s="442" t="s">
        <v>4701</v>
      </c>
    </row>
    <row r="200" spans="1:10" ht="31.5">
      <c r="A200" s="439">
        <v>106</v>
      </c>
      <c r="B200" s="442" t="s">
        <v>4702</v>
      </c>
      <c r="C200" s="441">
        <f>G200+H200+I200</f>
        <v>63050000</v>
      </c>
      <c r="D200" s="441">
        <v>20000000</v>
      </c>
      <c r="E200" s="441"/>
      <c r="F200" s="441">
        <v>20000000</v>
      </c>
      <c r="G200" s="441">
        <v>20000000</v>
      </c>
      <c r="H200" s="441">
        <f t="shared" ref="H200:H205" si="20">G200*5/100+G200</f>
        <v>21000000</v>
      </c>
      <c r="I200" s="441">
        <f>H200*5/100+H200</f>
        <v>22050000</v>
      </c>
      <c r="J200" s="442" t="s">
        <v>4703</v>
      </c>
    </row>
    <row r="201" spans="1:10" ht="31.5">
      <c r="A201" s="439">
        <f>1+A200</f>
        <v>107</v>
      </c>
      <c r="B201" s="442" t="s">
        <v>4704</v>
      </c>
      <c r="C201" s="441">
        <f>G201+H201+I201</f>
        <v>15762500</v>
      </c>
      <c r="D201" s="441">
        <v>5000000</v>
      </c>
      <c r="E201" s="441"/>
      <c r="F201" s="441">
        <v>5000000</v>
      </c>
      <c r="G201" s="441">
        <v>5000000</v>
      </c>
      <c r="H201" s="441">
        <f t="shared" si="20"/>
        <v>5250000</v>
      </c>
      <c r="I201" s="441">
        <f>H201*5/100+H201</f>
        <v>5512500</v>
      </c>
      <c r="J201" s="442" t="s">
        <v>4705</v>
      </c>
    </row>
    <row r="202" spans="1:10" ht="15.75">
      <c r="A202" s="439"/>
      <c r="B202" s="442"/>
      <c r="C202" s="441"/>
      <c r="D202" s="441"/>
      <c r="E202" s="444"/>
      <c r="F202" s="444"/>
      <c r="G202" s="441"/>
      <c r="H202" s="444"/>
      <c r="I202" s="444"/>
      <c r="J202" s="442"/>
    </row>
    <row r="203" spans="1:10" ht="31.5">
      <c r="A203" s="439">
        <v>108</v>
      </c>
      <c r="B203" s="442" t="s">
        <v>4706</v>
      </c>
      <c r="C203" s="441">
        <f>G203+H203+I203</f>
        <v>94575000</v>
      </c>
      <c r="D203" s="441">
        <v>30000000</v>
      </c>
      <c r="E203" s="441"/>
      <c r="F203" s="441">
        <v>1000000000</v>
      </c>
      <c r="G203" s="441">
        <v>30000000</v>
      </c>
      <c r="H203" s="441">
        <f t="shared" si="20"/>
        <v>31500000</v>
      </c>
      <c r="I203" s="441">
        <f>H203*5/100+H203</f>
        <v>33075000</v>
      </c>
      <c r="J203" s="442" t="s">
        <v>4707</v>
      </c>
    </row>
    <row r="204" spans="1:10" ht="15.75">
      <c r="A204" s="439"/>
      <c r="B204" s="442"/>
      <c r="C204" s="441"/>
      <c r="D204" s="441"/>
      <c r="E204" s="441"/>
      <c r="F204" s="441"/>
      <c r="G204" s="441"/>
      <c r="H204" s="441"/>
      <c r="I204" s="441"/>
      <c r="J204" s="442"/>
    </row>
    <row r="205" spans="1:10" ht="31.5">
      <c r="A205" s="439">
        <v>109</v>
      </c>
      <c r="B205" s="442" t="s">
        <v>4708</v>
      </c>
      <c r="C205" s="441">
        <f>G205+H205+I205</f>
        <v>31525000</v>
      </c>
      <c r="D205" s="441">
        <v>10000000</v>
      </c>
      <c r="E205" s="441"/>
      <c r="F205" s="441">
        <v>10000000</v>
      </c>
      <c r="G205" s="441">
        <v>10000000</v>
      </c>
      <c r="H205" s="441">
        <f t="shared" si="20"/>
        <v>10500000</v>
      </c>
      <c r="I205" s="441">
        <f>H205*5/100+H205</f>
        <v>11025000</v>
      </c>
      <c r="J205" s="442" t="s">
        <v>5551</v>
      </c>
    </row>
    <row r="206" spans="1:10" ht="15.75">
      <c r="A206" s="439"/>
      <c r="B206" s="442"/>
      <c r="C206" s="441"/>
      <c r="D206" s="441"/>
      <c r="E206" s="441"/>
      <c r="F206" s="441"/>
      <c r="G206" s="441"/>
      <c r="H206" s="441"/>
      <c r="I206" s="441"/>
      <c r="J206" s="442"/>
    </row>
    <row r="207" spans="1:10" ht="15.75">
      <c r="A207" s="439">
        <v>110</v>
      </c>
      <c r="B207" s="442" t="s">
        <v>4709</v>
      </c>
      <c r="C207" s="441"/>
      <c r="D207" s="441" t="s">
        <v>3007</v>
      </c>
      <c r="E207" s="441"/>
      <c r="F207" s="441"/>
      <c r="G207" s="441" t="s">
        <v>3007</v>
      </c>
      <c r="H207" s="441" t="s">
        <v>3007</v>
      </c>
      <c r="I207" s="441" t="s">
        <v>3007</v>
      </c>
      <c r="J207" s="442" t="s">
        <v>5552</v>
      </c>
    </row>
    <row r="208" spans="1:10" ht="15.75">
      <c r="A208" s="439"/>
      <c r="B208" s="442"/>
      <c r="C208" s="441"/>
      <c r="D208" s="441"/>
      <c r="E208" s="441"/>
      <c r="F208" s="441"/>
      <c r="G208" s="441"/>
      <c r="H208" s="441"/>
      <c r="I208" s="441"/>
      <c r="J208" s="442"/>
    </row>
    <row r="209" spans="1:10" ht="47.25">
      <c r="A209" s="495">
        <v>111</v>
      </c>
      <c r="B209" s="496" t="s">
        <v>4710</v>
      </c>
      <c r="C209" s="497">
        <f>G209+H209+I209</f>
        <v>63050000</v>
      </c>
      <c r="D209" s="497">
        <v>20000000</v>
      </c>
      <c r="E209" s="497"/>
      <c r="F209" s="497">
        <v>250000000</v>
      </c>
      <c r="G209" s="497">
        <v>20000000</v>
      </c>
      <c r="H209" s="497">
        <f>G209*5/100+G209</f>
        <v>21000000</v>
      </c>
      <c r="I209" s="497">
        <f>H209*5/100+H209</f>
        <v>22050000</v>
      </c>
      <c r="J209" s="496" t="s">
        <v>5553</v>
      </c>
    </row>
    <row r="210" spans="1:10" ht="15.75">
      <c r="A210" s="423" t="s">
        <v>4718</v>
      </c>
      <c r="B210" s="463" t="s">
        <v>4719</v>
      </c>
      <c r="C210" s="425" t="s">
        <v>1840</v>
      </c>
      <c r="D210" s="425"/>
      <c r="E210" s="425"/>
      <c r="F210" s="425"/>
      <c r="G210" s="425"/>
      <c r="H210" s="425"/>
      <c r="I210" s="425"/>
      <c r="J210" s="424"/>
    </row>
    <row r="211" spans="1:10" ht="15.75">
      <c r="A211" s="426" t="s">
        <v>4582</v>
      </c>
      <c r="B211" s="427" t="s">
        <v>4696</v>
      </c>
      <c r="C211" s="425" t="s">
        <v>1840</v>
      </c>
      <c r="D211" s="474"/>
      <c r="E211" s="474"/>
      <c r="F211" s="474"/>
      <c r="G211" s="474"/>
      <c r="H211" s="474"/>
      <c r="I211" s="474"/>
      <c r="J211" s="476"/>
    </row>
    <row r="212" spans="1:10" ht="31.5">
      <c r="A212" s="429" t="s">
        <v>4509</v>
      </c>
      <c r="B212" s="477" t="s">
        <v>4510</v>
      </c>
      <c r="C212" s="466" t="s">
        <v>4511</v>
      </c>
      <c r="D212" s="432" t="s">
        <v>4512</v>
      </c>
      <c r="E212" s="432" t="s">
        <v>5503</v>
      </c>
      <c r="F212" s="432" t="s">
        <v>4305</v>
      </c>
      <c r="G212" s="432" t="s">
        <v>5501</v>
      </c>
      <c r="H212" s="432" t="s">
        <v>4305</v>
      </c>
      <c r="I212" s="432" t="s">
        <v>4305</v>
      </c>
      <c r="J212" s="433" t="s">
        <v>4513</v>
      </c>
    </row>
    <row r="213" spans="1:10" ht="31.5">
      <c r="A213" s="434"/>
      <c r="B213" s="435"/>
      <c r="C213" s="436" t="s">
        <v>4514</v>
      </c>
      <c r="D213" s="437" t="s">
        <v>4515</v>
      </c>
      <c r="E213" s="437" t="s">
        <v>4516</v>
      </c>
      <c r="F213" s="437" t="s">
        <v>243</v>
      </c>
      <c r="G213" s="437" t="s">
        <v>243</v>
      </c>
      <c r="H213" s="437" t="s">
        <v>4130</v>
      </c>
      <c r="I213" s="437" t="s">
        <v>4202</v>
      </c>
      <c r="J213" s="438"/>
    </row>
    <row r="214" spans="1:10" ht="15.75">
      <c r="A214" s="439"/>
      <c r="B214" s="440" t="s">
        <v>1766</v>
      </c>
      <c r="C214" s="441"/>
      <c r="D214" s="441"/>
      <c r="E214" s="441"/>
      <c r="F214" s="441"/>
      <c r="G214" s="441"/>
      <c r="H214" s="441"/>
      <c r="I214" s="441"/>
      <c r="J214" s="442"/>
    </row>
    <row r="215" spans="1:10" ht="15.75">
      <c r="A215" s="439">
        <v>101</v>
      </c>
      <c r="B215" s="442" t="s">
        <v>4711</v>
      </c>
      <c r="C215" s="441">
        <f>G215+H215+I215</f>
        <v>47287500</v>
      </c>
      <c r="D215" s="441">
        <v>15000000</v>
      </c>
      <c r="E215" s="441"/>
      <c r="F215" s="441">
        <v>15000000</v>
      </c>
      <c r="G215" s="441">
        <v>15000000</v>
      </c>
      <c r="H215" s="441">
        <f>G215*5/100+G215</f>
        <v>15750000</v>
      </c>
      <c r="I215" s="441">
        <f>H215*5/100+H215</f>
        <v>16537500</v>
      </c>
      <c r="J215" s="442" t="s">
        <v>4712</v>
      </c>
    </row>
    <row r="216" spans="1:10" ht="15.75">
      <c r="A216" s="439">
        <f>+A215+1</f>
        <v>102</v>
      </c>
      <c r="B216" s="442" t="s">
        <v>4713</v>
      </c>
      <c r="C216" s="441">
        <f t="shared" ref="C216:C221" si="21">SUM(G216:I216)</f>
        <v>0</v>
      </c>
      <c r="D216" s="441" t="s">
        <v>3007</v>
      </c>
      <c r="E216" s="441"/>
      <c r="F216" s="441" t="s">
        <v>3007</v>
      </c>
      <c r="G216" s="441" t="s">
        <v>3007</v>
      </c>
      <c r="H216" s="441" t="s">
        <v>3007</v>
      </c>
      <c r="I216" s="441" t="s">
        <v>3007</v>
      </c>
      <c r="J216" s="442" t="s">
        <v>4714</v>
      </c>
    </row>
    <row r="217" spans="1:10" ht="31.5">
      <c r="A217" s="439">
        <f>+A216+1</f>
        <v>103</v>
      </c>
      <c r="B217" s="442" t="s">
        <v>4715</v>
      </c>
      <c r="C217" s="441">
        <f t="shared" si="21"/>
        <v>63050000</v>
      </c>
      <c r="D217" s="441">
        <v>20000000</v>
      </c>
      <c r="E217" s="441"/>
      <c r="F217" s="441">
        <v>20000000</v>
      </c>
      <c r="G217" s="441">
        <v>20000000</v>
      </c>
      <c r="H217" s="441">
        <f t="shared" ref="H217:I221" si="22">G217*5/100+G217</f>
        <v>21000000</v>
      </c>
      <c r="I217" s="441">
        <f t="shared" si="22"/>
        <v>22050000</v>
      </c>
      <c r="J217" s="442" t="s">
        <v>5554</v>
      </c>
    </row>
    <row r="218" spans="1:10" ht="31.5">
      <c r="A218" s="439">
        <v>104</v>
      </c>
      <c r="B218" s="442" t="s">
        <v>5555</v>
      </c>
      <c r="C218" s="441">
        <f t="shared" si="21"/>
        <v>31525000</v>
      </c>
      <c r="D218" s="441">
        <v>10000000</v>
      </c>
      <c r="E218" s="441"/>
      <c r="F218" s="441">
        <v>10000000</v>
      </c>
      <c r="G218" s="441">
        <v>10000000</v>
      </c>
      <c r="H218" s="441">
        <f t="shared" si="22"/>
        <v>10500000</v>
      </c>
      <c r="I218" s="441">
        <f t="shared" si="22"/>
        <v>11025000</v>
      </c>
      <c r="J218" s="442" t="s">
        <v>4716</v>
      </c>
    </row>
    <row r="219" spans="1:10" ht="15.75">
      <c r="A219" s="439">
        <v>105</v>
      </c>
      <c r="B219" s="442" t="s">
        <v>4700</v>
      </c>
      <c r="C219" s="441">
        <f t="shared" si="21"/>
        <v>63050000</v>
      </c>
      <c r="D219" s="441">
        <v>20000000</v>
      </c>
      <c r="E219" s="441"/>
      <c r="F219" s="441">
        <v>20000000</v>
      </c>
      <c r="G219" s="441">
        <v>20000000</v>
      </c>
      <c r="H219" s="441">
        <f t="shared" si="22"/>
        <v>21000000</v>
      </c>
      <c r="I219" s="441">
        <f t="shared" si="22"/>
        <v>22050000</v>
      </c>
      <c r="J219" s="442" t="s">
        <v>4700</v>
      </c>
    </row>
    <row r="220" spans="1:10" ht="31.5">
      <c r="A220" s="439">
        <v>106</v>
      </c>
      <c r="B220" s="442" t="s">
        <v>5557</v>
      </c>
      <c r="C220" s="441">
        <f t="shared" si="21"/>
        <v>63050000</v>
      </c>
      <c r="D220" s="441">
        <v>20000000</v>
      </c>
      <c r="E220" s="441"/>
      <c r="F220" s="441">
        <v>20000000</v>
      </c>
      <c r="G220" s="441">
        <v>20000000</v>
      </c>
      <c r="H220" s="441">
        <f t="shared" si="22"/>
        <v>21000000</v>
      </c>
      <c r="I220" s="441">
        <f t="shared" si="22"/>
        <v>22050000</v>
      </c>
      <c r="J220" s="442" t="s">
        <v>5556</v>
      </c>
    </row>
    <row r="221" spans="1:10" ht="31.5">
      <c r="A221" s="498">
        <v>107</v>
      </c>
      <c r="B221" s="499" t="s">
        <v>4717</v>
      </c>
      <c r="C221" s="500">
        <f t="shared" si="21"/>
        <v>31525000</v>
      </c>
      <c r="D221" s="500">
        <v>10000000</v>
      </c>
      <c r="E221" s="500"/>
      <c r="F221" s="500">
        <v>10000000</v>
      </c>
      <c r="G221" s="500">
        <v>10000000</v>
      </c>
      <c r="H221" s="500">
        <f t="shared" si="22"/>
        <v>10500000</v>
      </c>
      <c r="I221" s="500">
        <f t="shared" si="22"/>
        <v>11025000</v>
      </c>
      <c r="J221" s="499" t="s">
        <v>5558</v>
      </c>
    </row>
    <row r="222" spans="1:10" ht="15.75">
      <c r="A222" s="439">
        <v>108</v>
      </c>
      <c r="B222" s="442" t="s">
        <v>4720</v>
      </c>
      <c r="C222" s="441">
        <f>SUM(G222:I222)</f>
        <v>31525000</v>
      </c>
      <c r="D222" s="441">
        <v>10000000</v>
      </c>
      <c r="E222" s="441"/>
      <c r="F222" s="441">
        <v>15000000</v>
      </c>
      <c r="G222" s="441">
        <v>10000000</v>
      </c>
      <c r="H222" s="441">
        <f>G222*5/100+G222</f>
        <v>10500000</v>
      </c>
      <c r="I222" s="441">
        <f>H222*5/100+H222</f>
        <v>11025000</v>
      </c>
      <c r="J222" s="442" t="s">
        <v>4721</v>
      </c>
    </row>
    <row r="223" spans="1:10" ht="31.5">
      <c r="A223" s="439">
        <v>109</v>
      </c>
      <c r="B223" s="442" t="s">
        <v>5559</v>
      </c>
      <c r="C223" s="441">
        <f>SUM(G223:I223)</f>
        <v>12610000</v>
      </c>
      <c r="D223" s="441">
        <v>4000000</v>
      </c>
      <c r="E223" s="481"/>
      <c r="F223" s="441">
        <v>4000000</v>
      </c>
      <c r="G223" s="441">
        <v>4000000</v>
      </c>
      <c r="H223" s="441">
        <f>G223*5/100+G223</f>
        <v>4200000</v>
      </c>
      <c r="I223" s="441">
        <f>H223*5/100+H223</f>
        <v>4410000</v>
      </c>
      <c r="J223" s="442" t="s">
        <v>5560</v>
      </c>
    </row>
    <row r="224" spans="1:10" ht="31.5">
      <c r="A224" s="439"/>
      <c r="B224" s="440" t="s">
        <v>4722</v>
      </c>
      <c r="C224" s="441"/>
      <c r="D224" s="441"/>
      <c r="E224" s="441"/>
      <c r="F224" s="441"/>
      <c r="G224" s="441"/>
      <c r="H224" s="441"/>
      <c r="I224" s="441"/>
      <c r="J224" s="442"/>
    </row>
    <row r="225" spans="1:10" ht="15.75">
      <c r="A225" s="439">
        <v>201</v>
      </c>
      <c r="B225" s="442" t="s">
        <v>4723</v>
      </c>
      <c r="C225" s="441">
        <f>SUM(G225:I225)</f>
        <v>63050000</v>
      </c>
      <c r="D225" s="441">
        <v>20000000</v>
      </c>
      <c r="E225" s="441"/>
      <c r="F225" s="441">
        <v>30000000</v>
      </c>
      <c r="G225" s="441">
        <v>20000000</v>
      </c>
      <c r="H225" s="441">
        <f t="shared" ref="H225:I227" si="23">G225*5/100+G225</f>
        <v>21000000</v>
      </c>
      <c r="I225" s="441">
        <f t="shared" si="23"/>
        <v>22050000</v>
      </c>
      <c r="J225" s="442" t="s">
        <v>4724</v>
      </c>
    </row>
    <row r="226" spans="1:10" ht="31.5">
      <c r="A226" s="439">
        <v>202</v>
      </c>
      <c r="B226" s="442" t="s">
        <v>4725</v>
      </c>
      <c r="C226" s="441">
        <f>SUM(G226:I226)</f>
        <v>31525000</v>
      </c>
      <c r="D226" s="441">
        <v>10000000</v>
      </c>
      <c r="E226" s="441"/>
      <c r="F226" s="441">
        <v>10000000</v>
      </c>
      <c r="G226" s="441">
        <v>10000000</v>
      </c>
      <c r="H226" s="441">
        <f t="shared" si="23"/>
        <v>10500000</v>
      </c>
      <c r="I226" s="441">
        <f t="shared" si="23"/>
        <v>11025000</v>
      </c>
      <c r="J226" s="442" t="s">
        <v>4726</v>
      </c>
    </row>
    <row r="227" spans="1:10" ht="15.75">
      <c r="A227" s="439">
        <v>203</v>
      </c>
      <c r="B227" s="442" t="s">
        <v>4727</v>
      </c>
      <c r="C227" s="441">
        <f>SUM(G227:I227)</f>
        <v>15762500</v>
      </c>
      <c r="D227" s="441">
        <v>500000</v>
      </c>
      <c r="E227" s="441"/>
      <c r="F227" s="441">
        <v>5000000</v>
      </c>
      <c r="G227" s="441">
        <v>5000000</v>
      </c>
      <c r="H227" s="441">
        <f t="shared" si="23"/>
        <v>5250000</v>
      </c>
      <c r="I227" s="441">
        <f t="shared" si="23"/>
        <v>5512500</v>
      </c>
      <c r="J227" s="442" t="s">
        <v>4728</v>
      </c>
    </row>
    <row r="228" spans="1:10" ht="31.5">
      <c r="A228" s="439"/>
      <c r="B228" s="449" t="s">
        <v>4729</v>
      </c>
      <c r="C228" s="441">
        <f t="shared" ref="C228:C244" si="24">G228+H228+I228</f>
        <v>0</v>
      </c>
      <c r="D228" s="441"/>
      <c r="E228" s="441"/>
      <c r="F228" s="441"/>
      <c r="G228" s="441"/>
      <c r="H228" s="441"/>
      <c r="I228" s="441"/>
      <c r="J228" s="442"/>
    </row>
    <row r="229" spans="1:10" ht="31.5">
      <c r="A229" s="439">
        <v>301</v>
      </c>
      <c r="B229" s="442" t="s">
        <v>4730</v>
      </c>
      <c r="C229" s="441">
        <f t="shared" si="24"/>
        <v>94575000</v>
      </c>
      <c r="D229" s="441">
        <v>30000000</v>
      </c>
      <c r="E229" s="441"/>
      <c r="F229" s="441"/>
      <c r="G229" s="441">
        <v>30000000</v>
      </c>
      <c r="H229" s="441">
        <f>G229*5/100+G229</f>
        <v>31500000</v>
      </c>
      <c r="I229" s="441">
        <f>H229*5/100+H229</f>
        <v>33075000</v>
      </c>
      <c r="J229" s="442" t="s">
        <v>4731</v>
      </c>
    </row>
    <row r="230" spans="1:10" ht="31.5">
      <c r="A230" s="439">
        <v>302</v>
      </c>
      <c r="B230" s="442" t="s">
        <v>4732</v>
      </c>
      <c r="C230" s="441">
        <f t="shared" si="24"/>
        <v>63050000</v>
      </c>
      <c r="D230" s="441">
        <v>20000000</v>
      </c>
      <c r="E230" s="441"/>
      <c r="F230" s="441"/>
      <c r="G230" s="441">
        <v>20000000</v>
      </c>
      <c r="H230" s="441">
        <f>G230*5/100+G230</f>
        <v>21000000</v>
      </c>
      <c r="I230" s="441">
        <f>H230*5/100+H230</f>
        <v>22050000</v>
      </c>
      <c r="J230" s="442" t="s">
        <v>4733</v>
      </c>
    </row>
    <row r="231" spans="1:10" ht="15.75">
      <c r="A231" s="423" t="s">
        <v>4718</v>
      </c>
      <c r="B231" s="463" t="s">
        <v>4719</v>
      </c>
      <c r="C231" s="425" t="s">
        <v>1840</v>
      </c>
      <c r="D231" s="425"/>
      <c r="E231" s="425"/>
      <c r="F231" s="425"/>
      <c r="G231" s="425"/>
      <c r="H231" s="425"/>
      <c r="I231" s="425"/>
      <c r="J231" s="424"/>
    </row>
    <row r="232" spans="1:10" ht="15.75">
      <c r="A232" s="426" t="s">
        <v>4582</v>
      </c>
      <c r="B232" s="427" t="s">
        <v>4696</v>
      </c>
      <c r="C232" s="425" t="s">
        <v>1840</v>
      </c>
      <c r="D232" s="474"/>
      <c r="E232" s="474"/>
      <c r="F232" s="474"/>
      <c r="G232" s="474"/>
      <c r="H232" s="474"/>
      <c r="I232" s="474"/>
      <c r="J232" s="476"/>
    </row>
    <row r="233" spans="1:10" ht="31.5">
      <c r="A233" s="429" t="s">
        <v>4509</v>
      </c>
      <c r="B233" s="477" t="s">
        <v>4510</v>
      </c>
      <c r="C233" s="466" t="s">
        <v>4511</v>
      </c>
      <c r="D233" s="432" t="s">
        <v>4512</v>
      </c>
      <c r="E233" s="432" t="s">
        <v>5503</v>
      </c>
      <c r="F233" s="432" t="s">
        <v>4305</v>
      </c>
      <c r="G233" s="432" t="s">
        <v>5501</v>
      </c>
      <c r="H233" s="432" t="s">
        <v>4305</v>
      </c>
      <c r="I233" s="432" t="s">
        <v>4305</v>
      </c>
      <c r="J233" s="433" t="s">
        <v>4513</v>
      </c>
    </row>
    <row r="234" spans="1:10" ht="31.5">
      <c r="A234" s="434"/>
      <c r="B234" s="435"/>
      <c r="C234" s="436" t="s">
        <v>4514</v>
      </c>
      <c r="D234" s="437" t="s">
        <v>4515</v>
      </c>
      <c r="E234" s="437" t="s">
        <v>4516</v>
      </c>
      <c r="F234" s="437" t="s">
        <v>243</v>
      </c>
      <c r="G234" s="437" t="s">
        <v>243</v>
      </c>
      <c r="H234" s="437" t="s">
        <v>4130</v>
      </c>
      <c r="I234" s="437" t="s">
        <v>4202</v>
      </c>
      <c r="J234" s="438"/>
    </row>
    <row r="235" spans="1:10" ht="31.5">
      <c r="A235" s="439"/>
      <c r="B235" s="449" t="s">
        <v>4734</v>
      </c>
      <c r="C235" s="441"/>
      <c r="D235" s="441"/>
      <c r="E235" s="441"/>
      <c r="F235" s="441"/>
      <c r="G235" s="441"/>
      <c r="H235" s="441"/>
      <c r="I235" s="441"/>
      <c r="J235" s="442"/>
    </row>
    <row r="236" spans="1:10" ht="47.25">
      <c r="A236" s="439" t="s">
        <v>1840</v>
      </c>
      <c r="B236" s="449" t="s">
        <v>4735</v>
      </c>
      <c r="C236" s="441"/>
      <c r="D236" s="441"/>
      <c r="E236" s="441"/>
      <c r="F236" s="441"/>
      <c r="G236" s="441"/>
      <c r="H236" s="441"/>
      <c r="I236" s="441"/>
      <c r="J236" s="442"/>
    </row>
    <row r="237" spans="1:10" ht="31.5">
      <c r="A237" s="439">
        <v>401</v>
      </c>
      <c r="B237" s="442" t="s">
        <v>4736</v>
      </c>
      <c r="C237" s="441">
        <f t="shared" si="24"/>
        <v>4098250000</v>
      </c>
      <c r="D237" s="441">
        <v>1500000000</v>
      </c>
      <c r="E237" s="441"/>
      <c r="F237" s="441"/>
      <c r="G237" s="441">
        <v>1300000000</v>
      </c>
      <c r="H237" s="441">
        <f>G237*5/100+G237</f>
        <v>1365000000</v>
      </c>
      <c r="I237" s="441">
        <f>H237*5/100+H237</f>
        <v>1433250000</v>
      </c>
      <c r="J237" s="442" t="s">
        <v>4737</v>
      </c>
    </row>
    <row r="238" spans="1:10" ht="31.5">
      <c r="A238" s="439">
        <v>402</v>
      </c>
      <c r="B238" s="442" t="s">
        <v>4738</v>
      </c>
      <c r="C238" s="441">
        <f t="shared" si="24"/>
        <v>896098125</v>
      </c>
      <c r="D238" s="441">
        <v>300000000</v>
      </c>
      <c r="E238" s="441">
        <v>6000000</v>
      </c>
      <c r="F238" s="441"/>
      <c r="G238" s="441">
        <f>300000000-15750000</f>
        <v>284250000</v>
      </c>
      <c r="H238" s="441">
        <f>G238*5/100+G238</f>
        <v>298462500</v>
      </c>
      <c r="I238" s="441">
        <f>H238*5/100+H238</f>
        <v>313385625</v>
      </c>
      <c r="J238" s="442" t="s">
        <v>4739</v>
      </c>
    </row>
    <row r="239" spans="1:10" ht="15.75">
      <c r="A239" s="439">
        <v>403</v>
      </c>
      <c r="B239" s="442" t="s">
        <v>4740</v>
      </c>
      <c r="C239" s="441">
        <f t="shared" si="24"/>
        <v>15762500</v>
      </c>
      <c r="D239" s="441">
        <v>5000000</v>
      </c>
      <c r="E239" s="441"/>
      <c r="F239" s="441"/>
      <c r="G239" s="441">
        <v>5000000</v>
      </c>
      <c r="H239" s="441">
        <f t="shared" ref="H239:I244" si="25">G239*1.05</f>
        <v>5250000</v>
      </c>
      <c r="I239" s="441">
        <f t="shared" si="25"/>
        <v>5512500</v>
      </c>
      <c r="J239" s="442" t="s">
        <v>4741</v>
      </c>
    </row>
    <row r="240" spans="1:10" ht="31.5">
      <c r="A240" s="439">
        <v>404</v>
      </c>
      <c r="B240" s="442" t="s">
        <v>4742</v>
      </c>
      <c r="C240" s="441" t="s">
        <v>3007</v>
      </c>
      <c r="D240" s="441" t="s">
        <v>3007</v>
      </c>
      <c r="E240" s="441"/>
      <c r="F240" s="441"/>
      <c r="G240" s="441" t="s">
        <v>3007</v>
      </c>
      <c r="H240" s="441" t="s">
        <v>3007</v>
      </c>
      <c r="I240" s="441" t="s">
        <v>3007</v>
      </c>
      <c r="J240" s="442" t="s">
        <v>5561</v>
      </c>
    </row>
    <row r="241" spans="1:10" ht="47.25">
      <c r="A241" s="439">
        <v>405</v>
      </c>
      <c r="B241" s="442" t="s">
        <v>4743</v>
      </c>
      <c r="C241" s="441">
        <f t="shared" si="24"/>
        <v>63050000</v>
      </c>
      <c r="D241" s="441">
        <v>20000000</v>
      </c>
      <c r="E241" s="441"/>
      <c r="F241" s="441"/>
      <c r="G241" s="441">
        <v>20000000</v>
      </c>
      <c r="H241" s="441">
        <f t="shared" si="25"/>
        <v>21000000</v>
      </c>
      <c r="I241" s="441">
        <f t="shared" si="25"/>
        <v>22050000</v>
      </c>
      <c r="J241" s="442" t="s">
        <v>4744</v>
      </c>
    </row>
    <row r="242" spans="1:10" ht="31.5">
      <c r="A242" s="439">
        <v>406</v>
      </c>
      <c r="B242" s="442" t="s">
        <v>5563</v>
      </c>
      <c r="C242" s="441"/>
      <c r="D242" s="441" t="s">
        <v>3007</v>
      </c>
      <c r="E242" s="441"/>
      <c r="F242" s="441"/>
      <c r="G242" s="441" t="s">
        <v>3007</v>
      </c>
      <c r="H242" s="441" t="s">
        <v>3007</v>
      </c>
      <c r="I242" s="441" t="s">
        <v>3007</v>
      </c>
      <c r="J242" s="442" t="s">
        <v>5562</v>
      </c>
    </row>
    <row r="243" spans="1:10" ht="31.5">
      <c r="A243" s="439">
        <v>407</v>
      </c>
      <c r="B243" s="442" t="s">
        <v>4745</v>
      </c>
      <c r="C243" s="441">
        <f>SUM(G243:I243)</f>
        <v>20000000</v>
      </c>
      <c r="D243" s="441">
        <v>20000000</v>
      </c>
      <c r="E243" s="441"/>
      <c r="F243" s="441"/>
      <c r="G243" s="441">
        <v>20000000</v>
      </c>
      <c r="H243" s="441" t="s">
        <v>3007</v>
      </c>
      <c r="I243" s="441" t="s">
        <v>3007</v>
      </c>
      <c r="J243" s="442" t="s">
        <v>4746</v>
      </c>
    </row>
    <row r="244" spans="1:10" ht="31.5">
      <c r="A244" s="439">
        <v>408</v>
      </c>
      <c r="B244" s="442" t="s">
        <v>4747</v>
      </c>
      <c r="C244" s="441">
        <f t="shared" si="24"/>
        <v>157625000</v>
      </c>
      <c r="D244" s="441">
        <v>50000000</v>
      </c>
      <c r="E244" s="441"/>
      <c r="F244" s="441"/>
      <c r="G244" s="441">
        <v>50000000</v>
      </c>
      <c r="H244" s="441">
        <f t="shared" si="25"/>
        <v>52500000</v>
      </c>
      <c r="I244" s="441">
        <f t="shared" si="25"/>
        <v>55125000</v>
      </c>
      <c r="J244" s="442" t="s">
        <v>5564</v>
      </c>
    </row>
    <row r="245" spans="1:10" ht="15.75">
      <c r="A245" s="501"/>
      <c r="B245" s="461" t="s">
        <v>4580</v>
      </c>
      <c r="C245" s="462">
        <f>SUM(C196:C240)</f>
        <v>40628683125</v>
      </c>
      <c r="D245" s="462">
        <f>SUM(D196:D244)</f>
        <v>19179500000</v>
      </c>
      <c r="E245" s="462">
        <f>SUM(E197:E239)</f>
        <v>5767501155</v>
      </c>
      <c r="F245" s="462">
        <f>SUM(F196:F244)</f>
        <v>65698000000</v>
      </c>
      <c r="G245" s="462">
        <f>SUM(G196:G244)</f>
        <v>12998250000</v>
      </c>
      <c r="H245" s="462">
        <f>SUM(H196:H240)</f>
        <v>13522162500</v>
      </c>
      <c r="I245" s="462">
        <f>SUM(I196:I240)</f>
        <v>14198270625</v>
      </c>
      <c r="J245" s="461" t="s">
        <v>1840</v>
      </c>
    </row>
    <row r="246" spans="1:10" ht="31.5">
      <c r="A246" s="501" t="s">
        <v>1840</v>
      </c>
      <c r="B246" s="461" t="s">
        <v>4748</v>
      </c>
      <c r="C246" s="462">
        <f t="shared" ref="C246:I246" si="26">C52+C90+C113+C126+C151+C177+C191+C245</f>
        <v>66867073125</v>
      </c>
      <c r="D246" s="462">
        <f t="shared" si="26"/>
        <v>33269500000</v>
      </c>
      <c r="E246" s="462">
        <f t="shared" si="26"/>
        <v>8730073047</v>
      </c>
      <c r="F246" s="462">
        <f t="shared" si="26"/>
        <v>73793000000</v>
      </c>
      <c r="G246" s="462">
        <f t="shared" si="26"/>
        <v>21324250000</v>
      </c>
      <c r="H246" s="462">
        <f t="shared" si="26"/>
        <v>22259962500</v>
      </c>
      <c r="I246" s="462">
        <f t="shared" si="26"/>
        <v>23372860625</v>
      </c>
      <c r="J246" s="461" t="s">
        <v>1840</v>
      </c>
    </row>
    <row r="247" spans="1:10" ht="15.75">
      <c r="A247" s="423" t="s">
        <v>4749</v>
      </c>
      <c r="B247" s="463"/>
      <c r="C247" s="425" t="s">
        <v>1840</v>
      </c>
      <c r="D247" s="425"/>
      <c r="E247" s="425"/>
      <c r="F247" s="425"/>
      <c r="G247" s="425"/>
      <c r="H247" s="425"/>
      <c r="I247" s="425"/>
      <c r="J247" s="424"/>
    </row>
    <row r="248" spans="1:10" ht="15.75">
      <c r="A248" s="426" t="s">
        <v>4582</v>
      </c>
      <c r="B248" s="427" t="s">
        <v>4750</v>
      </c>
      <c r="C248" s="425" t="s">
        <v>1840</v>
      </c>
      <c r="D248" s="474"/>
      <c r="E248" s="474"/>
      <c r="F248" s="474"/>
      <c r="G248" s="474"/>
      <c r="H248" s="474"/>
      <c r="I248" s="474"/>
      <c r="J248" s="476"/>
    </row>
    <row r="249" spans="1:10" ht="31.5">
      <c r="A249" s="429" t="s">
        <v>4509</v>
      </c>
      <c r="B249" s="477" t="s">
        <v>4510</v>
      </c>
      <c r="C249" s="466" t="s">
        <v>4511</v>
      </c>
      <c r="D249" s="432" t="s">
        <v>4512</v>
      </c>
      <c r="E249" s="432" t="s">
        <v>5503</v>
      </c>
      <c r="F249" s="432" t="s">
        <v>4305</v>
      </c>
      <c r="G249" s="432" t="s">
        <v>5501</v>
      </c>
      <c r="H249" s="432" t="s">
        <v>4305</v>
      </c>
      <c r="I249" s="432" t="s">
        <v>4305</v>
      </c>
      <c r="J249" s="433" t="s">
        <v>4513</v>
      </c>
    </row>
    <row r="250" spans="1:10" ht="31.5">
      <c r="A250" s="434"/>
      <c r="B250" s="435"/>
      <c r="C250" s="436" t="s">
        <v>4514</v>
      </c>
      <c r="D250" s="437" t="s">
        <v>4515</v>
      </c>
      <c r="E250" s="437" t="s">
        <v>4516</v>
      </c>
      <c r="F250" s="437" t="s">
        <v>243</v>
      </c>
      <c r="G250" s="437" t="s">
        <v>243</v>
      </c>
      <c r="H250" s="437" t="s">
        <v>4130</v>
      </c>
      <c r="I250" s="437" t="s">
        <v>4202</v>
      </c>
      <c r="J250" s="438"/>
    </row>
    <row r="251" spans="1:10" ht="15.75">
      <c r="A251" s="467"/>
      <c r="B251" s="502" t="s">
        <v>1672</v>
      </c>
      <c r="C251" s="441"/>
      <c r="D251" s="441"/>
      <c r="E251" s="441"/>
      <c r="F251" s="441"/>
      <c r="G251" s="441"/>
      <c r="H251" s="441"/>
      <c r="I251" s="441"/>
      <c r="J251" s="467"/>
    </row>
    <row r="252" spans="1:10" ht="31.5">
      <c r="A252" s="439">
        <v>101</v>
      </c>
      <c r="B252" s="442" t="s">
        <v>4751</v>
      </c>
      <c r="C252" s="441">
        <f t="shared" ref="C252:C258" si="27">G252+H252+I252</f>
        <v>3625375000</v>
      </c>
      <c r="D252" s="441">
        <v>1000000000</v>
      </c>
      <c r="E252" s="503">
        <v>8685550</v>
      </c>
      <c r="F252" s="441">
        <v>3000000000</v>
      </c>
      <c r="G252" s="441">
        <v>1150000000</v>
      </c>
      <c r="H252" s="441">
        <f t="shared" ref="H252:H258" si="28">G252*5/100+G252</f>
        <v>1207500000</v>
      </c>
      <c r="I252" s="441">
        <f>H252*5/100+H252</f>
        <v>1267875000</v>
      </c>
      <c r="J252" s="442" t="s">
        <v>5565</v>
      </c>
    </row>
    <row r="253" spans="1:10" ht="31.5">
      <c r="A253" s="439">
        <v>102</v>
      </c>
      <c r="B253" s="442" t="s">
        <v>4752</v>
      </c>
      <c r="C253" s="441">
        <f t="shared" si="27"/>
        <v>3152500000</v>
      </c>
      <c r="D253" s="441">
        <v>1000000000</v>
      </c>
      <c r="E253" s="443">
        <v>27496533</v>
      </c>
      <c r="F253" s="441"/>
      <c r="G253" s="441">
        <v>1000000000</v>
      </c>
      <c r="H253" s="441">
        <f t="shared" si="28"/>
        <v>1050000000</v>
      </c>
      <c r="I253" s="441">
        <f>H253*5/100+H253</f>
        <v>1102500000</v>
      </c>
      <c r="J253" s="442" t="s">
        <v>5566</v>
      </c>
    </row>
    <row r="254" spans="1:10" ht="47.25">
      <c r="A254" s="439">
        <v>103</v>
      </c>
      <c r="B254" s="442" t="s">
        <v>4753</v>
      </c>
      <c r="C254" s="441">
        <f t="shared" si="27"/>
        <v>157625000</v>
      </c>
      <c r="D254" s="441">
        <v>50000000</v>
      </c>
      <c r="E254" s="441"/>
      <c r="F254" s="441"/>
      <c r="G254" s="441">
        <v>50000000</v>
      </c>
      <c r="H254" s="441">
        <f t="shared" si="28"/>
        <v>52500000</v>
      </c>
      <c r="I254" s="441">
        <f>H254*5/100+H254</f>
        <v>55125000</v>
      </c>
      <c r="J254" s="442" t="s">
        <v>5567</v>
      </c>
    </row>
    <row r="255" spans="1:10" ht="31.5">
      <c r="A255" s="439">
        <v>104</v>
      </c>
      <c r="B255" s="442" t="s">
        <v>4754</v>
      </c>
      <c r="C255" s="441">
        <f t="shared" si="27"/>
        <v>94575000</v>
      </c>
      <c r="D255" s="441">
        <v>30000000</v>
      </c>
      <c r="E255" s="441"/>
      <c r="F255" s="441"/>
      <c r="G255" s="441">
        <v>30000000</v>
      </c>
      <c r="H255" s="441">
        <f t="shared" si="28"/>
        <v>31500000</v>
      </c>
      <c r="I255" s="441">
        <f>H255*1.05</f>
        <v>33075000</v>
      </c>
      <c r="J255" s="442" t="s">
        <v>4755</v>
      </c>
    </row>
    <row r="256" spans="1:10" ht="47.25">
      <c r="A256" s="439">
        <v>105</v>
      </c>
      <c r="B256" s="442" t="s">
        <v>4756</v>
      </c>
      <c r="C256" s="441">
        <f>SUM(G256:I256)</f>
        <v>15762500</v>
      </c>
      <c r="D256" s="441">
        <v>5000000</v>
      </c>
      <c r="E256" s="441"/>
      <c r="F256" s="441"/>
      <c r="G256" s="441">
        <v>5000000</v>
      </c>
      <c r="H256" s="441">
        <f t="shared" si="28"/>
        <v>5250000</v>
      </c>
      <c r="I256" s="441">
        <f>H256*1.05</f>
        <v>5512500</v>
      </c>
      <c r="J256" s="442" t="s">
        <v>5568</v>
      </c>
    </row>
    <row r="257" spans="1:10" ht="31.5">
      <c r="A257" s="439">
        <v>106</v>
      </c>
      <c r="B257" s="442" t="s">
        <v>4757</v>
      </c>
      <c r="C257" s="441">
        <f>H257+I257</f>
        <v>0</v>
      </c>
      <c r="D257" s="441" t="s">
        <v>3007</v>
      </c>
      <c r="E257" s="441"/>
      <c r="F257" s="441"/>
      <c r="G257" s="441" t="s">
        <v>3007</v>
      </c>
      <c r="H257" s="441">
        <v>0</v>
      </c>
      <c r="I257" s="441">
        <f>H257*5/100+H257</f>
        <v>0</v>
      </c>
      <c r="J257" s="442" t="s">
        <v>5569</v>
      </c>
    </row>
    <row r="258" spans="1:10" ht="31.5">
      <c r="A258" s="439">
        <v>107</v>
      </c>
      <c r="B258" s="442" t="s">
        <v>4758</v>
      </c>
      <c r="C258" s="441">
        <f t="shared" si="27"/>
        <v>157625000</v>
      </c>
      <c r="D258" s="441">
        <v>20000000</v>
      </c>
      <c r="E258" s="441"/>
      <c r="F258" s="441"/>
      <c r="G258" s="441">
        <v>50000000</v>
      </c>
      <c r="H258" s="441">
        <f t="shared" si="28"/>
        <v>52500000</v>
      </c>
      <c r="I258" s="441">
        <f>H258*5/100+H258</f>
        <v>55125000</v>
      </c>
      <c r="J258" s="442" t="s">
        <v>5570</v>
      </c>
    </row>
    <row r="259" spans="1:10" ht="15.75">
      <c r="A259" s="439">
        <v>108</v>
      </c>
      <c r="B259" s="442" t="s">
        <v>4759</v>
      </c>
      <c r="C259" s="441">
        <v>0</v>
      </c>
      <c r="D259" s="441" t="s">
        <v>3007</v>
      </c>
      <c r="E259" s="441"/>
      <c r="F259" s="441"/>
      <c r="G259" s="441" t="s">
        <v>3007</v>
      </c>
      <c r="H259" s="441" t="s">
        <v>3007</v>
      </c>
      <c r="I259" s="441" t="s">
        <v>3007</v>
      </c>
      <c r="J259" s="442" t="s">
        <v>4760</v>
      </c>
    </row>
    <row r="260" spans="1:10" ht="15.75">
      <c r="A260" s="439">
        <v>109</v>
      </c>
      <c r="B260" s="442" t="s">
        <v>4761</v>
      </c>
      <c r="C260" s="441">
        <f>G260+H260+I260</f>
        <v>94575000</v>
      </c>
      <c r="D260" s="441">
        <v>30000000</v>
      </c>
      <c r="E260" s="441"/>
      <c r="F260" s="441"/>
      <c r="G260" s="441">
        <v>30000000</v>
      </c>
      <c r="H260" s="441">
        <f t="shared" ref="H260:I262" si="29">G260*5/100+G260</f>
        <v>31500000</v>
      </c>
      <c r="I260" s="441">
        <f t="shared" si="29"/>
        <v>33075000</v>
      </c>
      <c r="J260" s="442" t="s">
        <v>5571</v>
      </c>
    </row>
    <row r="261" spans="1:10" ht="63">
      <c r="A261" s="439">
        <f>1+A260</f>
        <v>110</v>
      </c>
      <c r="B261" s="442" t="s">
        <v>4762</v>
      </c>
      <c r="C261" s="441">
        <f>G261+H261+I261</f>
        <v>31525000</v>
      </c>
      <c r="D261" s="441">
        <v>10000000</v>
      </c>
      <c r="E261" s="441"/>
      <c r="F261" s="441"/>
      <c r="G261" s="441">
        <v>10000000</v>
      </c>
      <c r="H261" s="441">
        <f t="shared" si="29"/>
        <v>10500000</v>
      </c>
      <c r="I261" s="441">
        <f t="shared" si="29"/>
        <v>11025000</v>
      </c>
      <c r="J261" s="442" t="s">
        <v>5572</v>
      </c>
    </row>
    <row r="262" spans="1:10" ht="31.5">
      <c r="A262" s="439">
        <v>111</v>
      </c>
      <c r="B262" s="442" t="s">
        <v>4763</v>
      </c>
      <c r="C262" s="441">
        <f>G262+H262+I262</f>
        <v>157625000</v>
      </c>
      <c r="D262" s="441">
        <v>30000000</v>
      </c>
      <c r="E262" s="441"/>
      <c r="F262" s="441">
        <v>62500000</v>
      </c>
      <c r="G262" s="441">
        <v>50000000</v>
      </c>
      <c r="H262" s="441">
        <f t="shared" si="29"/>
        <v>52500000</v>
      </c>
      <c r="I262" s="441">
        <f t="shared" si="29"/>
        <v>55125000</v>
      </c>
      <c r="J262" s="442" t="s">
        <v>5573</v>
      </c>
    </row>
    <row r="263" spans="1:10" ht="63">
      <c r="A263" s="446">
        <v>112</v>
      </c>
      <c r="B263" s="447" t="s">
        <v>4764</v>
      </c>
      <c r="C263" s="448"/>
      <c r="D263" s="448" t="s">
        <v>3007</v>
      </c>
      <c r="E263" s="448"/>
      <c r="F263" s="448"/>
      <c r="G263" s="448" t="s">
        <v>3007</v>
      </c>
      <c r="H263" s="448" t="s">
        <v>3007</v>
      </c>
      <c r="I263" s="448" t="s">
        <v>3007</v>
      </c>
      <c r="J263" s="447" t="s">
        <v>5574</v>
      </c>
    </row>
    <row r="264" spans="1:10" ht="31.5">
      <c r="A264" s="439">
        <v>113</v>
      </c>
      <c r="B264" s="442" t="s">
        <v>4765</v>
      </c>
      <c r="C264" s="441">
        <f t="shared" ref="C264:C277" si="30">G264+H264+I264</f>
        <v>94575000</v>
      </c>
      <c r="D264" s="441">
        <v>30000000</v>
      </c>
      <c r="E264" s="441"/>
      <c r="F264" s="441"/>
      <c r="G264" s="441">
        <v>30000000</v>
      </c>
      <c r="H264" s="441">
        <f t="shared" ref="H264:I280" si="31">G264*5/100+G264</f>
        <v>31500000</v>
      </c>
      <c r="I264" s="441">
        <f t="shared" si="31"/>
        <v>33075000</v>
      </c>
      <c r="J264" s="442" t="s">
        <v>5575</v>
      </c>
    </row>
    <row r="265" spans="1:10" ht="47.25">
      <c r="A265" s="439">
        <v>114</v>
      </c>
      <c r="B265" s="442" t="s">
        <v>4436</v>
      </c>
      <c r="C265" s="441">
        <f t="shared" si="30"/>
        <v>94575000</v>
      </c>
      <c r="D265" s="441">
        <v>30000000</v>
      </c>
      <c r="E265" s="441"/>
      <c r="F265" s="441"/>
      <c r="G265" s="441">
        <v>30000000</v>
      </c>
      <c r="H265" s="441">
        <f t="shared" si="31"/>
        <v>31500000</v>
      </c>
      <c r="I265" s="441">
        <f t="shared" si="31"/>
        <v>33075000</v>
      </c>
      <c r="J265" s="442" t="s">
        <v>5576</v>
      </c>
    </row>
    <row r="266" spans="1:10" ht="47.25">
      <c r="A266" s="439">
        <v>115</v>
      </c>
      <c r="B266" s="442" t="s">
        <v>4766</v>
      </c>
      <c r="C266" s="441">
        <f t="shared" si="30"/>
        <v>157625000</v>
      </c>
      <c r="D266" s="441">
        <v>50000000</v>
      </c>
      <c r="E266" s="441"/>
      <c r="F266" s="441"/>
      <c r="G266" s="441">
        <v>50000000</v>
      </c>
      <c r="H266" s="441">
        <f t="shared" si="31"/>
        <v>52500000</v>
      </c>
      <c r="I266" s="441">
        <f t="shared" si="31"/>
        <v>55125000</v>
      </c>
      <c r="J266" s="442" t="s">
        <v>4767</v>
      </c>
    </row>
    <row r="267" spans="1:10" ht="31.5">
      <c r="A267" s="439">
        <v>116</v>
      </c>
      <c r="B267" s="442" t="s">
        <v>4768</v>
      </c>
      <c r="C267" s="441">
        <f t="shared" si="30"/>
        <v>315250000</v>
      </c>
      <c r="D267" s="441">
        <v>200000000</v>
      </c>
      <c r="E267" s="441"/>
      <c r="F267" s="441"/>
      <c r="G267" s="441">
        <v>100000000</v>
      </c>
      <c r="H267" s="441">
        <f t="shared" si="31"/>
        <v>105000000</v>
      </c>
      <c r="I267" s="441">
        <f t="shared" si="31"/>
        <v>110250000</v>
      </c>
      <c r="J267" s="442" t="s">
        <v>4769</v>
      </c>
    </row>
    <row r="268" spans="1:10" ht="31.5">
      <c r="A268" s="439">
        <v>117</v>
      </c>
      <c r="B268" s="442" t="s">
        <v>4770</v>
      </c>
      <c r="C268" s="441">
        <f t="shared" si="30"/>
        <v>315250000</v>
      </c>
      <c r="D268" s="441">
        <v>100000000</v>
      </c>
      <c r="E268" s="441"/>
      <c r="F268" s="441"/>
      <c r="G268" s="441">
        <v>100000000</v>
      </c>
      <c r="H268" s="441">
        <f t="shared" si="31"/>
        <v>105000000</v>
      </c>
      <c r="I268" s="441">
        <f t="shared" si="31"/>
        <v>110250000</v>
      </c>
      <c r="J268" s="442" t="s">
        <v>4771</v>
      </c>
    </row>
    <row r="269" spans="1:10" ht="15.75">
      <c r="A269" s="423" t="s">
        <v>4749</v>
      </c>
      <c r="B269" s="463"/>
      <c r="C269" s="425" t="s">
        <v>1840</v>
      </c>
      <c r="D269" s="425"/>
      <c r="E269" s="425"/>
      <c r="F269" s="425"/>
      <c r="G269" s="425"/>
      <c r="H269" s="425"/>
      <c r="I269" s="425"/>
      <c r="J269" s="424"/>
    </row>
    <row r="270" spans="1:10" ht="15.75">
      <c r="A270" s="426" t="s">
        <v>4582</v>
      </c>
      <c r="B270" s="427" t="s">
        <v>4750</v>
      </c>
      <c r="C270" s="425" t="s">
        <v>1840</v>
      </c>
      <c r="D270" s="474"/>
      <c r="E270" s="474"/>
      <c r="F270" s="474"/>
      <c r="G270" s="474"/>
      <c r="H270" s="474"/>
      <c r="I270" s="474"/>
      <c r="J270" s="476"/>
    </row>
    <row r="271" spans="1:10" ht="31.5">
      <c r="A271" s="429" t="s">
        <v>4509</v>
      </c>
      <c r="B271" s="477" t="s">
        <v>4510</v>
      </c>
      <c r="C271" s="466" t="s">
        <v>4511</v>
      </c>
      <c r="D271" s="432" t="s">
        <v>4512</v>
      </c>
      <c r="E271" s="432" t="s">
        <v>5503</v>
      </c>
      <c r="F271" s="432" t="s">
        <v>4305</v>
      </c>
      <c r="G271" s="432" t="s">
        <v>5501</v>
      </c>
      <c r="H271" s="432" t="s">
        <v>4305</v>
      </c>
      <c r="I271" s="432" t="s">
        <v>4305</v>
      </c>
      <c r="J271" s="433" t="s">
        <v>4513</v>
      </c>
    </row>
    <row r="272" spans="1:10" ht="31.5">
      <c r="A272" s="434"/>
      <c r="B272" s="435"/>
      <c r="C272" s="436" t="s">
        <v>4514</v>
      </c>
      <c r="D272" s="437" t="s">
        <v>4515</v>
      </c>
      <c r="E272" s="437" t="s">
        <v>4516</v>
      </c>
      <c r="F272" s="437" t="s">
        <v>243</v>
      </c>
      <c r="G272" s="437" t="s">
        <v>243</v>
      </c>
      <c r="H272" s="437" t="s">
        <v>4130</v>
      </c>
      <c r="I272" s="437" t="s">
        <v>4202</v>
      </c>
      <c r="J272" s="438"/>
    </row>
    <row r="273" spans="1:10" ht="31.5">
      <c r="A273" s="439">
        <v>118</v>
      </c>
      <c r="B273" s="442" t="s">
        <v>4772</v>
      </c>
      <c r="C273" s="441">
        <f t="shared" si="30"/>
        <v>315250000</v>
      </c>
      <c r="D273" s="441">
        <v>150000000</v>
      </c>
      <c r="E273" s="441"/>
      <c r="F273" s="441"/>
      <c r="G273" s="441">
        <v>100000000</v>
      </c>
      <c r="H273" s="441">
        <f t="shared" si="31"/>
        <v>105000000</v>
      </c>
      <c r="I273" s="441">
        <f t="shared" si="31"/>
        <v>110250000</v>
      </c>
      <c r="J273" s="442" t="s">
        <v>4773</v>
      </c>
    </row>
    <row r="274" spans="1:10" ht="15.75">
      <c r="A274" s="439">
        <v>119</v>
      </c>
      <c r="B274" s="442" t="s">
        <v>4774</v>
      </c>
      <c r="C274" s="441">
        <v>0</v>
      </c>
      <c r="D274" s="441"/>
      <c r="E274" s="441"/>
      <c r="F274" s="441"/>
      <c r="G274" s="441" t="s">
        <v>3007</v>
      </c>
      <c r="H274" s="441" t="s">
        <v>3007</v>
      </c>
      <c r="I274" s="441" t="s">
        <v>3007</v>
      </c>
      <c r="J274" s="442" t="s">
        <v>5577</v>
      </c>
    </row>
    <row r="275" spans="1:10" ht="47.25">
      <c r="A275" s="439">
        <v>120</v>
      </c>
      <c r="B275" s="442" t="s">
        <v>4775</v>
      </c>
      <c r="C275" s="441">
        <f>G275+H275+I275</f>
        <v>1576250000</v>
      </c>
      <c r="D275" s="441" t="s">
        <v>3007</v>
      </c>
      <c r="E275" s="441"/>
      <c r="F275" s="441"/>
      <c r="G275" s="441">
        <v>500000000</v>
      </c>
      <c r="H275" s="441">
        <f>G275*5/100+G275</f>
        <v>525000000</v>
      </c>
      <c r="I275" s="441">
        <f>H275*5/100+H275</f>
        <v>551250000</v>
      </c>
      <c r="J275" s="442" t="s">
        <v>5578</v>
      </c>
    </row>
    <row r="276" spans="1:10" ht="31.5">
      <c r="A276" s="439" t="s">
        <v>4776</v>
      </c>
      <c r="B276" s="442" t="s">
        <v>4777</v>
      </c>
      <c r="C276" s="441">
        <f>G276+H276+I276</f>
        <v>472875000</v>
      </c>
      <c r="D276" s="441">
        <v>500000000</v>
      </c>
      <c r="E276" s="441"/>
      <c r="F276" s="441"/>
      <c r="G276" s="441">
        <v>150000000</v>
      </c>
      <c r="H276" s="441">
        <f t="shared" si="31"/>
        <v>157500000</v>
      </c>
      <c r="I276" s="441">
        <f t="shared" si="31"/>
        <v>165375000</v>
      </c>
      <c r="J276" s="442" t="s">
        <v>4778</v>
      </c>
    </row>
    <row r="277" spans="1:10" ht="47.25">
      <c r="A277" s="439">
        <v>121</v>
      </c>
      <c r="B277" s="442" t="s">
        <v>4779</v>
      </c>
      <c r="C277" s="441">
        <f t="shared" si="30"/>
        <v>63050000</v>
      </c>
      <c r="D277" s="441">
        <v>20000000</v>
      </c>
      <c r="E277" s="441"/>
      <c r="F277" s="441"/>
      <c r="G277" s="441">
        <v>20000000</v>
      </c>
      <c r="H277" s="441">
        <f t="shared" si="31"/>
        <v>21000000</v>
      </c>
      <c r="I277" s="441">
        <f t="shared" si="31"/>
        <v>22050000</v>
      </c>
      <c r="J277" s="442" t="s">
        <v>4780</v>
      </c>
    </row>
    <row r="278" spans="1:10" ht="30" customHeight="1">
      <c r="A278" s="439">
        <v>122</v>
      </c>
      <c r="B278" s="442" t="s">
        <v>5579</v>
      </c>
      <c r="C278" s="441">
        <f>SUM(G278:I278)</f>
        <v>63050000</v>
      </c>
      <c r="D278" s="441">
        <v>20000000</v>
      </c>
      <c r="E278" s="441"/>
      <c r="F278" s="441"/>
      <c r="G278" s="441">
        <v>20000000</v>
      </c>
      <c r="H278" s="441">
        <f t="shared" si="31"/>
        <v>21000000</v>
      </c>
      <c r="I278" s="441">
        <f t="shared" si="31"/>
        <v>22050000</v>
      </c>
      <c r="J278" s="442" t="s">
        <v>5580</v>
      </c>
    </row>
    <row r="279" spans="1:10" ht="15.75">
      <c r="A279" s="439">
        <v>123</v>
      </c>
      <c r="B279" s="442" t="s">
        <v>4781</v>
      </c>
      <c r="C279" s="441">
        <f>G279+H279+I279</f>
        <v>63050000</v>
      </c>
      <c r="D279" s="441">
        <v>20000000</v>
      </c>
      <c r="E279" s="441"/>
      <c r="F279" s="441"/>
      <c r="G279" s="441">
        <v>20000000</v>
      </c>
      <c r="H279" s="441">
        <f t="shared" si="31"/>
        <v>21000000</v>
      </c>
      <c r="I279" s="441">
        <f>H279*5/100+H279</f>
        <v>22050000</v>
      </c>
      <c r="J279" s="442" t="s">
        <v>5581</v>
      </c>
    </row>
    <row r="280" spans="1:10" ht="31.5">
      <c r="A280" s="439">
        <v>124</v>
      </c>
      <c r="B280" s="442" t="s">
        <v>4782</v>
      </c>
      <c r="C280" s="441">
        <f>G280+H280+I280</f>
        <v>15762500</v>
      </c>
      <c r="D280" s="441">
        <v>5000000</v>
      </c>
      <c r="E280" s="441"/>
      <c r="F280" s="441"/>
      <c r="G280" s="441">
        <v>5000000</v>
      </c>
      <c r="H280" s="441">
        <f t="shared" si="31"/>
        <v>5250000</v>
      </c>
      <c r="I280" s="441">
        <f>H280*5/100+H280</f>
        <v>5512500</v>
      </c>
      <c r="J280" s="442" t="s">
        <v>5582</v>
      </c>
    </row>
    <row r="281" spans="1:10" ht="31.5">
      <c r="A281" s="446">
        <v>125</v>
      </c>
      <c r="B281" s="1027" t="s">
        <v>5583</v>
      </c>
      <c r="C281" s="448">
        <f>G281+H281+I281</f>
        <v>100000000</v>
      </c>
      <c r="D281" s="448"/>
      <c r="E281" s="448"/>
      <c r="F281" s="448"/>
      <c r="G281" s="500">
        <v>100000000</v>
      </c>
      <c r="H281" s="500"/>
      <c r="I281" s="500"/>
      <c r="J281" s="447" t="s">
        <v>5584</v>
      </c>
    </row>
    <row r="282" spans="1:10" ht="15.75">
      <c r="A282" s="439"/>
      <c r="B282" s="1023" t="s">
        <v>4784</v>
      </c>
      <c r="C282" s="441"/>
      <c r="D282" s="441"/>
      <c r="E282" s="441"/>
      <c r="F282" s="441"/>
      <c r="G282" s="441"/>
      <c r="H282" s="441"/>
      <c r="I282" s="441"/>
      <c r="J282" s="442"/>
    </row>
    <row r="283" spans="1:10" ht="31.5">
      <c r="A283" s="439">
        <v>201</v>
      </c>
      <c r="B283" s="442" t="s">
        <v>4785</v>
      </c>
      <c r="C283" s="441">
        <f>G283+H283+I283</f>
        <v>3940625000</v>
      </c>
      <c r="D283" s="441">
        <v>1000000000</v>
      </c>
      <c r="E283" s="441"/>
      <c r="F283" s="441">
        <v>1250000000</v>
      </c>
      <c r="G283" s="441">
        <v>1250000000</v>
      </c>
      <c r="H283" s="441">
        <f t="shared" ref="H283:I304" si="32">G283*5/100+G283</f>
        <v>1312500000</v>
      </c>
      <c r="I283" s="441">
        <f t="shared" si="32"/>
        <v>1378125000</v>
      </c>
      <c r="J283" s="442" t="s">
        <v>4786</v>
      </c>
    </row>
    <row r="284" spans="1:10" ht="31.5">
      <c r="A284" s="439">
        <v>202</v>
      </c>
      <c r="B284" s="442" t="s">
        <v>4787</v>
      </c>
      <c r="C284" s="441">
        <f>G284+H284+I284</f>
        <v>3783000000</v>
      </c>
      <c r="D284" s="441">
        <v>1000000000</v>
      </c>
      <c r="E284" s="443">
        <v>15546936</v>
      </c>
      <c r="F284" s="441">
        <v>1500000000</v>
      </c>
      <c r="G284" s="441">
        <v>1200000000</v>
      </c>
      <c r="H284" s="441">
        <f t="shared" si="32"/>
        <v>1260000000</v>
      </c>
      <c r="I284" s="441">
        <f t="shared" si="32"/>
        <v>1323000000</v>
      </c>
      <c r="J284" s="442" t="s">
        <v>4788</v>
      </c>
    </row>
    <row r="285" spans="1:10" ht="31.5">
      <c r="A285" s="439">
        <v>203</v>
      </c>
      <c r="B285" s="442" t="s">
        <v>4789</v>
      </c>
      <c r="C285" s="441">
        <f>G285+H285+I285</f>
        <v>156048750</v>
      </c>
      <c r="D285" s="441">
        <v>50000000</v>
      </c>
      <c r="E285" s="441"/>
      <c r="F285" s="441">
        <v>49500000</v>
      </c>
      <c r="G285" s="441">
        <v>49500000</v>
      </c>
      <c r="H285" s="441">
        <f t="shared" si="32"/>
        <v>51975000</v>
      </c>
      <c r="I285" s="441">
        <f t="shared" si="32"/>
        <v>54573750</v>
      </c>
      <c r="J285" s="442" t="s">
        <v>4790</v>
      </c>
    </row>
    <row r="286" spans="1:10" ht="47.25">
      <c r="A286" s="439">
        <v>204</v>
      </c>
      <c r="B286" s="442" t="s">
        <v>4791</v>
      </c>
      <c r="C286" s="441">
        <f>SUM(G286:I286)</f>
        <v>47287500</v>
      </c>
      <c r="D286" s="441">
        <v>20000000</v>
      </c>
      <c r="E286" s="441"/>
      <c r="F286" s="441">
        <v>30000000</v>
      </c>
      <c r="G286" s="441">
        <v>15000000</v>
      </c>
      <c r="H286" s="441">
        <f t="shared" si="32"/>
        <v>15750000</v>
      </c>
      <c r="I286" s="441">
        <f t="shared" si="32"/>
        <v>16537500</v>
      </c>
      <c r="J286" s="442" t="s">
        <v>5585</v>
      </c>
    </row>
    <row r="287" spans="1:10" ht="31.5">
      <c r="A287" s="439">
        <f>1+A286</f>
        <v>205</v>
      </c>
      <c r="B287" s="442" t="s">
        <v>4792</v>
      </c>
      <c r="C287" s="441">
        <f>G287+H287+I287</f>
        <v>47287500</v>
      </c>
      <c r="D287" s="441">
        <v>15000000</v>
      </c>
      <c r="E287" s="441"/>
      <c r="F287" s="441">
        <v>15000000</v>
      </c>
      <c r="G287" s="441">
        <v>15000000</v>
      </c>
      <c r="H287" s="441">
        <f t="shared" si="32"/>
        <v>15750000</v>
      </c>
      <c r="I287" s="441">
        <f t="shared" si="32"/>
        <v>16537500</v>
      </c>
      <c r="J287" s="442" t="s">
        <v>5587</v>
      </c>
    </row>
    <row r="288" spans="1:10" ht="31.5">
      <c r="A288" s="439">
        <f t="shared" ref="A288:A300" si="33">1+A287</f>
        <v>206</v>
      </c>
      <c r="B288" s="442" t="s">
        <v>4793</v>
      </c>
      <c r="C288" s="441">
        <f>SUM(G288:I288)</f>
        <v>126100000</v>
      </c>
      <c r="D288" s="441">
        <v>50000000</v>
      </c>
      <c r="E288" s="441"/>
      <c r="F288" s="441">
        <v>40000000</v>
      </c>
      <c r="G288" s="441">
        <v>40000000</v>
      </c>
      <c r="H288" s="441">
        <f t="shared" si="32"/>
        <v>42000000</v>
      </c>
      <c r="I288" s="441">
        <f t="shared" si="32"/>
        <v>44100000</v>
      </c>
      <c r="J288" s="442" t="s">
        <v>5586</v>
      </c>
    </row>
    <row r="289" spans="1:10" ht="31.5">
      <c r="A289" s="439">
        <f t="shared" si="33"/>
        <v>207</v>
      </c>
      <c r="B289" s="442" t="s">
        <v>4794</v>
      </c>
      <c r="C289" s="441">
        <f>G289+H289+I289</f>
        <v>157625000</v>
      </c>
      <c r="D289" s="441">
        <v>100000000</v>
      </c>
      <c r="E289" s="441"/>
      <c r="F289" s="441">
        <v>85000000</v>
      </c>
      <c r="G289" s="441">
        <v>50000000</v>
      </c>
      <c r="H289" s="441">
        <f t="shared" si="32"/>
        <v>52500000</v>
      </c>
      <c r="I289" s="441">
        <f t="shared" si="32"/>
        <v>55125000</v>
      </c>
      <c r="J289" s="442" t="s">
        <v>5588</v>
      </c>
    </row>
    <row r="290" spans="1:10" ht="31.5">
      <c r="A290" s="439">
        <f t="shared" si="33"/>
        <v>208</v>
      </c>
      <c r="B290" s="442" t="s">
        <v>4795</v>
      </c>
      <c r="C290" s="441">
        <f>G290+H290+I290</f>
        <v>630500000</v>
      </c>
      <c r="D290" s="441">
        <v>100000000</v>
      </c>
      <c r="E290" s="441">
        <v>21870000</v>
      </c>
      <c r="F290" s="441">
        <v>300000000</v>
      </c>
      <c r="G290" s="441">
        <v>200000000</v>
      </c>
      <c r="H290" s="441">
        <f t="shared" si="32"/>
        <v>210000000</v>
      </c>
      <c r="I290" s="441">
        <f t="shared" si="32"/>
        <v>220500000</v>
      </c>
      <c r="J290" s="442" t="s">
        <v>5589</v>
      </c>
    </row>
    <row r="291" spans="1:10" ht="47.25">
      <c r="A291" s="439">
        <f t="shared" si="33"/>
        <v>209</v>
      </c>
      <c r="B291" s="442" t="s">
        <v>4796</v>
      </c>
      <c r="C291" s="441">
        <f>G291+H291+I291</f>
        <v>1261000000</v>
      </c>
      <c r="D291" s="441">
        <v>1000000000</v>
      </c>
      <c r="E291" s="441">
        <f>5130000+5080000</f>
        <v>10210000</v>
      </c>
      <c r="F291" s="441">
        <v>930000000</v>
      </c>
      <c r="G291" s="441">
        <v>400000000</v>
      </c>
      <c r="H291" s="441">
        <f t="shared" si="32"/>
        <v>420000000</v>
      </c>
      <c r="I291" s="441">
        <f t="shared" si="32"/>
        <v>441000000</v>
      </c>
      <c r="J291" s="442" t="s">
        <v>5590</v>
      </c>
    </row>
    <row r="292" spans="1:10" ht="15.75">
      <c r="A292" s="423" t="s">
        <v>4749</v>
      </c>
      <c r="B292" s="463"/>
      <c r="C292" s="425" t="s">
        <v>1840</v>
      </c>
      <c r="D292" s="425"/>
      <c r="E292" s="425"/>
      <c r="F292" s="425"/>
      <c r="G292" s="425"/>
      <c r="H292" s="425"/>
      <c r="I292" s="425"/>
      <c r="J292" s="424"/>
    </row>
    <row r="293" spans="1:10" ht="15.75">
      <c r="A293" s="426" t="s">
        <v>4582</v>
      </c>
      <c r="B293" s="427" t="s">
        <v>4750</v>
      </c>
      <c r="C293" s="425" t="s">
        <v>1840</v>
      </c>
      <c r="D293" s="474"/>
      <c r="E293" s="474"/>
      <c r="F293" s="474"/>
      <c r="G293" s="474"/>
      <c r="H293" s="474"/>
      <c r="I293" s="474"/>
      <c r="J293" s="476"/>
    </row>
    <row r="294" spans="1:10" ht="31.5">
      <c r="A294" s="429" t="s">
        <v>4509</v>
      </c>
      <c r="B294" s="477" t="s">
        <v>4510</v>
      </c>
      <c r="C294" s="466" t="s">
        <v>4511</v>
      </c>
      <c r="D294" s="432" t="s">
        <v>4512</v>
      </c>
      <c r="E294" s="432" t="s">
        <v>5503</v>
      </c>
      <c r="F294" s="432" t="s">
        <v>4305</v>
      </c>
      <c r="G294" s="432" t="s">
        <v>5501</v>
      </c>
      <c r="H294" s="432" t="s">
        <v>4305</v>
      </c>
      <c r="I294" s="432" t="s">
        <v>4305</v>
      </c>
      <c r="J294" s="433" t="s">
        <v>4513</v>
      </c>
    </row>
    <row r="295" spans="1:10" ht="31.5">
      <c r="A295" s="434"/>
      <c r="B295" s="435"/>
      <c r="C295" s="436" t="s">
        <v>4514</v>
      </c>
      <c r="D295" s="437" t="s">
        <v>4515</v>
      </c>
      <c r="E295" s="437" t="s">
        <v>4516</v>
      </c>
      <c r="F295" s="437" t="s">
        <v>243</v>
      </c>
      <c r="G295" s="437" t="s">
        <v>243</v>
      </c>
      <c r="H295" s="437" t="s">
        <v>4130</v>
      </c>
      <c r="I295" s="437" t="s">
        <v>4202</v>
      </c>
      <c r="J295" s="438"/>
    </row>
    <row r="296" spans="1:10" ht="31.5">
      <c r="A296" s="439">
        <f>1+A291</f>
        <v>210</v>
      </c>
      <c r="B296" s="442" t="s">
        <v>4797</v>
      </c>
      <c r="C296" s="441">
        <f>SUM(G296:I296)</f>
        <v>0</v>
      </c>
      <c r="D296" s="441" t="s">
        <v>3007</v>
      </c>
      <c r="E296" s="441"/>
      <c r="F296" s="441" t="s">
        <v>3007</v>
      </c>
      <c r="G296" s="441" t="s">
        <v>3007</v>
      </c>
      <c r="H296" s="441" t="s">
        <v>3007</v>
      </c>
      <c r="I296" s="441" t="s">
        <v>3007</v>
      </c>
      <c r="J296" s="442" t="s">
        <v>5591</v>
      </c>
    </row>
    <row r="297" spans="1:10" ht="31.5">
      <c r="A297" s="439">
        <f t="shared" si="33"/>
        <v>211</v>
      </c>
      <c r="B297" s="442" t="s">
        <v>4798</v>
      </c>
      <c r="C297" s="441">
        <f t="shared" ref="C297:C304" si="34">G297+H297+I297</f>
        <v>47287500</v>
      </c>
      <c r="D297" s="441">
        <v>15000000</v>
      </c>
      <c r="E297" s="441"/>
      <c r="F297" s="441">
        <v>15000000</v>
      </c>
      <c r="G297" s="441">
        <v>15000000</v>
      </c>
      <c r="H297" s="441">
        <f t="shared" si="32"/>
        <v>15750000</v>
      </c>
      <c r="I297" s="441">
        <f t="shared" si="32"/>
        <v>16537500</v>
      </c>
      <c r="J297" s="442" t="s">
        <v>5592</v>
      </c>
    </row>
    <row r="298" spans="1:10" ht="31.5">
      <c r="A298" s="439">
        <f t="shared" si="33"/>
        <v>212</v>
      </c>
      <c r="B298" s="442" t="s">
        <v>4799</v>
      </c>
      <c r="C298" s="441">
        <f t="shared" si="34"/>
        <v>18915000</v>
      </c>
      <c r="D298" s="441">
        <v>6000000</v>
      </c>
      <c r="E298" s="441"/>
      <c r="F298" s="441">
        <v>6000000</v>
      </c>
      <c r="G298" s="441">
        <v>6000000</v>
      </c>
      <c r="H298" s="441">
        <f t="shared" si="32"/>
        <v>6300000</v>
      </c>
      <c r="I298" s="441">
        <f t="shared" si="32"/>
        <v>6615000</v>
      </c>
      <c r="J298" s="442" t="s">
        <v>5593</v>
      </c>
    </row>
    <row r="299" spans="1:10" ht="47.25">
      <c r="A299" s="439">
        <f>1+A298</f>
        <v>213</v>
      </c>
      <c r="B299" s="442" t="s">
        <v>5594</v>
      </c>
      <c r="C299" s="441">
        <f t="shared" si="34"/>
        <v>78812500</v>
      </c>
      <c r="D299" s="441">
        <v>25000000</v>
      </c>
      <c r="E299" s="441"/>
      <c r="F299" s="441">
        <v>25000000</v>
      </c>
      <c r="G299" s="441">
        <v>25000000</v>
      </c>
      <c r="H299" s="441">
        <f t="shared" si="32"/>
        <v>26250000</v>
      </c>
      <c r="I299" s="441">
        <f t="shared" si="32"/>
        <v>27562500</v>
      </c>
      <c r="J299" s="442" t="s">
        <v>5595</v>
      </c>
    </row>
    <row r="300" spans="1:10" ht="31.5">
      <c r="A300" s="439">
        <f t="shared" si="33"/>
        <v>214</v>
      </c>
      <c r="B300" s="442" t="s">
        <v>5596</v>
      </c>
      <c r="C300" s="441">
        <f t="shared" si="34"/>
        <v>15762500</v>
      </c>
      <c r="D300" s="441">
        <v>5000000</v>
      </c>
      <c r="E300" s="441"/>
      <c r="F300" s="441">
        <v>10000000</v>
      </c>
      <c r="G300" s="441">
        <v>5000000</v>
      </c>
      <c r="H300" s="441">
        <f t="shared" si="32"/>
        <v>5250000</v>
      </c>
      <c r="I300" s="441">
        <f t="shared" si="32"/>
        <v>5512500</v>
      </c>
      <c r="J300" s="442" t="s">
        <v>5597</v>
      </c>
    </row>
    <row r="301" spans="1:10" ht="31.5">
      <c r="A301" s="439">
        <f>1+A300</f>
        <v>215</v>
      </c>
      <c r="B301" s="442" t="s">
        <v>4800</v>
      </c>
      <c r="C301" s="441"/>
      <c r="D301" s="441" t="s">
        <v>3007</v>
      </c>
      <c r="E301" s="441"/>
      <c r="F301" s="441" t="s">
        <v>3007</v>
      </c>
      <c r="G301" s="441" t="s">
        <v>3007</v>
      </c>
      <c r="H301" s="441"/>
      <c r="I301" s="441">
        <f t="shared" si="32"/>
        <v>0</v>
      </c>
      <c r="J301" s="442" t="s">
        <v>4801</v>
      </c>
    </row>
    <row r="302" spans="1:10" ht="31.5">
      <c r="A302" s="439">
        <v>216</v>
      </c>
      <c r="B302" s="442" t="s">
        <v>5598</v>
      </c>
      <c r="C302" s="441">
        <f t="shared" si="34"/>
        <v>69355000</v>
      </c>
      <c r="D302" s="441">
        <v>40000000</v>
      </c>
      <c r="E302" s="441"/>
      <c r="F302" s="441">
        <v>25000000</v>
      </c>
      <c r="G302" s="441">
        <v>22000000</v>
      </c>
      <c r="H302" s="441">
        <f>G302*5/100+G302</f>
        <v>23100000</v>
      </c>
      <c r="I302" s="441">
        <f t="shared" si="32"/>
        <v>24255000</v>
      </c>
      <c r="J302" s="442" t="s">
        <v>5599</v>
      </c>
    </row>
    <row r="303" spans="1:10" ht="15.75">
      <c r="A303" s="439">
        <v>217</v>
      </c>
      <c r="B303" s="442" t="s">
        <v>4783</v>
      </c>
      <c r="C303" s="441">
        <f t="shared" si="34"/>
        <v>100880000</v>
      </c>
      <c r="D303" s="441">
        <v>50000000</v>
      </c>
      <c r="E303" s="441"/>
      <c r="F303" s="441">
        <v>32000000</v>
      </c>
      <c r="G303" s="441">
        <v>32000000</v>
      </c>
      <c r="H303" s="441">
        <f>G303*5/100+G303</f>
        <v>33600000</v>
      </c>
      <c r="I303" s="441">
        <f t="shared" si="32"/>
        <v>35280000</v>
      </c>
      <c r="J303" s="442" t="s">
        <v>4783</v>
      </c>
    </row>
    <row r="304" spans="1:10" ht="47.25">
      <c r="A304" s="439">
        <v>301</v>
      </c>
      <c r="B304" s="440" t="s">
        <v>4802</v>
      </c>
      <c r="C304" s="441">
        <f t="shared" si="34"/>
        <v>630500000</v>
      </c>
      <c r="D304" s="441">
        <v>300000000</v>
      </c>
      <c r="E304" s="441">
        <f>47666982+40166982</f>
        <v>87833964</v>
      </c>
      <c r="F304" s="441">
        <v>200000000</v>
      </c>
      <c r="G304" s="441">
        <v>200000000</v>
      </c>
      <c r="H304" s="441">
        <f t="shared" si="32"/>
        <v>210000000</v>
      </c>
      <c r="I304" s="441">
        <f t="shared" si="32"/>
        <v>220500000</v>
      </c>
      <c r="J304" s="442" t="s">
        <v>4803</v>
      </c>
    </row>
    <row r="305" spans="1:10" ht="15.75">
      <c r="A305" s="460"/>
      <c r="B305" s="461" t="s">
        <v>4580</v>
      </c>
      <c r="C305" s="504">
        <f>SUM(C252:C301)</f>
        <v>21444001250</v>
      </c>
      <c r="D305" s="504">
        <f t="shared" ref="D305:I305" si="35">SUM(D252:D304)</f>
        <v>7076000000</v>
      </c>
      <c r="E305" s="504">
        <f t="shared" si="35"/>
        <v>171642983</v>
      </c>
      <c r="F305" s="504">
        <f t="shared" si="35"/>
        <v>7575000000</v>
      </c>
      <c r="G305" s="504">
        <f t="shared" si="35"/>
        <v>7124500000</v>
      </c>
      <c r="H305" s="504">
        <f t="shared" si="35"/>
        <v>7375725000</v>
      </c>
      <c r="I305" s="504">
        <f t="shared" si="35"/>
        <v>7744511250</v>
      </c>
      <c r="J305" s="461"/>
    </row>
    <row r="306" spans="1:10" ht="15.75">
      <c r="A306" s="423" t="s">
        <v>4804</v>
      </c>
      <c r="B306" s="463"/>
      <c r="C306" s="425" t="s">
        <v>1840</v>
      </c>
      <c r="D306" s="425"/>
      <c r="E306" s="425"/>
      <c r="F306" s="425"/>
      <c r="G306" s="425"/>
      <c r="H306" s="425"/>
      <c r="I306" s="425"/>
      <c r="J306" s="424"/>
    </row>
    <row r="307" spans="1:10" ht="15.75">
      <c r="A307" s="426" t="s">
        <v>4582</v>
      </c>
      <c r="B307" s="427" t="s">
        <v>4805</v>
      </c>
      <c r="C307" s="425" t="s">
        <v>1840</v>
      </c>
      <c r="D307" s="474"/>
      <c r="E307" s="474"/>
      <c r="F307" s="474"/>
      <c r="G307" s="474"/>
      <c r="H307" s="474"/>
      <c r="I307" s="474"/>
      <c r="J307" s="476"/>
    </row>
    <row r="308" spans="1:10" ht="31.5">
      <c r="A308" s="429" t="s">
        <v>4509</v>
      </c>
      <c r="B308" s="477" t="s">
        <v>4510</v>
      </c>
      <c r="C308" s="466" t="s">
        <v>4511</v>
      </c>
      <c r="D308" s="432" t="s">
        <v>4512</v>
      </c>
      <c r="E308" s="432" t="s">
        <v>5503</v>
      </c>
      <c r="F308" s="432" t="s">
        <v>4305</v>
      </c>
      <c r="G308" s="432" t="s">
        <v>5501</v>
      </c>
      <c r="H308" s="432" t="s">
        <v>4305</v>
      </c>
      <c r="I308" s="432" t="s">
        <v>4305</v>
      </c>
      <c r="J308" s="433" t="s">
        <v>4513</v>
      </c>
    </row>
    <row r="309" spans="1:10" ht="31.5">
      <c r="A309" s="434" t="s">
        <v>2239</v>
      </c>
      <c r="B309" s="435"/>
      <c r="C309" s="436" t="s">
        <v>4514</v>
      </c>
      <c r="D309" s="437" t="s">
        <v>4515</v>
      </c>
      <c r="E309" s="437" t="s">
        <v>4516</v>
      </c>
      <c r="F309" s="437" t="s">
        <v>243</v>
      </c>
      <c r="G309" s="437" t="s">
        <v>243</v>
      </c>
      <c r="H309" s="437" t="s">
        <v>4130</v>
      </c>
      <c r="I309" s="437" t="s">
        <v>4202</v>
      </c>
      <c r="J309" s="438"/>
    </row>
    <row r="310" spans="1:10" ht="15.75">
      <c r="A310" s="478"/>
      <c r="B310" s="505" t="s">
        <v>4806</v>
      </c>
      <c r="C310" s="480"/>
      <c r="D310" s="445"/>
      <c r="E310" s="480"/>
      <c r="F310" s="470"/>
      <c r="G310" s="445"/>
      <c r="H310" s="480"/>
      <c r="I310" s="480"/>
      <c r="J310" s="479"/>
    </row>
    <row r="311" spans="1:10" ht="15.75">
      <c r="A311" s="439">
        <v>101</v>
      </c>
      <c r="B311" s="442" t="s">
        <v>4807</v>
      </c>
      <c r="C311" s="441">
        <f>G313+H313+I313</f>
        <v>157625000</v>
      </c>
      <c r="D311" s="441">
        <v>30000000</v>
      </c>
      <c r="E311" s="441"/>
      <c r="F311" s="441">
        <v>50000000</v>
      </c>
      <c r="G311" s="441">
        <v>30000000</v>
      </c>
      <c r="H311" s="441">
        <f t="shared" ref="H311:H323" si="36">G311*5/100+G311</f>
        <v>31500000</v>
      </c>
      <c r="I311" s="441">
        <f>H311*5/100+H311</f>
        <v>33075000</v>
      </c>
      <c r="J311" s="442" t="s">
        <v>4808</v>
      </c>
    </row>
    <row r="312" spans="1:10" ht="15.75">
      <c r="A312" s="439"/>
      <c r="B312" s="442"/>
      <c r="C312" s="441"/>
      <c r="D312" s="445"/>
      <c r="E312" s="441"/>
      <c r="F312" s="445"/>
      <c r="G312" s="445"/>
      <c r="H312" s="441"/>
      <c r="I312" s="441"/>
      <c r="J312" s="442"/>
    </row>
    <row r="313" spans="1:10" ht="47.25">
      <c r="A313" s="439">
        <v>102</v>
      </c>
      <c r="B313" s="442" t="s">
        <v>4809</v>
      </c>
      <c r="C313" s="441">
        <f>G315+H315+I315</f>
        <v>31525000</v>
      </c>
      <c r="D313" s="441">
        <v>50000000</v>
      </c>
      <c r="E313" s="441"/>
      <c r="F313" s="441">
        <v>50000000</v>
      </c>
      <c r="G313" s="441">
        <v>50000000</v>
      </c>
      <c r="H313" s="441">
        <f>G313*5/100+G313</f>
        <v>52500000</v>
      </c>
      <c r="I313" s="441">
        <f>H313*1.05</f>
        <v>55125000</v>
      </c>
      <c r="J313" s="442" t="s">
        <v>5600</v>
      </c>
    </row>
    <row r="314" spans="1:10" ht="15.75">
      <c r="A314" s="439"/>
      <c r="B314" s="442"/>
      <c r="C314" s="441"/>
      <c r="D314" s="441"/>
      <c r="E314" s="441"/>
      <c r="F314" s="441"/>
      <c r="G314" s="441"/>
      <c r="H314" s="441"/>
      <c r="I314" s="441"/>
      <c r="J314" s="442"/>
    </row>
    <row r="315" spans="1:10" ht="31.5">
      <c r="A315" s="439">
        <v>103</v>
      </c>
      <c r="B315" s="442" t="s">
        <v>4810</v>
      </c>
      <c r="C315" s="441">
        <f>G315+H315+I315</f>
        <v>31525000</v>
      </c>
      <c r="D315" s="441">
        <v>10000000</v>
      </c>
      <c r="E315" s="441"/>
      <c r="F315" s="441">
        <v>25000000</v>
      </c>
      <c r="G315" s="441">
        <v>10000000</v>
      </c>
      <c r="H315" s="441">
        <f t="shared" si="36"/>
        <v>10500000</v>
      </c>
      <c r="I315" s="441">
        <f>H315*5/100+H315</f>
        <v>11025000</v>
      </c>
      <c r="J315" s="442" t="s">
        <v>5601</v>
      </c>
    </row>
    <row r="316" spans="1:10" ht="15.75">
      <c r="A316" s="439"/>
      <c r="B316" s="442"/>
      <c r="C316" s="441"/>
      <c r="D316" s="441"/>
      <c r="E316" s="441"/>
      <c r="F316" s="441"/>
      <c r="G316" s="441"/>
      <c r="H316" s="441"/>
      <c r="I316" s="441"/>
      <c r="J316" s="442"/>
    </row>
    <row r="317" spans="1:10" ht="31.5">
      <c r="A317" s="439">
        <v>104</v>
      </c>
      <c r="B317" s="442" t="s">
        <v>4811</v>
      </c>
      <c r="C317" s="441">
        <f>G317+H317+I317</f>
        <v>819650000</v>
      </c>
      <c r="D317" s="441">
        <v>250000000</v>
      </c>
      <c r="E317" s="441"/>
      <c r="F317" s="441">
        <v>260000000</v>
      </c>
      <c r="G317" s="441">
        <v>260000000</v>
      </c>
      <c r="H317" s="441">
        <f t="shared" si="36"/>
        <v>273000000</v>
      </c>
      <c r="I317" s="441">
        <f>H317*5/100+H317</f>
        <v>286650000</v>
      </c>
      <c r="J317" s="442" t="s">
        <v>4812</v>
      </c>
    </row>
    <row r="318" spans="1:10" ht="47.25">
      <c r="A318" s="439">
        <v>105</v>
      </c>
      <c r="B318" s="442" t="s">
        <v>4813</v>
      </c>
      <c r="C318" s="441">
        <f>G318+H318+I318</f>
        <v>788125000</v>
      </c>
      <c r="D318" s="441">
        <v>250000000</v>
      </c>
      <c r="E318" s="443">
        <v>29423291</v>
      </c>
      <c r="F318" s="441">
        <v>400000000</v>
      </c>
      <c r="G318" s="441">
        <v>250000000</v>
      </c>
      <c r="H318" s="441">
        <f t="shared" si="36"/>
        <v>262500000</v>
      </c>
      <c r="I318" s="441">
        <f>H318*5/100+H318</f>
        <v>275625000</v>
      </c>
      <c r="J318" s="442" t="s">
        <v>4814</v>
      </c>
    </row>
    <row r="319" spans="1:10" ht="31.5">
      <c r="A319" s="439">
        <v>106</v>
      </c>
      <c r="B319" s="442" t="s">
        <v>4815</v>
      </c>
      <c r="C319" s="441">
        <f>G319+H319+I319</f>
        <v>788125000</v>
      </c>
      <c r="D319" s="441" t="s">
        <v>3007</v>
      </c>
      <c r="E319" s="441"/>
      <c r="F319" s="441">
        <v>250000000</v>
      </c>
      <c r="G319" s="441">
        <v>250000000</v>
      </c>
      <c r="H319" s="441">
        <f>G319*5/100+G319</f>
        <v>262500000</v>
      </c>
      <c r="I319" s="441">
        <f>H319*5/100+H319</f>
        <v>275625000</v>
      </c>
      <c r="J319" s="442" t="s">
        <v>4816</v>
      </c>
    </row>
    <row r="320" spans="1:10" ht="15.75">
      <c r="A320" s="439">
        <v>107</v>
      </c>
      <c r="B320" s="442" t="s">
        <v>4817</v>
      </c>
      <c r="C320" s="441">
        <f>SUM(G320:I320)</f>
        <v>0</v>
      </c>
      <c r="D320" s="441" t="s">
        <v>3007</v>
      </c>
      <c r="E320" s="441"/>
      <c r="F320" s="441" t="s">
        <v>3007</v>
      </c>
      <c r="G320" s="441" t="s">
        <v>3007</v>
      </c>
      <c r="H320" s="441" t="s">
        <v>3007</v>
      </c>
      <c r="I320" s="441" t="s">
        <v>3007</v>
      </c>
      <c r="J320" s="442" t="s">
        <v>4818</v>
      </c>
    </row>
    <row r="321" spans="1:10" ht="47.25">
      <c r="A321" s="439">
        <v>108</v>
      </c>
      <c r="B321" s="442" t="s">
        <v>4819</v>
      </c>
      <c r="C321" s="441">
        <f>G321+H321+I321</f>
        <v>1103375000</v>
      </c>
      <c r="D321" s="441">
        <v>300000000</v>
      </c>
      <c r="E321" s="441"/>
      <c r="F321" s="441">
        <v>400000000</v>
      </c>
      <c r="G321" s="441">
        <v>350000000</v>
      </c>
      <c r="H321" s="441">
        <f t="shared" si="36"/>
        <v>367500000</v>
      </c>
      <c r="I321" s="441">
        <f>H321*5/100+H321</f>
        <v>385875000</v>
      </c>
      <c r="J321" s="442" t="s">
        <v>5602</v>
      </c>
    </row>
    <row r="322" spans="1:10" ht="31.5">
      <c r="A322" s="439">
        <f>1+A321</f>
        <v>109</v>
      </c>
      <c r="B322" s="442" t="s">
        <v>4820</v>
      </c>
      <c r="C322" s="441">
        <f>G322+H322+I322</f>
        <v>788125000</v>
      </c>
      <c r="D322" s="441">
        <v>200000000</v>
      </c>
      <c r="E322" s="506"/>
      <c r="F322" s="441">
        <v>250000000</v>
      </c>
      <c r="G322" s="441">
        <v>250000000</v>
      </c>
      <c r="H322" s="441">
        <f t="shared" si="36"/>
        <v>262500000</v>
      </c>
      <c r="I322" s="441">
        <f>H322*5/100+H322</f>
        <v>275625000</v>
      </c>
      <c r="J322" s="442" t="s">
        <v>5603</v>
      </c>
    </row>
    <row r="323" spans="1:10" ht="31.5">
      <c r="A323" s="446">
        <f>1+A322</f>
        <v>110</v>
      </c>
      <c r="B323" s="447" t="s">
        <v>4821</v>
      </c>
      <c r="C323" s="448">
        <f>G323+H323+I323</f>
        <v>346775000</v>
      </c>
      <c r="D323" s="448">
        <v>100000000</v>
      </c>
      <c r="E323" s="448"/>
      <c r="F323" s="448">
        <v>150000000</v>
      </c>
      <c r="G323" s="448">
        <v>110000000</v>
      </c>
      <c r="H323" s="448">
        <f t="shared" si="36"/>
        <v>115500000</v>
      </c>
      <c r="I323" s="448">
        <f>H323*5/100+H323</f>
        <v>121275000</v>
      </c>
      <c r="J323" s="447" t="s">
        <v>5604</v>
      </c>
    </row>
    <row r="324" spans="1:10" ht="15.75">
      <c r="A324" s="423" t="s">
        <v>4804</v>
      </c>
      <c r="B324" s="463"/>
      <c r="C324" s="425" t="s">
        <v>1840</v>
      </c>
      <c r="D324" s="425"/>
      <c r="E324" s="425"/>
      <c r="F324" s="425"/>
      <c r="G324" s="425"/>
      <c r="H324" s="425"/>
      <c r="I324" s="425"/>
      <c r="J324" s="424"/>
    </row>
    <row r="325" spans="1:10" ht="15.75">
      <c r="A325" s="426" t="s">
        <v>4582</v>
      </c>
      <c r="B325" s="427" t="s">
        <v>4822</v>
      </c>
      <c r="C325" s="425" t="s">
        <v>1840</v>
      </c>
      <c r="D325" s="474"/>
      <c r="E325" s="474"/>
      <c r="F325" s="474"/>
      <c r="G325" s="474"/>
      <c r="H325" s="474"/>
      <c r="I325" s="474"/>
      <c r="J325" s="476"/>
    </row>
    <row r="326" spans="1:10" ht="31.5">
      <c r="A326" s="429" t="s">
        <v>4509</v>
      </c>
      <c r="B326" s="477" t="s">
        <v>4510</v>
      </c>
      <c r="C326" s="466" t="s">
        <v>4511</v>
      </c>
      <c r="D326" s="432" t="s">
        <v>4512</v>
      </c>
      <c r="E326" s="432" t="s">
        <v>5503</v>
      </c>
      <c r="F326" s="432" t="s">
        <v>4305</v>
      </c>
      <c r="G326" s="432" t="s">
        <v>5501</v>
      </c>
      <c r="H326" s="432" t="s">
        <v>4305</v>
      </c>
      <c r="I326" s="432" t="s">
        <v>4305</v>
      </c>
      <c r="J326" s="433" t="s">
        <v>4513</v>
      </c>
    </row>
    <row r="327" spans="1:10" ht="31.5">
      <c r="A327" s="434" t="s">
        <v>2239</v>
      </c>
      <c r="B327" s="435"/>
      <c r="C327" s="436" t="s">
        <v>4514</v>
      </c>
      <c r="D327" s="437" t="s">
        <v>4515</v>
      </c>
      <c r="E327" s="437" t="s">
        <v>4516</v>
      </c>
      <c r="F327" s="437" t="s">
        <v>243</v>
      </c>
      <c r="G327" s="437" t="s">
        <v>243</v>
      </c>
      <c r="H327" s="437" t="s">
        <v>4130</v>
      </c>
      <c r="I327" s="437" t="s">
        <v>4202</v>
      </c>
      <c r="J327" s="438"/>
    </row>
    <row r="328" spans="1:10" ht="15.75">
      <c r="A328" s="439"/>
      <c r="B328" s="442"/>
      <c r="C328" s="441"/>
      <c r="D328" s="441"/>
      <c r="E328" s="441"/>
      <c r="F328" s="441"/>
      <c r="G328" s="441"/>
      <c r="H328" s="441"/>
      <c r="I328" s="441"/>
      <c r="J328" s="442"/>
    </row>
    <row r="329" spans="1:10" ht="63">
      <c r="A329" s="439">
        <v>111</v>
      </c>
      <c r="B329" s="442" t="s">
        <v>4823</v>
      </c>
      <c r="C329" s="441">
        <f>G329+H329+I329</f>
        <v>4098250000</v>
      </c>
      <c r="D329" s="441">
        <v>800000000</v>
      </c>
      <c r="E329" s="506"/>
      <c r="F329" s="441">
        <v>1500000000</v>
      </c>
      <c r="G329" s="441">
        <v>1300000000</v>
      </c>
      <c r="H329" s="441">
        <f t="shared" ref="H329:I336" si="37">G329*5/100+G329</f>
        <v>1365000000</v>
      </c>
      <c r="I329" s="441">
        <f>H329*5/100+H329</f>
        <v>1433250000</v>
      </c>
      <c r="J329" s="442" t="s">
        <v>4824</v>
      </c>
    </row>
    <row r="330" spans="1:10" ht="31.5">
      <c r="A330" s="439">
        <v>112</v>
      </c>
      <c r="B330" s="442" t="s">
        <v>4825</v>
      </c>
      <c r="C330" s="441">
        <f t="shared" ref="C330:C336" si="38">G330+H330+I330</f>
        <v>472875000</v>
      </c>
      <c r="D330" s="441">
        <v>800000000</v>
      </c>
      <c r="E330" s="443">
        <v>2500000</v>
      </c>
      <c r="F330" s="441">
        <v>150000000</v>
      </c>
      <c r="G330" s="441">
        <v>150000000</v>
      </c>
      <c r="H330" s="441">
        <f t="shared" si="37"/>
        <v>157500000</v>
      </c>
      <c r="I330" s="441">
        <f t="shared" si="37"/>
        <v>165375000</v>
      </c>
      <c r="J330" s="442" t="s">
        <v>5605</v>
      </c>
    </row>
    <row r="331" spans="1:10" ht="31.5">
      <c r="A331" s="439">
        <v>113</v>
      </c>
      <c r="B331" s="442" t="s">
        <v>4826</v>
      </c>
      <c r="C331" s="441">
        <f t="shared" si="38"/>
        <v>157625000</v>
      </c>
      <c r="D331" s="441">
        <v>50000000</v>
      </c>
      <c r="E331" s="441"/>
      <c r="F331" s="441">
        <v>75000000</v>
      </c>
      <c r="G331" s="441">
        <v>50000000</v>
      </c>
      <c r="H331" s="441">
        <f t="shared" si="37"/>
        <v>52500000</v>
      </c>
      <c r="I331" s="441">
        <f t="shared" si="37"/>
        <v>55125000</v>
      </c>
      <c r="J331" s="442" t="s">
        <v>4827</v>
      </c>
    </row>
    <row r="332" spans="1:10" ht="31.5">
      <c r="A332" s="439">
        <v>114</v>
      </c>
      <c r="B332" s="507" t="s">
        <v>4828</v>
      </c>
      <c r="C332" s="441">
        <f>G332+H332+I332</f>
        <v>788125000</v>
      </c>
      <c r="D332" s="441">
        <v>150000000</v>
      </c>
      <c r="E332" s="481"/>
      <c r="F332" s="441">
        <v>300000000</v>
      </c>
      <c r="G332" s="441">
        <v>250000000</v>
      </c>
      <c r="H332" s="441">
        <f>G332*5/100+G332</f>
        <v>262500000</v>
      </c>
      <c r="I332" s="441">
        <f>H332*5/100+H332</f>
        <v>275625000</v>
      </c>
      <c r="J332" s="442" t="s">
        <v>5606</v>
      </c>
    </row>
    <row r="333" spans="1:10" ht="15.75">
      <c r="A333" s="439">
        <v>115</v>
      </c>
      <c r="B333" s="442" t="s">
        <v>4829</v>
      </c>
      <c r="C333" s="441">
        <f t="shared" si="38"/>
        <v>189150000</v>
      </c>
      <c r="D333" s="441">
        <v>60000000</v>
      </c>
      <c r="E333" s="441"/>
      <c r="F333" s="441">
        <v>60000000</v>
      </c>
      <c r="G333" s="441">
        <v>60000000</v>
      </c>
      <c r="H333" s="441">
        <f t="shared" si="37"/>
        <v>63000000</v>
      </c>
      <c r="I333" s="441">
        <f t="shared" si="37"/>
        <v>66150000</v>
      </c>
      <c r="J333" s="442" t="s">
        <v>4830</v>
      </c>
    </row>
    <row r="334" spans="1:10" ht="31.5">
      <c r="A334" s="439">
        <v>116</v>
      </c>
      <c r="B334" s="442" t="s">
        <v>4831</v>
      </c>
      <c r="C334" s="441">
        <f t="shared" si="38"/>
        <v>94575000</v>
      </c>
      <c r="D334" s="441">
        <v>30000000</v>
      </c>
      <c r="E334" s="441"/>
      <c r="F334" s="441">
        <v>30000000</v>
      </c>
      <c r="G334" s="441">
        <v>30000000</v>
      </c>
      <c r="H334" s="441">
        <f t="shared" si="37"/>
        <v>31500000</v>
      </c>
      <c r="I334" s="441">
        <f t="shared" si="37"/>
        <v>33075000</v>
      </c>
      <c r="J334" s="442" t="s">
        <v>5607</v>
      </c>
    </row>
    <row r="335" spans="1:10" ht="31.5">
      <c r="A335" s="439">
        <v>117</v>
      </c>
      <c r="B335" s="442" t="s">
        <v>5608</v>
      </c>
      <c r="C335" s="441">
        <f t="shared" si="38"/>
        <v>788125000</v>
      </c>
      <c r="D335" s="441">
        <v>100000000</v>
      </c>
      <c r="E335" s="441"/>
      <c r="F335" s="441">
        <v>300000000</v>
      </c>
      <c r="G335" s="441">
        <v>250000000</v>
      </c>
      <c r="H335" s="441">
        <f t="shared" si="37"/>
        <v>262500000</v>
      </c>
      <c r="I335" s="441">
        <f t="shared" si="37"/>
        <v>275625000</v>
      </c>
      <c r="J335" s="442" t="s">
        <v>5609</v>
      </c>
    </row>
    <row r="336" spans="1:10" ht="31.5">
      <c r="A336" s="439">
        <v>118</v>
      </c>
      <c r="B336" s="442" t="s">
        <v>4832</v>
      </c>
      <c r="C336" s="441">
        <f t="shared" si="38"/>
        <v>94575000</v>
      </c>
      <c r="D336" s="441">
        <v>30000000</v>
      </c>
      <c r="E336" s="441"/>
      <c r="F336" s="441">
        <v>35000000</v>
      </c>
      <c r="G336" s="441">
        <v>30000000</v>
      </c>
      <c r="H336" s="441">
        <f>G336*5/100+G336</f>
        <v>31500000</v>
      </c>
      <c r="I336" s="441">
        <f t="shared" si="37"/>
        <v>33075000</v>
      </c>
      <c r="J336" s="442" t="s">
        <v>5610</v>
      </c>
    </row>
    <row r="337" spans="1:10" ht="31.5">
      <c r="A337" s="439">
        <v>119</v>
      </c>
      <c r="B337" s="442" t="s">
        <v>4833</v>
      </c>
      <c r="C337" s="441">
        <f>G337+H337+I337</f>
        <v>6305000000</v>
      </c>
      <c r="D337" s="441">
        <v>1200000000</v>
      </c>
      <c r="E337" s="441"/>
      <c r="F337" s="441">
        <v>3500000000</v>
      </c>
      <c r="G337" s="441">
        <v>2000000000</v>
      </c>
      <c r="H337" s="441">
        <f>G337*5/100+G337</f>
        <v>2100000000</v>
      </c>
      <c r="I337" s="441">
        <f>H337*5/100+H337</f>
        <v>2205000000</v>
      </c>
      <c r="J337" s="442" t="s">
        <v>5611</v>
      </c>
    </row>
    <row r="338" spans="1:10" ht="31.5">
      <c r="A338" s="439">
        <v>120</v>
      </c>
      <c r="B338" s="442" t="s">
        <v>4834</v>
      </c>
      <c r="C338" s="441">
        <v>0</v>
      </c>
      <c r="D338" s="441">
        <v>200000000</v>
      </c>
      <c r="E338" s="441"/>
      <c r="F338" s="441">
        <v>0</v>
      </c>
      <c r="G338" s="441" t="s">
        <v>3007</v>
      </c>
      <c r="H338" s="441" t="s">
        <v>3007</v>
      </c>
      <c r="I338" s="441" t="s">
        <v>3007</v>
      </c>
      <c r="J338" s="442" t="s">
        <v>5612</v>
      </c>
    </row>
    <row r="339" spans="1:10" ht="31.5">
      <c r="A339" s="439">
        <v>201</v>
      </c>
      <c r="B339" s="442" t="s">
        <v>4835</v>
      </c>
      <c r="C339" s="441">
        <f>G339+H339+I339</f>
        <v>63050000</v>
      </c>
      <c r="D339" s="441">
        <v>0</v>
      </c>
      <c r="E339" s="441"/>
      <c r="F339" s="441">
        <v>20000000</v>
      </c>
      <c r="G339" s="441">
        <v>20000000</v>
      </c>
      <c r="H339" s="441">
        <f>G339*5/100+G339</f>
        <v>21000000</v>
      </c>
      <c r="I339" s="441">
        <f>H339*5/100+H339</f>
        <v>22050000</v>
      </c>
      <c r="J339" s="442" t="s">
        <v>5613</v>
      </c>
    </row>
    <row r="340" spans="1:10" ht="15.75">
      <c r="A340" s="439"/>
      <c r="B340" s="442"/>
      <c r="C340" s="441"/>
      <c r="D340" s="441"/>
      <c r="E340" s="441"/>
      <c r="F340" s="441"/>
      <c r="G340" s="441"/>
      <c r="H340" s="441"/>
      <c r="I340" s="441"/>
      <c r="J340" s="442"/>
    </row>
    <row r="341" spans="1:10" ht="31.5">
      <c r="A341" s="439">
        <v>301</v>
      </c>
      <c r="B341" s="442" t="s">
        <v>4836</v>
      </c>
      <c r="C341" s="441">
        <f>G341+H341+I341</f>
        <v>315250000</v>
      </c>
      <c r="D341" s="441">
        <v>80000000</v>
      </c>
      <c r="E341" s="441"/>
      <c r="F341" s="441">
        <v>100000000</v>
      </c>
      <c r="G341" s="441">
        <v>100000000</v>
      </c>
      <c r="H341" s="441">
        <f t="shared" ref="H341:I343" si="39">G341*5/100+G341</f>
        <v>105000000</v>
      </c>
      <c r="I341" s="441">
        <f t="shared" si="39"/>
        <v>110250000</v>
      </c>
      <c r="J341" s="442" t="s">
        <v>4837</v>
      </c>
    </row>
    <row r="342" spans="1:10" ht="31.5">
      <c r="A342" s="439">
        <v>401</v>
      </c>
      <c r="B342" s="508" t="s">
        <v>5614</v>
      </c>
      <c r="C342" s="441">
        <f>G342+H342+I342</f>
        <v>948902500</v>
      </c>
      <c r="D342" s="441">
        <v>200000000</v>
      </c>
      <c r="E342" s="481"/>
      <c r="F342" s="441">
        <v>301000000</v>
      </c>
      <c r="G342" s="441">
        <v>301000000</v>
      </c>
      <c r="H342" s="441">
        <f t="shared" si="39"/>
        <v>316050000</v>
      </c>
      <c r="I342" s="441">
        <f t="shared" si="39"/>
        <v>331852500</v>
      </c>
      <c r="J342" s="507" t="s">
        <v>5615</v>
      </c>
    </row>
    <row r="343" spans="1:10" ht="31.5">
      <c r="A343" s="439">
        <v>501</v>
      </c>
      <c r="B343" s="442" t="s">
        <v>4838</v>
      </c>
      <c r="C343" s="441">
        <f>G343+H343+I343</f>
        <v>403520000</v>
      </c>
      <c r="D343" s="441">
        <v>155000000</v>
      </c>
      <c r="E343" s="441"/>
      <c r="F343" s="441">
        <v>150000000</v>
      </c>
      <c r="G343" s="441">
        <v>128000000</v>
      </c>
      <c r="H343" s="441">
        <f t="shared" si="39"/>
        <v>134400000</v>
      </c>
      <c r="I343" s="441">
        <f t="shared" si="39"/>
        <v>141120000</v>
      </c>
      <c r="J343" s="442" t="s">
        <v>5616</v>
      </c>
    </row>
    <row r="344" spans="1:10" ht="15.75">
      <c r="A344" s="501"/>
      <c r="B344" s="461" t="s">
        <v>4580</v>
      </c>
      <c r="C344" s="462">
        <f>SUM(C310:C335)</f>
        <v>11443575000</v>
      </c>
      <c r="D344" s="462">
        <f>SUM(D311:D343)</f>
        <v>5045000000</v>
      </c>
      <c r="E344" s="462">
        <f>SUM(E310:E341)</f>
        <v>31923291</v>
      </c>
      <c r="F344" s="462">
        <f>SUM(F311:F343)</f>
        <v>8356000000</v>
      </c>
      <c r="G344" s="462">
        <f>SUM(G311:G343)</f>
        <v>6229000000</v>
      </c>
      <c r="H344" s="462">
        <f>SUM(H311:H343)</f>
        <v>6540450000</v>
      </c>
      <c r="I344" s="462">
        <f>SUM(I311:I343)</f>
        <v>6867472500</v>
      </c>
      <c r="J344" s="461"/>
    </row>
    <row r="345" spans="1:10" ht="15.75">
      <c r="A345" s="423" t="s">
        <v>4839</v>
      </c>
      <c r="B345" s="463"/>
      <c r="C345" s="425" t="s">
        <v>1840</v>
      </c>
      <c r="D345" s="425"/>
      <c r="E345" s="425"/>
      <c r="F345" s="425"/>
      <c r="G345" s="425"/>
      <c r="H345" s="425"/>
      <c r="I345" s="425"/>
      <c r="J345" s="424"/>
    </row>
    <row r="346" spans="1:10" ht="15.75">
      <c r="A346" s="426" t="s">
        <v>4840</v>
      </c>
      <c r="B346" s="427" t="s">
        <v>4841</v>
      </c>
      <c r="C346" s="425" t="s">
        <v>1840</v>
      </c>
      <c r="D346" s="474"/>
      <c r="E346" s="474"/>
      <c r="F346" s="474"/>
      <c r="G346" s="474"/>
      <c r="H346" s="474"/>
      <c r="I346" s="474"/>
      <c r="J346" s="476"/>
    </row>
    <row r="347" spans="1:10" ht="31.5">
      <c r="A347" s="429" t="s">
        <v>4509</v>
      </c>
      <c r="B347" s="477" t="s">
        <v>4510</v>
      </c>
      <c r="C347" s="466" t="s">
        <v>4511</v>
      </c>
      <c r="D347" s="432" t="s">
        <v>4512</v>
      </c>
      <c r="E347" s="432" t="s">
        <v>5503</v>
      </c>
      <c r="F347" s="432" t="s">
        <v>4305</v>
      </c>
      <c r="G347" s="432" t="s">
        <v>5501</v>
      </c>
      <c r="H347" s="432" t="s">
        <v>4305</v>
      </c>
      <c r="I347" s="432" t="s">
        <v>4305</v>
      </c>
      <c r="J347" s="433" t="s">
        <v>4513</v>
      </c>
    </row>
    <row r="348" spans="1:10" ht="31.5">
      <c r="A348" s="434"/>
      <c r="B348" s="435"/>
      <c r="C348" s="436" t="s">
        <v>4514</v>
      </c>
      <c r="D348" s="437" t="s">
        <v>4515</v>
      </c>
      <c r="E348" s="437" t="s">
        <v>4516</v>
      </c>
      <c r="F348" s="437" t="s">
        <v>243</v>
      </c>
      <c r="G348" s="437" t="s">
        <v>243</v>
      </c>
      <c r="H348" s="437" t="s">
        <v>4130</v>
      </c>
      <c r="I348" s="437" t="s">
        <v>4202</v>
      </c>
      <c r="J348" s="438"/>
    </row>
    <row r="349" spans="1:10" ht="31.5">
      <c r="A349" s="439"/>
      <c r="B349" s="440" t="s">
        <v>4842</v>
      </c>
      <c r="C349" s="441"/>
      <c r="D349" s="441"/>
      <c r="E349" s="441"/>
      <c r="F349" s="441"/>
      <c r="G349" s="441"/>
      <c r="H349" s="441"/>
      <c r="I349" s="441"/>
      <c r="J349" s="442"/>
    </row>
    <row r="350" spans="1:10" ht="31.5">
      <c r="A350" s="439">
        <v>101</v>
      </c>
      <c r="B350" s="442" t="s">
        <v>4843</v>
      </c>
      <c r="C350" s="441">
        <f t="shared" ref="C350:C357" si="40">G350+H350+I350</f>
        <v>157625000</v>
      </c>
      <c r="D350" s="441">
        <v>50000000</v>
      </c>
      <c r="E350" s="441"/>
      <c r="F350" s="441">
        <v>150000000</v>
      </c>
      <c r="G350" s="441">
        <v>50000000</v>
      </c>
      <c r="H350" s="441">
        <f>G350*5/100+G350</f>
        <v>52500000</v>
      </c>
      <c r="I350" s="441">
        <f>H350*5/100+H350</f>
        <v>55125000</v>
      </c>
      <c r="J350" s="442" t="s">
        <v>4844</v>
      </c>
    </row>
    <row r="351" spans="1:10" ht="15.75">
      <c r="A351" s="439">
        <v>102</v>
      </c>
      <c r="B351" s="442" t="s">
        <v>4845</v>
      </c>
      <c r="C351" s="441">
        <f>SUM(G351:I351)</f>
        <v>0</v>
      </c>
      <c r="D351" s="441">
        <v>0</v>
      </c>
      <c r="E351" s="441"/>
      <c r="F351" s="441">
        <v>5000000</v>
      </c>
      <c r="G351" s="441" t="s">
        <v>3007</v>
      </c>
      <c r="H351" s="441" t="s">
        <v>3007</v>
      </c>
      <c r="I351" s="441" t="s">
        <v>3007</v>
      </c>
      <c r="J351" s="442" t="s">
        <v>4846</v>
      </c>
    </row>
    <row r="352" spans="1:10" ht="15.75">
      <c r="A352" s="439">
        <v>103</v>
      </c>
      <c r="B352" s="442" t="s">
        <v>4847</v>
      </c>
      <c r="C352" s="441">
        <f>SUM(G352:I352)</f>
        <v>0</v>
      </c>
      <c r="D352" s="441"/>
      <c r="E352" s="441"/>
      <c r="F352" s="441" t="s">
        <v>3007</v>
      </c>
      <c r="G352" s="441" t="s">
        <v>3007</v>
      </c>
      <c r="H352" s="441" t="s">
        <v>3007</v>
      </c>
      <c r="I352" s="441" t="s">
        <v>3007</v>
      </c>
      <c r="J352" s="442" t="s">
        <v>4848</v>
      </c>
    </row>
    <row r="353" spans="1:10" ht="15.75">
      <c r="A353" s="439">
        <v>104</v>
      </c>
      <c r="B353" s="442" t="s">
        <v>4849</v>
      </c>
      <c r="C353" s="441">
        <f t="shared" si="40"/>
        <v>31525000</v>
      </c>
      <c r="D353" s="441">
        <v>10000000</v>
      </c>
      <c r="E353" s="441">
        <v>3358850</v>
      </c>
      <c r="F353" s="441"/>
      <c r="G353" s="441">
        <v>10000000</v>
      </c>
      <c r="H353" s="441">
        <f>G353*1.05</f>
        <v>10500000</v>
      </c>
      <c r="I353" s="441">
        <f>H353*1.05</f>
        <v>11025000</v>
      </c>
      <c r="J353" s="442" t="s">
        <v>4850</v>
      </c>
    </row>
    <row r="354" spans="1:10" ht="15.75">
      <c r="A354" s="439">
        <v>105</v>
      </c>
      <c r="B354" s="442" t="s">
        <v>4851</v>
      </c>
      <c r="C354" s="441">
        <f t="shared" si="40"/>
        <v>15762500</v>
      </c>
      <c r="D354" s="441">
        <v>5000000</v>
      </c>
      <c r="E354" s="441"/>
      <c r="F354" s="441">
        <v>15000000</v>
      </c>
      <c r="G354" s="441">
        <v>5000000</v>
      </c>
      <c r="H354" s="441">
        <f>G354*5/100+G354</f>
        <v>5250000</v>
      </c>
      <c r="I354" s="441">
        <f>H354*5/100+H354</f>
        <v>5512500</v>
      </c>
      <c r="J354" s="442" t="s">
        <v>5617</v>
      </c>
    </row>
    <row r="355" spans="1:10" ht="15.75">
      <c r="A355" s="439"/>
      <c r="B355" s="442"/>
      <c r="C355" s="441">
        <f t="shared" si="40"/>
        <v>0</v>
      </c>
      <c r="D355" s="441"/>
      <c r="E355" s="441"/>
      <c r="F355" s="441"/>
      <c r="G355" s="441"/>
      <c r="H355" s="441"/>
      <c r="I355" s="441"/>
      <c r="J355" s="442"/>
    </row>
    <row r="356" spans="1:10" ht="31.5">
      <c r="A356" s="439">
        <v>106</v>
      </c>
      <c r="B356" s="442" t="s">
        <v>4852</v>
      </c>
      <c r="C356" s="441">
        <f>SUM(G356:I356)</f>
        <v>0</v>
      </c>
      <c r="D356" s="441"/>
      <c r="E356" s="441"/>
      <c r="F356" s="441"/>
      <c r="G356" s="441"/>
      <c r="H356" s="441">
        <f>G356*5/100+G356</f>
        <v>0</v>
      </c>
      <c r="I356" s="441">
        <f>H356*5/100+H356</f>
        <v>0</v>
      </c>
      <c r="J356" s="442" t="s">
        <v>5618</v>
      </c>
    </row>
    <row r="357" spans="1:10" ht="31.5">
      <c r="A357" s="439">
        <v>107</v>
      </c>
      <c r="B357" s="442" t="s">
        <v>4853</v>
      </c>
      <c r="C357" s="441">
        <f t="shared" si="40"/>
        <v>110337500</v>
      </c>
      <c r="D357" s="441">
        <v>35000000</v>
      </c>
      <c r="E357" s="441"/>
      <c r="F357" s="441">
        <v>250000000</v>
      </c>
      <c r="G357" s="441">
        <v>35000000</v>
      </c>
      <c r="H357" s="441">
        <f>G357*5/100+G357</f>
        <v>36750000</v>
      </c>
      <c r="I357" s="441">
        <f>H357*1.05</f>
        <v>38587500</v>
      </c>
      <c r="J357" s="442" t="s">
        <v>4854</v>
      </c>
    </row>
    <row r="358" spans="1:10" ht="15.75">
      <c r="A358" s="439">
        <v>108</v>
      </c>
      <c r="B358" s="442" t="s">
        <v>4855</v>
      </c>
      <c r="C358" s="441">
        <f>SUM(G358:I358)</f>
        <v>0</v>
      </c>
      <c r="D358" s="441"/>
      <c r="E358" s="441"/>
      <c r="F358" s="441"/>
      <c r="G358" s="441" t="s">
        <v>3007</v>
      </c>
      <c r="H358" s="441" t="s">
        <v>3007</v>
      </c>
      <c r="I358" s="441" t="s">
        <v>3007</v>
      </c>
      <c r="J358" s="442" t="s">
        <v>4856</v>
      </c>
    </row>
    <row r="359" spans="1:10" ht="31.5">
      <c r="A359" s="439">
        <v>109</v>
      </c>
      <c r="B359" s="442" t="s">
        <v>4857</v>
      </c>
      <c r="C359" s="441">
        <f>G359+H359+I359</f>
        <v>315250000</v>
      </c>
      <c r="D359" s="441">
        <v>0</v>
      </c>
      <c r="E359" s="443">
        <v>43000000</v>
      </c>
      <c r="F359" s="441">
        <v>300000000</v>
      </c>
      <c r="G359" s="441">
        <v>100000000</v>
      </c>
      <c r="H359" s="441">
        <f>G359*5/100+G359</f>
        <v>105000000</v>
      </c>
      <c r="I359" s="441">
        <f>H359*1.05</f>
        <v>110250000</v>
      </c>
      <c r="J359" s="442" t="s">
        <v>4858</v>
      </c>
    </row>
    <row r="360" spans="1:10" ht="15.75">
      <c r="A360" s="439">
        <v>110</v>
      </c>
      <c r="B360" s="442" t="s">
        <v>4859</v>
      </c>
      <c r="C360" s="441">
        <f>SUM(G360:I360)</f>
        <v>100000000</v>
      </c>
      <c r="D360" s="441">
        <v>25000000</v>
      </c>
      <c r="E360" s="506"/>
      <c r="F360" s="441">
        <v>500000000</v>
      </c>
      <c r="G360" s="441">
        <v>100000000</v>
      </c>
      <c r="H360" s="441" t="s">
        <v>3007</v>
      </c>
      <c r="I360" s="441" t="s">
        <v>3007</v>
      </c>
      <c r="J360" s="442" t="s">
        <v>4860</v>
      </c>
    </row>
    <row r="361" spans="1:10" ht="15.75">
      <c r="A361" s="439"/>
      <c r="B361" s="442"/>
      <c r="C361" s="441"/>
      <c r="D361" s="441"/>
      <c r="E361" s="441"/>
      <c r="F361" s="441"/>
      <c r="G361" s="441"/>
      <c r="H361" s="441"/>
      <c r="I361" s="441"/>
      <c r="J361" s="442"/>
    </row>
    <row r="362" spans="1:10" ht="31.5">
      <c r="A362" s="439">
        <v>111</v>
      </c>
      <c r="B362" s="442" t="s">
        <v>4861</v>
      </c>
      <c r="C362" s="441">
        <f>SUM(G362:I362)</f>
        <v>0</v>
      </c>
      <c r="D362" s="441">
        <v>0</v>
      </c>
      <c r="E362" s="441"/>
      <c r="F362" s="441">
        <v>120000000</v>
      </c>
      <c r="G362" s="441" t="s">
        <v>3007</v>
      </c>
      <c r="H362" s="441" t="s">
        <v>3007</v>
      </c>
      <c r="I362" s="441" t="s">
        <v>3007</v>
      </c>
      <c r="J362" s="442" t="s">
        <v>4862</v>
      </c>
    </row>
    <row r="363" spans="1:10" ht="15.75">
      <c r="A363" s="439"/>
      <c r="B363" s="442"/>
      <c r="C363" s="441"/>
      <c r="D363" s="441"/>
      <c r="E363" s="441"/>
      <c r="F363" s="441"/>
      <c r="G363" s="441"/>
      <c r="H363" s="441"/>
      <c r="I363" s="441"/>
      <c r="J363" s="442"/>
    </row>
    <row r="364" spans="1:10" ht="15.75">
      <c r="A364" s="439">
        <v>112</v>
      </c>
      <c r="B364" s="442" t="s">
        <v>4863</v>
      </c>
      <c r="C364" s="441">
        <f>G364+H364+I364</f>
        <v>788125000</v>
      </c>
      <c r="D364" s="441">
        <v>250000000</v>
      </c>
      <c r="E364" s="441"/>
      <c r="F364" s="441">
        <v>350000000</v>
      </c>
      <c r="G364" s="441">
        <v>250000000</v>
      </c>
      <c r="H364" s="441">
        <f>G364*5/100+G364</f>
        <v>262500000</v>
      </c>
      <c r="I364" s="441">
        <f>H364*5/100+H364</f>
        <v>275625000</v>
      </c>
      <c r="J364" s="442" t="s">
        <v>4864</v>
      </c>
    </row>
    <row r="365" spans="1:10" ht="15.75">
      <c r="A365" s="439"/>
      <c r="B365" s="442"/>
      <c r="C365" s="441"/>
      <c r="D365" s="441"/>
      <c r="E365" s="441"/>
      <c r="F365" s="441"/>
      <c r="G365" s="441"/>
      <c r="H365" s="441"/>
      <c r="I365" s="441"/>
      <c r="J365" s="442"/>
    </row>
    <row r="366" spans="1:10" ht="31.5">
      <c r="A366" s="446">
        <v>113</v>
      </c>
      <c r="B366" s="447" t="s">
        <v>4865</v>
      </c>
      <c r="C366" s="500">
        <f>SUM(G366:I366)</f>
        <v>0</v>
      </c>
      <c r="D366" s="448">
        <v>0</v>
      </c>
      <c r="E366" s="448"/>
      <c r="F366" s="448"/>
      <c r="G366" s="500" t="s">
        <v>3007</v>
      </c>
      <c r="H366" s="500" t="s">
        <v>3007</v>
      </c>
      <c r="I366" s="500" t="s">
        <v>3007</v>
      </c>
      <c r="J366" s="447" t="s">
        <v>5619</v>
      </c>
    </row>
    <row r="367" spans="1:10" ht="15.75">
      <c r="A367" s="423" t="s">
        <v>4839</v>
      </c>
      <c r="B367" s="463"/>
      <c r="C367" s="425" t="s">
        <v>1840</v>
      </c>
      <c r="D367" s="425"/>
      <c r="E367" s="425"/>
      <c r="F367" s="425"/>
      <c r="G367" s="425"/>
      <c r="H367" s="425"/>
      <c r="I367" s="425"/>
      <c r="J367" s="424"/>
    </row>
    <row r="368" spans="1:10" ht="15.75">
      <c r="A368" s="426" t="s">
        <v>4582</v>
      </c>
      <c r="B368" s="427" t="s">
        <v>4841</v>
      </c>
      <c r="C368" s="425" t="s">
        <v>1840</v>
      </c>
      <c r="D368" s="474"/>
      <c r="E368" s="474"/>
      <c r="F368" s="474"/>
      <c r="G368" s="474"/>
      <c r="H368" s="474"/>
      <c r="I368" s="474"/>
      <c r="J368" s="476"/>
    </row>
    <row r="369" spans="1:10" ht="31.5">
      <c r="A369" s="429" t="s">
        <v>4509</v>
      </c>
      <c r="B369" s="477" t="s">
        <v>4510</v>
      </c>
      <c r="C369" s="466" t="s">
        <v>4511</v>
      </c>
      <c r="D369" s="432" t="s">
        <v>4512</v>
      </c>
      <c r="E369" s="432" t="s">
        <v>5503</v>
      </c>
      <c r="F369" s="432" t="s">
        <v>4305</v>
      </c>
      <c r="G369" s="432" t="s">
        <v>5501</v>
      </c>
      <c r="H369" s="432" t="s">
        <v>4305</v>
      </c>
      <c r="I369" s="432" t="s">
        <v>4305</v>
      </c>
      <c r="J369" s="433" t="s">
        <v>4513</v>
      </c>
    </row>
    <row r="370" spans="1:10" ht="31.5">
      <c r="A370" s="434"/>
      <c r="B370" s="435"/>
      <c r="C370" s="436" t="s">
        <v>4514</v>
      </c>
      <c r="D370" s="437" t="s">
        <v>4515</v>
      </c>
      <c r="E370" s="437" t="s">
        <v>4516</v>
      </c>
      <c r="F370" s="437" t="s">
        <v>243</v>
      </c>
      <c r="G370" s="437" t="s">
        <v>243</v>
      </c>
      <c r="H370" s="437" t="s">
        <v>4130</v>
      </c>
      <c r="I370" s="437" t="s">
        <v>4202</v>
      </c>
      <c r="J370" s="438"/>
    </row>
    <row r="371" spans="1:10" ht="15.75">
      <c r="A371" s="439"/>
      <c r="B371" s="440" t="s">
        <v>4866</v>
      </c>
      <c r="C371" s="441"/>
      <c r="D371" s="441"/>
      <c r="E371" s="441"/>
      <c r="F371" s="441"/>
      <c r="G371" s="441"/>
      <c r="H371" s="441"/>
      <c r="I371" s="441"/>
      <c r="J371" s="442"/>
    </row>
    <row r="372" spans="1:10" ht="31.5">
      <c r="A372" s="439">
        <v>201</v>
      </c>
      <c r="B372" s="442" t="s">
        <v>4867</v>
      </c>
      <c r="C372" s="441">
        <f>SUM(G372:I372)</f>
        <v>0</v>
      </c>
      <c r="D372" s="441"/>
      <c r="E372" s="441"/>
      <c r="F372" s="441"/>
      <c r="G372" s="441" t="s">
        <v>3007</v>
      </c>
      <c r="H372" s="441" t="s">
        <v>3007</v>
      </c>
      <c r="I372" s="441" t="s">
        <v>3007</v>
      </c>
      <c r="J372" s="442" t="s">
        <v>5620</v>
      </c>
    </row>
    <row r="373" spans="1:10" ht="31.5">
      <c r="A373" s="439">
        <f>1+A372</f>
        <v>202</v>
      </c>
      <c r="B373" s="442" t="s">
        <v>4868</v>
      </c>
      <c r="C373" s="441">
        <f>SUM(G373:I373)</f>
        <v>0</v>
      </c>
      <c r="D373" s="441" t="s">
        <v>3007</v>
      </c>
      <c r="E373" s="441"/>
      <c r="F373" s="441"/>
      <c r="G373" s="441" t="s">
        <v>3007</v>
      </c>
      <c r="H373" s="441" t="s">
        <v>3007</v>
      </c>
      <c r="I373" s="441" t="s">
        <v>3007</v>
      </c>
      <c r="J373" s="442" t="s">
        <v>4869</v>
      </c>
    </row>
    <row r="374" spans="1:10" ht="31.5">
      <c r="A374" s="439">
        <f>1+A373</f>
        <v>203</v>
      </c>
      <c r="B374" s="442" t="s">
        <v>4870</v>
      </c>
      <c r="C374" s="441">
        <f>SUM(G374:I374)</f>
        <v>0</v>
      </c>
      <c r="D374" s="441" t="s">
        <v>3007</v>
      </c>
      <c r="E374" s="441"/>
      <c r="F374" s="441"/>
      <c r="G374" s="441" t="s">
        <v>3007</v>
      </c>
      <c r="H374" s="441" t="s">
        <v>3007</v>
      </c>
      <c r="I374" s="441" t="s">
        <v>3007</v>
      </c>
      <c r="J374" s="442" t="s">
        <v>4871</v>
      </c>
    </row>
    <row r="375" spans="1:10" ht="31.5">
      <c r="A375" s="439">
        <f>1+A374</f>
        <v>204</v>
      </c>
      <c r="B375" s="442" t="s">
        <v>4872</v>
      </c>
      <c r="C375" s="441">
        <f>SUM(G375:I375)</f>
        <v>0</v>
      </c>
      <c r="D375" s="441"/>
      <c r="E375" s="441"/>
      <c r="F375" s="441"/>
      <c r="G375" s="441" t="s">
        <v>3007</v>
      </c>
      <c r="H375" s="441" t="s">
        <v>3007</v>
      </c>
      <c r="I375" s="441" t="s">
        <v>3007</v>
      </c>
      <c r="J375" s="442" t="s">
        <v>4873</v>
      </c>
    </row>
    <row r="376" spans="1:10" ht="31.5">
      <c r="A376" s="439">
        <v>205</v>
      </c>
      <c r="B376" s="442" t="s">
        <v>4874</v>
      </c>
      <c r="C376" s="441">
        <f>G376+H376+I376</f>
        <v>157625000</v>
      </c>
      <c r="D376" s="441">
        <v>50000000</v>
      </c>
      <c r="E376" s="441"/>
      <c r="F376" s="441">
        <v>125000000</v>
      </c>
      <c r="G376" s="441">
        <v>50000000</v>
      </c>
      <c r="H376" s="441">
        <f>G376*5/100+G376</f>
        <v>52500000</v>
      </c>
      <c r="I376" s="441">
        <f>H376*1.05</f>
        <v>55125000</v>
      </c>
      <c r="J376" s="442" t="s">
        <v>4875</v>
      </c>
    </row>
    <row r="377" spans="1:10" ht="47.25">
      <c r="A377" s="439">
        <v>206</v>
      </c>
      <c r="B377" s="442" t="s">
        <v>5622</v>
      </c>
      <c r="C377" s="441">
        <f>SUM(G377:I377)</f>
        <v>0</v>
      </c>
      <c r="D377" s="441"/>
      <c r="E377" s="441"/>
      <c r="F377" s="441"/>
      <c r="G377" s="441" t="s">
        <v>3007</v>
      </c>
      <c r="H377" s="441" t="s">
        <v>3007</v>
      </c>
      <c r="I377" s="441" t="s">
        <v>3007</v>
      </c>
      <c r="J377" s="442" t="s">
        <v>5621</v>
      </c>
    </row>
    <row r="378" spans="1:10" ht="31.5">
      <c r="A378" s="439">
        <v>207</v>
      </c>
      <c r="B378" s="442" t="s">
        <v>4876</v>
      </c>
      <c r="C378" s="441">
        <f>SUM(G378:I378)</f>
        <v>0</v>
      </c>
      <c r="D378" s="441"/>
      <c r="E378" s="441"/>
      <c r="F378" s="441"/>
      <c r="G378" s="441" t="s">
        <v>3007</v>
      </c>
      <c r="H378" s="441" t="s">
        <v>3007</v>
      </c>
      <c r="I378" s="441" t="s">
        <v>3007</v>
      </c>
      <c r="J378" s="442" t="s">
        <v>4877</v>
      </c>
    </row>
    <row r="379" spans="1:10" ht="31.5">
      <c r="A379" s="439">
        <v>208</v>
      </c>
      <c r="B379" s="442" t="s">
        <v>4878</v>
      </c>
      <c r="C379" s="441">
        <f>G379+H379+I379</f>
        <v>630500000</v>
      </c>
      <c r="D379" s="441">
        <v>200000000</v>
      </c>
      <c r="E379" s="443">
        <v>116705000</v>
      </c>
      <c r="F379" s="441">
        <v>300000000</v>
      </c>
      <c r="G379" s="441">
        <v>200000000</v>
      </c>
      <c r="H379" s="441">
        <f>G379*5/100+G379</f>
        <v>210000000</v>
      </c>
      <c r="I379" s="441">
        <f>H379*5/100+H379</f>
        <v>220500000</v>
      </c>
      <c r="J379" s="442" t="s">
        <v>5623</v>
      </c>
    </row>
    <row r="380" spans="1:10" ht="15.75">
      <c r="A380" s="439"/>
      <c r="B380" s="440" t="s">
        <v>4879</v>
      </c>
      <c r="C380" s="441">
        <f>G380+H380+I380</f>
        <v>0</v>
      </c>
      <c r="D380" s="441"/>
      <c r="E380" s="441"/>
      <c r="F380" s="441"/>
      <c r="G380" s="441"/>
      <c r="H380" s="441"/>
      <c r="I380" s="441"/>
      <c r="J380" s="442"/>
    </row>
    <row r="381" spans="1:10" ht="15.75">
      <c r="A381" s="439">
        <v>301</v>
      </c>
      <c r="B381" s="442" t="s">
        <v>4880</v>
      </c>
      <c r="C381" s="441">
        <f>G381+H381+I381</f>
        <v>31525000</v>
      </c>
      <c r="D381" s="441">
        <v>10000000</v>
      </c>
      <c r="E381" s="441"/>
      <c r="F381" s="441">
        <v>10000000</v>
      </c>
      <c r="G381" s="441">
        <v>10000000</v>
      </c>
      <c r="H381" s="441">
        <f>G381*5/100+G381</f>
        <v>10500000</v>
      </c>
      <c r="I381" s="441">
        <f>H381*1.05</f>
        <v>11025000</v>
      </c>
      <c r="J381" s="442" t="s">
        <v>5624</v>
      </c>
    </row>
    <row r="382" spans="1:10" ht="31.5">
      <c r="A382" s="439">
        <v>302</v>
      </c>
      <c r="B382" s="442" t="s">
        <v>4881</v>
      </c>
      <c r="C382" s="441">
        <f>SUM(G382:I382)</f>
        <v>0</v>
      </c>
      <c r="D382" s="441" t="s">
        <v>3007</v>
      </c>
      <c r="E382" s="441"/>
      <c r="F382" s="441" t="s">
        <v>3007</v>
      </c>
      <c r="G382" s="441" t="s">
        <v>3007</v>
      </c>
      <c r="H382" s="441" t="s">
        <v>3007</v>
      </c>
      <c r="I382" s="441" t="s">
        <v>3007</v>
      </c>
      <c r="J382" s="442" t="s">
        <v>4882</v>
      </c>
    </row>
    <row r="383" spans="1:10" ht="31.5">
      <c r="A383" s="439">
        <f>1+A382</f>
        <v>303</v>
      </c>
      <c r="B383" s="442" t="s">
        <v>4883</v>
      </c>
      <c r="C383" s="441">
        <f t="shared" ref="C383:C388" si="41">G383+H383+I383</f>
        <v>15762500</v>
      </c>
      <c r="D383" s="441">
        <v>2000000</v>
      </c>
      <c r="E383" s="441"/>
      <c r="F383" s="441">
        <v>5000000</v>
      </c>
      <c r="G383" s="441">
        <v>5000000</v>
      </c>
      <c r="H383" s="441">
        <f>G383*5/100+G383</f>
        <v>5250000</v>
      </c>
      <c r="I383" s="441">
        <f>H383*5/100+H383</f>
        <v>5512500</v>
      </c>
      <c r="J383" s="442" t="s">
        <v>4884</v>
      </c>
    </row>
    <row r="384" spans="1:10" ht="31.5">
      <c r="A384" s="439">
        <f>1+A383</f>
        <v>304</v>
      </c>
      <c r="B384" s="442" t="s">
        <v>4885</v>
      </c>
      <c r="C384" s="441">
        <f t="shared" si="41"/>
        <v>6305000</v>
      </c>
      <c r="D384" s="441">
        <v>2000000</v>
      </c>
      <c r="E384" s="441"/>
      <c r="F384" s="441">
        <v>2000000</v>
      </c>
      <c r="G384" s="441">
        <v>2000000</v>
      </c>
      <c r="H384" s="441">
        <f>G384*5/100+G384</f>
        <v>2100000</v>
      </c>
      <c r="I384" s="441">
        <f>H384*5/100+H384</f>
        <v>2205000</v>
      </c>
      <c r="J384" s="442" t="s">
        <v>4886</v>
      </c>
    </row>
    <row r="385" spans="1:10" ht="15.75">
      <c r="A385" s="439">
        <v>305</v>
      </c>
      <c r="B385" s="442" t="s">
        <v>4887</v>
      </c>
      <c r="C385" s="441">
        <f t="shared" si="41"/>
        <v>31525000</v>
      </c>
      <c r="D385" s="441">
        <v>10000000</v>
      </c>
      <c r="E385" s="441"/>
      <c r="F385" s="441">
        <v>10000000</v>
      </c>
      <c r="G385" s="441">
        <v>10000000</v>
      </c>
      <c r="H385" s="441">
        <f>G385*5/100+G385</f>
        <v>10500000</v>
      </c>
      <c r="I385" s="441">
        <f>H385*1.05</f>
        <v>11025000</v>
      </c>
      <c r="J385" s="442" t="s">
        <v>4888</v>
      </c>
    </row>
    <row r="386" spans="1:10" ht="31.5">
      <c r="A386" s="439">
        <v>306</v>
      </c>
      <c r="B386" s="442" t="s">
        <v>4889</v>
      </c>
      <c r="C386" s="441">
        <f t="shared" si="41"/>
        <v>6305000</v>
      </c>
      <c r="D386" s="441">
        <v>2000000</v>
      </c>
      <c r="E386" s="441"/>
      <c r="F386" s="441">
        <v>2000000</v>
      </c>
      <c r="G386" s="441">
        <v>2000000</v>
      </c>
      <c r="H386" s="441">
        <f>G386*5/100+G386</f>
        <v>2100000</v>
      </c>
      <c r="I386" s="441">
        <f>H386*5/100+H386</f>
        <v>2205000</v>
      </c>
      <c r="J386" s="442" t="s">
        <v>4890</v>
      </c>
    </row>
    <row r="387" spans="1:10" ht="31.5">
      <c r="A387" s="439">
        <v>307</v>
      </c>
      <c r="B387" s="442" t="s">
        <v>4891</v>
      </c>
      <c r="C387" s="441">
        <f t="shared" si="41"/>
        <v>63050000</v>
      </c>
      <c r="D387" s="441">
        <v>20000000</v>
      </c>
      <c r="E387" s="441"/>
      <c r="F387" s="441">
        <v>20000000</v>
      </c>
      <c r="G387" s="441">
        <v>20000000</v>
      </c>
      <c r="H387" s="441">
        <f>G387*5/100+G387</f>
        <v>21000000</v>
      </c>
      <c r="I387" s="441">
        <f>H387*5/100+H387</f>
        <v>22050000</v>
      </c>
      <c r="J387" s="442" t="s">
        <v>4892</v>
      </c>
    </row>
    <row r="388" spans="1:10" ht="15.75">
      <c r="A388" s="446">
        <v>308</v>
      </c>
      <c r="B388" s="447" t="s">
        <v>4893</v>
      </c>
      <c r="C388" s="500">
        <f t="shared" si="41"/>
        <v>31525000</v>
      </c>
      <c r="D388" s="448">
        <v>10000000</v>
      </c>
      <c r="E388" s="473"/>
      <c r="F388" s="448">
        <v>10000000</v>
      </c>
      <c r="G388" s="448">
        <v>10000000</v>
      </c>
      <c r="H388" s="448">
        <f>G388*5/100+G388</f>
        <v>10500000</v>
      </c>
      <c r="I388" s="448">
        <f>H388*5/100+H388</f>
        <v>11025000</v>
      </c>
      <c r="J388" s="447" t="s">
        <v>4894</v>
      </c>
    </row>
    <row r="389" spans="1:10" ht="15.75">
      <c r="A389" s="423" t="s">
        <v>4839</v>
      </c>
      <c r="B389" s="463"/>
      <c r="C389" s="425" t="s">
        <v>1840</v>
      </c>
      <c r="D389" s="425"/>
      <c r="E389" s="425"/>
      <c r="F389" s="425"/>
      <c r="G389" s="425"/>
      <c r="H389" s="425"/>
      <c r="I389" s="425"/>
      <c r="J389" s="424"/>
    </row>
    <row r="390" spans="1:10" ht="15.75">
      <c r="A390" s="426" t="s">
        <v>4582</v>
      </c>
      <c r="B390" s="427" t="s">
        <v>4841</v>
      </c>
      <c r="C390" s="425" t="s">
        <v>1840</v>
      </c>
      <c r="D390" s="474"/>
      <c r="E390" s="474"/>
      <c r="F390" s="474"/>
      <c r="G390" s="474"/>
      <c r="H390" s="474"/>
      <c r="I390" s="474"/>
      <c r="J390" s="476"/>
    </row>
    <row r="391" spans="1:10" ht="31.5">
      <c r="A391" s="429" t="s">
        <v>4509</v>
      </c>
      <c r="B391" s="477" t="s">
        <v>4510</v>
      </c>
      <c r="C391" s="466" t="s">
        <v>4511</v>
      </c>
      <c r="D391" s="432" t="s">
        <v>4512</v>
      </c>
      <c r="E391" s="432" t="s">
        <v>5503</v>
      </c>
      <c r="F391" s="432" t="s">
        <v>4305</v>
      </c>
      <c r="G391" s="432" t="s">
        <v>5501</v>
      </c>
      <c r="H391" s="432" t="s">
        <v>4305</v>
      </c>
      <c r="I391" s="432" t="s">
        <v>4305</v>
      </c>
      <c r="J391" s="433" t="s">
        <v>4513</v>
      </c>
    </row>
    <row r="392" spans="1:10" ht="31.5">
      <c r="A392" s="434"/>
      <c r="B392" s="435"/>
      <c r="C392" s="436" t="s">
        <v>4514</v>
      </c>
      <c r="D392" s="437" t="s">
        <v>4515</v>
      </c>
      <c r="E392" s="437" t="s">
        <v>4516</v>
      </c>
      <c r="F392" s="437" t="s">
        <v>243</v>
      </c>
      <c r="G392" s="437" t="s">
        <v>243</v>
      </c>
      <c r="H392" s="437" t="s">
        <v>4130</v>
      </c>
      <c r="I392" s="437" t="s">
        <v>4202</v>
      </c>
      <c r="J392" s="438"/>
    </row>
    <row r="393" spans="1:10" ht="15.75">
      <c r="A393" s="439"/>
      <c r="B393" s="1023" t="s">
        <v>4895</v>
      </c>
      <c r="C393" s="441"/>
      <c r="D393" s="441"/>
      <c r="E393" s="441"/>
      <c r="F393" s="441"/>
      <c r="G393" s="441"/>
      <c r="H393" s="441"/>
      <c r="I393" s="441"/>
      <c r="J393" s="442"/>
    </row>
    <row r="394" spans="1:10" ht="15.75">
      <c r="A394" s="439">
        <v>401</v>
      </c>
      <c r="B394" s="442" t="s">
        <v>4896</v>
      </c>
      <c r="C394" s="441">
        <f t="shared" ref="C394:C402" si="42">G394+H394+I394</f>
        <v>63050000</v>
      </c>
      <c r="D394" s="441">
        <v>20000000</v>
      </c>
      <c r="E394" s="441"/>
      <c r="F394" s="441">
        <v>25000000</v>
      </c>
      <c r="G394" s="441">
        <v>20000000</v>
      </c>
      <c r="H394" s="441">
        <f t="shared" ref="H394:H402" si="43">G394*5/100+G394</f>
        <v>21000000</v>
      </c>
      <c r="I394" s="441">
        <f>H394*1.05</f>
        <v>22050000</v>
      </c>
      <c r="J394" s="442" t="s">
        <v>4897</v>
      </c>
    </row>
    <row r="395" spans="1:10" ht="47.25">
      <c r="A395" s="439">
        <v>402</v>
      </c>
      <c r="B395" s="442" t="s">
        <v>4898</v>
      </c>
      <c r="C395" s="441">
        <f t="shared" si="42"/>
        <v>94575000</v>
      </c>
      <c r="D395" s="441">
        <v>30000000</v>
      </c>
      <c r="E395" s="441"/>
      <c r="F395" s="441">
        <v>30000000</v>
      </c>
      <c r="G395" s="441">
        <v>30000000</v>
      </c>
      <c r="H395" s="441">
        <f t="shared" si="43"/>
        <v>31500000</v>
      </c>
      <c r="I395" s="441">
        <f>H395*5/100+H395</f>
        <v>33075000</v>
      </c>
      <c r="J395" s="442" t="s">
        <v>5625</v>
      </c>
    </row>
    <row r="396" spans="1:10" ht="15.75">
      <c r="A396" s="439">
        <v>403</v>
      </c>
      <c r="B396" s="442" t="s">
        <v>4899</v>
      </c>
      <c r="C396" s="441"/>
      <c r="D396" s="441" t="s">
        <v>3007</v>
      </c>
      <c r="E396" s="441"/>
      <c r="F396" s="441" t="s">
        <v>3007</v>
      </c>
      <c r="G396" s="441" t="s">
        <v>3007</v>
      </c>
      <c r="H396" s="441" t="s">
        <v>3007</v>
      </c>
      <c r="I396" s="441" t="s">
        <v>3007</v>
      </c>
      <c r="J396" s="442" t="s">
        <v>4900</v>
      </c>
    </row>
    <row r="397" spans="1:10" ht="45" customHeight="1">
      <c r="A397" s="439">
        <v>404</v>
      </c>
      <c r="B397" s="442" t="s">
        <v>4901</v>
      </c>
      <c r="C397" s="441">
        <f>SUM(G397:I397)</f>
        <v>31525000</v>
      </c>
      <c r="D397" s="441">
        <v>10000000</v>
      </c>
      <c r="E397" s="441"/>
      <c r="F397" s="441">
        <v>15000000</v>
      </c>
      <c r="G397" s="441">
        <v>10000000</v>
      </c>
      <c r="H397" s="441">
        <f t="shared" si="43"/>
        <v>10500000</v>
      </c>
      <c r="I397" s="441">
        <f>H397*5/100+H397</f>
        <v>11025000</v>
      </c>
      <c r="J397" s="442" t="s">
        <v>4902</v>
      </c>
    </row>
    <row r="398" spans="1:10" ht="31.5">
      <c r="A398" s="439">
        <v>405</v>
      </c>
      <c r="B398" s="442" t="s">
        <v>4903</v>
      </c>
      <c r="C398" s="441">
        <f t="shared" si="42"/>
        <v>15762500</v>
      </c>
      <c r="D398" s="441">
        <v>5000000</v>
      </c>
      <c r="E398" s="441"/>
      <c r="F398" s="441">
        <v>10000000</v>
      </c>
      <c r="G398" s="441">
        <v>5000000</v>
      </c>
      <c r="H398" s="441">
        <f t="shared" si="43"/>
        <v>5250000</v>
      </c>
      <c r="I398" s="441">
        <f>H398*1.05</f>
        <v>5512500</v>
      </c>
      <c r="J398" s="442" t="s">
        <v>4904</v>
      </c>
    </row>
    <row r="399" spans="1:10" ht="31.5">
      <c r="A399" s="439">
        <v>406</v>
      </c>
      <c r="B399" s="442" t="s">
        <v>4905</v>
      </c>
      <c r="C399" s="441">
        <f>SUM(G399:I399)</f>
        <v>94575000</v>
      </c>
      <c r="D399" s="441">
        <v>30000000</v>
      </c>
      <c r="E399" s="441"/>
      <c r="F399" s="441">
        <v>35000000</v>
      </c>
      <c r="G399" s="441">
        <v>30000000</v>
      </c>
      <c r="H399" s="441">
        <f t="shared" si="43"/>
        <v>31500000</v>
      </c>
      <c r="I399" s="441">
        <f>H399*1.05</f>
        <v>33075000</v>
      </c>
      <c r="J399" s="442" t="s">
        <v>5626</v>
      </c>
    </row>
    <row r="400" spans="1:10" ht="31.5">
      <c r="A400" s="439">
        <v>407</v>
      </c>
      <c r="B400" s="442" t="s">
        <v>4906</v>
      </c>
      <c r="C400" s="441">
        <f t="shared" si="42"/>
        <v>31525000</v>
      </c>
      <c r="D400" s="441">
        <v>10000000</v>
      </c>
      <c r="E400" s="441"/>
      <c r="F400" s="441">
        <v>15000000</v>
      </c>
      <c r="G400" s="441">
        <v>10000000</v>
      </c>
      <c r="H400" s="441">
        <f t="shared" si="43"/>
        <v>10500000</v>
      </c>
      <c r="I400" s="441">
        <f>H400*1.05</f>
        <v>11025000</v>
      </c>
      <c r="J400" s="442" t="s">
        <v>5627</v>
      </c>
    </row>
    <row r="401" spans="1:10" ht="31.5">
      <c r="A401" s="439">
        <v>408</v>
      </c>
      <c r="B401" s="442" t="s">
        <v>4907</v>
      </c>
      <c r="C401" s="441">
        <f t="shared" si="42"/>
        <v>15762500</v>
      </c>
      <c r="D401" s="441">
        <v>5000000</v>
      </c>
      <c r="E401" s="441"/>
      <c r="F401" s="441">
        <v>10000000</v>
      </c>
      <c r="G401" s="441">
        <v>5000000</v>
      </c>
      <c r="H401" s="441">
        <f t="shared" si="43"/>
        <v>5250000</v>
      </c>
      <c r="I401" s="441">
        <f>H401*5/100+H401</f>
        <v>5512500</v>
      </c>
      <c r="J401" s="442" t="s">
        <v>5628</v>
      </c>
    </row>
    <row r="402" spans="1:10" ht="50.1" customHeight="1">
      <c r="A402" s="439">
        <v>409</v>
      </c>
      <c r="B402" s="442" t="s">
        <v>4908</v>
      </c>
      <c r="C402" s="441">
        <f t="shared" si="42"/>
        <v>63050000</v>
      </c>
      <c r="D402" s="441">
        <v>20000000</v>
      </c>
      <c r="E402" s="441"/>
      <c r="F402" s="441">
        <v>30000000</v>
      </c>
      <c r="G402" s="441">
        <v>20000000</v>
      </c>
      <c r="H402" s="441">
        <f t="shared" si="43"/>
        <v>21000000</v>
      </c>
      <c r="I402" s="441">
        <f>H402*5/100+H402</f>
        <v>22050000</v>
      </c>
      <c r="J402" s="442" t="s">
        <v>5629</v>
      </c>
    </row>
    <row r="403" spans="1:10" ht="47.25">
      <c r="A403" s="439">
        <v>410</v>
      </c>
      <c r="B403" s="442" t="s">
        <v>4909</v>
      </c>
      <c r="C403" s="441"/>
      <c r="D403" s="441" t="s">
        <v>3007</v>
      </c>
      <c r="E403" s="441"/>
      <c r="F403" s="441"/>
      <c r="G403" s="441" t="s">
        <v>3007</v>
      </c>
      <c r="H403" s="441" t="s">
        <v>3007</v>
      </c>
      <c r="I403" s="441" t="s">
        <v>3007</v>
      </c>
      <c r="J403" s="442" t="s">
        <v>5630</v>
      </c>
    </row>
    <row r="404" spans="1:10" ht="31.5">
      <c r="A404" s="439">
        <v>411</v>
      </c>
      <c r="B404" s="442" t="s">
        <v>4910</v>
      </c>
      <c r="C404" s="441"/>
      <c r="D404" s="441" t="s">
        <v>3007</v>
      </c>
      <c r="E404" s="441"/>
      <c r="F404" s="441">
        <v>10000000</v>
      </c>
      <c r="G404" s="441" t="s">
        <v>3007</v>
      </c>
      <c r="H404" s="441" t="s">
        <v>3007</v>
      </c>
      <c r="I404" s="441" t="s">
        <v>3007</v>
      </c>
      <c r="J404" s="442" t="s">
        <v>5631</v>
      </c>
    </row>
    <row r="405" spans="1:10" ht="31.5">
      <c r="A405" s="439">
        <v>412</v>
      </c>
      <c r="B405" s="442" t="s">
        <v>4911</v>
      </c>
      <c r="C405" s="441"/>
      <c r="D405" s="441" t="s">
        <v>3007</v>
      </c>
      <c r="E405" s="441"/>
      <c r="F405" s="441">
        <v>50000000</v>
      </c>
      <c r="G405" s="441" t="s">
        <v>3007</v>
      </c>
      <c r="H405" s="441" t="s">
        <v>3007</v>
      </c>
      <c r="I405" s="441" t="s">
        <v>3007</v>
      </c>
      <c r="J405" s="442" t="s">
        <v>4912</v>
      </c>
    </row>
    <row r="406" spans="1:10" ht="31.5">
      <c r="A406" s="439">
        <v>413</v>
      </c>
      <c r="B406" s="509" t="s">
        <v>4913</v>
      </c>
      <c r="C406" s="441">
        <f>G406+H406+I406</f>
        <v>1576250000</v>
      </c>
      <c r="D406" s="441">
        <v>500000000</v>
      </c>
      <c r="E406" s="441"/>
      <c r="F406" s="441">
        <v>1000000000</v>
      </c>
      <c r="G406" s="441">
        <v>500000000</v>
      </c>
      <c r="H406" s="441">
        <f>G406*5/100+G406</f>
        <v>525000000</v>
      </c>
      <c r="I406" s="441">
        <f>H406*5/100+H406</f>
        <v>551250000</v>
      </c>
      <c r="J406" s="442" t="s">
        <v>4914</v>
      </c>
    </row>
    <row r="407" spans="1:10" ht="15.75">
      <c r="A407" s="439"/>
      <c r="B407" s="1023" t="s">
        <v>4915</v>
      </c>
      <c r="C407" s="441"/>
      <c r="D407" s="441"/>
      <c r="E407" s="441"/>
      <c r="F407" s="441"/>
      <c r="G407" s="441"/>
      <c r="H407" s="441"/>
      <c r="I407" s="441"/>
      <c r="J407" s="442"/>
    </row>
    <row r="408" spans="1:10" ht="15.75">
      <c r="A408" s="439">
        <v>501</v>
      </c>
      <c r="B408" s="442" t="s">
        <v>4916</v>
      </c>
      <c r="C408" s="441"/>
      <c r="D408" s="441" t="s">
        <v>3007</v>
      </c>
      <c r="E408" s="441"/>
      <c r="F408" s="441"/>
      <c r="G408" s="441" t="s">
        <v>3007</v>
      </c>
      <c r="H408" s="441" t="s">
        <v>3007</v>
      </c>
      <c r="I408" s="441" t="s">
        <v>3007</v>
      </c>
      <c r="J408" s="442" t="s">
        <v>5632</v>
      </c>
    </row>
    <row r="409" spans="1:10" ht="31.5">
      <c r="A409" s="439">
        <v>502</v>
      </c>
      <c r="B409" s="442" t="s">
        <v>4917</v>
      </c>
      <c r="C409" s="441">
        <f>G409+H409+I409</f>
        <v>94575000</v>
      </c>
      <c r="D409" s="441">
        <v>30000000</v>
      </c>
      <c r="E409" s="441"/>
      <c r="F409" s="441">
        <v>50000000</v>
      </c>
      <c r="G409" s="441">
        <v>30000000</v>
      </c>
      <c r="H409" s="441">
        <f>G409*1.05</f>
        <v>31500000</v>
      </c>
      <c r="I409" s="441">
        <f>H409*1.05</f>
        <v>33075000</v>
      </c>
      <c r="J409" s="442" t="s">
        <v>5633</v>
      </c>
    </row>
    <row r="410" spans="1:10" ht="31.5">
      <c r="A410" s="439">
        <v>503</v>
      </c>
      <c r="B410" s="442" t="s">
        <v>4918</v>
      </c>
      <c r="C410" s="441"/>
      <c r="D410" s="441" t="s">
        <v>3007</v>
      </c>
      <c r="E410" s="445"/>
      <c r="F410" s="441">
        <v>500000000</v>
      </c>
      <c r="G410" s="441">
        <v>50000000</v>
      </c>
      <c r="H410" s="441" t="s">
        <v>3007</v>
      </c>
      <c r="I410" s="441" t="s">
        <v>3007</v>
      </c>
      <c r="J410" s="442" t="s">
        <v>4919</v>
      </c>
    </row>
    <row r="411" spans="1:10" ht="31.5">
      <c r="A411" s="439">
        <v>601</v>
      </c>
      <c r="B411" s="442" t="s">
        <v>4920</v>
      </c>
      <c r="C411" s="441">
        <f>G411+H411+I411</f>
        <v>31525000</v>
      </c>
      <c r="D411" s="441">
        <v>10000000</v>
      </c>
      <c r="E411" s="441"/>
      <c r="F411" s="441"/>
      <c r="G411" s="441">
        <v>10000000</v>
      </c>
      <c r="H411" s="441">
        <f>G411*5/100+G411</f>
        <v>10500000</v>
      </c>
      <c r="I411" s="441">
        <f>H411*1.05</f>
        <v>11025000</v>
      </c>
      <c r="J411" s="442" t="s">
        <v>5634</v>
      </c>
    </row>
    <row r="412" spans="1:10" ht="15.75">
      <c r="A412" s="460"/>
      <c r="B412" s="461" t="s">
        <v>4580</v>
      </c>
      <c r="C412" s="462">
        <f t="shared" ref="C412:I412" si="44">SUM(C349:C411)</f>
        <v>4604922500</v>
      </c>
      <c r="D412" s="462">
        <f t="shared" si="44"/>
        <v>1351000000</v>
      </c>
      <c r="E412" s="462">
        <f t="shared" si="44"/>
        <v>163063850</v>
      </c>
      <c r="F412" s="462">
        <f t="shared" si="44"/>
        <v>3954000000</v>
      </c>
      <c r="G412" s="462">
        <f t="shared" si="44"/>
        <v>1579000000</v>
      </c>
      <c r="H412" s="462">
        <f t="shared" si="44"/>
        <v>1500450000</v>
      </c>
      <c r="I412" s="462">
        <f t="shared" si="44"/>
        <v>1575472500</v>
      </c>
      <c r="J412" s="461"/>
    </row>
    <row r="413" spans="1:10" ht="15.75">
      <c r="A413" s="423" t="s">
        <v>4921</v>
      </c>
      <c r="B413" s="463"/>
      <c r="C413" s="425" t="s">
        <v>1840</v>
      </c>
      <c r="D413" s="425"/>
      <c r="E413" s="425"/>
      <c r="F413" s="425"/>
      <c r="G413" s="425"/>
      <c r="H413" s="425"/>
      <c r="I413" s="425"/>
      <c r="J413" s="424"/>
    </row>
    <row r="414" spans="1:10" ht="15.75">
      <c r="A414" s="423" t="s">
        <v>4582</v>
      </c>
      <c r="B414" s="510" t="s">
        <v>4922</v>
      </c>
      <c r="C414" s="425"/>
      <c r="D414" s="425"/>
      <c r="E414" s="425"/>
      <c r="F414" s="425"/>
      <c r="G414" s="425"/>
      <c r="H414" s="425"/>
      <c r="I414" s="425"/>
      <c r="J414" s="424"/>
    </row>
    <row r="415" spans="1:10" ht="31.5">
      <c r="A415" s="464" t="s">
        <v>4509</v>
      </c>
      <c r="B415" s="465" t="s">
        <v>4510</v>
      </c>
      <c r="C415" s="466" t="s">
        <v>4511</v>
      </c>
      <c r="D415" s="432" t="s">
        <v>4512</v>
      </c>
      <c r="E415" s="432" t="s">
        <v>5503</v>
      </c>
      <c r="F415" s="432" t="s">
        <v>4305</v>
      </c>
      <c r="G415" s="432" t="s">
        <v>5501</v>
      </c>
      <c r="H415" s="432" t="s">
        <v>4305</v>
      </c>
      <c r="I415" s="432" t="s">
        <v>4305</v>
      </c>
      <c r="J415" s="433" t="s">
        <v>4513</v>
      </c>
    </row>
    <row r="416" spans="1:10" ht="31.5">
      <c r="A416" s="434"/>
      <c r="B416" s="435"/>
      <c r="C416" s="436" t="s">
        <v>4514</v>
      </c>
      <c r="D416" s="437" t="s">
        <v>4515</v>
      </c>
      <c r="E416" s="437" t="s">
        <v>4516</v>
      </c>
      <c r="F416" s="437" t="s">
        <v>243</v>
      </c>
      <c r="G416" s="437" t="s">
        <v>243</v>
      </c>
      <c r="H416" s="437" t="s">
        <v>4130</v>
      </c>
      <c r="I416" s="437" t="s">
        <v>4202</v>
      </c>
      <c r="J416" s="438"/>
    </row>
    <row r="417" spans="1:10" ht="15.75">
      <c r="A417" s="467"/>
      <c r="B417" s="511" t="s">
        <v>4923</v>
      </c>
      <c r="C417" s="441"/>
      <c r="D417" s="441"/>
      <c r="E417" s="441"/>
      <c r="F417" s="441"/>
      <c r="G417" s="441"/>
      <c r="H417" s="441"/>
      <c r="I417" s="441"/>
      <c r="J417" s="467"/>
    </row>
    <row r="418" spans="1:10" ht="31.5">
      <c r="A418" s="439">
        <v>101</v>
      </c>
      <c r="B418" s="442" t="s">
        <v>4924</v>
      </c>
      <c r="C418" s="441">
        <f>SUM(G418:I418)</f>
        <v>0</v>
      </c>
      <c r="D418" s="441"/>
      <c r="E418" s="441"/>
      <c r="F418" s="441"/>
      <c r="G418" s="441" t="s">
        <v>3007</v>
      </c>
      <c r="H418" s="441" t="s">
        <v>3007</v>
      </c>
      <c r="I418" s="441" t="s">
        <v>3007</v>
      </c>
      <c r="J418" s="442" t="s">
        <v>4925</v>
      </c>
    </row>
    <row r="419" spans="1:10" ht="31.5">
      <c r="A419" s="439">
        <v>102</v>
      </c>
      <c r="B419" s="442" t="s">
        <v>4926</v>
      </c>
      <c r="C419" s="441">
        <f>SUM(G419:I419)</f>
        <v>0</v>
      </c>
      <c r="D419" s="441"/>
      <c r="E419" s="441"/>
      <c r="F419" s="441"/>
      <c r="G419" s="441" t="s">
        <v>3007</v>
      </c>
      <c r="H419" s="441" t="s">
        <v>3007</v>
      </c>
      <c r="I419" s="441" t="s">
        <v>3007</v>
      </c>
      <c r="J419" s="442" t="s">
        <v>4927</v>
      </c>
    </row>
    <row r="420" spans="1:10" ht="31.5">
      <c r="A420" s="439">
        <v>103</v>
      </c>
      <c r="B420" s="442" t="s">
        <v>4928</v>
      </c>
      <c r="C420" s="441">
        <f>SUM(G420:I420)</f>
        <v>0</v>
      </c>
      <c r="D420" s="441"/>
      <c r="E420" s="441"/>
      <c r="F420" s="441"/>
      <c r="G420" s="441" t="s">
        <v>3007</v>
      </c>
      <c r="H420" s="441" t="s">
        <v>3007</v>
      </c>
      <c r="I420" s="441" t="s">
        <v>3007</v>
      </c>
      <c r="J420" s="442" t="s">
        <v>5635</v>
      </c>
    </row>
    <row r="421" spans="1:10" ht="31.5">
      <c r="A421" s="439">
        <v>104</v>
      </c>
      <c r="B421" s="442" t="s">
        <v>4929</v>
      </c>
      <c r="C421" s="441">
        <f>G421+H421+I421</f>
        <v>126100000</v>
      </c>
      <c r="D421" s="441">
        <v>40000000</v>
      </c>
      <c r="E421" s="441"/>
      <c r="F421" s="441"/>
      <c r="G421" s="441">
        <v>40000000</v>
      </c>
      <c r="H421" s="441">
        <f t="shared" ref="H421:H431" si="45">G421*5/100+G421</f>
        <v>42000000</v>
      </c>
      <c r="I421" s="441">
        <f>H421*5/100+H421</f>
        <v>44100000</v>
      </c>
      <c r="J421" s="442" t="s">
        <v>4930</v>
      </c>
    </row>
    <row r="422" spans="1:10" ht="47.25">
      <c r="A422" s="439">
        <v>105</v>
      </c>
      <c r="B422" s="442" t="s">
        <v>4931</v>
      </c>
      <c r="C422" s="441">
        <f>G422+H422+I422</f>
        <v>157625000</v>
      </c>
      <c r="D422" s="441">
        <v>30000000</v>
      </c>
      <c r="E422" s="441"/>
      <c r="F422" s="441"/>
      <c r="G422" s="441">
        <v>50000000</v>
      </c>
      <c r="H422" s="441">
        <f t="shared" si="45"/>
        <v>52500000</v>
      </c>
      <c r="I422" s="441">
        <f>H422*5/100+H422</f>
        <v>55125000</v>
      </c>
      <c r="J422" s="442" t="s">
        <v>5636</v>
      </c>
    </row>
    <row r="423" spans="1:10" ht="31.5">
      <c r="A423" s="439">
        <v>106</v>
      </c>
      <c r="B423" s="442" t="s">
        <v>5637</v>
      </c>
      <c r="C423" s="441">
        <f>SUM(G423:I423)</f>
        <v>30000000</v>
      </c>
      <c r="D423" s="441"/>
      <c r="E423" s="441"/>
      <c r="F423" s="441"/>
      <c r="G423" s="441">
        <v>30000000</v>
      </c>
      <c r="H423" s="441" t="s">
        <v>3007</v>
      </c>
      <c r="I423" s="441" t="s">
        <v>3007</v>
      </c>
      <c r="J423" s="442" t="s">
        <v>4932</v>
      </c>
    </row>
    <row r="424" spans="1:10" ht="31.5">
      <c r="A424" s="439">
        <v>107</v>
      </c>
      <c r="B424" s="442" t="s">
        <v>4933</v>
      </c>
      <c r="C424" s="441">
        <f>G424+H424+I424</f>
        <v>94575000</v>
      </c>
      <c r="D424" s="441">
        <v>30000000</v>
      </c>
      <c r="E424" s="441"/>
      <c r="F424" s="441"/>
      <c r="G424" s="441">
        <v>30000000</v>
      </c>
      <c r="H424" s="441">
        <f t="shared" si="45"/>
        <v>31500000</v>
      </c>
      <c r="I424" s="441">
        <f>H424*1.05</f>
        <v>33075000</v>
      </c>
      <c r="J424" s="442" t="s">
        <v>4934</v>
      </c>
    </row>
    <row r="425" spans="1:10" ht="31.5">
      <c r="A425" s="439">
        <v>108</v>
      </c>
      <c r="B425" s="442" t="s">
        <v>4935</v>
      </c>
      <c r="C425" s="441">
        <f>G425+H425+I425</f>
        <v>157625000</v>
      </c>
      <c r="D425" s="441">
        <v>50000000</v>
      </c>
      <c r="E425" s="506">
        <v>20000000</v>
      </c>
      <c r="F425" s="441"/>
      <c r="G425" s="441">
        <v>50000000</v>
      </c>
      <c r="H425" s="441">
        <f t="shared" si="45"/>
        <v>52500000</v>
      </c>
      <c r="I425" s="948">
        <f>H425*1.05</f>
        <v>55125000</v>
      </c>
      <c r="J425" s="496" t="s">
        <v>4936</v>
      </c>
    </row>
    <row r="426" spans="1:10" ht="31.5">
      <c r="A426" s="439">
        <v>109</v>
      </c>
      <c r="B426" s="512" t="s">
        <v>5426</v>
      </c>
      <c r="C426" s="441">
        <f>SUM(G426:I426)</f>
        <v>200000000</v>
      </c>
      <c r="D426" s="441"/>
      <c r="E426" s="441"/>
      <c r="F426" s="441"/>
      <c r="G426" s="441">
        <v>200000000</v>
      </c>
      <c r="H426" s="441"/>
      <c r="I426" s="948"/>
      <c r="J426" s="496" t="s">
        <v>5638</v>
      </c>
    </row>
    <row r="427" spans="1:10" ht="15.75">
      <c r="A427" s="439"/>
      <c r="B427" s="512"/>
      <c r="C427" s="441"/>
      <c r="D427" s="441"/>
      <c r="E427" s="441"/>
      <c r="F427" s="441"/>
      <c r="G427" s="441"/>
      <c r="H427" s="441"/>
      <c r="I427" s="948"/>
      <c r="J427" s="496"/>
    </row>
    <row r="428" spans="1:10" ht="31.5">
      <c r="A428" s="439"/>
      <c r="B428" s="513" t="s">
        <v>4937</v>
      </c>
      <c r="C428" s="441"/>
      <c r="D428" s="441"/>
      <c r="E428" s="441"/>
      <c r="F428" s="441"/>
      <c r="G428" s="441"/>
      <c r="H428" s="441"/>
      <c r="I428" s="441"/>
      <c r="J428" s="442"/>
    </row>
    <row r="429" spans="1:10" ht="31.5">
      <c r="A429" s="439">
        <v>201</v>
      </c>
      <c r="B429" s="442" t="s">
        <v>4938</v>
      </c>
      <c r="C429" s="441">
        <f>G429+H429+I429</f>
        <v>63050000</v>
      </c>
      <c r="D429" s="441">
        <v>20000000</v>
      </c>
      <c r="E429" s="441"/>
      <c r="F429" s="441">
        <v>35000000</v>
      </c>
      <c r="G429" s="441">
        <v>20000000</v>
      </c>
      <c r="H429" s="441">
        <f t="shared" si="45"/>
        <v>21000000</v>
      </c>
      <c r="I429" s="441">
        <f>H429*5/100+H429</f>
        <v>22050000</v>
      </c>
      <c r="J429" s="442" t="s">
        <v>4939</v>
      </c>
    </row>
    <row r="430" spans="1:10" ht="31.5">
      <c r="A430" s="439">
        <f>1+A429</f>
        <v>202</v>
      </c>
      <c r="B430" s="442" t="s">
        <v>4940</v>
      </c>
      <c r="C430" s="441">
        <f>G430+H430+I430</f>
        <v>189150000</v>
      </c>
      <c r="D430" s="441">
        <v>60000000</v>
      </c>
      <c r="E430" s="441"/>
      <c r="F430" s="441">
        <v>100000000</v>
      </c>
      <c r="G430" s="441">
        <v>60000000</v>
      </c>
      <c r="H430" s="441">
        <f t="shared" si="45"/>
        <v>63000000</v>
      </c>
      <c r="I430" s="441">
        <f>H430*5/100+H430</f>
        <v>66150000</v>
      </c>
      <c r="J430" s="442" t="s">
        <v>4941</v>
      </c>
    </row>
    <row r="431" spans="1:10" ht="31.5">
      <c r="A431" s="439">
        <f>1+A430</f>
        <v>203</v>
      </c>
      <c r="B431" s="442" t="s">
        <v>4942</v>
      </c>
      <c r="C431" s="441">
        <f>G431+H431+I431</f>
        <v>31525000</v>
      </c>
      <c r="D431" s="441">
        <v>10000000</v>
      </c>
      <c r="E431" s="441"/>
      <c r="F431" s="441">
        <v>50000000</v>
      </c>
      <c r="G431" s="441">
        <v>10000000</v>
      </c>
      <c r="H431" s="441">
        <f t="shared" si="45"/>
        <v>10500000</v>
      </c>
      <c r="I431" s="441">
        <f>H431*5/100+H431</f>
        <v>11025000</v>
      </c>
      <c r="J431" s="442" t="s">
        <v>4943</v>
      </c>
    </row>
    <row r="432" spans="1:10" ht="15.75">
      <c r="A432" s="439">
        <v>204</v>
      </c>
      <c r="B432" s="442" t="s">
        <v>4944</v>
      </c>
      <c r="C432" s="441">
        <f>SUM(G432:I432)</f>
        <v>0</v>
      </c>
      <c r="D432" s="441" t="s">
        <v>3007</v>
      </c>
      <c r="E432" s="441"/>
      <c r="F432" s="441">
        <v>150000000</v>
      </c>
      <c r="G432" s="441" t="s">
        <v>3007</v>
      </c>
      <c r="H432" s="441" t="s">
        <v>3007</v>
      </c>
      <c r="I432" s="441" t="s">
        <v>3007</v>
      </c>
      <c r="J432" s="442" t="s">
        <v>4945</v>
      </c>
    </row>
    <row r="433" spans="1:10" ht="31.5">
      <c r="A433" s="439">
        <v>205</v>
      </c>
      <c r="B433" s="442" t="s">
        <v>4946</v>
      </c>
      <c r="C433" s="441">
        <f>SUM(G433:I433)</f>
        <v>0</v>
      </c>
      <c r="D433" s="441" t="s">
        <v>3007</v>
      </c>
      <c r="E433" s="441"/>
      <c r="F433" s="441" t="s">
        <v>3007</v>
      </c>
      <c r="G433" s="441" t="s">
        <v>3007</v>
      </c>
      <c r="H433" s="441" t="s">
        <v>3007</v>
      </c>
      <c r="I433" s="441" t="s">
        <v>3007</v>
      </c>
      <c r="J433" s="442" t="s">
        <v>5639</v>
      </c>
    </row>
    <row r="434" spans="1:10" ht="15.75">
      <c r="A434" s="439">
        <v>206</v>
      </c>
      <c r="B434" s="442" t="s">
        <v>4947</v>
      </c>
      <c r="C434" s="441">
        <f>SUM(G434:I434)</f>
        <v>0</v>
      </c>
      <c r="D434" s="441" t="s">
        <v>3007</v>
      </c>
      <c r="E434" s="441"/>
      <c r="F434" s="441">
        <v>80000000</v>
      </c>
      <c r="G434" s="441" t="s">
        <v>3007</v>
      </c>
      <c r="H434" s="441" t="s">
        <v>3007</v>
      </c>
      <c r="I434" s="441" t="s">
        <v>3007</v>
      </c>
      <c r="J434" s="442" t="s">
        <v>4948</v>
      </c>
    </row>
    <row r="435" spans="1:10" ht="15.75">
      <c r="A435" s="460"/>
      <c r="B435" s="461" t="s">
        <v>4580</v>
      </c>
      <c r="C435" s="462">
        <f t="shared" ref="C435:I435" si="46">SUM(C418:C434)</f>
        <v>1049650000</v>
      </c>
      <c r="D435" s="462">
        <f t="shared" si="46"/>
        <v>240000000</v>
      </c>
      <c r="E435" s="462">
        <f t="shared" si="46"/>
        <v>20000000</v>
      </c>
      <c r="F435" s="462">
        <f t="shared" si="46"/>
        <v>415000000</v>
      </c>
      <c r="G435" s="462">
        <f t="shared" si="46"/>
        <v>490000000</v>
      </c>
      <c r="H435" s="462">
        <f t="shared" si="46"/>
        <v>273000000</v>
      </c>
      <c r="I435" s="462">
        <f t="shared" si="46"/>
        <v>286650000</v>
      </c>
      <c r="J435" s="461"/>
    </row>
    <row r="436" spans="1:10" ht="15.75">
      <c r="A436" s="423" t="s">
        <v>4949</v>
      </c>
      <c r="B436" s="463"/>
      <c r="C436" s="425" t="s">
        <v>1840</v>
      </c>
      <c r="D436" s="425"/>
      <c r="E436" s="425"/>
      <c r="F436" s="425"/>
      <c r="G436" s="425"/>
      <c r="H436" s="425"/>
      <c r="I436" s="425"/>
      <c r="J436" s="424"/>
    </row>
    <row r="437" spans="1:10" ht="15.75">
      <c r="A437" s="426" t="s">
        <v>4582</v>
      </c>
      <c r="B437" s="427" t="s">
        <v>4950</v>
      </c>
      <c r="C437" s="425" t="s">
        <v>1840</v>
      </c>
      <c r="D437" s="474"/>
      <c r="E437" s="474"/>
      <c r="F437" s="474"/>
      <c r="G437" s="474"/>
      <c r="H437" s="474"/>
      <c r="I437" s="474"/>
      <c r="J437" s="476"/>
    </row>
    <row r="438" spans="1:10" ht="31.5">
      <c r="A438" s="429" t="s">
        <v>4509</v>
      </c>
      <c r="B438" s="477" t="s">
        <v>4510</v>
      </c>
      <c r="C438" s="466" t="s">
        <v>4511</v>
      </c>
      <c r="D438" s="432" t="s">
        <v>4512</v>
      </c>
      <c r="E438" s="432" t="s">
        <v>5503</v>
      </c>
      <c r="F438" s="432" t="s">
        <v>4305</v>
      </c>
      <c r="G438" s="432" t="s">
        <v>5501</v>
      </c>
      <c r="H438" s="432" t="s">
        <v>4305</v>
      </c>
      <c r="I438" s="432" t="s">
        <v>4305</v>
      </c>
      <c r="J438" s="433" t="s">
        <v>4513</v>
      </c>
    </row>
    <row r="439" spans="1:10" ht="31.5">
      <c r="A439" s="434"/>
      <c r="B439" s="435"/>
      <c r="C439" s="436" t="s">
        <v>4514</v>
      </c>
      <c r="D439" s="437" t="s">
        <v>4515</v>
      </c>
      <c r="E439" s="437" t="s">
        <v>4516</v>
      </c>
      <c r="F439" s="437" t="s">
        <v>243</v>
      </c>
      <c r="G439" s="437" t="s">
        <v>243</v>
      </c>
      <c r="H439" s="437" t="s">
        <v>4130</v>
      </c>
      <c r="I439" s="437" t="s">
        <v>4202</v>
      </c>
      <c r="J439" s="438"/>
    </row>
    <row r="440" spans="1:10" ht="47.25">
      <c r="A440" s="439"/>
      <c r="B440" s="449" t="s">
        <v>4951</v>
      </c>
      <c r="C440" s="441"/>
      <c r="D440" s="441"/>
      <c r="E440" s="441"/>
      <c r="F440" s="441"/>
      <c r="G440" s="441"/>
      <c r="H440" s="441"/>
      <c r="I440" s="441"/>
      <c r="J440" s="442"/>
    </row>
    <row r="441" spans="1:10" ht="15.75">
      <c r="A441" s="439">
        <v>101</v>
      </c>
      <c r="B441" s="442" t="s">
        <v>4952</v>
      </c>
      <c r="C441" s="441">
        <f>G441+H441+I441</f>
        <v>94575000</v>
      </c>
      <c r="D441" s="441">
        <v>40000000</v>
      </c>
      <c r="E441" s="441"/>
      <c r="F441" s="441">
        <v>40000000</v>
      </c>
      <c r="G441" s="441">
        <v>30000000</v>
      </c>
      <c r="H441" s="441">
        <f t="shared" ref="H441:I452" si="47">G441*5/100+G441</f>
        <v>31500000</v>
      </c>
      <c r="I441" s="441">
        <f>H441*1.05</f>
        <v>33075000</v>
      </c>
      <c r="J441" s="442" t="s">
        <v>4953</v>
      </c>
    </row>
    <row r="442" spans="1:10" ht="31.5">
      <c r="A442" s="439">
        <v>102</v>
      </c>
      <c r="B442" s="442" t="s">
        <v>4954</v>
      </c>
      <c r="C442" s="441">
        <f>G442+H442+I442</f>
        <v>94575000</v>
      </c>
      <c r="D442" s="441">
        <v>70000000</v>
      </c>
      <c r="E442" s="441"/>
      <c r="F442" s="441">
        <v>30000000</v>
      </c>
      <c r="G442" s="441">
        <v>30000000</v>
      </c>
      <c r="H442" s="441">
        <f t="shared" si="47"/>
        <v>31500000</v>
      </c>
      <c r="I442" s="441">
        <f>H442*1.05</f>
        <v>33075000</v>
      </c>
      <c r="J442" s="442" t="s">
        <v>5640</v>
      </c>
    </row>
    <row r="443" spans="1:10" ht="15.75">
      <c r="A443" s="439">
        <v>103</v>
      </c>
      <c r="B443" s="442" t="s">
        <v>4955</v>
      </c>
      <c r="C443" s="441">
        <f>G443+H443+I443</f>
        <v>94575000</v>
      </c>
      <c r="D443" s="441">
        <v>30000000</v>
      </c>
      <c r="E443" s="441"/>
      <c r="F443" s="441">
        <v>30000000</v>
      </c>
      <c r="G443" s="441">
        <v>30000000</v>
      </c>
      <c r="H443" s="441">
        <f t="shared" si="47"/>
        <v>31500000</v>
      </c>
      <c r="I443" s="441">
        <f>H443*1.05</f>
        <v>33075000</v>
      </c>
      <c r="J443" s="442" t="s">
        <v>4956</v>
      </c>
    </row>
    <row r="444" spans="1:10" ht="31.5">
      <c r="A444" s="439">
        <v>104</v>
      </c>
      <c r="B444" s="442" t="s">
        <v>4957</v>
      </c>
      <c r="C444" s="441">
        <f>SUM(G444:I444)</f>
        <v>30000000</v>
      </c>
      <c r="D444" s="441">
        <v>100000000</v>
      </c>
      <c r="E444" s="441"/>
      <c r="F444" s="441">
        <v>30000000</v>
      </c>
      <c r="G444" s="441">
        <v>30000000</v>
      </c>
      <c r="H444" s="441" t="s">
        <v>3007</v>
      </c>
      <c r="I444" s="441" t="s">
        <v>3007</v>
      </c>
      <c r="J444" s="442" t="s">
        <v>4958</v>
      </c>
    </row>
    <row r="445" spans="1:10" ht="47.25">
      <c r="A445" s="439">
        <v>105</v>
      </c>
      <c r="B445" s="442" t="s">
        <v>4959</v>
      </c>
      <c r="C445" s="441">
        <f>G445+H445+I445</f>
        <v>63050000</v>
      </c>
      <c r="D445" s="441">
        <v>30000000</v>
      </c>
      <c r="E445" s="441"/>
      <c r="F445" s="441">
        <v>50000000</v>
      </c>
      <c r="G445" s="441">
        <v>20000000</v>
      </c>
      <c r="H445" s="441">
        <f t="shared" si="47"/>
        <v>21000000</v>
      </c>
      <c r="I445" s="441">
        <f>H445*1.05</f>
        <v>22050000</v>
      </c>
      <c r="J445" s="442" t="s">
        <v>5641</v>
      </c>
    </row>
    <row r="446" spans="1:10" ht="31.5">
      <c r="A446" s="439">
        <v>106</v>
      </c>
      <c r="B446" s="442" t="s">
        <v>4960</v>
      </c>
      <c r="C446" s="441">
        <f>G446+H446+I446</f>
        <v>31525000</v>
      </c>
      <c r="D446" s="441">
        <v>20000000</v>
      </c>
      <c r="E446" s="441"/>
      <c r="F446" s="441">
        <v>10000000</v>
      </c>
      <c r="G446" s="441">
        <v>10000000</v>
      </c>
      <c r="H446" s="441">
        <f t="shared" si="47"/>
        <v>10500000</v>
      </c>
      <c r="I446" s="441">
        <f t="shared" si="47"/>
        <v>11025000</v>
      </c>
      <c r="J446" s="442" t="s">
        <v>4961</v>
      </c>
    </row>
    <row r="447" spans="1:10" ht="47.25">
      <c r="A447" s="439">
        <v>107</v>
      </c>
      <c r="B447" s="442" t="s">
        <v>4962</v>
      </c>
      <c r="C447" s="441">
        <f>G447+H447+I447</f>
        <v>47287500</v>
      </c>
      <c r="D447" s="441">
        <v>40000000</v>
      </c>
      <c r="E447" s="441"/>
      <c r="F447" s="441">
        <v>15000000</v>
      </c>
      <c r="G447" s="441">
        <v>15000000</v>
      </c>
      <c r="H447" s="441">
        <f t="shared" si="47"/>
        <v>15750000</v>
      </c>
      <c r="I447" s="441">
        <f t="shared" si="47"/>
        <v>16537500</v>
      </c>
      <c r="J447" s="442" t="s">
        <v>5642</v>
      </c>
    </row>
    <row r="448" spans="1:10" ht="15.75">
      <c r="A448" s="439">
        <v>108</v>
      </c>
      <c r="B448" s="442" t="s">
        <v>4963</v>
      </c>
      <c r="C448" s="441">
        <f>G448+H448+I448</f>
        <v>141862500</v>
      </c>
      <c r="D448" s="441">
        <v>320000000</v>
      </c>
      <c r="E448" s="441">
        <v>50000000</v>
      </c>
      <c r="F448" s="441">
        <v>45000000</v>
      </c>
      <c r="G448" s="441">
        <v>45000000</v>
      </c>
      <c r="H448" s="441">
        <f>G448*5/100+G448</f>
        <v>47250000</v>
      </c>
      <c r="I448" s="441">
        <f>H448*5/100+H448</f>
        <v>49612500</v>
      </c>
      <c r="J448" s="442" t="s">
        <v>4964</v>
      </c>
    </row>
    <row r="449" spans="1:10" ht="31.5">
      <c r="A449" s="439">
        <v>109</v>
      </c>
      <c r="B449" s="442" t="s">
        <v>4965</v>
      </c>
      <c r="C449" s="441">
        <f>G449+H449+I449</f>
        <v>63050000</v>
      </c>
      <c r="D449" s="441">
        <v>50000000</v>
      </c>
      <c r="E449" s="441"/>
      <c r="F449" s="441">
        <v>25000000</v>
      </c>
      <c r="G449" s="441">
        <v>20000000</v>
      </c>
      <c r="H449" s="441">
        <f t="shared" si="47"/>
        <v>21000000</v>
      </c>
      <c r="I449" s="441">
        <f t="shared" si="47"/>
        <v>22050000</v>
      </c>
      <c r="J449" s="442" t="s">
        <v>5643</v>
      </c>
    </row>
    <row r="450" spans="1:10" ht="31.5">
      <c r="A450" s="439"/>
      <c r="B450" s="449" t="s">
        <v>4966</v>
      </c>
      <c r="C450" s="441"/>
      <c r="D450" s="441"/>
      <c r="E450" s="441"/>
      <c r="F450" s="441"/>
      <c r="G450" s="441"/>
      <c r="H450" s="441"/>
      <c r="I450" s="441"/>
      <c r="J450" s="442"/>
    </row>
    <row r="451" spans="1:10" ht="31.5">
      <c r="A451" s="439">
        <v>201</v>
      </c>
      <c r="B451" s="442" t="s">
        <v>4967</v>
      </c>
      <c r="C451" s="441">
        <f t="shared" ref="C451:C456" si="48">G451+H451+I451</f>
        <v>94575000</v>
      </c>
      <c r="D451" s="441">
        <v>40000000</v>
      </c>
      <c r="E451" s="441"/>
      <c r="F451" s="441">
        <v>30000000</v>
      </c>
      <c r="G451" s="441">
        <v>30000000</v>
      </c>
      <c r="H451" s="441">
        <f t="shared" ref="H451:H456" si="49">G451*5/100+G451</f>
        <v>31500000</v>
      </c>
      <c r="I451" s="441">
        <f t="shared" si="47"/>
        <v>33075000</v>
      </c>
      <c r="J451" s="442" t="s">
        <v>5644</v>
      </c>
    </row>
    <row r="452" spans="1:10" ht="31.5">
      <c r="A452" s="439">
        <v>202</v>
      </c>
      <c r="B452" s="442" t="s">
        <v>4968</v>
      </c>
      <c r="C452" s="441">
        <f t="shared" si="48"/>
        <v>31525000</v>
      </c>
      <c r="D452" s="441">
        <v>10000000</v>
      </c>
      <c r="E452" s="441"/>
      <c r="F452" s="441">
        <v>15000000</v>
      </c>
      <c r="G452" s="441">
        <v>10000000</v>
      </c>
      <c r="H452" s="441">
        <f t="shared" si="49"/>
        <v>10500000</v>
      </c>
      <c r="I452" s="441">
        <f t="shared" si="47"/>
        <v>11025000</v>
      </c>
      <c r="J452" s="442" t="s">
        <v>4969</v>
      </c>
    </row>
    <row r="453" spans="1:10" ht="31.5">
      <c r="A453" s="439">
        <v>203</v>
      </c>
      <c r="B453" s="442" t="s">
        <v>4970</v>
      </c>
      <c r="C453" s="441">
        <f t="shared" si="48"/>
        <v>126100000</v>
      </c>
      <c r="D453" s="441">
        <v>40000000</v>
      </c>
      <c r="E453" s="441"/>
      <c r="F453" s="441">
        <v>40000000</v>
      </c>
      <c r="G453" s="441">
        <v>40000000</v>
      </c>
      <c r="H453" s="441">
        <f t="shared" si="49"/>
        <v>42000000</v>
      </c>
      <c r="I453" s="441">
        <f>H453*1.05</f>
        <v>44100000</v>
      </c>
      <c r="J453" s="442" t="s">
        <v>4971</v>
      </c>
    </row>
    <row r="454" spans="1:10" ht="31.5">
      <c r="A454" s="439">
        <v>204</v>
      </c>
      <c r="B454" s="442" t="s">
        <v>4972</v>
      </c>
      <c r="C454" s="441">
        <f t="shared" si="48"/>
        <v>94575000</v>
      </c>
      <c r="D454" s="441">
        <v>30000000</v>
      </c>
      <c r="E454" s="441"/>
      <c r="F454" s="441">
        <v>30000000</v>
      </c>
      <c r="G454" s="441">
        <v>30000000</v>
      </c>
      <c r="H454" s="441">
        <f t="shared" si="49"/>
        <v>31500000</v>
      </c>
      <c r="I454" s="441">
        <f>H454*1.05</f>
        <v>33075000</v>
      </c>
      <c r="J454" s="442" t="s">
        <v>5645</v>
      </c>
    </row>
    <row r="455" spans="1:10" ht="47.25">
      <c r="A455" s="439">
        <v>205</v>
      </c>
      <c r="B455" s="442" t="s">
        <v>4973</v>
      </c>
      <c r="C455" s="441">
        <f t="shared" si="48"/>
        <v>31525000</v>
      </c>
      <c r="D455" s="441">
        <v>10000000</v>
      </c>
      <c r="E455" s="441"/>
      <c r="F455" s="441">
        <v>20000000</v>
      </c>
      <c r="G455" s="441">
        <v>10000000</v>
      </c>
      <c r="H455" s="441">
        <f t="shared" si="49"/>
        <v>10500000</v>
      </c>
      <c r="I455" s="441">
        <f>H455*5/100+H455</f>
        <v>11025000</v>
      </c>
      <c r="J455" s="442" t="s">
        <v>4974</v>
      </c>
    </row>
    <row r="456" spans="1:10" ht="31.5">
      <c r="A456" s="439">
        <v>206</v>
      </c>
      <c r="B456" s="442" t="s">
        <v>4975</v>
      </c>
      <c r="C456" s="441">
        <f t="shared" si="48"/>
        <v>44135000</v>
      </c>
      <c r="D456" s="441">
        <v>14000000</v>
      </c>
      <c r="E456" s="441"/>
      <c r="F456" s="441">
        <v>14000000</v>
      </c>
      <c r="G456" s="441">
        <v>14000000</v>
      </c>
      <c r="H456" s="441">
        <f t="shared" si="49"/>
        <v>14700000</v>
      </c>
      <c r="I456" s="441">
        <f>H456*5/100+H456</f>
        <v>15435000</v>
      </c>
      <c r="J456" s="442" t="s">
        <v>4976</v>
      </c>
    </row>
    <row r="457" spans="1:10" ht="15.75">
      <c r="A457" s="446"/>
      <c r="B457" s="499"/>
      <c r="C457" s="500"/>
      <c r="D457" s="500"/>
      <c r="E457" s="500"/>
      <c r="F457" s="500"/>
      <c r="G457" s="500"/>
      <c r="H457" s="500"/>
      <c r="I457" s="500"/>
      <c r="J457" s="499"/>
    </row>
    <row r="458" spans="1:10" ht="15.75">
      <c r="A458" s="423" t="s">
        <v>4949</v>
      </c>
      <c r="B458" s="463"/>
      <c r="C458" s="425" t="s">
        <v>1840</v>
      </c>
      <c r="D458" s="425"/>
      <c r="E458" s="425"/>
      <c r="F458" s="425"/>
      <c r="G458" s="425"/>
      <c r="H458" s="425"/>
      <c r="I458" s="425"/>
      <c r="J458" s="424"/>
    </row>
    <row r="459" spans="1:10" ht="15.75">
      <c r="A459" s="426" t="s">
        <v>4582</v>
      </c>
      <c r="B459" s="427" t="s">
        <v>4950</v>
      </c>
      <c r="C459" s="425" t="s">
        <v>1840</v>
      </c>
      <c r="D459" s="474"/>
      <c r="E459" s="474"/>
      <c r="F459" s="474"/>
      <c r="G459" s="474"/>
      <c r="H459" s="474"/>
      <c r="I459" s="474"/>
      <c r="J459" s="476"/>
    </row>
    <row r="460" spans="1:10" ht="31.5">
      <c r="A460" s="429" t="s">
        <v>4509</v>
      </c>
      <c r="B460" s="477" t="s">
        <v>4510</v>
      </c>
      <c r="C460" s="466" t="s">
        <v>4511</v>
      </c>
      <c r="D460" s="432" t="s">
        <v>4512</v>
      </c>
      <c r="E460" s="432" t="s">
        <v>5503</v>
      </c>
      <c r="F460" s="432" t="s">
        <v>4305</v>
      </c>
      <c r="G460" s="432" t="s">
        <v>5501</v>
      </c>
      <c r="H460" s="432" t="s">
        <v>4305</v>
      </c>
      <c r="I460" s="432" t="s">
        <v>4305</v>
      </c>
      <c r="J460" s="433" t="s">
        <v>4513</v>
      </c>
    </row>
    <row r="461" spans="1:10" ht="31.5">
      <c r="A461" s="434"/>
      <c r="B461" s="435"/>
      <c r="C461" s="436" t="s">
        <v>4514</v>
      </c>
      <c r="D461" s="437" t="s">
        <v>4515</v>
      </c>
      <c r="E461" s="437" t="s">
        <v>4516</v>
      </c>
      <c r="F461" s="437" t="s">
        <v>243</v>
      </c>
      <c r="G461" s="437" t="s">
        <v>243</v>
      </c>
      <c r="H461" s="437" t="s">
        <v>4130</v>
      </c>
      <c r="I461" s="437" t="s">
        <v>4202</v>
      </c>
      <c r="J461" s="438"/>
    </row>
    <row r="462" spans="1:10" ht="15.75">
      <c r="A462" s="439"/>
      <c r="B462" s="442"/>
      <c r="C462" s="441"/>
      <c r="D462" s="441"/>
      <c r="E462" s="441"/>
      <c r="F462" s="441"/>
      <c r="G462" s="441"/>
      <c r="H462" s="441"/>
      <c r="I462" s="441"/>
      <c r="J462" s="442"/>
    </row>
    <row r="463" spans="1:10" ht="15.75">
      <c r="A463" s="439">
        <v>207</v>
      </c>
      <c r="B463" s="442" t="s">
        <v>4977</v>
      </c>
      <c r="C463" s="441">
        <f>G463+H463+I463</f>
        <v>346775000</v>
      </c>
      <c r="D463" s="441">
        <v>124000000</v>
      </c>
      <c r="E463" s="441"/>
      <c r="F463" s="441">
        <v>110000000</v>
      </c>
      <c r="G463" s="441">
        <v>110000000</v>
      </c>
      <c r="H463" s="441">
        <f>G463*5/100+G463</f>
        <v>115500000</v>
      </c>
      <c r="I463" s="441">
        <f>H463*5/100+H463</f>
        <v>121275000</v>
      </c>
      <c r="J463" s="442" t="s">
        <v>4978</v>
      </c>
    </row>
    <row r="464" spans="1:10" ht="31.5">
      <c r="A464" s="439">
        <v>208</v>
      </c>
      <c r="B464" s="442" t="s">
        <v>5646</v>
      </c>
      <c r="C464" s="441">
        <f>SUM(G464:I464)</f>
        <v>5000000</v>
      </c>
      <c r="D464" s="441">
        <v>5000000</v>
      </c>
      <c r="E464" s="441"/>
      <c r="F464" s="441">
        <v>5000000</v>
      </c>
      <c r="G464" s="441">
        <v>5000000</v>
      </c>
      <c r="H464" s="441" t="s">
        <v>3007</v>
      </c>
      <c r="I464" s="441" t="s">
        <v>3007</v>
      </c>
      <c r="J464" s="442" t="s">
        <v>4979</v>
      </c>
    </row>
    <row r="465" spans="1:10" ht="15.75">
      <c r="A465" s="514">
        <v>209</v>
      </c>
      <c r="B465" s="442"/>
      <c r="C465" s="441">
        <f>G465+H465+I465</f>
        <v>0</v>
      </c>
      <c r="D465" s="441">
        <v>10000000</v>
      </c>
      <c r="E465" s="441"/>
      <c r="F465" s="441"/>
      <c r="G465" s="441"/>
      <c r="H465" s="441">
        <f>G465*5/100+G465</f>
        <v>0</v>
      </c>
      <c r="I465" s="441">
        <f>H465*5/100+H465</f>
        <v>0</v>
      </c>
      <c r="J465" s="442"/>
    </row>
    <row r="466" spans="1:10" ht="31.5">
      <c r="A466" s="514">
        <v>210</v>
      </c>
      <c r="B466" s="442" t="s">
        <v>4980</v>
      </c>
      <c r="C466" s="441">
        <f>G466+H466+I466</f>
        <v>63050000</v>
      </c>
      <c r="D466" s="441">
        <v>30000000</v>
      </c>
      <c r="E466" s="441"/>
      <c r="F466" s="441">
        <v>25000000</v>
      </c>
      <c r="G466" s="441">
        <v>20000000</v>
      </c>
      <c r="H466" s="441">
        <f>G466*5/100+G466</f>
        <v>21000000</v>
      </c>
      <c r="I466" s="441">
        <f>H466*5/100+H466</f>
        <v>22050000</v>
      </c>
      <c r="J466" s="442" t="s">
        <v>5647</v>
      </c>
    </row>
    <row r="467" spans="1:10" ht="15.75">
      <c r="A467" s="439">
        <v>211</v>
      </c>
      <c r="B467" s="442" t="s">
        <v>4981</v>
      </c>
      <c r="C467" s="441">
        <f>SUM(G467:I467)</f>
        <v>9000000</v>
      </c>
      <c r="D467" s="441">
        <v>9000000</v>
      </c>
      <c r="E467" s="441"/>
      <c r="F467" s="441">
        <v>15000000</v>
      </c>
      <c r="G467" s="441">
        <v>9000000</v>
      </c>
      <c r="H467" s="441" t="s">
        <v>3007</v>
      </c>
      <c r="I467" s="441" t="s">
        <v>3007</v>
      </c>
      <c r="J467" s="442" t="s">
        <v>4982</v>
      </c>
    </row>
    <row r="468" spans="1:10" ht="15.75">
      <c r="A468" s="439">
        <v>212</v>
      </c>
      <c r="B468" s="442" t="s">
        <v>4983</v>
      </c>
      <c r="C468" s="441">
        <f>SUM(G468:I468)</f>
        <v>0</v>
      </c>
      <c r="D468" s="441">
        <v>2800000</v>
      </c>
      <c r="E468" s="441"/>
      <c r="F468" s="441" t="s">
        <v>3007</v>
      </c>
      <c r="G468" s="441" t="s">
        <v>3007</v>
      </c>
      <c r="H468" s="441" t="s">
        <v>3007</v>
      </c>
      <c r="I468" s="441" t="s">
        <v>3007</v>
      </c>
      <c r="J468" s="442" t="s">
        <v>4984</v>
      </c>
    </row>
    <row r="469" spans="1:10" ht="15.75">
      <c r="A469" s="439"/>
      <c r="B469" s="442"/>
      <c r="C469" s="441"/>
      <c r="D469" s="441"/>
      <c r="E469" s="441"/>
      <c r="F469" s="441"/>
      <c r="G469" s="441"/>
      <c r="H469" s="441"/>
      <c r="I469" s="441"/>
      <c r="J469" s="442"/>
    </row>
    <row r="470" spans="1:10" ht="31.5">
      <c r="A470" s="439">
        <v>213</v>
      </c>
      <c r="B470" s="442" t="s">
        <v>4985</v>
      </c>
      <c r="C470" s="441">
        <f>SUM(G470:I470)</f>
        <v>7000000</v>
      </c>
      <c r="D470" s="441">
        <v>7000000</v>
      </c>
      <c r="E470" s="441"/>
      <c r="F470" s="441">
        <v>10000000</v>
      </c>
      <c r="G470" s="441">
        <v>7000000</v>
      </c>
      <c r="H470" s="441" t="s">
        <v>3007</v>
      </c>
      <c r="I470" s="441" t="s">
        <v>3007</v>
      </c>
      <c r="J470" s="442" t="s">
        <v>5648</v>
      </c>
    </row>
    <row r="471" spans="1:10" ht="15.75">
      <c r="A471" s="439"/>
      <c r="B471" s="442"/>
      <c r="C471" s="441"/>
      <c r="D471" s="441"/>
      <c r="E471" s="441"/>
      <c r="F471" s="441"/>
      <c r="G471" s="441"/>
      <c r="H471" s="441"/>
      <c r="I471" s="441"/>
      <c r="J471" s="442"/>
    </row>
    <row r="472" spans="1:10" ht="15.75">
      <c r="A472" s="439">
        <v>214</v>
      </c>
      <c r="B472" s="442" t="s">
        <v>4986</v>
      </c>
      <c r="C472" s="441">
        <f>G472+H472+I472</f>
        <v>94575000</v>
      </c>
      <c r="D472" s="441">
        <v>30000000</v>
      </c>
      <c r="E472" s="441">
        <v>0</v>
      </c>
      <c r="F472" s="441">
        <v>35000000</v>
      </c>
      <c r="G472" s="441">
        <v>30000000</v>
      </c>
      <c r="H472" s="441">
        <f>G472*5/100+G472</f>
        <v>31500000</v>
      </c>
      <c r="I472" s="441">
        <f>H472*5/100+H472</f>
        <v>33075000</v>
      </c>
      <c r="J472" s="442" t="s">
        <v>4987</v>
      </c>
    </row>
    <row r="473" spans="1:10" ht="31.5">
      <c r="A473" s="439"/>
      <c r="B473" s="449" t="s">
        <v>4988</v>
      </c>
      <c r="C473" s="441"/>
      <c r="D473" s="441"/>
      <c r="E473" s="441"/>
      <c r="F473" s="441"/>
      <c r="G473" s="441"/>
      <c r="H473" s="441"/>
      <c r="I473" s="441"/>
      <c r="J473" s="442"/>
    </row>
    <row r="474" spans="1:10" ht="47.25">
      <c r="A474" s="439">
        <v>301</v>
      </c>
      <c r="B474" s="442" t="s">
        <v>4989</v>
      </c>
      <c r="C474" s="441">
        <f>G474+H474+I474</f>
        <v>63050000</v>
      </c>
      <c r="D474" s="441">
        <v>20000000</v>
      </c>
      <c r="E474" s="441"/>
      <c r="F474" s="441"/>
      <c r="G474" s="441">
        <v>20000000</v>
      </c>
      <c r="H474" s="441">
        <f t="shared" ref="H474:I476" si="50">G474*5/100+G474</f>
        <v>21000000</v>
      </c>
      <c r="I474" s="441">
        <f t="shared" si="50"/>
        <v>22050000</v>
      </c>
      <c r="J474" s="442" t="s">
        <v>4990</v>
      </c>
    </row>
    <row r="475" spans="1:10" ht="47.25">
      <c r="A475" s="439">
        <v>302</v>
      </c>
      <c r="B475" s="442" t="s">
        <v>4991</v>
      </c>
      <c r="C475" s="441">
        <f>G475+H475+I475</f>
        <v>157625000</v>
      </c>
      <c r="D475" s="441">
        <v>100000000</v>
      </c>
      <c r="E475" s="441"/>
      <c r="F475" s="441"/>
      <c r="G475" s="441">
        <v>50000000</v>
      </c>
      <c r="H475" s="441">
        <f t="shared" si="50"/>
        <v>52500000</v>
      </c>
      <c r="I475" s="441">
        <f t="shared" si="50"/>
        <v>55125000</v>
      </c>
      <c r="J475" s="442" t="s">
        <v>4992</v>
      </c>
    </row>
    <row r="476" spans="1:10" ht="31.5">
      <c r="A476" s="439">
        <v>303</v>
      </c>
      <c r="B476" s="442" t="s">
        <v>4993</v>
      </c>
      <c r="C476" s="441">
        <f>G476+H476+I476</f>
        <v>63050000</v>
      </c>
      <c r="D476" s="441">
        <v>20000000</v>
      </c>
      <c r="E476" s="441"/>
      <c r="F476" s="441"/>
      <c r="G476" s="441">
        <v>20000000</v>
      </c>
      <c r="H476" s="441">
        <f t="shared" si="50"/>
        <v>21000000</v>
      </c>
      <c r="I476" s="441">
        <f t="shared" si="50"/>
        <v>22050000</v>
      </c>
      <c r="J476" s="442" t="s">
        <v>4994</v>
      </c>
    </row>
    <row r="477" spans="1:10" ht="15.75">
      <c r="A477" s="439"/>
      <c r="B477" s="442"/>
      <c r="C477" s="441"/>
      <c r="D477" s="441"/>
      <c r="E477" s="441"/>
      <c r="F477" s="441"/>
      <c r="G477" s="441"/>
      <c r="H477" s="441"/>
      <c r="I477" s="441"/>
      <c r="J477" s="442"/>
    </row>
    <row r="478" spans="1:10" ht="31.5">
      <c r="A478" s="439"/>
      <c r="B478" s="449" t="s">
        <v>4995</v>
      </c>
      <c r="C478" s="441"/>
      <c r="D478" s="441"/>
      <c r="E478" s="441"/>
      <c r="F478" s="441"/>
      <c r="G478" s="441"/>
      <c r="H478" s="441"/>
      <c r="I478" s="441"/>
      <c r="J478" s="442"/>
    </row>
    <row r="479" spans="1:10" ht="47.25">
      <c r="A479" s="439">
        <v>401</v>
      </c>
      <c r="B479" s="442" t="s">
        <v>4996</v>
      </c>
      <c r="C479" s="441">
        <f>G479+H479+I479</f>
        <v>157625000</v>
      </c>
      <c r="D479" s="441">
        <v>60000000</v>
      </c>
      <c r="E479" s="441"/>
      <c r="F479" s="441"/>
      <c r="G479" s="441">
        <v>50000000</v>
      </c>
      <c r="H479" s="441">
        <f>G479*5/100+G479</f>
        <v>52500000</v>
      </c>
      <c r="I479" s="441">
        <f>H479*5/100+H479</f>
        <v>55125000</v>
      </c>
      <c r="J479" s="442" t="s">
        <v>4997</v>
      </c>
    </row>
    <row r="480" spans="1:10" ht="15.75">
      <c r="A480" s="515"/>
      <c r="B480" s="461" t="s">
        <v>4580</v>
      </c>
      <c r="C480" s="462">
        <f t="shared" ref="C480:I480" si="51">SUM(C440:C479)</f>
        <v>2049685000</v>
      </c>
      <c r="D480" s="462">
        <f t="shared" si="51"/>
        <v>1261800000</v>
      </c>
      <c r="E480" s="462">
        <f t="shared" si="51"/>
        <v>50000000</v>
      </c>
      <c r="F480" s="462">
        <f>SUM(F440:F479)</f>
        <v>624000000</v>
      </c>
      <c r="G480" s="462">
        <f t="shared" si="51"/>
        <v>685000000</v>
      </c>
      <c r="H480" s="462">
        <f t="shared" si="51"/>
        <v>665700000</v>
      </c>
      <c r="I480" s="462">
        <f t="shared" si="51"/>
        <v>698985000</v>
      </c>
      <c r="J480" s="516"/>
    </row>
    <row r="481" spans="1:10" ht="15.75">
      <c r="A481" s="515"/>
      <c r="B481" s="461" t="s">
        <v>4998</v>
      </c>
      <c r="C481" s="462">
        <f t="shared" ref="C481:I481" si="52">C305+C344+C412+C435+C480</f>
        <v>40591833750</v>
      </c>
      <c r="D481" s="462">
        <f t="shared" si="52"/>
        <v>14973800000</v>
      </c>
      <c r="E481" s="462">
        <f t="shared" si="52"/>
        <v>436630124</v>
      </c>
      <c r="F481" s="462">
        <f t="shared" si="52"/>
        <v>20924000000</v>
      </c>
      <c r="G481" s="462">
        <f t="shared" si="52"/>
        <v>16107500000</v>
      </c>
      <c r="H481" s="462">
        <f t="shared" si="52"/>
        <v>16355325000</v>
      </c>
      <c r="I481" s="462">
        <f t="shared" si="52"/>
        <v>17173091250</v>
      </c>
      <c r="J481" s="516"/>
    </row>
    <row r="482" spans="1:10" ht="15.75">
      <c r="A482" s="423" t="s">
        <v>4999</v>
      </c>
      <c r="B482" s="463"/>
      <c r="C482" s="425" t="s">
        <v>1840</v>
      </c>
      <c r="D482" s="425"/>
      <c r="E482" s="425"/>
      <c r="F482" s="425"/>
      <c r="G482" s="425"/>
      <c r="H482" s="425"/>
      <c r="I482" s="425"/>
      <c r="J482" s="424"/>
    </row>
    <row r="483" spans="1:10" ht="15.75">
      <c r="A483" s="426" t="s">
        <v>4582</v>
      </c>
      <c r="B483" s="427" t="s">
        <v>5000</v>
      </c>
      <c r="C483" s="425" t="s">
        <v>1840</v>
      </c>
      <c r="D483" s="474"/>
      <c r="E483" s="474"/>
      <c r="F483" s="474"/>
      <c r="G483" s="474"/>
      <c r="H483" s="474"/>
      <c r="I483" s="474"/>
      <c r="J483" s="476"/>
    </row>
    <row r="484" spans="1:10" ht="31.5">
      <c r="A484" s="429" t="s">
        <v>4509</v>
      </c>
      <c r="B484" s="477" t="s">
        <v>4510</v>
      </c>
      <c r="C484" s="466" t="s">
        <v>4511</v>
      </c>
      <c r="D484" s="432" t="s">
        <v>4512</v>
      </c>
      <c r="E484" s="432" t="s">
        <v>5503</v>
      </c>
      <c r="F484" s="432" t="s">
        <v>4305</v>
      </c>
      <c r="G484" s="432" t="s">
        <v>5501</v>
      </c>
      <c r="H484" s="432" t="s">
        <v>4305</v>
      </c>
      <c r="I484" s="432" t="s">
        <v>4305</v>
      </c>
      <c r="J484" s="433" t="s">
        <v>4513</v>
      </c>
    </row>
    <row r="485" spans="1:10" ht="31.5">
      <c r="A485" s="434"/>
      <c r="B485" s="435"/>
      <c r="C485" s="436" t="s">
        <v>4514</v>
      </c>
      <c r="D485" s="437" t="s">
        <v>4515</v>
      </c>
      <c r="E485" s="437" t="s">
        <v>4516</v>
      </c>
      <c r="F485" s="437" t="s">
        <v>243</v>
      </c>
      <c r="G485" s="437" t="s">
        <v>243</v>
      </c>
      <c r="H485" s="437" t="s">
        <v>4130</v>
      </c>
      <c r="I485" s="437" t="s">
        <v>4202</v>
      </c>
      <c r="J485" s="438"/>
    </row>
    <row r="486" spans="1:10" ht="31.5">
      <c r="A486" s="467"/>
      <c r="B486" s="517" t="s">
        <v>1664</v>
      </c>
      <c r="C486" s="441"/>
      <c r="D486" s="441"/>
      <c r="E486" s="441"/>
      <c r="F486" s="441"/>
      <c r="G486" s="441"/>
      <c r="H486" s="441"/>
      <c r="I486" s="441"/>
      <c r="J486" s="467"/>
    </row>
    <row r="487" spans="1:10" ht="47.25">
      <c r="A487" s="439">
        <v>101</v>
      </c>
      <c r="B487" s="442" t="s">
        <v>5001</v>
      </c>
      <c r="C487" s="441">
        <f t="shared" ref="C487:C494" si="53">G487+H487+I487</f>
        <v>3152500000</v>
      </c>
      <c r="D487" s="441">
        <v>1500000000</v>
      </c>
      <c r="E487" s="441"/>
      <c r="F487" s="441"/>
      <c r="G487" s="441">
        <v>1000000000</v>
      </c>
      <c r="H487" s="441">
        <f t="shared" ref="H487:I494" si="54">G487*5/100+G487</f>
        <v>1050000000</v>
      </c>
      <c r="I487" s="441">
        <f t="shared" si="54"/>
        <v>1102500000</v>
      </c>
      <c r="J487" s="442" t="s">
        <v>5002</v>
      </c>
    </row>
    <row r="488" spans="1:10" ht="47.25">
      <c r="A488" s="439">
        <f>1+A487</f>
        <v>102</v>
      </c>
      <c r="B488" s="442" t="s">
        <v>5003</v>
      </c>
      <c r="C488" s="441">
        <f t="shared" si="53"/>
        <v>126100000</v>
      </c>
      <c r="D488" s="441">
        <v>40000000</v>
      </c>
      <c r="E488" s="441"/>
      <c r="F488" s="441"/>
      <c r="G488" s="441">
        <v>40000000</v>
      </c>
      <c r="H488" s="441">
        <f t="shared" si="54"/>
        <v>42000000</v>
      </c>
      <c r="I488" s="441">
        <f t="shared" si="54"/>
        <v>44100000</v>
      </c>
      <c r="J488" s="442" t="s">
        <v>5649</v>
      </c>
    </row>
    <row r="489" spans="1:10" ht="31.5">
      <c r="A489" s="439">
        <v>103</v>
      </c>
      <c r="B489" s="442" t="s">
        <v>5651</v>
      </c>
      <c r="C489" s="441">
        <f t="shared" si="53"/>
        <v>31525000</v>
      </c>
      <c r="D489" s="441">
        <v>10000000</v>
      </c>
      <c r="E489" s="441"/>
      <c r="F489" s="441"/>
      <c r="G489" s="441">
        <v>10000000</v>
      </c>
      <c r="H489" s="441">
        <f t="shared" si="54"/>
        <v>10500000</v>
      </c>
      <c r="I489" s="441">
        <f t="shared" si="54"/>
        <v>11025000</v>
      </c>
      <c r="J489" s="442" t="s">
        <v>5650</v>
      </c>
    </row>
    <row r="490" spans="1:10" ht="31.5">
      <c r="A490" s="439">
        <v>104</v>
      </c>
      <c r="B490" s="442" t="s">
        <v>5004</v>
      </c>
      <c r="C490" s="441">
        <f t="shared" si="53"/>
        <v>31525000</v>
      </c>
      <c r="D490" s="441">
        <v>10000000</v>
      </c>
      <c r="E490" s="441">
        <v>39396000</v>
      </c>
      <c r="F490" s="441"/>
      <c r="G490" s="441">
        <v>10000000</v>
      </c>
      <c r="H490" s="441">
        <f t="shared" si="54"/>
        <v>10500000</v>
      </c>
      <c r="I490" s="441">
        <f t="shared" si="54"/>
        <v>11025000</v>
      </c>
      <c r="J490" s="442" t="s">
        <v>5652</v>
      </c>
    </row>
    <row r="491" spans="1:10" ht="31.5">
      <c r="A491" s="439">
        <v>105</v>
      </c>
      <c r="B491" s="442" t="s">
        <v>5005</v>
      </c>
      <c r="C491" s="441">
        <f t="shared" si="53"/>
        <v>63050000</v>
      </c>
      <c r="D491" s="441">
        <v>20000000</v>
      </c>
      <c r="E491" s="441"/>
      <c r="F491" s="441"/>
      <c r="G491" s="441">
        <v>20000000</v>
      </c>
      <c r="H491" s="441">
        <f t="shared" si="54"/>
        <v>21000000</v>
      </c>
      <c r="I491" s="441">
        <f t="shared" si="54"/>
        <v>22050000</v>
      </c>
      <c r="J491" s="442" t="s">
        <v>5653</v>
      </c>
    </row>
    <row r="492" spans="1:10" ht="31.5">
      <c r="A492" s="439">
        <v>106</v>
      </c>
      <c r="B492" s="442" t="s">
        <v>5006</v>
      </c>
      <c r="C492" s="441"/>
      <c r="D492" s="441" t="s">
        <v>3007</v>
      </c>
      <c r="E492" s="441"/>
      <c r="F492" s="441"/>
      <c r="G492" s="441" t="s">
        <v>3007</v>
      </c>
      <c r="H492" s="441" t="s">
        <v>3007</v>
      </c>
      <c r="I492" s="441" t="s">
        <v>3007</v>
      </c>
      <c r="J492" s="442" t="s">
        <v>5654</v>
      </c>
    </row>
    <row r="493" spans="1:10" ht="31.5">
      <c r="A493" s="439">
        <v>107</v>
      </c>
      <c r="B493" s="442" t="s">
        <v>5007</v>
      </c>
      <c r="C493" s="441">
        <f t="shared" si="53"/>
        <v>63050000</v>
      </c>
      <c r="D493" s="441">
        <v>20000000</v>
      </c>
      <c r="E493" s="441"/>
      <c r="F493" s="441"/>
      <c r="G493" s="441">
        <v>20000000</v>
      </c>
      <c r="H493" s="441">
        <f t="shared" si="54"/>
        <v>21000000</v>
      </c>
      <c r="I493" s="441">
        <f t="shared" si="54"/>
        <v>22050000</v>
      </c>
      <c r="J493" s="442" t="s">
        <v>5008</v>
      </c>
    </row>
    <row r="494" spans="1:10" ht="31.5">
      <c r="A494" s="439">
        <v>108</v>
      </c>
      <c r="B494" s="442" t="s">
        <v>5009</v>
      </c>
      <c r="C494" s="441">
        <f t="shared" si="53"/>
        <v>94575000</v>
      </c>
      <c r="D494" s="441">
        <v>30000000</v>
      </c>
      <c r="E494" s="441"/>
      <c r="F494" s="441"/>
      <c r="G494" s="441">
        <v>30000000</v>
      </c>
      <c r="H494" s="441">
        <f>G494*5/100+G494</f>
        <v>31500000</v>
      </c>
      <c r="I494" s="441">
        <f t="shared" si="54"/>
        <v>33075000</v>
      </c>
      <c r="J494" s="442" t="s">
        <v>5655</v>
      </c>
    </row>
    <row r="495" spans="1:10" ht="31.5">
      <c r="A495" s="439"/>
      <c r="B495" s="449" t="s">
        <v>5010</v>
      </c>
      <c r="C495" s="441"/>
      <c r="D495" s="441"/>
      <c r="E495" s="441"/>
      <c r="F495" s="441"/>
      <c r="G495" s="441"/>
      <c r="H495" s="441"/>
      <c r="I495" s="441"/>
      <c r="J495" s="442"/>
    </row>
    <row r="496" spans="1:10" ht="63">
      <c r="A496" s="439">
        <v>201</v>
      </c>
      <c r="B496" s="442" t="s">
        <v>5011</v>
      </c>
      <c r="C496" s="441">
        <f t="shared" ref="C496:C501" si="55">G496+H496+I496</f>
        <v>315250000</v>
      </c>
      <c r="D496" s="441">
        <v>150000000</v>
      </c>
      <c r="E496" s="441">
        <v>25928909</v>
      </c>
      <c r="F496" s="441">
        <v>150000000</v>
      </c>
      <c r="G496" s="441">
        <v>100000000</v>
      </c>
      <c r="H496" s="441">
        <f t="shared" ref="H496:I501" si="56">G496*5/100+G496</f>
        <v>105000000</v>
      </c>
      <c r="I496" s="441">
        <f t="shared" si="56"/>
        <v>110250000</v>
      </c>
      <c r="J496" s="442" t="s">
        <v>5660</v>
      </c>
    </row>
    <row r="497" spans="1:10" ht="47.25">
      <c r="A497" s="439">
        <v>202</v>
      </c>
      <c r="B497" s="442" t="s">
        <v>5012</v>
      </c>
      <c r="C497" s="441">
        <f t="shared" si="55"/>
        <v>315250000</v>
      </c>
      <c r="D497" s="441">
        <v>100000000</v>
      </c>
      <c r="E497" s="441"/>
      <c r="F497" s="441">
        <v>100000000</v>
      </c>
      <c r="G497" s="441">
        <v>100000000</v>
      </c>
      <c r="H497" s="441">
        <f t="shared" si="56"/>
        <v>105000000</v>
      </c>
      <c r="I497" s="441">
        <f t="shared" si="56"/>
        <v>110250000</v>
      </c>
      <c r="J497" s="442" t="s">
        <v>5656</v>
      </c>
    </row>
    <row r="498" spans="1:10" ht="31.5">
      <c r="A498" s="439">
        <v>203</v>
      </c>
      <c r="B498" s="442" t="s">
        <v>5013</v>
      </c>
      <c r="C498" s="441">
        <f t="shared" si="55"/>
        <v>315250000</v>
      </c>
      <c r="D498" s="441">
        <v>105000000</v>
      </c>
      <c r="E498" s="441"/>
      <c r="F498" s="441">
        <v>150000000</v>
      </c>
      <c r="G498" s="441">
        <v>100000000</v>
      </c>
      <c r="H498" s="441">
        <f t="shared" si="56"/>
        <v>105000000</v>
      </c>
      <c r="I498" s="441">
        <f t="shared" si="56"/>
        <v>110250000</v>
      </c>
      <c r="J498" s="442" t="s">
        <v>5014</v>
      </c>
    </row>
    <row r="499" spans="1:10" ht="47.25">
      <c r="A499" s="439">
        <v>204</v>
      </c>
      <c r="B499" s="442" t="s">
        <v>5015</v>
      </c>
      <c r="C499" s="441"/>
      <c r="D499" s="441">
        <v>21000000</v>
      </c>
      <c r="E499" s="441"/>
      <c r="F499" s="441" t="s">
        <v>3007</v>
      </c>
      <c r="G499" s="441" t="s">
        <v>3007</v>
      </c>
      <c r="H499" s="441" t="s">
        <v>3007</v>
      </c>
      <c r="I499" s="441" t="s">
        <v>3007</v>
      </c>
      <c r="J499" s="442" t="s">
        <v>5657</v>
      </c>
    </row>
    <row r="500" spans="1:10" ht="31.5">
      <c r="A500" s="439">
        <v>205</v>
      </c>
      <c r="B500" s="442" t="s">
        <v>5016</v>
      </c>
      <c r="C500" s="441">
        <f t="shared" si="55"/>
        <v>315250000</v>
      </c>
      <c r="D500" s="441">
        <v>200000000</v>
      </c>
      <c r="E500" s="441"/>
      <c r="F500" s="441">
        <v>100000000</v>
      </c>
      <c r="G500" s="441">
        <v>100000000</v>
      </c>
      <c r="H500" s="441">
        <f t="shared" si="56"/>
        <v>105000000</v>
      </c>
      <c r="I500" s="441">
        <f t="shared" si="56"/>
        <v>110250000</v>
      </c>
      <c r="J500" s="442" t="s">
        <v>5658</v>
      </c>
    </row>
    <row r="501" spans="1:10" ht="15.75">
      <c r="A501" s="446">
        <v>206</v>
      </c>
      <c r="B501" s="447" t="s">
        <v>4774</v>
      </c>
      <c r="C501" s="448">
        <f t="shared" si="55"/>
        <v>315250000</v>
      </c>
      <c r="D501" s="448">
        <v>100000000</v>
      </c>
      <c r="E501" s="518"/>
      <c r="F501" s="448">
        <v>150000000</v>
      </c>
      <c r="G501" s="448">
        <v>100000000</v>
      </c>
      <c r="H501" s="448">
        <f t="shared" si="56"/>
        <v>105000000</v>
      </c>
      <c r="I501" s="448">
        <f t="shared" si="56"/>
        <v>110250000</v>
      </c>
      <c r="J501" s="447" t="s">
        <v>5659</v>
      </c>
    </row>
    <row r="502" spans="1:10" ht="15.75">
      <c r="A502" s="423" t="s">
        <v>4999</v>
      </c>
      <c r="B502" s="463"/>
      <c r="C502" s="425" t="s">
        <v>1840</v>
      </c>
      <c r="D502" s="425"/>
      <c r="E502" s="425"/>
      <c r="F502" s="425"/>
      <c r="G502" s="425"/>
      <c r="H502" s="425"/>
      <c r="I502" s="425"/>
      <c r="J502" s="424"/>
    </row>
    <row r="503" spans="1:10" ht="15.75">
      <c r="A503" s="426" t="s">
        <v>4582</v>
      </c>
      <c r="B503" s="427" t="s">
        <v>5000</v>
      </c>
      <c r="C503" s="425" t="s">
        <v>1840</v>
      </c>
      <c r="D503" s="474"/>
      <c r="E503" s="474"/>
      <c r="F503" s="474"/>
      <c r="G503" s="474"/>
      <c r="H503" s="474"/>
      <c r="I503" s="474"/>
      <c r="J503" s="476"/>
    </row>
    <row r="504" spans="1:10" ht="31.5">
      <c r="A504" s="429" t="s">
        <v>4509</v>
      </c>
      <c r="B504" s="477" t="s">
        <v>4510</v>
      </c>
      <c r="C504" s="466" t="s">
        <v>4511</v>
      </c>
      <c r="D504" s="432" t="s">
        <v>4512</v>
      </c>
      <c r="E504" s="432" t="s">
        <v>5503</v>
      </c>
      <c r="F504" s="432" t="s">
        <v>4305</v>
      </c>
      <c r="G504" s="432" t="s">
        <v>5501</v>
      </c>
      <c r="H504" s="432" t="s">
        <v>4305</v>
      </c>
      <c r="I504" s="432" t="s">
        <v>4305</v>
      </c>
      <c r="J504" s="433" t="s">
        <v>4513</v>
      </c>
    </row>
    <row r="505" spans="1:10" ht="31.5">
      <c r="A505" s="434"/>
      <c r="B505" s="435"/>
      <c r="C505" s="436" t="s">
        <v>4514</v>
      </c>
      <c r="D505" s="437" t="s">
        <v>4515</v>
      </c>
      <c r="E505" s="437" t="s">
        <v>4516</v>
      </c>
      <c r="F505" s="437" t="s">
        <v>243</v>
      </c>
      <c r="G505" s="437" t="s">
        <v>243</v>
      </c>
      <c r="H505" s="437" t="s">
        <v>4130</v>
      </c>
      <c r="I505" s="437" t="s">
        <v>4202</v>
      </c>
      <c r="J505" s="438"/>
    </row>
    <row r="506" spans="1:10" ht="15.75">
      <c r="A506" s="439"/>
      <c r="B506" s="449" t="s">
        <v>4434</v>
      </c>
      <c r="C506" s="441"/>
      <c r="D506" s="441"/>
      <c r="E506" s="441"/>
      <c r="F506" s="441"/>
      <c r="G506" s="441"/>
      <c r="H506" s="441"/>
      <c r="I506" s="441"/>
      <c r="J506" s="442"/>
    </row>
    <row r="507" spans="1:10" ht="31.5">
      <c r="A507" s="439">
        <v>301</v>
      </c>
      <c r="B507" s="442" t="s">
        <v>5017</v>
      </c>
      <c r="C507" s="441">
        <f>G507+H507+I507</f>
        <v>78812500</v>
      </c>
      <c r="D507" s="441">
        <v>25000000</v>
      </c>
      <c r="E507" s="441"/>
      <c r="F507" s="441"/>
      <c r="G507" s="441">
        <v>25000000</v>
      </c>
      <c r="H507" s="441">
        <f>G507*5/100+G507</f>
        <v>26250000</v>
      </c>
      <c r="I507" s="441">
        <f>H507*5/100+H507</f>
        <v>27562500</v>
      </c>
      <c r="J507" s="442" t="s">
        <v>5018</v>
      </c>
    </row>
    <row r="508" spans="1:10" ht="15.75">
      <c r="A508" s="439"/>
      <c r="B508" s="442"/>
      <c r="C508" s="441"/>
      <c r="D508" s="441"/>
      <c r="E508" s="441"/>
      <c r="F508" s="441"/>
      <c r="G508" s="441"/>
      <c r="H508" s="441"/>
      <c r="I508" s="441"/>
      <c r="J508" s="442"/>
    </row>
    <row r="509" spans="1:10" ht="31.5">
      <c r="A509" s="439">
        <v>302</v>
      </c>
      <c r="B509" s="442" t="s">
        <v>5019</v>
      </c>
      <c r="C509" s="441">
        <f>G509+H509+I509</f>
        <v>15762500</v>
      </c>
      <c r="D509" s="441">
        <v>5000000</v>
      </c>
      <c r="E509" s="441"/>
      <c r="F509" s="441"/>
      <c r="G509" s="441">
        <v>5000000</v>
      </c>
      <c r="H509" s="441">
        <f>G509*5/100+G509</f>
        <v>5250000</v>
      </c>
      <c r="I509" s="441">
        <f>H509*5/100+H509</f>
        <v>5512500</v>
      </c>
      <c r="J509" s="442" t="s">
        <v>5020</v>
      </c>
    </row>
    <row r="510" spans="1:10" ht="15.75">
      <c r="A510" s="439"/>
      <c r="B510" s="442"/>
      <c r="C510" s="441"/>
      <c r="D510" s="441"/>
      <c r="E510" s="441"/>
      <c r="F510" s="441"/>
      <c r="G510" s="441"/>
      <c r="H510" s="441"/>
      <c r="I510" s="441"/>
      <c r="J510" s="442"/>
    </row>
    <row r="511" spans="1:10" ht="31.5">
      <c r="A511" s="439">
        <v>303</v>
      </c>
      <c r="B511" s="442" t="s">
        <v>5021</v>
      </c>
      <c r="C511" s="441">
        <f>SUM(G511:I511)</f>
        <v>0</v>
      </c>
      <c r="D511" s="441"/>
      <c r="E511" s="441"/>
      <c r="F511" s="441"/>
      <c r="G511" s="441" t="s">
        <v>3007</v>
      </c>
      <c r="H511" s="441" t="s">
        <v>3007</v>
      </c>
      <c r="I511" s="441" t="s">
        <v>3007</v>
      </c>
      <c r="J511" s="442" t="s">
        <v>5022</v>
      </c>
    </row>
    <row r="512" spans="1:10" ht="15.75">
      <c r="A512" s="439"/>
      <c r="B512" s="442"/>
      <c r="C512" s="441"/>
      <c r="D512" s="441"/>
      <c r="E512" s="441"/>
      <c r="F512" s="441"/>
      <c r="G512" s="441"/>
      <c r="H512" s="441"/>
      <c r="I512" s="441"/>
      <c r="J512" s="442"/>
    </row>
    <row r="513" spans="1:10" ht="31.5">
      <c r="A513" s="439">
        <v>304</v>
      </c>
      <c r="B513" s="442" t="s">
        <v>5023</v>
      </c>
      <c r="C513" s="441">
        <f>G513+H513+I513</f>
        <v>63050000</v>
      </c>
      <c r="D513" s="441">
        <v>20000000</v>
      </c>
      <c r="E513" s="441"/>
      <c r="F513" s="441"/>
      <c r="G513" s="441">
        <v>20000000</v>
      </c>
      <c r="H513" s="441">
        <f>G513*5/100+G513</f>
        <v>21000000</v>
      </c>
      <c r="I513" s="441">
        <f>H513*5/100+H513</f>
        <v>22050000</v>
      </c>
      <c r="J513" s="442" t="s">
        <v>5024</v>
      </c>
    </row>
    <row r="514" spans="1:10" ht="15.75">
      <c r="A514" s="439"/>
      <c r="B514" s="442"/>
      <c r="C514" s="441"/>
      <c r="D514" s="441"/>
      <c r="E514" s="441"/>
      <c r="F514" s="441"/>
      <c r="G514" s="441"/>
      <c r="H514" s="441"/>
      <c r="I514" s="441"/>
      <c r="J514" s="442"/>
    </row>
    <row r="515" spans="1:10" ht="31.5">
      <c r="A515" s="439"/>
      <c r="B515" s="449" t="s">
        <v>5025</v>
      </c>
      <c r="C515" s="441"/>
      <c r="D515" s="441"/>
      <c r="E515" s="441"/>
      <c r="F515" s="441"/>
      <c r="G515" s="441"/>
      <c r="H515" s="441"/>
      <c r="I515" s="441"/>
      <c r="J515" s="442"/>
    </row>
    <row r="516" spans="1:10" ht="31.5">
      <c r="A516" s="439">
        <v>401</v>
      </c>
      <c r="B516" s="442" t="s">
        <v>5026</v>
      </c>
      <c r="C516" s="441">
        <f t="shared" ref="C516:C523" si="57">G516+H516+I516</f>
        <v>1324050000</v>
      </c>
      <c r="D516" s="441">
        <v>420000000</v>
      </c>
      <c r="E516" s="441">
        <v>232009520</v>
      </c>
      <c r="F516" s="441"/>
      <c r="G516" s="441">
        <v>420000000</v>
      </c>
      <c r="H516" s="441">
        <f t="shared" ref="H516:I523" si="58">G516*5/100+G516</f>
        <v>441000000</v>
      </c>
      <c r="I516" s="441">
        <f t="shared" si="58"/>
        <v>463050000</v>
      </c>
      <c r="J516" s="442" t="s">
        <v>5661</v>
      </c>
    </row>
    <row r="517" spans="1:10" ht="31.5">
      <c r="A517" s="439">
        <v>402</v>
      </c>
      <c r="B517" s="442" t="s">
        <v>5662</v>
      </c>
      <c r="C517" s="441">
        <f t="shared" si="57"/>
        <v>157625000</v>
      </c>
      <c r="D517" s="441">
        <v>50000000</v>
      </c>
      <c r="E517" s="441"/>
      <c r="F517" s="441"/>
      <c r="G517" s="441">
        <v>50000000</v>
      </c>
      <c r="H517" s="441">
        <f t="shared" si="58"/>
        <v>52500000</v>
      </c>
      <c r="I517" s="441">
        <f t="shared" si="58"/>
        <v>55125000</v>
      </c>
      <c r="J517" s="442" t="s">
        <v>5663</v>
      </c>
    </row>
    <row r="518" spans="1:10" ht="31.5">
      <c r="A518" s="439">
        <v>403</v>
      </c>
      <c r="B518" s="442" t="s">
        <v>5027</v>
      </c>
      <c r="C518" s="441">
        <f t="shared" si="57"/>
        <v>157625000</v>
      </c>
      <c r="D518" s="441">
        <v>50000000</v>
      </c>
      <c r="E518" s="441"/>
      <c r="F518" s="441"/>
      <c r="G518" s="441">
        <v>50000000</v>
      </c>
      <c r="H518" s="441">
        <f t="shared" si="58"/>
        <v>52500000</v>
      </c>
      <c r="I518" s="441">
        <f t="shared" si="58"/>
        <v>55125000</v>
      </c>
      <c r="J518" s="442" t="s">
        <v>5028</v>
      </c>
    </row>
    <row r="519" spans="1:10" ht="15.75">
      <c r="A519" s="439">
        <v>404</v>
      </c>
      <c r="B519" s="442" t="s">
        <v>5029</v>
      </c>
      <c r="C519" s="441">
        <f t="shared" si="57"/>
        <v>157625000</v>
      </c>
      <c r="D519" s="441">
        <v>50000000</v>
      </c>
      <c r="E519" s="441"/>
      <c r="F519" s="441"/>
      <c r="G519" s="441">
        <v>50000000</v>
      </c>
      <c r="H519" s="441">
        <f t="shared" si="58"/>
        <v>52500000</v>
      </c>
      <c r="I519" s="441">
        <f t="shared" si="58"/>
        <v>55125000</v>
      </c>
      <c r="J519" s="442" t="s">
        <v>5664</v>
      </c>
    </row>
    <row r="520" spans="1:10" ht="15.75">
      <c r="A520" s="439">
        <v>405</v>
      </c>
      <c r="B520" s="442" t="s">
        <v>5030</v>
      </c>
      <c r="C520" s="441">
        <f t="shared" si="57"/>
        <v>78812500</v>
      </c>
      <c r="D520" s="441">
        <v>25000000</v>
      </c>
      <c r="E520" s="441"/>
      <c r="F520" s="441"/>
      <c r="G520" s="441">
        <v>25000000</v>
      </c>
      <c r="H520" s="441">
        <f t="shared" si="58"/>
        <v>26250000</v>
      </c>
      <c r="I520" s="441">
        <f t="shared" si="58"/>
        <v>27562500</v>
      </c>
      <c r="J520" s="442" t="s">
        <v>5031</v>
      </c>
    </row>
    <row r="521" spans="1:10" ht="15.75">
      <c r="A521" s="439">
        <v>406</v>
      </c>
      <c r="B521" s="442" t="s">
        <v>5032</v>
      </c>
      <c r="C521" s="441">
        <f t="shared" si="57"/>
        <v>157625000</v>
      </c>
      <c r="D521" s="441">
        <v>50000000</v>
      </c>
      <c r="E521" s="441"/>
      <c r="F521" s="441"/>
      <c r="G521" s="441">
        <v>50000000</v>
      </c>
      <c r="H521" s="441">
        <f t="shared" si="58"/>
        <v>52500000</v>
      </c>
      <c r="I521" s="441">
        <f t="shared" si="58"/>
        <v>55125000</v>
      </c>
      <c r="J521" s="442" t="s">
        <v>5033</v>
      </c>
    </row>
    <row r="522" spans="1:10" ht="31.5">
      <c r="A522" s="439">
        <v>407</v>
      </c>
      <c r="B522" s="442" t="s">
        <v>5034</v>
      </c>
      <c r="C522" s="441">
        <f t="shared" si="57"/>
        <v>157625000</v>
      </c>
      <c r="D522" s="441">
        <v>50000000</v>
      </c>
      <c r="E522" s="441"/>
      <c r="F522" s="441"/>
      <c r="G522" s="441">
        <v>50000000</v>
      </c>
      <c r="H522" s="441">
        <f t="shared" si="58"/>
        <v>52500000</v>
      </c>
      <c r="I522" s="441">
        <f t="shared" si="58"/>
        <v>55125000</v>
      </c>
      <c r="J522" s="442" t="s">
        <v>5035</v>
      </c>
    </row>
    <row r="523" spans="1:10" ht="31.5">
      <c r="A523" s="439">
        <v>408</v>
      </c>
      <c r="B523" s="442" t="s">
        <v>5036</v>
      </c>
      <c r="C523" s="441">
        <f t="shared" si="57"/>
        <v>78812500</v>
      </c>
      <c r="D523" s="441">
        <v>25000000</v>
      </c>
      <c r="E523" s="441"/>
      <c r="F523" s="441"/>
      <c r="G523" s="441">
        <v>25000000</v>
      </c>
      <c r="H523" s="441">
        <f t="shared" si="58"/>
        <v>26250000</v>
      </c>
      <c r="I523" s="441">
        <f t="shared" si="58"/>
        <v>27562500</v>
      </c>
      <c r="J523" s="442" t="s">
        <v>5037</v>
      </c>
    </row>
    <row r="524" spans="1:10" ht="15.75">
      <c r="A524" s="501"/>
      <c r="B524" s="461" t="s">
        <v>4580</v>
      </c>
      <c r="C524" s="462">
        <f t="shared" ref="C524:I524" si="59">SUM(C487:C523)</f>
        <v>7566000000</v>
      </c>
      <c r="D524" s="462">
        <f>SUM(D487:D523)</f>
        <v>3076000000</v>
      </c>
      <c r="E524" s="462">
        <f t="shared" si="59"/>
        <v>297334429</v>
      </c>
      <c r="F524" s="462">
        <f>SUM(F487:F523)</f>
        <v>650000000</v>
      </c>
      <c r="G524" s="462">
        <f>SUM(G487:G523)</f>
        <v>2400000000</v>
      </c>
      <c r="H524" s="462">
        <f t="shared" si="59"/>
        <v>2520000000</v>
      </c>
      <c r="I524" s="462">
        <f t="shared" si="59"/>
        <v>2646000000</v>
      </c>
      <c r="J524" s="461"/>
    </row>
    <row r="525" spans="1:10" ht="15.75">
      <c r="A525" s="423" t="s">
        <v>5038</v>
      </c>
      <c r="B525" s="463"/>
      <c r="C525" s="425" t="s">
        <v>1840</v>
      </c>
      <c r="D525" s="425"/>
      <c r="E525" s="425"/>
      <c r="F525" s="425"/>
      <c r="G525" s="425"/>
      <c r="H525" s="425"/>
      <c r="I525" s="425"/>
      <c r="J525" s="424"/>
    </row>
    <row r="526" spans="1:10" ht="15.75">
      <c r="A526" s="426" t="s">
        <v>4582</v>
      </c>
      <c r="B526" s="463" t="s">
        <v>5039</v>
      </c>
      <c r="C526" s="425" t="s">
        <v>1840</v>
      </c>
      <c r="D526" s="425"/>
      <c r="E526" s="425"/>
      <c r="F526" s="425"/>
      <c r="G526" s="425"/>
      <c r="H526" s="425"/>
      <c r="I526" s="425"/>
      <c r="J526" s="424"/>
    </row>
    <row r="527" spans="1:10" ht="31.5">
      <c r="A527" s="464" t="s">
        <v>4509</v>
      </c>
      <c r="B527" s="465" t="s">
        <v>4510</v>
      </c>
      <c r="C527" s="466" t="s">
        <v>4511</v>
      </c>
      <c r="D527" s="432" t="s">
        <v>4512</v>
      </c>
      <c r="E527" s="432" t="s">
        <v>5503</v>
      </c>
      <c r="F527" s="432" t="s">
        <v>4305</v>
      </c>
      <c r="G527" s="432" t="s">
        <v>5501</v>
      </c>
      <c r="H527" s="432" t="s">
        <v>4305</v>
      </c>
      <c r="I527" s="432" t="s">
        <v>4305</v>
      </c>
      <c r="J527" s="433" t="s">
        <v>4513</v>
      </c>
    </row>
    <row r="528" spans="1:10" ht="31.5">
      <c r="A528" s="434"/>
      <c r="B528" s="435"/>
      <c r="C528" s="436" t="s">
        <v>4514</v>
      </c>
      <c r="D528" s="437" t="s">
        <v>4515</v>
      </c>
      <c r="E528" s="437" t="s">
        <v>4516</v>
      </c>
      <c r="F528" s="437" t="s">
        <v>243</v>
      </c>
      <c r="G528" s="437" t="s">
        <v>243</v>
      </c>
      <c r="H528" s="437" t="s">
        <v>4130</v>
      </c>
      <c r="I528" s="437" t="s">
        <v>4202</v>
      </c>
      <c r="J528" s="438"/>
    </row>
    <row r="529" spans="1:10" ht="31.5">
      <c r="A529" s="439"/>
      <c r="B529" s="449" t="s">
        <v>1942</v>
      </c>
      <c r="C529" s="441"/>
      <c r="D529" s="441"/>
      <c r="E529" s="441"/>
      <c r="F529" s="441"/>
      <c r="G529" s="441"/>
      <c r="H529" s="441"/>
      <c r="I529" s="441"/>
      <c r="J529" s="442"/>
    </row>
    <row r="530" spans="1:10" ht="31.5">
      <c r="A530" s="439">
        <v>101</v>
      </c>
      <c r="B530" s="442" t="s">
        <v>5040</v>
      </c>
      <c r="C530" s="441">
        <f>G530+H530+I530</f>
        <v>315250000</v>
      </c>
      <c r="D530" s="441">
        <v>310000000</v>
      </c>
      <c r="E530" s="441"/>
      <c r="F530" s="441">
        <v>325300000</v>
      </c>
      <c r="G530" s="441">
        <v>100000000</v>
      </c>
      <c r="H530" s="441">
        <f t="shared" ref="H530:I532" si="60">G530*5/100+G530</f>
        <v>105000000</v>
      </c>
      <c r="I530" s="441">
        <f t="shared" si="60"/>
        <v>110250000</v>
      </c>
      <c r="J530" s="442" t="s">
        <v>5041</v>
      </c>
    </row>
    <row r="531" spans="1:10" ht="15.75">
      <c r="A531" s="439">
        <v>102</v>
      </c>
      <c r="B531" s="442" t="s">
        <v>5042</v>
      </c>
      <c r="C531" s="441">
        <f>G531+H531+I531</f>
        <v>31525000</v>
      </c>
      <c r="D531" s="441">
        <v>10000000</v>
      </c>
      <c r="E531" s="441"/>
      <c r="F531" s="441">
        <v>10000000</v>
      </c>
      <c r="G531" s="441">
        <v>10000000</v>
      </c>
      <c r="H531" s="441">
        <f t="shared" si="60"/>
        <v>10500000</v>
      </c>
      <c r="I531" s="441">
        <f t="shared" si="60"/>
        <v>11025000</v>
      </c>
      <c r="J531" s="442" t="s">
        <v>5665</v>
      </c>
    </row>
    <row r="532" spans="1:10" ht="15.75">
      <c r="A532" s="439">
        <v>103</v>
      </c>
      <c r="B532" s="442" t="s">
        <v>5043</v>
      </c>
      <c r="C532" s="441">
        <f>G532+H532+I532</f>
        <v>94575000</v>
      </c>
      <c r="D532" s="441">
        <v>30000000</v>
      </c>
      <c r="E532" s="441"/>
      <c r="F532" s="441">
        <v>30000000</v>
      </c>
      <c r="G532" s="441">
        <v>30000000</v>
      </c>
      <c r="H532" s="441">
        <f t="shared" si="60"/>
        <v>31500000</v>
      </c>
      <c r="I532" s="441">
        <f t="shared" si="60"/>
        <v>33075000</v>
      </c>
      <c r="J532" s="442" t="s">
        <v>5044</v>
      </c>
    </row>
    <row r="533" spans="1:10" ht="31.5">
      <c r="A533" s="439">
        <v>104</v>
      </c>
      <c r="B533" s="442" t="s">
        <v>5045</v>
      </c>
      <c r="C533" s="441">
        <f t="shared" ref="C533:C538" si="61">SUM(G533:I533)</f>
        <v>0</v>
      </c>
      <c r="D533" s="441"/>
      <c r="E533" s="441"/>
      <c r="F533" s="441"/>
      <c r="G533" s="441" t="s">
        <v>3007</v>
      </c>
      <c r="H533" s="441" t="s">
        <v>3007</v>
      </c>
      <c r="I533" s="441" t="s">
        <v>3007</v>
      </c>
      <c r="J533" s="442" t="s">
        <v>5666</v>
      </c>
    </row>
    <row r="534" spans="1:10" ht="31.5">
      <c r="A534" s="439">
        <v>105</v>
      </c>
      <c r="B534" s="442" t="s">
        <v>5046</v>
      </c>
      <c r="C534" s="441">
        <f t="shared" si="61"/>
        <v>0</v>
      </c>
      <c r="D534" s="441" t="s">
        <v>3007</v>
      </c>
      <c r="E534" s="441"/>
      <c r="F534" s="441" t="s">
        <v>3007</v>
      </c>
      <c r="G534" s="441" t="s">
        <v>3007</v>
      </c>
      <c r="H534" s="441" t="s">
        <v>3007</v>
      </c>
      <c r="I534" s="441" t="s">
        <v>3007</v>
      </c>
      <c r="J534" s="442" t="s">
        <v>5667</v>
      </c>
    </row>
    <row r="535" spans="1:10" ht="31.5">
      <c r="A535" s="439">
        <v>106</v>
      </c>
      <c r="B535" s="442" t="s">
        <v>5669</v>
      </c>
      <c r="C535" s="441">
        <f t="shared" si="61"/>
        <v>0</v>
      </c>
      <c r="D535" s="441" t="s">
        <v>3007</v>
      </c>
      <c r="E535" s="441"/>
      <c r="F535" s="441" t="s">
        <v>3007</v>
      </c>
      <c r="G535" s="441" t="s">
        <v>3007</v>
      </c>
      <c r="H535" s="441" t="s">
        <v>3007</v>
      </c>
      <c r="I535" s="441" t="s">
        <v>3007</v>
      </c>
      <c r="J535" s="442" t="s">
        <v>5668</v>
      </c>
    </row>
    <row r="536" spans="1:10" ht="15.75">
      <c r="A536" s="439">
        <v>107</v>
      </c>
      <c r="B536" s="442" t="s">
        <v>5047</v>
      </c>
      <c r="C536" s="441">
        <f t="shared" si="61"/>
        <v>0</v>
      </c>
      <c r="D536" s="441" t="s">
        <v>3007</v>
      </c>
      <c r="E536" s="441"/>
      <c r="F536" s="441" t="s">
        <v>3007</v>
      </c>
      <c r="G536" s="441" t="s">
        <v>3007</v>
      </c>
      <c r="H536" s="441" t="s">
        <v>3007</v>
      </c>
      <c r="I536" s="441" t="s">
        <v>3007</v>
      </c>
      <c r="J536" s="442" t="s">
        <v>5047</v>
      </c>
    </row>
    <row r="537" spans="1:10" ht="31.5">
      <c r="A537" s="439">
        <v>108</v>
      </c>
      <c r="B537" s="442" t="s">
        <v>5048</v>
      </c>
      <c r="C537" s="441">
        <f t="shared" si="61"/>
        <v>0</v>
      </c>
      <c r="D537" s="441">
        <v>10000000</v>
      </c>
      <c r="E537" s="441"/>
      <c r="F537" s="441">
        <v>10500000</v>
      </c>
      <c r="G537" s="441" t="s">
        <v>3007</v>
      </c>
      <c r="H537" s="441" t="s">
        <v>3007</v>
      </c>
      <c r="I537" s="441" t="s">
        <v>3007</v>
      </c>
      <c r="J537" s="442" t="s">
        <v>5670</v>
      </c>
    </row>
    <row r="538" spans="1:10" ht="31.5">
      <c r="A538" s="439">
        <v>109</v>
      </c>
      <c r="B538" s="442" t="s">
        <v>5049</v>
      </c>
      <c r="C538" s="441">
        <f t="shared" si="61"/>
        <v>0</v>
      </c>
      <c r="D538" s="441">
        <v>10000000</v>
      </c>
      <c r="E538" s="441"/>
      <c r="F538" s="441">
        <v>10500000</v>
      </c>
      <c r="G538" s="441" t="s">
        <v>3007</v>
      </c>
      <c r="H538" s="441" t="s">
        <v>3007</v>
      </c>
      <c r="I538" s="441" t="s">
        <v>3007</v>
      </c>
      <c r="J538" s="442" t="s">
        <v>5671</v>
      </c>
    </row>
    <row r="539" spans="1:10" ht="31.5">
      <c r="A539" s="439"/>
      <c r="B539" s="440" t="s">
        <v>5050</v>
      </c>
      <c r="C539" s="441"/>
      <c r="D539" s="441"/>
      <c r="E539" s="441"/>
      <c r="F539" s="441"/>
      <c r="G539" s="441"/>
      <c r="H539" s="441"/>
      <c r="I539" s="441"/>
      <c r="J539" s="442"/>
    </row>
    <row r="540" spans="1:10" ht="31.5">
      <c r="A540" s="439">
        <v>201</v>
      </c>
      <c r="B540" s="442" t="s">
        <v>5051</v>
      </c>
      <c r="C540" s="441">
        <f>G540+H540+I540</f>
        <v>12610000</v>
      </c>
      <c r="D540" s="441">
        <v>12000000</v>
      </c>
      <c r="E540" s="441"/>
      <c r="F540" s="441">
        <v>4000000</v>
      </c>
      <c r="G540" s="441">
        <v>4000000</v>
      </c>
      <c r="H540" s="441">
        <f t="shared" ref="H540:I542" si="62">G540*5/100+G540</f>
        <v>4200000</v>
      </c>
      <c r="I540" s="441">
        <f t="shared" si="62"/>
        <v>4410000</v>
      </c>
      <c r="J540" s="442" t="s">
        <v>5672</v>
      </c>
    </row>
    <row r="541" spans="1:10" ht="47.25">
      <c r="A541" s="439">
        <v>202</v>
      </c>
      <c r="B541" s="442" t="s">
        <v>5052</v>
      </c>
      <c r="C541" s="441">
        <f>G541+H541+I541</f>
        <v>31525000</v>
      </c>
      <c r="D541" s="441">
        <v>50000000</v>
      </c>
      <c r="E541" s="444"/>
      <c r="F541" s="441">
        <v>10000000</v>
      </c>
      <c r="G541" s="441">
        <v>10000000</v>
      </c>
      <c r="H541" s="441">
        <f t="shared" si="62"/>
        <v>10500000</v>
      </c>
      <c r="I541" s="441">
        <f t="shared" si="62"/>
        <v>11025000</v>
      </c>
      <c r="J541" s="442" t="s">
        <v>5053</v>
      </c>
    </row>
    <row r="542" spans="1:10" ht="31.5">
      <c r="A542" s="439">
        <f>1+A541</f>
        <v>203</v>
      </c>
      <c r="B542" s="442" t="s">
        <v>5054</v>
      </c>
      <c r="C542" s="441">
        <f>G542+H542+I542</f>
        <v>198607500</v>
      </c>
      <c r="D542" s="441">
        <v>100000000</v>
      </c>
      <c r="E542" s="519">
        <v>65202577</v>
      </c>
      <c r="F542" s="441">
        <v>63000000</v>
      </c>
      <c r="G542" s="441">
        <v>63000000</v>
      </c>
      <c r="H542" s="441">
        <f t="shared" si="62"/>
        <v>66150000</v>
      </c>
      <c r="I542" s="441">
        <f t="shared" si="62"/>
        <v>69457500</v>
      </c>
      <c r="J542" s="442" t="s">
        <v>5055</v>
      </c>
    </row>
    <row r="543" spans="1:10" ht="31.5">
      <c r="A543" s="439">
        <v>204</v>
      </c>
      <c r="B543" s="442" t="s">
        <v>5056</v>
      </c>
      <c r="C543" s="441">
        <f>SUM(G543:I543)</f>
        <v>9457500</v>
      </c>
      <c r="D543" s="441">
        <v>3000000</v>
      </c>
      <c r="E543" s="441"/>
      <c r="F543" s="441">
        <v>3000000</v>
      </c>
      <c r="G543" s="441">
        <v>3000000</v>
      </c>
      <c r="H543" s="441">
        <f>G543*5/100+G543</f>
        <v>3150000</v>
      </c>
      <c r="I543" s="441">
        <f>H543*5/100+H543</f>
        <v>3307500</v>
      </c>
      <c r="J543" s="442" t="s">
        <v>5057</v>
      </c>
    </row>
    <row r="544" spans="1:10" ht="31.5">
      <c r="A544" s="439">
        <v>205</v>
      </c>
      <c r="B544" s="442" t="s">
        <v>5058</v>
      </c>
      <c r="C544" s="441">
        <f>SUM(G544:I544)</f>
        <v>15762500</v>
      </c>
      <c r="D544" s="441">
        <v>5000000</v>
      </c>
      <c r="E544" s="441"/>
      <c r="F544" s="441">
        <v>5000000</v>
      </c>
      <c r="G544" s="441">
        <v>5000000</v>
      </c>
      <c r="H544" s="441">
        <f>G544*5/100+G544</f>
        <v>5250000</v>
      </c>
      <c r="I544" s="441">
        <f>H544*5/100+H544</f>
        <v>5512500</v>
      </c>
      <c r="J544" s="442" t="s">
        <v>5059</v>
      </c>
    </row>
    <row r="545" spans="1:10" ht="15.75">
      <c r="A545" s="439">
        <v>206</v>
      </c>
      <c r="B545" s="442" t="s">
        <v>5060</v>
      </c>
      <c r="C545" s="441">
        <f>SUM(G545:I545)</f>
        <v>0</v>
      </c>
      <c r="D545" s="441">
        <v>30000000</v>
      </c>
      <c r="E545" s="441"/>
      <c r="F545" s="441" t="s">
        <v>3007</v>
      </c>
      <c r="G545" s="441" t="s">
        <v>3007</v>
      </c>
      <c r="H545" s="441" t="s">
        <v>3007</v>
      </c>
      <c r="I545" s="441" t="s">
        <v>3007</v>
      </c>
      <c r="J545" s="442" t="s">
        <v>5060</v>
      </c>
    </row>
    <row r="546" spans="1:10" ht="15.75">
      <c r="A546" s="461"/>
      <c r="B546" s="461" t="s">
        <v>5061</v>
      </c>
      <c r="C546" s="462">
        <f>SUM(C529:C545)</f>
        <v>709312500</v>
      </c>
      <c r="D546" s="462">
        <f t="shared" ref="D546:I546" si="63">SUM(D530:D545)</f>
        <v>570000000</v>
      </c>
      <c r="E546" s="462">
        <f t="shared" si="63"/>
        <v>65202577</v>
      </c>
      <c r="F546" s="462">
        <f t="shared" si="63"/>
        <v>471300000</v>
      </c>
      <c r="G546" s="462">
        <f t="shared" si="63"/>
        <v>225000000</v>
      </c>
      <c r="H546" s="462">
        <f t="shared" si="63"/>
        <v>236250000</v>
      </c>
      <c r="I546" s="462">
        <f t="shared" si="63"/>
        <v>248062500</v>
      </c>
      <c r="J546" s="461"/>
    </row>
    <row r="547" spans="1:10" ht="15.75">
      <c r="A547" s="423" t="s">
        <v>5062</v>
      </c>
      <c r="B547" s="424"/>
      <c r="C547" s="425"/>
      <c r="D547" s="425"/>
      <c r="E547" s="425"/>
      <c r="F547" s="425"/>
      <c r="G547" s="425"/>
      <c r="H547" s="425"/>
      <c r="I547" s="425"/>
      <c r="J547" s="424"/>
    </row>
    <row r="548" spans="1:10" ht="15.75">
      <c r="A548" s="423" t="s">
        <v>5063</v>
      </c>
      <c r="B548" s="463"/>
      <c r="C548" s="425" t="s">
        <v>1840</v>
      </c>
      <c r="D548" s="425"/>
      <c r="E548" s="425"/>
      <c r="F548" s="425"/>
      <c r="G548" s="425"/>
      <c r="H548" s="425"/>
      <c r="I548" s="425"/>
      <c r="J548" s="424"/>
    </row>
    <row r="549" spans="1:10" ht="31.5">
      <c r="A549" s="464" t="s">
        <v>4509</v>
      </c>
      <c r="B549" s="477" t="s">
        <v>4510</v>
      </c>
      <c r="C549" s="466" t="s">
        <v>4511</v>
      </c>
      <c r="D549" s="432" t="s">
        <v>4512</v>
      </c>
      <c r="E549" s="432" t="s">
        <v>5503</v>
      </c>
      <c r="F549" s="432" t="s">
        <v>4305</v>
      </c>
      <c r="G549" s="432" t="s">
        <v>5501</v>
      </c>
      <c r="H549" s="432" t="s">
        <v>4305</v>
      </c>
      <c r="I549" s="432" t="s">
        <v>4305</v>
      </c>
      <c r="J549" s="433" t="s">
        <v>4513</v>
      </c>
    </row>
    <row r="550" spans="1:10" ht="31.5">
      <c r="A550" s="434"/>
      <c r="B550" s="435"/>
      <c r="C550" s="436" t="s">
        <v>4514</v>
      </c>
      <c r="D550" s="437" t="s">
        <v>4515</v>
      </c>
      <c r="E550" s="437" t="s">
        <v>4516</v>
      </c>
      <c r="F550" s="437" t="s">
        <v>243</v>
      </c>
      <c r="G550" s="437" t="s">
        <v>243</v>
      </c>
      <c r="H550" s="437" t="s">
        <v>4130</v>
      </c>
      <c r="I550" s="437" t="s">
        <v>4202</v>
      </c>
      <c r="J550" s="438"/>
    </row>
    <row r="551" spans="1:10" ht="15.75">
      <c r="A551" s="439"/>
      <c r="B551" s="520" t="s">
        <v>5064</v>
      </c>
      <c r="C551" s="521"/>
      <c r="D551" s="521"/>
      <c r="E551" s="521"/>
      <c r="F551" s="521"/>
      <c r="G551" s="521"/>
      <c r="H551" s="521"/>
      <c r="I551" s="521"/>
      <c r="J551" s="442"/>
    </row>
    <row r="552" spans="1:10" ht="31.5">
      <c r="A552" s="439">
        <v>101</v>
      </c>
      <c r="B552" s="442" t="s">
        <v>5065</v>
      </c>
      <c r="C552" s="441">
        <f>G552+H552+I552</f>
        <v>315250000</v>
      </c>
      <c r="D552" s="441">
        <v>170000000</v>
      </c>
      <c r="E552" s="441">
        <v>20566154</v>
      </c>
      <c r="F552" s="441">
        <v>100000000</v>
      </c>
      <c r="G552" s="441">
        <v>100000000</v>
      </c>
      <c r="H552" s="441">
        <f>G552*1.05</f>
        <v>105000000</v>
      </c>
      <c r="I552" s="441">
        <f>H552*1.05</f>
        <v>110250000</v>
      </c>
      <c r="J552" s="442" t="s">
        <v>5066</v>
      </c>
    </row>
    <row r="553" spans="1:10" ht="15.75">
      <c r="A553" s="439"/>
      <c r="B553" s="442"/>
      <c r="C553" s="441"/>
      <c r="D553" s="441"/>
      <c r="E553" s="441"/>
      <c r="F553" s="441"/>
      <c r="G553" s="441"/>
      <c r="H553" s="441"/>
      <c r="I553" s="441"/>
      <c r="J553" s="442"/>
    </row>
    <row r="554" spans="1:10" ht="15.75">
      <c r="A554" s="439">
        <v>102</v>
      </c>
      <c r="B554" s="442" t="s">
        <v>5067</v>
      </c>
      <c r="C554" s="441">
        <f>G554+H554+I554</f>
        <v>220675000</v>
      </c>
      <c r="D554" s="441">
        <v>200000000</v>
      </c>
      <c r="E554" s="443">
        <v>8484000</v>
      </c>
      <c r="F554" s="441">
        <v>170000000</v>
      </c>
      <c r="G554" s="441">
        <v>70000000</v>
      </c>
      <c r="H554" s="441">
        <f>G554*1.05</f>
        <v>73500000</v>
      </c>
      <c r="I554" s="441">
        <f>H554*1.05</f>
        <v>77175000</v>
      </c>
      <c r="J554" s="442" t="s">
        <v>5068</v>
      </c>
    </row>
    <row r="555" spans="1:10" ht="15.75">
      <c r="A555" s="439"/>
      <c r="B555" s="442"/>
      <c r="C555" s="441"/>
      <c r="D555" s="441"/>
      <c r="E555" s="441"/>
      <c r="F555" s="441"/>
      <c r="G555" s="441"/>
      <c r="H555" s="441"/>
      <c r="I555" s="441"/>
      <c r="J555" s="442"/>
    </row>
    <row r="556" spans="1:10" ht="31.5">
      <c r="A556" s="439">
        <v>103</v>
      </c>
      <c r="B556" s="442" t="s">
        <v>5069</v>
      </c>
      <c r="C556" s="441">
        <f>G556+H556+I556</f>
        <v>157625000</v>
      </c>
      <c r="D556" s="441">
        <v>50000000</v>
      </c>
      <c r="E556" s="441"/>
      <c r="F556" s="441">
        <v>50000000</v>
      </c>
      <c r="G556" s="441">
        <v>50000000</v>
      </c>
      <c r="H556" s="441">
        <f>G556*1.05</f>
        <v>52500000</v>
      </c>
      <c r="I556" s="441">
        <f>H556*1.05</f>
        <v>55125000</v>
      </c>
      <c r="J556" s="442" t="s">
        <v>5070</v>
      </c>
    </row>
    <row r="557" spans="1:10" ht="15.75">
      <c r="A557" s="439"/>
      <c r="B557" s="442"/>
      <c r="C557" s="441"/>
      <c r="D557" s="441"/>
      <c r="E557" s="441"/>
      <c r="F557" s="441"/>
      <c r="G557" s="441"/>
      <c r="H557" s="441"/>
      <c r="I557" s="441"/>
      <c r="J557" s="442"/>
    </row>
    <row r="558" spans="1:10" ht="15.75">
      <c r="A558" s="439">
        <v>104</v>
      </c>
      <c r="B558" s="442" t="s">
        <v>5071</v>
      </c>
      <c r="C558" s="441">
        <f>SUM(G558:I558)</f>
        <v>0</v>
      </c>
      <c r="D558" s="441"/>
      <c r="E558" s="441"/>
      <c r="F558" s="441"/>
      <c r="G558" s="441" t="s">
        <v>3007</v>
      </c>
      <c r="H558" s="441" t="s">
        <v>3007</v>
      </c>
      <c r="I558" s="441" t="s">
        <v>3007</v>
      </c>
      <c r="J558" s="442" t="s">
        <v>5072</v>
      </c>
    </row>
    <row r="559" spans="1:10" ht="15.75">
      <c r="A559" s="439"/>
      <c r="B559" s="442"/>
      <c r="C559" s="441"/>
      <c r="D559" s="441"/>
      <c r="E559" s="441"/>
      <c r="F559" s="441"/>
      <c r="G559" s="441"/>
      <c r="H559" s="441"/>
      <c r="I559" s="441"/>
      <c r="J559" s="442"/>
    </row>
    <row r="560" spans="1:10" ht="31.5">
      <c r="A560" s="439">
        <v>105</v>
      </c>
      <c r="B560" s="442" t="s">
        <v>5073</v>
      </c>
      <c r="C560" s="441">
        <f>G560+H560+I560</f>
        <v>94575000</v>
      </c>
      <c r="D560" s="441">
        <v>30000000</v>
      </c>
      <c r="E560" s="441"/>
      <c r="F560" s="441">
        <v>30000000</v>
      </c>
      <c r="G560" s="441">
        <v>30000000</v>
      </c>
      <c r="H560" s="441">
        <f>G560*1.05</f>
        <v>31500000</v>
      </c>
      <c r="I560" s="441">
        <f>H560*1.05</f>
        <v>33075000</v>
      </c>
      <c r="J560" s="442" t="s">
        <v>5074</v>
      </c>
    </row>
    <row r="561" spans="1:10" ht="15.75">
      <c r="A561" s="439"/>
      <c r="B561" s="442"/>
      <c r="C561" s="441"/>
      <c r="D561" s="441"/>
      <c r="E561" s="441"/>
      <c r="F561" s="441"/>
      <c r="G561" s="441"/>
      <c r="H561" s="441"/>
      <c r="I561" s="441"/>
      <c r="J561" s="442"/>
    </row>
    <row r="562" spans="1:10" ht="31.5">
      <c r="A562" s="439">
        <v>106</v>
      </c>
      <c r="B562" s="442" t="s">
        <v>5075</v>
      </c>
      <c r="C562" s="441">
        <f>G562+H562+I562</f>
        <v>157625000</v>
      </c>
      <c r="D562" s="441">
        <v>50000000</v>
      </c>
      <c r="E562" s="441"/>
      <c r="F562" s="441">
        <v>50000000</v>
      </c>
      <c r="G562" s="441">
        <v>50000000</v>
      </c>
      <c r="H562" s="441">
        <f>G562*1.05</f>
        <v>52500000</v>
      </c>
      <c r="I562" s="441">
        <f>H562*1.05</f>
        <v>55125000</v>
      </c>
      <c r="J562" s="442" t="s">
        <v>5076</v>
      </c>
    </row>
    <row r="563" spans="1:10" ht="15.75">
      <c r="A563" s="439"/>
      <c r="B563" s="442"/>
      <c r="C563" s="441"/>
      <c r="D563" s="441"/>
      <c r="E563" s="441"/>
      <c r="F563" s="441"/>
      <c r="G563" s="441"/>
      <c r="H563" s="441"/>
      <c r="I563" s="441"/>
      <c r="J563" s="442"/>
    </row>
    <row r="564" spans="1:10" ht="31.5">
      <c r="A564" s="439">
        <v>107</v>
      </c>
      <c r="B564" s="442" t="s">
        <v>5077</v>
      </c>
      <c r="C564" s="441">
        <f>G564+H564+I564</f>
        <v>157625000</v>
      </c>
      <c r="D564" s="441">
        <v>100000000</v>
      </c>
      <c r="E564" s="441">
        <v>39191945</v>
      </c>
      <c r="F564" s="441">
        <v>150000000</v>
      </c>
      <c r="G564" s="441">
        <v>50000000</v>
      </c>
      <c r="H564" s="441">
        <f>G564*1.05</f>
        <v>52500000</v>
      </c>
      <c r="I564" s="441">
        <f>H564*1.05</f>
        <v>55125000</v>
      </c>
      <c r="J564" s="442" t="s">
        <v>5078</v>
      </c>
    </row>
    <row r="565" spans="1:10" ht="15.75">
      <c r="A565" s="439"/>
      <c r="B565" s="442"/>
      <c r="C565" s="441"/>
      <c r="D565" s="441"/>
      <c r="E565" s="441"/>
      <c r="F565" s="441"/>
      <c r="G565" s="441"/>
      <c r="H565" s="441"/>
      <c r="I565" s="441"/>
      <c r="J565" s="442"/>
    </row>
    <row r="566" spans="1:10" ht="32.25" thickBot="1">
      <c r="A566" s="439">
        <v>108</v>
      </c>
      <c r="B566" s="442" t="s">
        <v>5079</v>
      </c>
      <c r="C566" s="441">
        <f>G566+H566+I566</f>
        <v>157625000</v>
      </c>
      <c r="D566" s="441">
        <v>50000000</v>
      </c>
      <c r="E566" s="441"/>
      <c r="F566" s="441">
        <v>50000000</v>
      </c>
      <c r="G566" s="441">
        <v>50000000</v>
      </c>
      <c r="H566" s="441">
        <f>G566*1.05</f>
        <v>52500000</v>
      </c>
      <c r="I566" s="441">
        <f>H566*1.05</f>
        <v>55125000</v>
      </c>
      <c r="J566" s="442" t="s">
        <v>5080</v>
      </c>
    </row>
    <row r="567" spans="1:10" ht="16.5" thickBot="1">
      <c r="A567" s="522"/>
      <c r="B567" s="461" t="s">
        <v>4580</v>
      </c>
      <c r="C567" s="462">
        <f t="shared" ref="C567:I567" si="64">SUM(C552:C566)</f>
        <v>1261000000</v>
      </c>
      <c r="D567" s="462">
        <f>SUM(D552:D566)</f>
        <v>650000000</v>
      </c>
      <c r="E567" s="462">
        <f>SUM(E552:E566)</f>
        <v>68242099</v>
      </c>
      <c r="F567" s="462">
        <f>SUM(F552:F566)</f>
        <v>600000000</v>
      </c>
      <c r="G567" s="462">
        <f>SUM(G552:G566)</f>
        <v>400000000</v>
      </c>
      <c r="H567" s="462">
        <f t="shared" si="64"/>
        <v>420000000</v>
      </c>
      <c r="I567" s="462">
        <f t="shared" si="64"/>
        <v>441000000</v>
      </c>
      <c r="J567" s="461"/>
    </row>
    <row r="568" spans="1:10" ht="15.75">
      <c r="A568" s="423" t="s">
        <v>5081</v>
      </c>
      <c r="B568" s="463"/>
      <c r="C568" s="425" t="s">
        <v>1840</v>
      </c>
      <c r="D568" s="425"/>
      <c r="E568" s="425"/>
      <c r="F568" s="425"/>
      <c r="G568" s="425"/>
      <c r="H568" s="425"/>
      <c r="I568" s="425"/>
      <c r="J568" s="424"/>
    </row>
    <row r="569" spans="1:10" ht="31.5">
      <c r="A569" s="426" t="s">
        <v>5082</v>
      </c>
      <c r="B569" s="427" t="s">
        <v>5083</v>
      </c>
      <c r="C569" s="474" t="s">
        <v>1840</v>
      </c>
      <c r="D569" s="474"/>
      <c r="E569" s="474"/>
      <c r="F569" s="474"/>
      <c r="G569" s="474"/>
      <c r="H569" s="474"/>
      <c r="I569" s="474"/>
      <c r="J569" s="476"/>
    </row>
    <row r="570" spans="1:10" ht="31.5">
      <c r="A570" s="429" t="s">
        <v>4509</v>
      </c>
      <c r="B570" s="477" t="s">
        <v>4510</v>
      </c>
      <c r="C570" s="466" t="s">
        <v>4511</v>
      </c>
      <c r="D570" s="432" t="s">
        <v>4512</v>
      </c>
      <c r="E570" s="432" t="s">
        <v>5503</v>
      </c>
      <c r="F570" s="432" t="s">
        <v>4305</v>
      </c>
      <c r="G570" s="432" t="s">
        <v>5501</v>
      </c>
      <c r="H570" s="432" t="s">
        <v>4305</v>
      </c>
      <c r="I570" s="432" t="s">
        <v>4305</v>
      </c>
      <c r="J570" s="433" t="s">
        <v>4513</v>
      </c>
    </row>
    <row r="571" spans="1:10" ht="31.5">
      <c r="A571" s="434"/>
      <c r="B571" s="435"/>
      <c r="C571" s="436" t="s">
        <v>4514</v>
      </c>
      <c r="D571" s="437" t="s">
        <v>4515</v>
      </c>
      <c r="E571" s="437" t="s">
        <v>4516</v>
      </c>
      <c r="F571" s="437" t="s">
        <v>243</v>
      </c>
      <c r="G571" s="437" t="s">
        <v>243</v>
      </c>
      <c r="H571" s="437" t="s">
        <v>4130</v>
      </c>
      <c r="I571" s="437" t="s">
        <v>4202</v>
      </c>
      <c r="J571" s="438"/>
    </row>
    <row r="572" spans="1:10" ht="31.5">
      <c r="A572" s="439">
        <v>101</v>
      </c>
      <c r="B572" s="442" t="s">
        <v>5084</v>
      </c>
      <c r="C572" s="441">
        <f t="shared" ref="C572:C577" si="65">G572+H572+I572</f>
        <v>6305000000</v>
      </c>
      <c r="D572" s="441">
        <v>2600000000</v>
      </c>
      <c r="E572" s="443">
        <v>1161054727</v>
      </c>
      <c r="F572" s="441">
        <v>5000000000</v>
      </c>
      <c r="G572" s="441">
        <v>2000000000</v>
      </c>
      <c r="H572" s="441">
        <f t="shared" ref="H572:I579" si="66">G572*1.05</f>
        <v>2100000000</v>
      </c>
      <c r="I572" s="441">
        <f t="shared" si="66"/>
        <v>2205000000</v>
      </c>
      <c r="J572" s="442" t="s">
        <v>5673</v>
      </c>
    </row>
    <row r="573" spans="1:10" ht="31.5">
      <c r="A573" s="439">
        <v>102</v>
      </c>
      <c r="B573" s="442" t="s">
        <v>5085</v>
      </c>
      <c r="C573" s="441">
        <f t="shared" si="65"/>
        <v>472875000</v>
      </c>
      <c r="D573" s="441">
        <v>20000000</v>
      </c>
      <c r="E573" s="441"/>
      <c r="F573" s="441">
        <v>150000000</v>
      </c>
      <c r="G573" s="441">
        <v>150000000</v>
      </c>
      <c r="H573" s="441">
        <f t="shared" si="66"/>
        <v>157500000</v>
      </c>
      <c r="I573" s="441">
        <f t="shared" si="66"/>
        <v>165375000</v>
      </c>
      <c r="J573" s="442" t="s">
        <v>5086</v>
      </c>
    </row>
    <row r="574" spans="1:10" ht="31.5">
      <c r="A574" s="523">
        <v>103</v>
      </c>
      <c r="B574" s="442" t="s">
        <v>5087</v>
      </c>
      <c r="C574" s="441">
        <f t="shared" si="65"/>
        <v>315250000</v>
      </c>
      <c r="D574" s="441">
        <v>80000000</v>
      </c>
      <c r="E574" s="441"/>
      <c r="F574" s="441">
        <v>100000000</v>
      </c>
      <c r="G574" s="441">
        <v>100000000</v>
      </c>
      <c r="H574" s="441">
        <f t="shared" si="66"/>
        <v>105000000</v>
      </c>
      <c r="I574" s="441">
        <f t="shared" si="66"/>
        <v>110250000</v>
      </c>
      <c r="J574" s="442" t="s">
        <v>5088</v>
      </c>
    </row>
    <row r="575" spans="1:10" ht="31.5">
      <c r="A575" s="439">
        <v>104</v>
      </c>
      <c r="B575" s="442" t="s">
        <v>5089</v>
      </c>
      <c r="C575" s="441">
        <f t="shared" si="65"/>
        <v>1576250000</v>
      </c>
      <c r="D575" s="441">
        <v>1000000000</v>
      </c>
      <c r="E575" s="443">
        <v>365143821</v>
      </c>
      <c r="F575" s="441">
        <v>500000000</v>
      </c>
      <c r="G575" s="441">
        <v>500000000</v>
      </c>
      <c r="H575" s="441">
        <f t="shared" si="66"/>
        <v>525000000</v>
      </c>
      <c r="I575" s="441">
        <f t="shared" si="66"/>
        <v>551250000</v>
      </c>
      <c r="J575" s="442" t="s">
        <v>5090</v>
      </c>
    </row>
    <row r="576" spans="1:10" ht="31.5">
      <c r="A576" s="439">
        <v>105</v>
      </c>
      <c r="B576" s="442" t="s">
        <v>5091</v>
      </c>
      <c r="C576" s="441">
        <f t="shared" si="65"/>
        <v>1103375000</v>
      </c>
      <c r="D576" s="441">
        <v>170000000</v>
      </c>
      <c r="E576" s="441"/>
      <c r="F576" s="441">
        <v>350000000</v>
      </c>
      <c r="G576" s="441">
        <v>350000000</v>
      </c>
      <c r="H576" s="441">
        <f t="shared" si="66"/>
        <v>367500000</v>
      </c>
      <c r="I576" s="441">
        <f t="shared" si="66"/>
        <v>385875000</v>
      </c>
      <c r="J576" s="442" t="s">
        <v>5092</v>
      </c>
    </row>
    <row r="577" spans="1:10" ht="31.5">
      <c r="A577" s="439">
        <v>106</v>
      </c>
      <c r="B577" s="442" t="s">
        <v>5093</v>
      </c>
      <c r="C577" s="441">
        <f t="shared" si="65"/>
        <v>472875000</v>
      </c>
      <c r="D577" s="441">
        <v>80000000</v>
      </c>
      <c r="E577" s="441"/>
      <c r="F577" s="441">
        <v>150000000</v>
      </c>
      <c r="G577" s="441">
        <v>150000000</v>
      </c>
      <c r="H577" s="441">
        <f t="shared" si="66"/>
        <v>157500000</v>
      </c>
      <c r="I577" s="441">
        <f t="shared" si="66"/>
        <v>165375000</v>
      </c>
      <c r="J577" s="442" t="s">
        <v>5094</v>
      </c>
    </row>
    <row r="578" spans="1:10" ht="47.25">
      <c r="A578" s="439">
        <v>107</v>
      </c>
      <c r="B578" s="442" t="s">
        <v>5095</v>
      </c>
      <c r="C578" s="441">
        <f>SUM(G578:I578)</f>
        <v>63050000</v>
      </c>
      <c r="D578" s="441">
        <v>20000000</v>
      </c>
      <c r="E578" s="441"/>
      <c r="F578" s="441">
        <v>20000000</v>
      </c>
      <c r="G578" s="441">
        <v>20000000</v>
      </c>
      <c r="H578" s="441">
        <f t="shared" si="66"/>
        <v>21000000</v>
      </c>
      <c r="I578" s="441">
        <f t="shared" si="66"/>
        <v>22050000</v>
      </c>
      <c r="J578" s="442" t="s">
        <v>5096</v>
      </c>
    </row>
    <row r="579" spans="1:10" ht="15.75">
      <c r="A579" s="439">
        <v>108</v>
      </c>
      <c r="B579" s="442" t="s">
        <v>5097</v>
      </c>
      <c r="C579" s="441">
        <f>SUM(G579:I579)</f>
        <v>315250000</v>
      </c>
      <c r="D579" s="441">
        <v>80000000</v>
      </c>
      <c r="E579" s="441"/>
      <c r="F579" s="441">
        <v>100000000</v>
      </c>
      <c r="G579" s="441">
        <v>100000000</v>
      </c>
      <c r="H579" s="441">
        <f t="shared" si="66"/>
        <v>105000000</v>
      </c>
      <c r="I579" s="441">
        <f t="shared" si="66"/>
        <v>110250000</v>
      </c>
      <c r="J579" s="442" t="s">
        <v>5098</v>
      </c>
    </row>
    <row r="580" spans="1:10" ht="15.75">
      <c r="A580" s="439"/>
      <c r="B580" s="449" t="s">
        <v>5099</v>
      </c>
      <c r="C580" s="441"/>
      <c r="D580" s="441"/>
      <c r="E580" s="441"/>
      <c r="F580" s="441"/>
      <c r="G580" s="441"/>
      <c r="H580" s="470"/>
      <c r="I580" s="470"/>
      <c r="J580" s="524"/>
    </row>
    <row r="581" spans="1:10" ht="31.5">
      <c r="A581" s="439">
        <v>109</v>
      </c>
      <c r="B581" s="442" t="s">
        <v>5100</v>
      </c>
      <c r="C581" s="441">
        <f>G581+H581+I581</f>
        <v>157625000</v>
      </c>
      <c r="D581" s="441">
        <v>50000000</v>
      </c>
      <c r="E581" s="441"/>
      <c r="F581" s="441"/>
      <c r="G581" s="441">
        <v>50000000</v>
      </c>
      <c r="H581" s="441">
        <f>G581*5/100+G581</f>
        <v>52500000</v>
      </c>
      <c r="I581" s="441">
        <f>H581*5/100+H581</f>
        <v>55125000</v>
      </c>
      <c r="J581" s="442" t="s">
        <v>5101</v>
      </c>
    </row>
    <row r="582" spans="1:10" ht="15.75">
      <c r="A582" s="439">
        <v>110</v>
      </c>
      <c r="B582" s="442" t="s">
        <v>5102</v>
      </c>
      <c r="C582" s="441">
        <f>SUM(G582:I582)</f>
        <v>0</v>
      </c>
      <c r="D582" s="441" t="s">
        <v>3007</v>
      </c>
      <c r="E582" s="441"/>
      <c r="F582" s="441"/>
      <c r="G582" s="441" t="s">
        <v>3007</v>
      </c>
      <c r="H582" s="441" t="s">
        <v>3007</v>
      </c>
      <c r="I582" s="441" t="s">
        <v>3007</v>
      </c>
      <c r="J582" s="442" t="s">
        <v>5674</v>
      </c>
    </row>
    <row r="583" spans="1:10" ht="15.75">
      <c r="A583" s="439">
        <v>111</v>
      </c>
      <c r="B583" s="442" t="s">
        <v>5103</v>
      </c>
      <c r="C583" s="441">
        <f>SUM(G583:I583)</f>
        <v>300000000</v>
      </c>
      <c r="D583" s="441" t="s">
        <v>3007</v>
      </c>
      <c r="E583" s="445"/>
      <c r="F583" s="441">
        <v>300000000</v>
      </c>
      <c r="G583" s="441">
        <v>300000000</v>
      </c>
      <c r="H583" s="441" t="s">
        <v>3007</v>
      </c>
      <c r="I583" s="441" t="s">
        <v>3007</v>
      </c>
      <c r="J583" s="442" t="s">
        <v>5104</v>
      </c>
    </row>
    <row r="584" spans="1:10" ht="15.75">
      <c r="A584" s="439">
        <v>112</v>
      </c>
      <c r="B584" s="442" t="s">
        <v>4783</v>
      </c>
      <c r="C584" s="441">
        <f>G584+H584+I584</f>
        <v>315250000</v>
      </c>
      <c r="D584" s="441">
        <v>100000000</v>
      </c>
      <c r="E584" s="445">
        <v>21465297</v>
      </c>
      <c r="F584" s="441">
        <v>100000000</v>
      </c>
      <c r="G584" s="441">
        <v>100000000</v>
      </c>
      <c r="H584" s="441">
        <f>G584*5/100+G584</f>
        <v>105000000</v>
      </c>
      <c r="I584" s="441">
        <f>H584*5/100+H584</f>
        <v>110250000</v>
      </c>
      <c r="J584" s="442" t="s">
        <v>5105</v>
      </c>
    </row>
    <row r="585" spans="1:10" ht="31.5">
      <c r="A585" s="439"/>
      <c r="B585" s="449" t="s">
        <v>5106</v>
      </c>
      <c r="C585" s="441"/>
      <c r="D585" s="441"/>
      <c r="E585" s="441"/>
      <c r="F585" s="441"/>
      <c r="G585" s="441"/>
      <c r="H585" s="441"/>
      <c r="I585" s="441"/>
      <c r="J585" s="442"/>
    </row>
    <row r="586" spans="1:10" ht="31.5">
      <c r="A586" s="439">
        <v>201</v>
      </c>
      <c r="B586" s="442" t="s">
        <v>5107</v>
      </c>
      <c r="C586" s="441">
        <f t="shared" ref="C586:C591" si="67">G586+H586+I586</f>
        <v>1418625000</v>
      </c>
      <c r="D586" s="441">
        <v>1000000000</v>
      </c>
      <c r="E586" s="443">
        <v>175733884</v>
      </c>
      <c r="F586" s="441">
        <v>931750000</v>
      </c>
      <c r="G586" s="441">
        <v>450000000</v>
      </c>
      <c r="H586" s="441">
        <f t="shared" ref="H586:I588" si="68">G586*5/100+G586</f>
        <v>472500000</v>
      </c>
      <c r="I586" s="441">
        <f t="shared" si="68"/>
        <v>496125000</v>
      </c>
      <c r="J586" s="442" t="s">
        <v>5108</v>
      </c>
    </row>
    <row r="587" spans="1:10" ht="31.5">
      <c r="A587" s="439">
        <v>202</v>
      </c>
      <c r="B587" s="442" t="s">
        <v>5109</v>
      </c>
      <c r="C587" s="441">
        <f t="shared" si="67"/>
        <v>15762500</v>
      </c>
      <c r="D587" s="441">
        <v>5000000</v>
      </c>
      <c r="E587" s="441"/>
      <c r="F587" s="441">
        <v>5000000</v>
      </c>
      <c r="G587" s="441">
        <v>5000000</v>
      </c>
      <c r="H587" s="441">
        <f t="shared" si="68"/>
        <v>5250000</v>
      </c>
      <c r="I587" s="441">
        <f t="shared" si="68"/>
        <v>5512500</v>
      </c>
      <c r="J587" s="442" t="s">
        <v>5675</v>
      </c>
    </row>
    <row r="588" spans="1:10" ht="31.5">
      <c r="A588" s="439">
        <v>203</v>
      </c>
      <c r="B588" s="442" t="s">
        <v>5110</v>
      </c>
      <c r="C588" s="441">
        <f>SUM(G588:I588)</f>
        <v>31525000</v>
      </c>
      <c r="D588" s="441">
        <v>10000000</v>
      </c>
      <c r="E588" s="441"/>
      <c r="F588" s="441">
        <v>10000000</v>
      </c>
      <c r="G588" s="441">
        <v>10000000</v>
      </c>
      <c r="H588" s="441">
        <f t="shared" si="68"/>
        <v>10500000</v>
      </c>
      <c r="I588" s="441">
        <f t="shared" si="68"/>
        <v>11025000</v>
      </c>
      <c r="J588" s="442" t="s">
        <v>5676</v>
      </c>
    </row>
    <row r="589" spans="1:10" ht="31.5">
      <c r="A589" s="439">
        <v>204</v>
      </c>
      <c r="B589" s="442" t="s">
        <v>5111</v>
      </c>
      <c r="C589" s="441">
        <f>SUM(G589:I589)</f>
        <v>0</v>
      </c>
      <c r="D589" s="441" t="s">
        <v>3007</v>
      </c>
      <c r="E589" s="441"/>
      <c r="F589" s="441" t="s">
        <v>3007</v>
      </c>
      <c r="G589" s="441" t="s">
        <v>3007</v>
      </c>
      <c r="H589" s="441" t="s">
        <v>3007</v>
      </c>
      <c r="I589" s="441" t="s">
        <v>3007</v>
      </c>
      <c r="J589" s="442" t="s">
        <v>5677</v>
      </c>
    </row>
    <row r="590" spans="1:10" ht="15.75">
      <c r="A590" s="439">
        <v>205</v>
      </c>
      <c r="B590" s="442" t="s">
        <v>5112</v>
      </c>
      <c r="C590" s="441">
        <f t="shared" si="67"/>
        <v>31525000</v>
      </c>
      <c r="D590" s="441">
        <v>10000000</v>
      </c>
      <c r="E590" s="443">
        <v>50000000</v>
      </c>
      <c r="F590" s="441">
        <v>10000000</v>
      </c>
      <c r="G590" s="441">
        <v>10000000</v>
      </c>
      <c r="H590" s="441">
        <f>G590*5/100+G590</f>
        <v>10500000</v>
      </c>
      <c r="I590" s="441">
        <f>H590*5/100+H590</f>
        <v>11025000</v>
      </c>
      <c r="J590" s="442" t="s">
        <v>5113</v>
      </c>
    </row>
    <row r="591" spans="1:10" ht="15.75">
      <c r="A591" s="439">
        <v>206</v>
      </c>
      <c r="B591" s="442" t="s">
        <v>5114</v>
      </c>
      <c r="C591" s="441">
        <f t="shared" si="67"/>
        <v>31525000</v>
      </c>
      <c r="D591" s="441">
        <v>10000000</v>
      </c>
      <c r="E591" s="441"/>
      <c r="F591" s="441">
        <v>10000000</v>
      </c>
      <c r="G591" s="441">
        <v>10000000</v>
      </c>
      <c r="H591" s="441">
        <f>G591*5/100+G591</f>
        <v>10500000</v>
      </c>
      <c r="I591" s="441">
        <f>H591*5/100+H591</f>
        <v>11025000</v>
      </c>
      <c r="J591" s="442" t="s">
        <v>5115</v>
      </c>
    </row>
    <row r="592" spans="1:10" ht="31.5">
      <c r="A592" s="439">
        <v>207</v>
      </c>
      <c r="B592" s="442" t="s">
        <v>5116</v>
      </c>
      <c r="C592" s="441">
        <f>SUM(G592:I592)</f>
        <v>0</v>
      </c>
      <c r="D592" s="441"/>
      <c r="E592" s="441"/>
      <c r="F592" s="441"/>
      <c r="G592" s="441" t="s">
        <v>3007</v>
      </c>
      <c r="H592" s="441" t="s">
        <v>3007</v>
      </c>
      <c r="I592" s="441" t="s">
        <v>3007</v>
      </c>
      <c r="J592" s="442" t="s">
        <v>5678</v>
      </c>
    </row>
    <row r="593" spans="1:10" ht="15.75">
      <c r="A593" s="439">
        <v>208</v>
      </c>
      <c r="B593" s="442" t="s">
        <v>5117</v>
      </c>
      <c r="C593" s="441">
        <f>G593+H593+I593</f>
        <v>94575000</v>
      </c>
      <c r="D593" s="441">
        <v>30000000</v>
      </c>
      <c r="E593" s="441"/>
      <c r="F593" s="441">
        <v>30000000</v>
      </c>
      <c r="G593" s="441">
        <v>30000000</v>
      </c>
      <c r="H593" s="441">
        <f>G593*5/100+G593</f>
        <v>31500000</v>
      </c>
      <c r="I593" s="441">
        <f>H593*5/100+H593</f>
        <v>33075000</v>
      </c>
      <c r="J593" s="442" t="s">
        <v>5118</v>
      </c>
    </row>
    <row r="594" spans="1:10" ht="31.5">
      <c r="A594" s="439">
        <v>209</v>
      </c>
      <c r="B594" s="442" t="s">
        <v>5439</v>
      </c>
      <c r="C594" s="441">
        <f>G594+H594+I594</f>
        <v>50000000</v>
      </c>
      <c r="D594" s="441"/>
      <c r="E594" s="441"/>
      <c r="F594" s="441">
        <v>50000000</v>
      </c>
      <c r="G594" s="441">
        <v>50000000</v>
      </c>
      <c r="H594" s="441"/>
      <c r="I594" s="441"/>
      <c r="J594" s="442" t="s">
        <v>5679</v>
      </c>
    </row>
    <row r="595" spans="1:10" ht="15.75">
      <c r="A595" s="525"/>
      <c r="B595" s="526" t="s">
        <v>2565</v>
      </c>
      <c r="C595" s="527">
        <f t="shared" ref="C595:I595" si="69">SUM(C572:C594)</f>
        <v>13070337500</v>
      </c>
      <c r="D595" s="527">
        <f>SUM(D572:D594)</f>
        <v>5265000000</v>
      </c>
      <c r="E595" s="527">
        <f t="shared" si="69"/>
        <v>1773397729</v>
      </c>
      <c r="F595" s="527">
        <f>SUM(F572:F594)</f>
        <v>7816750000</v>
      </c>
      <c r="G595" s="527">
        <f>SUM(G572:G594)</f>
        <v>4385000000</v>
      </c>
      <c r="H595" s="527">
        <f t="shared" si="69"/>
        <v>4236750000</v>
      </c>
      <c r="I595" s="527">
        <f t="shared" si="69"/>
        <v>4448587500</v>
      </c>
      <c r="J595" s="526"/>
    </row>
    <row r="596" spans="1:10" ht="15.75">
      <c r="A596" s="423" t="s">
        <v>5119</v>
      </c>
      <c r="B596" s="463"/>
      <c r="C596" s="470"/>
      <c r="D596" s="470"/>
      <c r="E596" s="470"/>
      <c r="F596" s="470"/>
      <c r="G596" s="470"/>
      <c r="H596" s="470"/>
      <c r="I596" s="470"/>
      <c r="J596" s="512"/>
    </row>
    <row r="597" spans="1:10" ht="15.75">
      <c r="A597" s="426" t="s">
        <v>5120</v>
      </c>
      <c r="B597" s="492" t="s">
        <v>5121</v>
      </c>
      <c r="C597" s="470"/>
      <c r="D597" s="470"/>
      <c r="E597" s="470"/>
      <c r="F597" s="470"/>
      <c r="G597" s="470"/>
      <c r="H597" s="470"/>
      <c r="I597" s="470"/>
      <c r="J597" s="512"/>
    </row>
    <row r="598" spans="1:10" ht="31.5">
      <c r="A598" s="429" t="s">
        <v>4509</v>
      </c>
      <c r="B598" s="477" t="s">
        <v>4510</v>
      </c>
      <c r="C598" s="466" t="s">
        <v>4511</v>
      </c>
      <c r="D598" s="432" t="s">
        <v>4512</v>
      </c>
      <c r="E598" s="432" t="s">
        <v>5503</v>
      </c>
      <c r="F598" s="432" t="s">
        <v>4305</v>
      </c>
      <c r="G598" s="432" t="s">
        <v>5501</v>
      </c>
      <c r="H598" s="432" t="s">
        <v>4305</v>
      </c>
      <c r="I598" s="432" t="s">
        <v>4305</v>
      </c>
      <c r="J598" s="433" t="s">
        <v>4513</v>
      </c>
    </row>
    <row r="599" spans="1:10" ht="31.5">
      <c r="A599" s="434"/>
      <c r="B599" s="435"/>
      <c r="C599" s="436" t="s">
        <v>4514</v>
      </c>
      <c r="D599" s="437" t="s">
        <v>4515</v>
      </c>
      <c r="E599" s="437" t="s">
        <v>4516</v>
      </c>
      <c r="F599" s="437" t="s">
        <v>243</v>
      </c>
      <c r="G599" s="437" t="s">
        <v>243</v>
      </c>
      <c r="H599" s="437" t="s">
        <v>4130</v>
      </c>
      <c r="I599" s="437" t="s">
        <v>4202</v>
      </c>
      <c r="J599" s="438"/>
    </row>
    <row r="600" spans="1:10" ht="15.75">
      <c r="A600" s="439"/>
      <c r="B600" s="505" t="s">
        <v>5122</v>
      </c>
      <c r="C600" s="480"/>
      <c r="D600" s="480"/>
      <c r="E600" s="480"/>
      <c r="F600" s="480"/>
      <c r="G600" s="480"/>
      <c r="H600" s="480"/>
      <c r="I600" s="480"/>
      <c r="J600" s="479"/>
    </row>
    <row r="601" spans="1:10" ht="31.5">
      <c r="A601" s="439">
        <v>101</v>
      </c>
      <c r="B601" s="442" t="s">
        <v>5123</v>
      </c>
      <c r="C601" s="441">
        <f>G601+H601+I601</f>
        <v>126100000</v>
      </c>
      <c r="D601" s="441">
        <v>20000000</v>
      </c>
      <c r="E601" s="506"/>
      <c r="F601" s="441">
        <v>50000000</v>
      </c>
      <c r="G601" s="441">
        <v>40000000</v>
      </c>
      <c r="H601" s="441">
        <f>G601*5/100+G601</f>
        <v>42000000</v>
      </c>
      <c r="I601" s="441">
        <f>H601*5/100+H601</f>
        <v>44100000</v>
      </c>
      <c r="J601" s="442" t="s">
        <v>5124</v>
      </c>
    </row>
    <row r="602" spans="1:10" ht="15.75">
      <c r="A602" s="439"/>
      <c r="B602" s="442"/>
      <c r="C602" s="441"/>
      <c r="D602" s="441"/>
      <c r="E602" s="441"/>
      <c r="F602" s="441"/>
      <c r="G602" s="441"/>
      <c r="H602" s="441"/>
      <c r="I602" s="441"/>
      <c r="J602" s="442"/>
    </row>
    <row r="603" spans="1:10" ht="31.5">
      <c r="A603" s="439">
        <v>102</v>
      </c>
      <c r="B603" s="442" t="s">
        <v>5125</v>
      </c>
      <c r="C603" s="441">
        <f>G603+H603+I603</f>
        <v>15762500</v>
      </c>
      <c r="D603" s="441">
        <v>2000000</v>
      </c>
      <c r="E603" s="441"/>
      <c r="F603" s="441">
        <v>10000000</v>
      </c>
      <c r="G603" s="441">
        <v>5000000</v>
      </c>
      <c r="H603" s="441">
        <f>G603*5/100+G603</f>
        <v>5250000</v>
      </c>
      <c r="I603" s="441">
        <f>H603*5/100+H603</f>
        <v>5512500</v>
      </c>
      <c r="J603" s="442" t="s">
        <v>5126</v>
      </c>
    </row>
    <row r="604" spans="1:10" ht="15.75">
      <c r="A604" s="439"/>
      <c r="B604" s="442"/>
      <c r="C604" s="441"/>
      <c r="D604" s="441"/>
      <c r="E604" s="441"/>
      <c r="F604" s="441"/>
      <c r="G604" s="441"/>
      <c r="H604" s="441"/>
      <c r="I604" s="441"/>
      <c r="J604" s="442"/>
    </row>
    <row r="605" spans="1:10" ht="31.5">
      <c r="A605" s="439">
        <v>103</v>
      </c>
      <c r="B605" s="442" t="s">
        <v>5127</v>
      </c>
      <c r="C605" s="441">
        <f>SUM(G605:I605)</f>
        <v>3000000</v>
      </c>
      <c r="D605" s="441">
        <v>2000000</v>
      </c>
      <c r="E605" s="441"/>
      <c r="F605" s="441">
        <v>5000000</v>
      </c>
      <c r="G605" s="441">
        <v>3000000</v>
      </c>
      <c r="H605" s="441" t="s">
        <v>3007</v>
      </c>
      <c r="I605" s="441" t="s">
        <v>3007</v>
      </c>
      <c r="J605" s="442" t="s">
        <v>5128</v>
      </c>
    </row>
    <row r="606" spans="1:10" ht="15.75">
      <c r="A606" s="439"/>
      <c r="B606" s="442"/>
      <c r="C606" s="441"/>
      <c r="D606" s="441"/>
      <c r="E606" s="441"/>
      <c r="F606" s="441"/>
      <c r="G606" s="441"/>
      <c r="H606" s="441"/>
      <c r="I606" s="441"/>
      <c r="J606" s="442"/>
    </row>
    <row r="607" spans="1:10" ht="31.5">
      <c r="A607" s="439">
        <v>104</v>
      </c>
      <c r="B607" s="442" t="s">
        <v>5129</v>
      </c>
      <c r="C607" s="441">
        <f>G607+H607+I607</f>
        <v>9457500</v>
      </c>
      <c r="D607" s="441">
        <v>3500000</v>
      </c>
      <c r="E607" s="441"/>
      <c r="F607" s="441">
        <v>3000000</v>
      </c>
      <c r="G607" s="441">
        <v>3000000</v>
      </c>
      <c r="H607" s="441">
        <f>G607*5/100+G607</f>
        <v>3150000</v>
      </c>
      <c r="I607" s="441">
        <f>H607*5/100+H607</f>
        <v>3307500</v>
      </c>
      <c r="J607" s="442" t="s">
        <v>5680</v>
      </c>
    </row>
    <row r="608" spans="1:10" ht="15.75">
      <c r="A608" s="439"/>
      <c r="B608" s="442"/>
      <c r="C608" s="441"/>
      <c r="D608" s="441"/>
      <c r="E608" s="441"/>
      <c r="F608" s="441"/>
      <c r="G608" s="441"/>
      <c r="H608" s="441"/>
      <c r="I608" s="441"/>
      <c r="J608" s="442"/>
    </row>
    <row r="609" spans="1:10" ht="31.5">
      <c r="A609" s="439">
        <v>105</v>
      </c>
      <c r="B609" s="442" t="s">
        <v>5130</v>
      </c>
      <c r="C609" s="441">
        <f>G609+H609+I609</f>
        <v>12610000</v>
      </c>
      <c r="D609" s="441">
        <v>2000000</v>
      </c>
      <c r="E609" s="441"/>
      <c r="F609" s="441">
        <v>5000000</v>
      </c>
      <c r="G609" s="441">
        <v>4000000</v>
      </c>
      <c r="H609" s="441">
        <f>G609*5/100+G609</f>
        <v>4200000</v>
      </c>
      <c r="I609" s="441">
        <f>H609*5/100+H609</f>
        <v>4410000</v>
      </c>
      <c r="J609" s="442" t="s">
        <v>5131</v>
      </c>
    </row>
    <row r="610" spans="1:10" ht="15.75">
      <c r="A610" s="439"/>
      <c r="B610" s="442"/>
      <c r="C610" s="441"/>
      <c r="D610" s="441"/>
      <c r="E610" s="441"/>
      <c r="F610" s="441"/>
      <c r="G610" s="441"/>
      <c r="H610" s="441"/>
      <c r="I610" s="441"/>
      <c r="J610" s="442"/>
    </row>
    <row r="611" spans="1:10" ht="31.5">
      <c r="A611" s="439">
        <v>106</v>
      </c>
      <c r="B611" s="442" t="s">
        <v>5132</v>
      </c>
      <c r="C611" s="441">
        <f>G611+H611+I611</f>
        <v>15762500</v>
      </c>
      <c r="D611" s="441">
        <v>3000000</v>
      </c>
      <c r="E611" s="441"/>
      <c r="F611" s="441">
        <v>5000000</v>
      </c>
      <c r="G611" s="441">
        <v>5000000</v>
      </c>
      <c r="H611" s="441">
        <f>G611*5/100+G611</f>
        <v>5250000</v>
      </c>
      <c r="I611" s="441">
        <f>H611*5/100+H611</f>
        <v>5512500</v>
      </c>
      <c r="J611" s="442" t="s">
        <v>5133</v>
      </c>
    </row>
    <row r="612" spans="1:10" ht="15.75">
      <c r="A612" s="439"/>
      <c r="B612" s="442"/>
      <c r="C612" s="441"/>
      <c r="D612" s="441"/>
      <c r="E612" s="441"/>
      <c r="F612" s="441"/>
      <c r="G612" s="441"/>
      <c r="H612" s="441"/>
      <c r="I612" s="441"/>
      <c r="J612" s="442"/>
    </row>
    <row r="613" spans="1:10" ht="31.5">
      <c r="A613" s="439">
        <v>107</v>
      </c>
      <c r="B613" s="528" t="s">
        <v>5134</v>
      </c>
      <c r="C613" s="441">
        <f>SUM(G613:I613)</f>
        <v>15762500</v>
      </c>
      <c r="D613" s="441">
        <v>1000000</v>
      </c>
      <c r="E613" s="441"/>
      <c r="F613" s="441">
        <v>10000000</v>
      </c>
      <c r="G613" s="441">
        <v>5000000</v>
      </c>
      <c r="H613" s="441">
        <f>G613*5/100+G613</f>
        <v>5250000</v>
      </c>
      <c r="I613" s="441">
        <f>H613*5/100+H613</f>
        <v>5512500</v>
      </c>
      <c r="J613" s="442" t="s">
        <v>5135</v>
      </c>
    </row>
    <row r="614" spans="1:10" ht="15.75">
      <c r="A614" s="439"/>
      <c r="B614" s="528"/>
      <c r="C614" s="441"/>
      <c r="D614" s="441"/>
      <c r="E614" s="441"/>
      <c r="F614" s="441"/>
      <c r="G614" s="441"/>
      <c r="H614" s="441"/>
      <c r="I614" s="441"/>
      <c r="J614" s="442"/>
    </row>
    <row r="615" spans="1:10" ht="31.5">
      <c r="A615" s="439">
        <v>108</v>
      </c>
      <c r="B615" s="528" t="s">
        <v>5136</v>
      </c>
      <c r="C615" s="441">
        <f>SUM(G615:I615)</f>
        <v>15762500</v>
      </c>
      <c r="D615" s="441">
        <v>1500000</v>
      </c>
      <c r="E615" s="441"/>
      <c r="F615" s="441">
        <v>5000000</v>
      </c>
      <c r="G615" s="441">
        <v>5000000</v>
      </c>
      <c r="H615" s="441">
        <f>G615*5/100+G615</f>
        <v>5250000</v>
      </c>
      <c r="I615" s="441">
        <f>H615*5/100+H615</f>
        <v>5512500</v>
      </c>
      <c r="J615" s="442" t="s">
        <v>5681</v>
      </c>
    </row>
    <row r="616" spans="1:10" ht="15.75">
      <c r="A616" s="439"/>
      <c r="B616" s="449"/>
      <c r="C616" s="441"/>
      <c r="D616" s="441"/>
      <c r="E616" s="441"/>
      <c r="F616" s="441"/>
      <c r="G616" s="441"/>
      <c r="H616" s="441"/>
      <c r="I616" s="441"/>
      <c r="J616" s="442"/>
    </row>
    <row r="617" spans="1:10" ht="15.75">
      <c r="A617" s="442"/>
      <c r="B617" s="442"/>
      <c r="C617" s="441"/>
      <c r="D617" s="444"/>
      <c r="E617" s="444"/>
      <c r="F617" s="444"/>
      <c r="G617" s="441">
        <v>0</v>
      </c>
      <c r="H617" s="441"/>
      <c r="I617" s="441"/>
      <c r="J617" s="442"/>
    </row>
    <row r="618" spans="1:10" ht="15.75">
      <c r="A618" s="460"/>
      <c r="B618" s="461" t="s">
        <v>4580</v>
      </c>
      <c r="C618" s="462">
        <f t="shared" ref="C618:I618" si="70">SUM(C600:C617)</f>
        <v>214217500</v>
      </c>
      <c r="D618" s="462">
        <f t="shared" si="70"/>
        <v>35000000</v>
      </c>
      <c r="E618" s="462">
        <f t="shared" si="70"/>
        <v>0</v>
      </c>
      <c r="F618" s="462">
        <f t="shared" si="70"/>
        <v>93000000</v>
      </c>
      <c r="G618" s="462">
        <f t="shared" si="70"/>
        <v>70000000</v>
      </c>
      <c r="H618" s="462">
        <f t="shared" si="70"/>
        <v>70350000</v>
      </c>
      <c r="I618" s="462">
        <f t="shared" si="70"/>
        <v>73867500</v>
      </c>
      <c r="J618" s="516"/>
    </row>
    <row r="619" spans="1:10" ht="15.75">
      <c r="A619" s="460"/>
      <c r="B619" s="461" t="s">
        <v>5137</v>
      </c>
      <c r="C619" s="462">
        <f t="shared" ref="C619:I619" si="71">C524+C546+C567+C595+C618</f>
        <v>22820867500</v>
      </c>
      <c r="D619" s="462">
        <f t="shared" si="71"/>
        <v>9596000000</v>
      </c>
      <c r="E619" s="462">
        <f t="shared" si="71"/>
        <v>2204176834</v>
      </c>
      <c r="F619" s="462">
        <f t="shared" si="71"/>
        <v>9631050000</v>
      </c>
      <c r="G619" s="462">
        <f t="shared" si="71"/>
        <v>7480000000</v>
      </c>
      <c r="H619" s="462">
        <f t="shared" si="71"/>
        <v>7483350000</v>
      </c>
      <c r="I619" s="462">
        <f t="shared" si="71"/>
        <v>7857517500</v>
      </c>
      <c r="J619" s="516"/>
    </row>
    <row r="620" spans="1:10" ht="15.75">
      <c r="A620" s="423"/>
      <c r="B620" s="463"/>
      <c r="C620" s="425" t="s">
        <v>1840</v>
      </c>
      <c r="D620" s="425"/>
      <c r="E620" s="425"/>
      <c r="F620" s="425"/>
      <c r="G620" s="425"/>
      <c r="H620" s="425"/>
      <c r="I620" s="425"/>
      <c r="J620" s="424"/>
    </row>
    <row r="621" spans="1:10" ht="15.75">
      <c r="A621" s="423" t="s">
        <v>5138</v>
      </c>
      <c r="B621" s="463"/>
      <c r="C621" s="425"/>
      <c r="D621" s="425"/>
      <c r="E621" s="425"/>
      <c r="F621" s="425"/>
      <c r="G621" s="425"/>
      <c r="H621" s="425"/>
      <c r="I621" s="425"/>
      <c r="J621" s="424"/>
    </row>
    <row r="622" spans="1:10" ht="15.75">
      <c r="A622" s="426" t="s">
        <v>5139</v>
      </c>
      <c r="B622" s="427" t="s">
        <v>5140</v>
      </c>
      <c r="C622" s="425"/>
      <c r="D622" s="425"/>
      <c r="E622" s="425"/>
      <c r="F622" s="425"/>
      <c r="G622" s="425"/>
      <c r="H622" s="425"/>
      <c r="I622" s="425"/>
      <c r="J622" s="424"/>
    </row>
    <row r="623" spans="1:10" ht="31.5">
      <c r="A623" s="429" t="s">
        <v>4509</v>
      </c>
      <c r="B623" s="477" t="s">
        <v>4510</v>
      </c>
      <c r="C623" s="466" t="s">
        <v>4511</v>
      </c>
      <c r="D623" s="432" t="s">
        <v>4512</v>
      </c>
      <c r="E623" s="432" t="s">
        <v>5503</v>
      </c>
      <c r="F623" s="432" t="s">
        <v>4305</v>
      </c>
      <c r="G623" s="432" t="s">
        <v>5501</v>
      </c>
      <c r="H623" s="432" t="s">
        <v>4305</v>
      </c>
      <c r="I623" s="432" t="s">
        <v>4305</v>
      </c>
      <c r="J623" s="433" t="s">
        <v>4513</v>
      </c>
    </row>
    <row r="624" spans="1:10" ht="31.5">
      <c r="A624" s="434"/>
      <c r="B624" s="435"/>
      <c r="C624" s="436" t="s">
        <v>4514</v>
      </c>
      <c r="D624" s="437" t="s">
        <v>4515</v>
      </c>
      <c r="E624" s="437" t="s">
        <v>4516</v>
      </c>
      <c r="F624" s="437" t="s">
        <v>243</v>
      </c>
      <c r="G624" s="437" t="s">
        <v>243</v>
      </c>
      <c r="H624" s="437" t="s">
        <v>4130</v>
      </c>
      <c r="I624" s="437" t="s">
        <v>4202</v>
      </c>
      <c r="J624" s="438"/>
    </row>
    <row r="625" spans="1:10" ht="15.75">
      <c r="A625" s="439">
        <v>101</v>
      </c>
      <c r="B625" s="442" t="s">
        <v>5141</v>
      </c>
      <c r="C625" s="441">
        <f>SUM(G625:I625)</f>
        <v>157625000</v>
      </c>
      <c r="D625" s="441">
        <v>100000000</v>
      </c>
      <c r="E625" s="529">
        <v>717780</v>
      </c>
      <c r="F625" s="441">
        <v>50000000</v>
      </c>
      <c r="G625" s="441">
        <v>50000000</v>
      </c>
      <c r="H625" s="441">
        <f>G625*5/100+G625</f>
        <v>52500000</v>
      </c>
      <c r="I625" s="441">
        <f>H625*5/100+H625</f>
        <v>55125000</v>
      </c>
      <c r="J625" s="479" t="s">
        <v>5142</v>
      </c>
    </row>
    <row r="626" spans="1:10" ht="15.75">
      <c r="A626" s="439">
        <f>A625+1</f>
        <v>102</v>
      </c>
      <c r="B626" s="442" t="s">
        <v>5143</v>
      </c>
      <c r="C626" s="441">
        <f>G626+H626+I626</f>
        <v>472875000</v>
      </c>
      <c r="D626" s="441">
        <v>100000000</v>
      </c>
      <c r="E626" s="443">
        <v>26469000</v>
      </c>
      <c r="F626" s="441">
        <v>200000000</v>
      </c>
      <c r="G626" s="441">
        <v>150000000</v>
      </c>
      <c r="H626" s="441">
        <f t="shared" ref="H626:I631" si="72">G626*5/100+G626</f>
        <v>157500000</v>
      </c>
      <c r="I626" s="441">
        <f t="shared" si="72"/>
        <v>165375000</v>
      </c>
      <c r="J626" s="442" t="s">
        <v>5144</v>
      </c>
    </row>
    <row r="627" spans="1:10" ht="15.75">
      <c r="A627" s="439"/>
      <c r="B627" s="442"/>
      <c r="C627" s="441"/>
      <c r="D627" s="441"/>
      <c r="E627" s="443"/>
      <c r="F627" s="441"/>
      <c r="G627" s="441"/>
      <c r="H627" s="441"/>
      <c r="I627" s="441"/>
      <c r="J627" s="442"/>
    </row>
    <row r="628" spans="1:10" ht="31.5">
      <c r="A628" s="439">
        <f>A626+1</f>
        <v>103</v>
      </c>
      <c r="B628" s="442" t="s">
        <v>5145</v>
      </c>
      <c r="C628" s="441">
        <f>G628+H628+I628</f>
        <v>2522000000</v>
      </c>
      <c r="D628" s="441">
        <v>850000000</v>
      </c>
      <c r="E628" s="443">
        <v>597300000</v>
      </c>
      <c r="F628" s="441">
        <v>1800000000</v>
      </c>
      <c r="G628" s="441">
        <v>800000000</v>
      </c>
      <c r="H628" s="441">
        <f t="shared" si="72"/>
        <v>840000000</v>
      </c>
      <c r="I628" s="441">
        <f t="shared" si="72"/>
        <v>882000000</v>
      </c>
      <c r="J628" s="442" t="s">
        <v>5146</v>
      </c>
    </row>
    <row r="629" spans="1:10" ht="31.5">
      <c r="A629" s="439">
        <f t="shared" ref="A629:A640" si="73">A628+1</f>
        <v>104</v>
      </c>
      <c r="B629" s="442" t="s">
        <v>5147</v>
      </c>
      <c r="C629" s="441">
        <f>G629+H629+I629</f>
        <v>126100000</v>
      </c>
      <c r="D629" s="441">
        <v>40000000</v>
      </c>
      <c r="E629" s="441"/>
      <c r="F629" s="441">
        <v>40000000</v>
      </c>
      <c r="G629" s="441">
        <v>40000000</v>
      </c>
      <c r="H629" s="441">
        <f>G629*5/100+G629</f>
        <v>42000000</v>
      </c>
      <c r="I629" s="441">
        <f>H629*5/100+H629</f>
        <v>44100000</v>
      </c>
      <c r="J629" s="442" t="s">
        <v>5682</v>
      </c>
    </row>
    <row r="630" spans="1:10" ht="15.75">
      <c r="A630" s="439">
        <f t="shared" si="73"/>
        <v>105</v>
      </c>
      <c r="B630" s="442" t="s">
        <v>5148</v>
      </c>
      <c r="C630" s="441">
        <f>G630+H630+I630</f>
        <v>63050000</v>
      </c>
      <c r="D630" s="441">
        <v>30000000</v>
      </c>
      <c r="E630" s="441"/>
      <c r="F630" s="441">
        <v>20000000</v>
      </c>
      <c r="G630" s="441">
        <v>20000000</v>
      </c>
      <c r="H630" s="441">
        <f>G630*5/100+G630</f>
        <v>21000000</v>
      </c>
      <c r="I630" s="441">
        <f>H630*5/100+H630</f>
        <v>22050000</v>
      </c>
      <c r="J630" s="442" t="s">
        <v>5683</v>
      </c>
    </row>
    <row r="631" spans="1:10" ht="31.5">
      <c r="A631" s="439">
        <f t="shared" si="73"/>
        <v>106</v>
      </c>
      <c r="B631" s="442" t="s">
        <v>5149</v>
      </c>
      <c r="C631" s="441">
        <f>G631+H631+I631</f>
        <v>630500000</v>
      </c>
      <c r="D631" s="441">
        <v>100000000</v>
      </c>
      <c r="E631" s="441"/>
      <c r="F631" s="441">
        <v>700000000</v>
      </c>
      <c r="G631" s="441">
        <v>200000000</v>
      </c>
      <c r="H631" s="441">
        <f t="shared" si="72"/>
        <v>210000000</v>
      </c>
      <c r="I631" s="441">
        <f t="shared" si="72"/>
        <v>220500000</v>
      </c>
      <c r="J631" s="442" t="s">
        <v>5684</v>
      </c>
    </row>
    <row r="632" spans="1:10" ht="15.75">
      <c r="A632" s="439"/>
      <c r="B632" s="530"/>
      <c r="C632" s="531"/>
      <c r="D632" s="531"/>
      <c r="E632" s="531"/>
      <c r="F632" s="531"/>
      <c r="G632" s="531"/>
      <c r="H632" s="531"/>
      <c r="I632" s="531"/>
      <c r="J632" s="531"/>
    </row>
    <row r="633" spans="1:10" ht="31.5">
      <c r="A633" s="439">
        <v>107</v>
      </c>
      <c r="B633" s="442" t="s">
        <v>5150</v>
      </c>
      <c r="C633" s="441">
        <f>G633+H633+I633</f>
        <v>157625000</v>
      </c>
      <c r="D633" s="441">
        <v>100000000</v>
      </c>
      <c r="E633" s="441"/>
      <c r="F633" s="441">
        <v>50000000</v>
      </c>
      <c r="G633" s="441">
        <v>50000000</v>
      </c>
      <c r="H633" s="441">
        <f>G633*5/100+G633</f>
        <v>52500000</v>
      </c>
      <c r="I633" s="441">
        <f>H633*5/100+H633</f>
        <v>55125000</v>
      </c>
      <c r="J633" s="442" t="s">
        <v>5151</v>
      </c>
    </row>
    <row r="634" spans="1:10" ht="31.5">
      <c r="A634" s="439">
        <f t="shared" si="73"/>
        <v>108</v>
      </c>
      <c r="B634" s="442" t="s">
        <v>5152</v>
      </c>
      <c r="C634" s="441">
        <f>G634+H634+I634</f>
        <v>315250000</v>
      </c>
      <c r="D634" s="441">
        <v>60000000</v>
      </c>
      <c r="E634" s="506"/>
      <c r="F634" s="441">
        <v>230000000</v>
      </c>
      <c r="G634" s="441">
        <v>100000000</v>
      </c>
      <c r="H634" s="441">
        <f>G634*5/100+G634</f>
        <v>105000000</v>
      </c>
      <c r="I634" s="441">
        <f>H634*5/100+H634</f>
        <v>110250000</v>
      </c>
      <c r="J634" s="442" t="s">
        <v>5153</v>
      </c>
    </row>
    <row r="635" spans="1:10" ht="32.1" customHeight="1">
      <c r="A635" s="439">
        <f t="shared" si="73"/>
        <v>109</v>
      </c>
      <c r="B635" s="442" t="s">
        <v>5154</v>
      </c>
      <c r="C635" s="441">
        <f>SUM(G635:I635)</f>
        <v>0</v>
      </c>
      <c r="D635" s="441" t="s">
        <v>3007</v>
      </c>
      <c r="E635" s="441"/>
      <c r="F635" s="441" t="s">
        <v>3007</v>
      </c>
      <c r="G635" s="441" t="s">
        <v>3007</v>
      </c>
      <c r="H635" s="441" t="s">
        <v>3007</v>
      </c>
      <c r="I635" s="441" t="s">
        <v>3007</v>
      </c>
      <c r="J635" s="442" t="s">
        <v>5685</v>
      </c>
    </row>
    <row r="636" spans="1:10" ht="31.5">
      <c r="A636" s="439">
        <f t="shared" si="73"/>
        <v>110</v>
      </c>
      <c r="B636" s="442" t="s">
        <v>5155</v>
      </c>
      <c r="C636" s="441"/>
      <c r="D636" s="441">
        <v>400000000</v>
      </c>
      <c r="E636" s="441"/>
      <c r="F636" s="441" t="s">
        <v>3007</v>
      </c>
      <c r="G636" s="441" t="s">
        <v>3007</v>
      </c>
      <c r="H636" s="441" t="s">
        <v>3007</v>
      </c>
      <c r="I636" s="441" t="s">
        <v>3007</v>
      </c>
      <c r="J636" s="442" t="s">
        <v>5156</v>
      </c>
    </row>
    <row r="637" spans="1:10" ht="15.75">
      <c r="A637" s="439">
        <f t="shared" si="73"/>
        <v>111</v>
      </c>
      <c r="B637" s="442" t="s">
        <v>5157</v>
      </c>
      <c r="C637" s="441">
        <f>SUM(G637:I637)</f>
        <v>0</v>
      </c>
      <c r="D637" s="441" t="s">
        <v>3007</v>
      </c>
      <c r="E637" s="441"/>
      <c r="F637" s="441" t="s">
        <v>3007</v>
      </c>
      <c r="G637" s="441" t="s">
        <v>3007</v>
      </c>
      <c r="H637" s="441" t="s">
        <v>3007</v>
      </c>
      <c r="I637" s="441" t="s">
        <v>3007</v>
      </c>
      <c r="J637" s="442" t="s">
        <v>5158</v>
      </c>
    </row>
    <row r="638" spans="1:10" ht="31.5">
      <c r="A638" s="439">
        <f t="shared" si="73"/>
        <v>112</v>
      </c>
      <c r="B638" s="442" t="s">
        <v>5159</v>
      </c>
      <c r="C638" s="441">
        <f>SUM(G638:I638)</f>
        <v>0</v>
      </c>
      <c r="D638" s="441" t="s">
        <v>3007</v>
      </c>
      <c r="E638" s="441"/>
      <c r="F638" s="441" t="s">
        <v>3007</v>
      </c>
      <c r="G638" s="441" t="s">
        <v>3007</v>
      </c>
      <c r="H638" s="441" t="s">
        <v>3007</v>
      </c>
      <c r="I638" s="441" t="s">
        <v>3007</v>
      </c>
      <c r="J638" s="442" t="s">
        <v>5160</v>
      </c>
    </row>
    <row r="639" spans="1:10" ht="31.5">
      <c r="A639" s="439">
        <f t="shared" si="73"/>
        <v>113</v>
      </c>
      <c r="B639" s="442" t="s">
        <v>5161</v>
      </c>
      <c r="C639" s="441">
        <f>SUM(G639:I639)</f>
        <v>0</v>
      </c>
      <c r="D639" s="441" t="s">
        <v>3007</v>
      </c>
      <c r="E639" s="441"/>
      <c r="F639" s="441" t="s">
        <v>3007</v>
      </c>
      <c r="G639" s="441" t="s">
        <v>3007</v>
      </c>
      <c r="H639" s="441" t="s">
        <v>3007</v>
      </c>
      <c r="I639" s="441" t="s">
        <v>3007</v>
      </c>
      <c r="J639" s="442" t="s">
        <v>5162</v>
      </c>
    </row>
    <row r="640" spans="1:10" ht="31.5">
      <c r="A640" s="446">
        <f t="shared" si="73"/>
        <v>114</v>
      </c>
      <c r="B640" s="447" t="s">
        <v>5163</v>
      </c>
      <c r="C640" s="448">
        <v>0</v>
      </c>
      <c r="D640" s="500" t="s">
        <v>3007</v>
      </c>
      <c r="E640" s="448"/>
      <c r="F640" s="500">
        <v>200000000</v>
      </c>
      <c r="G640" s="500">
        <v>50000000</v>
      </c>
      <c r="H640" s="500" t="s">
        <v>3007</v>
      </c>
      <c r="I640" s="500" t="s">
        <v>3007</v>
      </c>
      <c r="J640" s="447" t="s">
        <v>5164</v>
      </c>
    </row>
    <row r="641" spans="1:10" ht="47.25">
      <c r="A641" s="439">
        <v>116</v>
      </c>
      <c r="B641" s="442" t="s">
        <v>5167</v>
      </c>
      <c r="C641" s="441">
        <v>0</v>
      </c>
      <c r="D641" s="441" t="s">
        <v>3007</v>
      </c>
      <c r="E641" s="441"/>
      <c r="F641" s="441" t="s">
        <v>3007</v>
      </c>
      <c r="G641" s="441" t="s">
        <v>3007</v>
      </c>
      <c r="H641" s="441" t="s">
        <v>3007</v>
      </c>
      <c r="I641" s="441" t="s">
        <v>3007</v>
      </c>
      <c r="J641" s="442" t="s">
        <v>5686</v>
      </c>
    </row>
    <row r="642" spans="1:10" ht="31.5">
      <c r="A642" s="439">
        <f>A641+1</f>
        <v>117</v>
      </c>
      <c r="B642" s="442" t="s">
        <v>5168</v>
      </c>
      <c r="C642" s="441">
        <v>0</v>
      </c>
      <c r="D642" s="441" t="s">
        <v>3007</v>
      </c>
      <c r="E642" s="441"/>
      <c r="F642" s="441">
        <v>10000000</v>
      </c>
      <c r="G642" s="441">
        <v>10000000</v>
      </c>
      <c r="H642" s="441" t="s">
        <v>3007</v>
      </c>
      <c r="I642" s="441" t="s">
        <v>3007</v>
      </c>
      <c r="J642" s="442" t="s">
        <v>5687</v>
      </c>
    </row>
    <row r="643" spans="1:10" ht="47.25">
      <c r="A643" s="439">
        <f>A642+1</f>
        <v>118</v>
      </c>
      <c r="B643" s="442" t="s">
        <v>5169</v>
      </c>
      <c r="C643" s="441">
        <v>0</v>
      </c>
      <c r="D643" s="441" t="s">
        <v>3007</v>
      </c>
      <c r="E643" s="441"/>
      <c r="F643" s="441">
        <v>10000000</v>
      </c>
      <c r="G643" s="441">
        <v>10000000</v>
      </c>
      <c r="H643" s="441" t="s">
        <v>3007</v>
      </c>
      <c r="I643" s="441" t="s">
        <v>3007</v>
      </c>
      <c r="J643" s="442" t="s">
        <v>5688</v>
      </c>
    </row>
    <row r="644" spans="1:10" ht="15.75">
      <c r="A644" s="439"/>
      <c r="B644" s="442"/>
      <c r="C644" s="441"/>
      <c r="D644" s="441"/>
      <c r="E644" s="441"/>
      <c r="F644" s="441"/>
      <c r="G644" s="441"/>
      <c r="H644" s="441"/>
      <c r="I644" s="441"/>
      <c r="J644" s="442"/>
    </row>
    <row r="645" spans="1:10" ht="47.25">
      <c r="A645" s="439"/>
      <c r="B645" s="449" t="s">
        <v>5170</v>
      </c>
      <c r="C645" s="441"/>
      <c r="D645" s="441"/>
      <c r="E645" s="441"/>
      <c r="F645" s="441"/>
      <c r="G645" s="441"/>
      <c r="H645" s="441"/>
      <c r="I645" s="441"/>
      <c r="J645" s="442"/>
    </row>
    <row r="646" spans="1:10" ht="31.5">
      <c r="A646" s="439">
        <v>201</v>
      </c>
      <c r="B646" s="442" t="s">
        <v>5171</v>
      </c>
      <c r="C646" s="441">
        <f>SUM(G646:I646)</f>
        <v>0</v>
      </c>
      <c r="D646" s="441" t="s">
        <v>3007</v>
      </c>
      <c r="E646" s="441"/>
      <c r="F646" s="441"/>
      <c r="G646" s="441" t="s">
        <v>3007</v>
      </c>
      <c r="H646" s="441" t="s">
        <v>3007</v>
      </c>
      <c r="I646" s="441" t="s">
        <v>3007</v>
      </c>
      <c r="J646" s="442" t="s">
        <v>5689</v>
      </c>
    </row>
    <row r="647" spans="1:10" ht="15.75">
      <c r="A647" s="439">
        <f t="shared" ref="A647:A659" si="74">A646+1</f>
        <v>202</v>
      </c>
      <c r="B647" s="442" t="s">
        <v>5172</v>
      </c>
      <c r="C647" s="441">
        <f>G647+H647+I647</f>
        <v>630500000</v>
      </c>
      <c r="D647" s="441">
        <v>1000000000</v>
      </c>
      <c r="E647" s="441"/>
      <c r="F647" s="441">
        <v>1000000000</v>
      </c>
      <c r="G647" s="441">
        <v>200000000</v>
      </c>
      <c r="H647" s="441">
        <f>G647*5/100+G647</f>
        <v>210000000</v>
      </c>
      <c r="I647" s="441">
        <f>H647*5/100+H647</f>
        <v>220500000</v>
      </c>
      <c r="J647" s="442" t="s">
        <v>5173</v>
      </c>
    </row>
    <row r="648" spans="1:10" ht="15.75">
      <c r="A648" s="439"/>
      <c r="B648" s="442"/>
      <c r="C648" s="441"/>
      <c r="D648" s="441"/>
      <c r="E648" s="441"/>
      <c r="F648" s="441"/>
      <c r="G648" s="441"/>
      <c r="H648" s="441"/>
      <c r="I648" s="441"/>
      <c r="J648" s="442"/>
    </row>
    <row r="649" spans="1:10" ht="15.75">
      <c r="A649" s="423" t="s">
        <v>5138</v>
      </c>
      <c r="B649" s="463"/>
      <c r="C649" s="425"/>
      <c r="D649" s="425"/>
      <c r="E649" s="425"/>
      <c r="F649" s="425"/>
      <c r="G649" s="425"/>
      <c r="H649" s="425"/>
      <c r="I649" s="425"/>
      <c r="J649" s="424"/>
    </row>
    <row r="650" spans="1:10" ht="15.75">
      <c r="A650" s="426" t="s">
        <v>5139</v>
      </c>
      <c r="B650" s="427" t="s">
        <v>5140</v>
      </c>
      <c r="C650" s="425"/>
      <c r="D650" s="425"/>
      <c r="E650" s="425"/>
      <c r="F650" s="425"/>
      <c r="G650" s="425"/>
      <c r="H650" s="425"/>
      <c r="I650" s="425"/>
      <c r="J650" s="424"/>
    </row>
    <row r="651" spans="1:10" ht="31.5">
      <c r="A651" s="429" t="s">
        <v>4509</v>
      </c>
      <c r="B651" s="477" t="s">
        <v>4510</v>
      </c>
      <c r="C651" s="466" t="s">
        <v>4511</v>
      </c>
      <c r="D651" s="432" t="s">
        <v>4512</v>
      </c>
      <c r="E651" s="432" t="s">
        <v>5503</v>
      </c>
      <c r="F651" s="432" t="s">
        <v>4305</v>
      </c>
      <c r="G651" s="432" t="s">
        <v>5501</v>
      </c>
      <c r="H651" s="432" t="s">
        <v>4305</v>
      </c>
      <c r="I651" s="432" t="s">
        <v>4305</v>
      </c>
      <c r="J651" s="433" t="s">
        <v>4513</v>
      </c>
    </row>
    <row r="652" spans="1:10" ht="31.5">
      <c r="A652" s="434"/>
      <c r="B652" s="435"/>
      <c r="C652" s="436" t="s">
        <v>4514</v>
      </c>
      <c r="D652" s="437" t="s">
        <v>4515</v>
      </c>
      <c r="E652" s="437" t="s">
        <v>4516</v>
      </c>
      <c r="F652" s="437" t="s">
        <v>243</v>
      </c>
      <c r="G652" s="437" t="s">
        <v>243</v>
      </c>
      <c r="H652" s="437" t="s">
        <v>4130</v>
      </c>
      <c r="I652" s="437" t="s">
        <v>4202</v>
      </c>
      <c r="J652" s="438"/>
    </row>
    <row r="653" spans="1:10" ht="31.5">
      <c r="A653" s="439"/>
      <c r="B653" s="440" t="s">
        <v>5174</v>
      </c>
      <c r="C653" s="441"/>
      <c r="D653" s="441"/>
      <c r="E653" s="444"/>
      <c r="F653" s="441"/>
      <c r="G653" s="441"/>
      <c r="H653" s="444"/>
      <c r="I653" s="444"/>
      <c r="J653" s="442"/>
    </row>
    <row r="654" spans="1:10" ht="31.5">
      <c r="A654" s="439">
        <v>301</v>
      </c>
      <c r="B654" s="442" t="s">
        <v>5175</v>
      </c>
      <c r="C654" s="441">
        <f>G654+H654+I654</f>
        <v>63050000</v>
      </c>
      <c r="D654" s="441">
        <v>20000000</v>
      </c>
      <c r="E654" s="441"/>
      <c r="F654" s="441"/>
      <c r="G654" s="441">
        <v>20000000</v>
      </c>
      <c r="H654" s="441">
        <f>G654*1.05</f>
        <v>21000000</v>
      </c>
      <c r="I654" s="441">
        <f>H654*1.05</f>
        <v>22050000</v>
      </c>
      <c r="J654" s="442" t="s">
        <v>5176</v>
      </c>
    </row>
    <row r="655" spans="1:10" ht="31.5">
      <c r="A655" s="439">
        <f t="shared" si="74"/>
        <v>302</v>
      </c>
      <c r="B655" s="494" t="s">
        <v>5177</v>
      </c>
      <c r="C655" s="441">
        <f>G655</f>
        <v>50000000</v>
      </c>
      <c r="D655" s="441">
        <v>50000000</v>
      </c>
      <c r="E655" s="441"/>
      <c r="F655" s="441"/>
      <c r="G655" s="441">
        <v>50000000</v>
      </c>
      <c r="H655" s="441">
        <f>G655*5/100+G655</f>
        <v>52500000</v>
      </c>
      <c r="I655" s="441">
        <f>H655*5/100+H655</f>
        <v>55125000</v>
      </c>
      <c r="J655" s="442" t="s">
        <v>5178</v>
      </c>
    </row>
    <row r="656" spans="1:10" ht="15.75">
      <c r="A656" s="439">
        <f t="shared" si="74"/>
        <v>303</v>
      </c>
      <c r="B656" s="442" t="s">
        <v>5179</v>
      </c>
      <c r="C656" s="441">
        <f>SUM(G656:I656)</f>
        <v>0</v>
      </c>
      <c r="D656" s="441" t="s">
        <v>3007</v>
      </c>
      <c r="E656" s="441"/>
      <c r="F656" s="441"/>
      <c r="G656" s="441" t="s">
        <v>3007</v>
      </c>
      <c r="H656" s="441" t="s">
        <v>3007</v>
      </c>
      <c r="I656" s="441" t="s">
        <v>3007</v>
      </c>
      <c r="J656" s="442" t="s">
        <v>5180</v>
      </c>
    </row>
    <row r="657" spans="1:10" ht="31.5">
      <c r="A657" s="439">
        <f t="shared" si="74"/>
        <v>304</v>
      </c>
      <c r="B657" s="442" t="s">
        <v>5181</v>
      </c>
      <c r="C657" s="441">
        <f>SUM(G657:I657)</f>
        <v>0</v>
      </c>
      <c r="D657" s="444"/>
      <c r="E657" s="444"/>
      <c r="F657" s="444"/>
      <c r="G657" s="441" t="s">
        <v>3007</v>
      </c>
      <c r="H657" s="441" t="s">
        <v>3007</v>
      </c>
      <c r="I657" s="441" t="s">
        <v>3007</v>
      </c>
      <c r="J657" s="442" t="s">
        <v>5182</v>
      </c>
    </row>
    <row r="658" spans="1:10" ht="15.75">
      <c r="A658" s="439">
        <f t="shared" si="74"/>
        <v>305</v>
      </c>
      <c r="B658" s="442" t="s">
        <v>5183</v>
      </c>
      <c r="C658" s="441">
        <f>G658+H658+I658</f>
        <v>15762500</v>
      </c>
      <c r="D658" s="441">
        <v>5000000</v>
      </c>
      <c r="E658" s="441"/>
      <c r="F658" s="441"/>
      <c r="G658" s="441">
        <v>5000000</v>
      </c>
      <c r="H658" s="441">
        <f>G658*1.05</f>
        <v>5250000</v>
      </c>
      <c r="I658" s="441">
        <f>H658*1.05</f>
        <v>5512500</v>
      </c>
      <c r="J658" s="442" t="s">
        <v>5184</v>
      </c>
    </row>
    <row r="659" spans="1:10" ht="15.75">
      <c r="A659" s="439">
        <f t="shared" si="74"/>
        <v>306</v>
      </c>
      <c r="B659" s="442" t="s">
        <v>5185</v>
      </c>
      <c r="C659" s="441">
        <f>G659+H659+I659</f>
        <v>31525000</v>
      </c>
      <c r="D659" s="444">
        <v>10000000</v>
      </c>
      <c r="E659" s="444"/>
      <c r="F659" s="444"/>
      <c r="G659" s="444">
        <v>10000000</v>
      </c>
      <c r="H659" s="444">
        <f>G659*1.05</f>
        <v>10500000</v>
      </c>
      <c r="I659" s="444">
        <f>H659*1.05</f>
        <v>11025000</v>
      </c>
      <c r="J659" s="442" t="s">
        <v>5186</v>
      </c>
    </row>
    <row r="660" spans="1:10" ht="31.5">
      <c r="A660" s="439">
        <v>308</v>
      </c>
      <c r="B660" s="442" t="s">
        <v>5187</v>
      </c>
      <c r="C660" s="441">
        <f>SUM(G660:I660)</f>
        <v>0</v>
      </c>
      <c r="D660" s="441" t="s">
        <v>3007</v>
      </c>
      <c r="E660" s="441"/>
      <c r="F660" s="441"/>
      <c r="G660" s="441" t="s">
        <v>3007</v>
      </c>
      <c r="H660" s="441" t="s">
        <v>3007</v>
      </c>
      <c r="I660" s="441" t="s">
        <v>3007</v>
      </c>
      <c r="J660" s="442" t="s">
        <v>5188</v>
      </c>
    </row>
    <row r="661" spans="1:10" ht="15.75">
      <c r="A661" s="446">
        <v>309</v>
      </c>
      <c r="B661" s="447" t="s">
        <v>5189</v>
      </c>
      <c r="C661" s="500">
        <f>SUM(G661:I661)</f>
        <v>0</v>
      </c>
      <c r="D661" s="448"/>
      <c r="E661" s="448"/>
      <c r="F661" s="448"/>
      <c r="G661" s="500" t="s">
        <v>3007</v>
      </c>
      <c r="H661" s="500" t="s">
        <v>3007</v>
      </c>
      <c r="I661" s="500" t="s">
        <v>3007</v>
      </c>
      <c r="J661" s="447" t="s">
        <v>5190</v>
      </c>
    </row>
    <row r="662" spans="1:10" ht="15.75">
      <c r="A662" s="439"/>
      <c r="B662" s="440" t="s">
        <v>2776</v>
      </c>
      <c r="C662" s="441"/>
      <c r="D662" s="441"/>
      <c r="E662" s="441"/>
      <c r="F662" s="441"/>
      <c r="G662" s="441"/>
      <c r="H662" s="441"/>
      <c r="I662" s="441"/>
      <c r="J662" s="442"/>
    </row>
    <row r="663" spans="1:10" ht="31.5">
      <c r="A663" s="439">
        <v>401</v>
      </c>
      <c r="B663" s="442" t="s">
        <v>5191</v>
      </c>
      <c r="C663" s="441">
        <f>G663+H663+I663</f>
        <v>220675000</v>
      </c>
      <c r="D663" s="441">
        <v>70000000</v>
      </c>
      <c r="E663" s="441"/>
      <c r="F663" s="441"/>
      <c r="G663" s="441">
        <v>70000000</v>
      </c>
      <c r="H663" s="441">
        <f t="shared" ref="H663:I665" si="75">G663*1.05</f>
        <v>73500000</v>
      </c>
      <c r="I663" s="441">
        <f t="shared" si="75"/>
        <v>77175000</v>
      </c>
      <c r="J663" s="442" t="s">
        <v>5690</v>
      </c>
    </row>
    <row r="664" spans="1:10" ht="31.5">
      <c r="A664" s="439">
        <v>402</v>
      </c>
      <c r="B664" s="442" t="s">
        <v>5192</v>
      </c>
      <c r="C664" s="441"/>
      <c r="D664" s="441">
        <v>50000000</v>
      </c>
      <c r="E664" s="441"/>
      <c r="F664" s="441"/>
      <c r="G664" s="441">
        <v>50000000</v>
      </c>
      <c r="H664" s="441">
        <f t="shared" si="75"/>
        <v>52500000</v>
      </c>
      <c r="I664" s="441">
        <f t="shared" si="75"/>
        <v>55125000</v>
      </c>
      <c r="J664" s="442" t="s">
        <v>5193</v>
      </c>
    </row>
    <row r="665" spans="1:10" ht="47.25">
      <c r="A665" s="439">
        <v>403</v>
      </c>
      <c r="B665" s="442" t="s">
        <v>5194</v>
      </c>
      <c r="C665" s="441">
        <f>G665+H665+I665</f>
        <v>220675000</v>
      </c>
      <c r="D665" s="441">
        <v>70000000</v>
      </c>
      <c r="E665" s="441"/>
      <c r="F665" s="441"/>
      <c r="G665" s="441">
        <v>70000000</v>
      </c>
      <c r="H665" s="441">
        <f t="shared" si="75"/>
        <v>73500000</v>
      </c>
      <c r="I665" s="441">
        <f t="shared" si="75"/>
        <v>77175000</v>
      </c>
      <c r="J665" s="442" t="s">
        <v>5195</v>
      </c>
    </row>
    <row r="666" spans="1:10" ht="31.5">
      <c r="A666" s="439">
        <v>404</v>
      </c>
      <c r="B666" s="442" t="s">
        <v>5196</v>
      </c>
      <c r="C666" s="441">
        <f>SUM(G666:I666)</f>
        <v>157625000</v>
      </c>
      <c r="D666" s="441">
        <v>50000000</v>
      </c>
      <c r="E666" s="441"/>
      <c r="F666" s="441"/>
      <c r="G666" s="441">
        <v>50000000</v>
      </c>
      <c r="H666" s="441">
        <f>G666*5/100+G666</f>
        <v>52500000</v>
      </c>
      <c r="I666" s="441">
        <f>H666*5/100+H666</f>
        <v>55125000</v>
      </c>
      <c r="J666" s="442" t="s">
        <v>5197</v>
      </c>
    </row>
    <row r="667" spans="1:10" ht="31.5">
      <c r="A667" s="439">
        <v>405</v>
      </c>
      <c r="B667" s="442" t="s">
        <v>5198</v>
      </c>
      <c r="C667" s="441">
        <f>SUM(G667:I667)</f>
        <v>220675000</v>
      </c>
      <c r="D667" s="441">
        <v>70000000</v>
      </c>
      <c r="E667" s="441"/>
      <c r="F667" s="441"/>
      <c r="G667" s="441">
        <v>70000000</v>
      </c>
      <c r="H667" s="441">
        <f>G667*5/100+G667</f>
        <v>73500000</v>
      </c>
      <c r="I667" s="441">
        <f>H667*5/100+H667</f>
        <v>77175000</v>
      </c>
      <c r="J667" s="442" t="s">
        <v>5691</v>
      </c>
    </row>
    <row r="668" spans="1:10" ht="31.5">
      <c r="A668" s="439">
        <v>406</v>
      </c>
      <c r="B668" s="442" t="s">
        <v>5199</v>
      </c>
      <c r="C668" s="441">
        <f>G668+H668+I668</f>
        <v>252200000</v>
      </c>
      <c r="D668" s="441">
        <v>80000000</v>
      </c>
      <c r="E668" s="441"/>
      <c r="F668" s="441"/>
      <c r="G668" s="441">
        <v>80000000</v>
      </c>
      <c r="H668" s="441">
        <f>G668*1.05</f>
        <v>84000000</v>
      </c>
      <c r="I668" s="441">
        <f>H668*1.05</f>
        <v>88200000</v>
      </c>
      <c r="J668" s="442" t="s">
        <v>5200</v>
      </c>
    </row>
    <row r="669" spans="1:10" ht="15.75">
      <c r="A669" s="439">
        <v>407</v>
      </c>
      <c r="B669" s="442" t="s">
        <v>5201</v>
      </c>
      <c r="C669" s="441">
        <f>G669+H669+I669</f>
        <v>31525000</v>
      </c>
      <c r="D669" s="441">
        <v>200000000</v>
      </c>
      <c r="E669" s="441"/>
      <c r="F669" s="441"/>
      <c r="G669" s="441">
        <v>10000000</v>
      </c>
      <c r="H669" s="441">
        <f>G669*5/100+G669</f>
        <v>10500000</v>
      </c>
      <c r="I669" s="441">
        <f>H669*5/100+H669</f>
        <v>11025000</v>
      </c>
      <c r="J669" s="442" t="s">
        <v>5202</v>
      </c>
    </row>
    <row r="670" spans="1:10" ht="15.75">
      <c r="A670" s="439"/>
      <c r="B670" s="440" t="s">
        <v>5203</v>
      </c>
      <c r="C670" s="441"/>
      <c r="D670" s="441"/>
      <c r="E670" s="441"/>
      <c r="F670" s="441"/>
      <c r="G670" s="441"/>
      <c r="H670" s="441"/>
      <c r="I670" s="441"/>
      <c r="J670" s="442"/>
    </row>
    <row r="671" spans="1:10" ht="31.5">
      <c r="A671" s="439">
        <v>501</v>
      </c>
      <c r="B671" s="442" t="s">
        <v>5204</v>
      </c>
      <c r="C671" s="441"/>
      <c r="D671" s="441"/>
      <c r="E671" s="441"/>
      <c r="F671" s="441"/>
      <c r="G671" s="441" t="s">
        <v>3007</v>
      </c>
      <c r="H671" s="441" t="s">
        <v>3007</v>
      </c>
      <c r="I671" s="441" t="s">
        <v>3007</v>
      </c>
      <c r="J671" s="442" t="s">
        <v>5692</v>
      </c>
    </row>
    <row r="672" spans="1:10" ht="31.5">
      <c r="A672" s="439">
        <f>A671+1</f>
        <v>502</v>
      </c>
      <c r="B672" s="442" t="s">
        <v>5205</v>
      </c>
      <c r="C672" s="441">
        <f>SUM(G672:I672)</f>
        <v>15000000</v>
      </c>
      <c r="D672" s="441">
        <v>15000000</v>
      </c>
      <c r="E672" s="441"/>
      <c r="F672" s="441"/>
      <c r="G672" s="441">
        <v>15000000</v>
      </c>
      <c r="H672" s="441" t="s">
        <v>3007</v>
      </c>
      <c r="I672" s="441" t="s">
        <v>3007</v>
      </c>
      <c r="J672" s="442" t="s">
        <v>5693</v>
      </c>
    </row>
    <row r="673" spans="1:10" ht="24.75" customHeight="1">
      <c r="A673" s="439">
        <f>A672+1</f>
        <v>503</v>
      </c>
      <c r="B673" s="442" t="s">
        <v>5206</v>
      </c>
      <c r="C673" s="441">
        <f>SUM(G673:I673)</f>
        <v>63050000</v>
      </c>
      <c r="D673" s="441">
        <v>20000000</v>
      </c>
      <c r="E673" s="441"/>
      <c r="F673" s="441"/>
      <c r="G673" s="441">
        <v>20000000</v>
      </c>
      <c r="H673" s="441">
        <f t="shared" ref="H673:I684" si="76">G673*1.05</f>
        <v>21000000</v>
      </c>
      <c r="I673" s="441">
        <f t="shared" si="76"/>
        <v>22050000</v>
      </c>
      <c r="J673" s="442" t="s">
        <v>5207</v>
      </c>
    </row>
    <row r="674" spans="1:10" ht="31.5">
      <c r="A674" s="439">
        <f>A673+1</f>
        <v>504</v>
      </c>
      <c r="B674" s="442" t="s">
        <v>5208</v>
      </c>
      <c r="C674" s="441">
        <f>SUM(G674:I674)</f>
        <v>0</v>
      </c>
      <c r="D674" s="441"/>
      <c r="E674" s="441"/>
      <c r="F674" s="441"/>
      <c r="G674" s="441" t="s">
        <v>3007</v>
      </c>
      <c r="H674" s="441" t="s">
        <v>3007</v>
      </c>
      <c r="I674" s="441" t="s">
        <v>3007</v>
      </c>
      <c r="J674" s="442" t="s">
        <v>5209</v>
      </c>
    </row>
    <row r="675" spans="1:10" ht="47.25">
      <c r="A675" s="439">
        <f>A674+1</f>
        <v>505</v>
      </c>
      <c r="B675" s="442" t="s">
        <v>5210</v>
      </c>
      <c r="C675" s="441">
        <f t="shared" ref="C675:C685" si="77">G675+H675+I675</f>
        <v>63050000</v>
      </c>
      <c r="D675" s="441">
        <v>20000000</v>
      </c>
      <c r="E675" s="441"/>
      <c r="F675" s="441"/>
      <c r="G675" s="441">
        <v>20000000</v>
      </c>
      <c r="H675" s="441">
        <f t="shared" si="76"/>
        <v>21000000</v>
      </c>
      <c r="I675" s="441">
        <f t="shared" si="76"/>
        <v>22050000</v>
      </c>
      <c r="J675" s="442" t="s">
        <v>5694</v>
      </c>
    </row>
    <row r="676" spans="1:10" ht="15.75">
      <c r="A676" s="423" t="s">
        <v>5138</v>
      </c>
      <c r="B676" s="463"/>
      <c r="C676" s="425"/>
      <c r="D676" s="425"/>
      <c r="E676" s="425"/>
      <c r="F676" s="425"/>
      <c r="G676" s="425"/>
      <c r="H676" s="425"/>
      <c r="I676" s="425"/>
      <c r="J676" s="424"/>
    </row>
    <row r="677" spans="1:10" ht="15.75">
      <c r="A677" s="426" t="s">
        <v>5139</v>
      </c>
      <c r="B677" s="427" t="s">
        <v>5140</v>
      </c>
      <c r="C677" s="425"/>
      <c r="D677" s="425"/>
      <c r="E677" s="425"/>
      <c r="F677" s="425"/>
      <c r="G677" s="425"/>
      <c r="H677" s="425"/>
      <c r="I677" s="425"/>
      <c r="J677" s="424"/>
    </row>
    <row r="678" spans="1:10" ht="31.5">
      <c r="A678" s="429" t="s">
        <v>4509</v>
      </c>
      <c r="B678" s="477" t="s">
        <v>4510</v>
      </c>
      <c r="C678" s="466" t="s">
        <v>4511</v>
      </c>
      <c r="D678" s="432" t="s">
        <v>4512</v>
      </c>
      <c r="E678" s="432" t="s">
        <v>5503</v>
      </c>
      <c r="F678" s="432" t="s">
        <v>4305</v>
      </c>
      <c r="G678" s="432" t="s">
        <v>5501</v>
      </c>
      <c r="H678" s="432" t="s">
        <v>4305</v>
      </c>
      <c r="I678" s="432" t="s">
        <v>4305</v>
      </c>
      <c r="J678" s="433" t="s">
        <v>4513</v>
      </c>
    </row>
    <row r="679" spans="1:10" ht="31.5">
      <c r="A679" s="434"/>
      <c r="B679" s="435"/>
      <c r="C679" s="436" t="s">
        <v>4514</v>
      </c>
      <c r="D679" s="437" t="s">
        <v>4515</v>
      </c>
      <c r="E679" s="437" t="s">
        <v>4516</v>
      </c>
      <c r="F679" s="437" t="s">
        <v>243</v>
      </c>
      <c r="G679" s="437" t="s">
        <v>243</v>
      </c>
      <c r="H679" s="437" t="s">
        <v>4130</v>
      </c>
      <c r="I679" s="437" t="s">
        <v>4202</v>
      </c>
      <c r="J679" s="438"/>
    </row>
    <row r="680" spans="1:10" ht="31.5">
      <c r="A680" s="532">
        <f>A675+1</f>
        <v>506</v>
      </c>
      <c r="B680" s="442" t="s">
        <v>5211</v>
      </c>
      <c r="C680" s="441">
        <f t="shared" si="77"/>
        <v>31525000</v>
      </c>
      <c r="D680" s="441">
        <v>10000000</v>
      </c>
      <c r="E680" s="441"/>
      <c r="F680" s="441"/>
      <c r="G680" s="441">
        <v>10000000</v>
      </c>
      <c r="H680" s="441">
        <f t="shared" si="76"/>
        <v>10500000</v>
      </c>
      <c r="I680" s="441">
        <f t="shared" si="76"/>
        <v>11025000</v>
      </c>
      <c r="J680" s="442" t="s">
        <v>5695</v>
      </c>
    </row>
    <row r="681" spans="1:10" ht="31.5">
      <c r="A681" s="532">
        <v>507</v>
      </c>
      <c r="B681" s="496" t="s">
        <v>5212</v>
      </c>
      <c r="C681" s="497">
        <f t="shared" si="77"/>
        <v>31525000</v>
      </c>
      <c r="D681" s="441">
        <v>10000000</v>
      </c>
      <c r="E681" s="497"/>
      <c r="F681" s="441"/>
      <c r="G681" s="441">
        <v>10000000</v>
      </c>
      <c r="H681" s="441">
        <f t="shared" si="76"/>
        <v>10500000</v>
      </c>
      <c r="I681" s="441">
        <f t="shared" si="76"/>
        <v>11025000</v>
      </c>
      <c r="J681" s="496" t="s">
        <v>5696</v>
      </c>
    </row>
    <row r="682" spans="1:10" ht="47.25">
      <c r="A682" s="532">
        <v>508</v>
      </c>
      <c r="B682" s="496" t="s">
        <v>5213</v>
      </c>
      <c r="C682" s="497">
        <f t="shared" si="77"/>
        <v>94575000</v>
      </c>
      <c r="D682" s="441">
        <v>30000000</v>
      </c>
      <c r="E682" s="497"/>
      <c r="F682" s="441"/>
      <c r="G682" s="441">
        <v>30000000</v>
      </c>
      <c r="H682" s="441">
        <f t="shared" si="76"/>
        <v>31500000</v>
      </c>
      <c r="I682" s="441">
        <f t="shared" si="76"/>
        <v>33075000</v>
      </c>
      <c r="J682" s="496" t="s">
        <v>5214</v>
      </c>
    </row>
    <row r="683" spans="1:10" ht="36" customHeight="1">
      <c r="A683" s="532">
        <v>509</v>
      </c>
      <c r="B683" s="496" t="s">
        <v>5215</v>
      </c>
      <c r="C683" s="497">
        <f t="shared" si="77"/>
        <v>315250000</v>
      </c>
      <c r="D683" s="441">
        <v>100000000</v>
      </c>
      <c r="E683" s="497"/>
      <c r="F683" s="470"/>
      <c r="G683" s="441">
        <v>100000000</v>
      </c>
      <c r="H683" s="441">
        <f t="shared" si="76"/>
        <v>105000000</v>
      </c>
      <c r="I683" s="441">
        <f t="shared" si="76"/>
        <v>110250000</v>
      </c>
      <c r="J683" s="496" t="s">
        <v>5697</v>
      </c>
    </row>
    <row r="684" spans="1:10" ht="31.5">
      <c r="A684" s="532">
        <v>510</v>
      </c>
      <c r="B684" s="496" t="s">
        <v>5216</v>
      </c>
      <c r="C684" s="497">
        <f t="shared" si="77"/>
        <v>157625000</v>
      </c>
      <c r="D684" s="441">
        <v>50000000</v>
      </c>
      <c r="E684" s="497"/>
      <c r="F684" s="441"/>
      <c r="G684" s="441">
        <v>50000000</v>
      </c>
      <c r="H684" s="441">
        <f t="shared" si="76"/>
        <v>52500000</v>
      </c>
      <c r="I684" s="441">
        <f t="shared" si="76"/>
        <v>55125000</v>
      </c>
      <c r="J684" s="496" t="s">
        <v>5217</v>
      </c>
    </row>
    <row r="685" spans="1:10" ht="47.25">
      <c r="A685" s="532">
        <v>511</v>
      </c>
      <c r="B685" s="533" t="s">
        <v>5218</v>
      </c>
      <c r="C685" s="497">
        <f t="shared" si="77"/>
        <v>126100000</v>
      </c>
      <c r="D685" s="497">
        <v>40000000</v>
      </c>
      <c r="E685" s="471"/>
      <c r="F685" s="441"/>
      <c r="G685" s="441">
        <v>40000000</v>
      </c>
      <c r="H685" s="441">
        <f>G685*1.05</f>
        <v>42000000</v>
      </c>
      <c r="I685" s="441">
        <f>H685*1.05</f>
        <v>44100000</v>
      </c>
      <c r="J685" s="489" t="s">
        <v>5698</v>
      </c>
    </row>
    <row r="686" spans="1:10" ht="15.75">
      <c r="A686" s="534">
        <v>512</v>
      </c>
      <c r="B686" s="535" t="s">
        <v>5219</v>
      </c>
      <c r="C686" s="536">
        <f>G686+H686+I686</f>
        <v>315250000</v>
      </c>
      <c r="D686" s="500">
        <v>100000000</v>
      </c>
      <c r="E686" s="537"/>
      <c r="F686" s="500"/>
      <c r="G686" s="500">
        <v>100000000</v>
      </c>
      <c r="H686" s="500">
        <f>G686*1.05</f>
        <v>105000000</v>
      </c>
      <c r="I686" s="500">
        <f>H686*1.05</f>
        <v>110250000</v>
      </c>
      <c r="J686" s="538" t="s">
        <v>5220</v>
      </c>
    </row>
    <row r="687" spans="1:10" ht="31.5">
      <c r="A687" s="439"/>
      <c r="B687" s="440" t="s">
        <v>5221</v>
      </c>
      <c r="C687" s="441"/>
      <c r="D687" s="441"/>
      <c r="E687" s="441"/>
      <c r="F687" s="441"/>
      <c r="G687" s="441"/>
      <c r="H687" s="441"/>
      <c r="I687" s="441"/>
      <c r="J687" s="442"/>
    </row>
    <row r="688" spans="1:10" ht="15.75">
      <c r="A688" s="439">
        <v>601</v>
      </c>
      <c r="B688" s="442" t="s">
        <v>5222</v>
      </c>
      <c r="C688" s="441">
        <f>G688+H688+I688</f>
        <v>63050000</v>
      </c>
      <c r="D688" s="441">
        <v>20000000</v>
      </c>
      <c r="E688" s="441"/>
      <c r="F688" s="441"/>
      <c r="G688" s="441">
        <v>20000000</v>
      </c>
      <c r="H688" s="497">
        <f>G688*1.05</f>
        <v>21000000</v>
      </c>
      <c r="I688" s="441">
        <f>H688*1.05</f>
        <v>22050000</v>
      </c>
      <c r="J688" s="442" t="s">
        <v>5223</v>
      </c>
    </row>
    <row r="689" spans="1:10" ht="31.5">
      <c r="A689" s="439">
        <f>1+A688</f>
        <v>602</v>
      </c>
      <c r="B689" s="442" t="s">
        <v>5224</v>
      </c>
      <c r="C689" s="441">
        <f>SUM(G689:I689)</f>
        <v>0</v>
      </c>
      <c r="D689" s="441" t="s">
        <v>3007</v>
      </c>
      <c r="E689" s="441"/>
      <c r="F689" s="441"/>
      <c r="G689" s="441" t="s">
        <v>3007</v>
      </c>
      <c r="H689" s="441" t="s">
        <v>3007</v>
      </c>
      <c r="I689" s="441" t="s">
        <v>3007</v>
      </c>
      <c r="J689" s="442" t="s">
        <v>5225</v>
      </c>
    </row>
    <row r="690" spans="1:10" ht="15.75">
      <c r="A690" s="439">
        <v>603</v>
      </c>
      <c r="B690" s="442" t="s">
        <v>5191</v>
      </c>
      <c r="C690" s="441">
        <f>SUM(G690:I690)</f>
        <v>0</v>
      </c>
      <c r="D690" s="441" t="s">
        <v>3007</v>
      </c>
      <c r="E690" s="441"/>
      <c r="F690" s="441"/>
      <c r="G690" s="441" t="s">
        <v>3007</v>
      </c>
      <c r="H690" s="441" t="s">
        <v>3007</v>
      </c>
      <c r="I690" s="441" t="s">
        <v>3007</v>
      </c>
      <c r="J690" s="442" t="s">
        <v>5191</v>
      </c>
    </row>
    <row r="691" spans="1:10" ht="31.5">
      <c r="A691" s="439"/>
      <c r="B691" s="449" t="s">
        <v>5226</v>
      </c>
      <c r="C691" s="441"/>
      <c r="D691" s="441"/>
      <c r="E691" s="441"/>
      <c r="F691" s="441"/>
      <c r="G691" s="441"/>
      <c r="H691" s="441"/>
      <c r="I691" s="441"/>
      <c r="J691" s="442"/>
    </row>
    <row r="692" spans="1:10" ht="47.25">
      <c r="A692" s="439">
        <v>701</v>
      </c>
      <c r="B692" s="508" t="s">
        <v>5227</v>
      </c>
      <c r="C692" s="441">
        <f t="shared" ref="C692:C697" si="78">G692+H692+I692</f>
        <v>31525000</v>
      </c>
      <c r="D692" s="441">
        <v>10000000</v>
      </c>
      <c r="E692" s="441"/>
      <c r="F692" s="441">
        <v>15000000</v>
      </c>
      <c r="G692" s="441">
        <v>10000000</v>
      </c>
      <c r="H692" s="441">
        <f t="shared" ref="H692:I697" si="79">G692*1.05</f>
        <v>10500000</v>
      </c>
      <c r="I692" s="441">
        <f t="shared" si="79"/>
        <v>11025000</v>
      </c>
      <c r="J692" s="442" t="s">
        <v>5699</v>
      </c>
    </row>
    <row r="693" spans="1:10" ht="15.75">
      <c r="A693" s="439">
        <f>A692+1</f>
        <v>702</v>
      </c>
      <c r="B693" s="508" t="s">
        <v>5228</v>
      </c>
      <c r="C693" s="441">
        <f t="shared" si="78"/>
        <v>31525000</v>
      </c>
      <c r="D693" s="441">
        <v>10000000</v>
      </c>
      <c r="E693" s="441"/>
      <c r="F693" s="441">
        <v>10000000</v>
      </c>
      <c r="G693" s="441">
        <v>10000000</v>
      </c>
      <c r="H693" s="441">
        <f t="shared" si="79"/>
        <v>10500000</v>
      </c>
      <c r="I693" s="441">
        <f t="shared" si="79"/>
        <v>11025000</v>
      </c>
      <c r="J693" s="442" t="s">
        <v>5229</v>
      </c>
    </row>
    <row r="694" spans="1:10" ht="31.5">
      <c r="A694" s="439">
        <f>1+A693</f>
        <v>703</v>
      </c>
      <c r="B694" s="442" t="s">
        <v>5230</v>
      </c>
      <c r="C694" s="441">
        <f t="shared" si="78"/>
        <v>31525000</v>
      </c>
      <c r="D694" s="441">
        <v>5000000</v>
      </c>
      <c r="E694" s="441"/>
      <c r="F694" s="441">
        <v>10000000</v>
      </c>
      <c r="G694" s="441">
        <v>10000000</v>
      </c>
      <c r="H694" s="441">
        <f t="shared" si="79"/>
        <v>10500000</v>
      </c>
      <c r="I694" s="441">
        <f t="shared" si="79"/>
        <v>11025000</v>
      </c>
      <c r="J694" s="442" t="s">
        <v>5231</v>
      </c>
    </row>
    <row r="695" spans="1:10" ht="31.5">
      <c r="A695" s="439">
        <f>1+A694</f>
        <v>704</v>
      </c>
      <c r="B695" s="539" t="s">
        <v>5232</v>
      </c>
      <c r="C695" s="441">
        <f t="shared" si="78"/>
        <v>31525000</v>
      </c>
      <c r="D695" s="441">
        <v>5000000</v>
      </c>
      <c r="E695" s="506"/>
      <c r="F695" s="441">
        <v>20000000</v>
      </c>
      <c r="G695" s="441">
        <v>10000000</v>
      </c>
      <c r="H695" s="441">
        <f t="shared" si="79"/>
        <v>10500000</v>
      </c>
      <c r="I695" s="441">
        <f t="shared" si="79"/>
        <v>11025000</v>
      </c>
      <c r="J695" s="442" t="s">
        <v>5233</v>
      </c>
    </row>
    <row r="696" spans="1:10" ht="47.25">
      <c r="A696" s="439">
        <f>1+A695</f>
        <v>705</v>
      </c>
      <c r="B696" s="442" t="s">
        <v>5234</v>
      </c>
      <c r="C696" s="441">
        <f t="shared" si="78"/>
        <v>630500000</v>
      </c>
      <c r="D696" s="441">
        <v>150000000</v>
      </c>
      <c r="E696" s="441"/>
      <c r="F696" s="441">
        <v>250000000</v>
      </c>
      <c r="G696" s="441">
        <v>200000000</v>
      </c>
      <c r="H696" s="441">
        <f t="shared" si="79"/>
        <v>210000000</v>
      </c>
      <c r="I696" s="441">
        <f t="shared" si="79"/>
        <v>220500000</v>
      </c>
      <c r="J696" s="442" t="s">
        <v>5701</v>
      </c>
    </row>
    <row r="697" spans="1:10" ht="31.5">
      <c r="A697" s="439">
        <f>1+A696</f>
        <v>706</v>
      </c>
      <c r="B697" s="442" t="s">
        <v>5235</v>
      </c>
      <c r="C697" s="441">
        <f t="shared" si="78"/>
        <v>94575000</v>
      </c>
      <c r="D697" s="441">
        <v>10000000</v>
      </c>
      <c r="E697" s="441"/>
      <c r="F697" s="441">
        <v>30000000</v>
      </c>
      <c r="G697" s="441">
        <v>30000000</v>
      </c>
      <c r="H697" s="441">
        <f t="shared" si="79"/>
        <v>31500000</v>
      </c>
      <c r="I697" s="441">
        <f t="shared" si="79"/>
        <v>33075000</v>
      </c>
      <c r="J697" s="442" t="s">
        <v>5236</v>
      </c>
    </row>
    <row r="698" spans="1:10" ht="31.5">
      <c r="A698" s="439">
        <v>707</v>
      </c>
      <c r="B698" s="442" t="s">
        <v>5237</v>
      </c>
      <c r="C698" s="441">
        <f>SUM(G698:I698)</f>
        <v>31525000</v>
      </c>
      <c r="D698" s="441">
        <v>5000000</v>
      </c>
      <c r="E698" s="441"/>
      <c r="F698" s="441">
        <v>10000000</v>
      </c>
      <c r="G698" s="441">
        <v>10000000</v>
      </c>
      <c r="H698" s="441">
        <f>G698*5/100+G698</f>
        <v>10500000</v>
      </c>
      <c r="I698" s="441">
        <f>H698*5/100+H698</f>
        <v>11025000</v>
      </c>
      <c r="J698" s="442" t="s">
        <v>5700</v>
      </c>
    </row>
    <row r="699" spans="1:10" ht="31.5">
      <c r="A699" s="439">
        <v>708</v>
      </c>
      <c r="B699" s="442" t="s">
        <v>5238</v>
      </c>
      <c r="C699" s="441">
        <f>G699+H699+I699</f>
        <v>15762500</v>
      </c>
      <c r="D699" s="441">
        <v>5000000</v>
      </c>
      <c r="E699" s="506"/>
      <c r="F699" s="441">
        <v>10000000</v>
      </c>
      <c r="G699" s="441">
        <v>5000000</v>
      </c>
      <c r="H699" s="441">
        <f>G699*1.05</f>
        <v>5250000</v>
      </c>
      <c r="I699" s="441">
        <f>H699*1.05</f>
        <v>5512500</v>
      </c>
      <c r="J699" s="442" t="s">
        <v>5239</v>
      </c>
    </row>
    <row r="700" spans="1:10" ht="15.75">
      <c r="A700" s="423" t="s">
        <v>5165</v>
      </c>
      <c r="B700" s="463"/>
      <c r="C700" s="425" t="s">
        <v>1840</v>
      </c>
      <c r="D700" s="425"/>
      <c r="E700" s="425"/>
      <c r="F700" s="425"/>
      <c r="G700" s="425"/>
      <c r="H700" s="425"/>
      <c r="I700" s="425"/>
      <c r="J700" s="424"/>
    </row>
    <row r="701" spans="1:10" ht="31.5">
      <c r="A701" s="426" t="s">
        <v>4582</v>
      </c>
      <c r="B701" s="427" t="s">
        <v>5166</v>
      </c>
      <c r="C701" s="474" t="s">
        <v>1840</v>
      </c>
      <c r="D701" s="474"/>
      <c r="E701" s="474"/>
      <c r="F701" s="474"/>
      <c r="G701" s="474"/>
      <c r="H701" s="474"/>
      <c r="I701" s="474"/>
      <c r="J701" s="476"/>
    </row>
    <row r="702" spans="1:10" ht="31.5">
      <c r="A702" s="429" t="s">
        <v>4509</v>
      </c>
      <c r="B702" s="477" t="s">
        <v>4510</v>
      </c>
      <c r="C702" s="466" t="s">
        <v>4511</v>
      </c>
      <c r="D702" s="432" t="s">
        <v>4512</v>
      </c>
      <c r="E702" s="432" t="s">
        <v>5503</v>
      </c>
      <c r="F702" s="432" t="s">
        <v>4305</v>
      </c>
      <c r="G702" s="432" t="s">
        <v>5501</v>
      </c>
      <c r="H702" s="432" t="s">
        <v>4305</v>
      </c>
      <c r="I702" s="432" t="s">
        <v>4305</v>
      </c>
      <c r="J702" s="433" t="s">
        <v>4513</v>
      </c>
    </row>
    <row r="703" spans="1:10" ht="31.5">
      <c r="A703" s="434"/>
      <c r="B703" s="435"/>
      <c r="C703" s="436" t="s">
        <v>4514</v>
      </c>
      <c r="D703" s="437" t="s">
        <v>4515</v>
      </c>
      <c r="E703" s="437" t="s">
        <v>4516</v>
      </c>
      <c r="F703" s="437" t="s">
        <v>243</v>
      </c>
      <c r="G703" s="437" t="s">
        <v>243</v>
      </c>
      <c r="H703" s="437" t="s">
        <v>4130</v>
      </c>
      <c r="I703" s="437" t="s">
        <v>4202</v>
      </c>
      <c r="J703" s="438"/>
    </row>
    <row r="704" spans="1:10" ht="15.75">
      <c r="A704" s="439"/>
      <c r="B704" s="449" t="s">
        <v>3555</v>
      </c>
      <c r="C704" s="441"/>
      <c r="D704" s="441"/>
      <c r="E704" s="441"/>
      <c r="F704" s="441"/>
      <c r="G704" s="441"/>
      <c r="H704" s="441"/>
      <c r="I704" s="441"/>
      <c r="J704" s="442"/>
    </row>
    <row r="705" spans="1:10" ht="31.5">
      <c r="A705" s="439">
        <v>801</v>
      </c>
      <c r="B705" s="442" t="s">
        <v>5240</v>
      </c>
      <c r="C705" s="441">
        <f>SUM(G705:I705)</f>
        <v>50000000</v>
      </c>
      <c r="D705" s="441">
        <v>50000000</v>
      </c>
      <c r="E705" s="443">
        <v>45000000</v>
      </c>
      <c r="F705" s="441">
        <v>80000000</v>
      </c>
      <c r="G705" s="441">
        <v>50000000</v>
      </c>
      <c r="H705" s="441" t="s">
        <v>3007</v>
      </c>
      <c r="I705" s="441" t="s">
        <v>3007</v>
      </c>
      <c r="J705" s="442" t="s">
        <v>5241</v>
      </c>
    </row>
    <row r="706" spans="1:10" ht="15.75">
      <c r="A706" s="439">
        <f>A705+1</f>
        <v>802</v>
      </c>
      <c r="B706" s="442" t="s">
        <v>5242</v>
      </c>
      <c r="C706" s="441">
        <f>SUM(G706:I706)</f>
        <v>0</v>
      </c>
      <c r="D706" s="441">
        <v>10000000</v>
      </c>
      <c r="E706" s="441"/>
      <c r="F706" s="441">
        <v>10000000</v>
      </c>
      <c r="G706" s="441" t="s">
        <v>3007</v>
      </c>
      <c r="H706" s="441" t="s">
        <v>3007</v>
      </c>
      <c r="I706" s="441" t="s">
        <v>3007</v>
      </c>
      <c r="J706" s="442" t="s">
        <v>5242</v>
      </c>
    </row>
    <row r="707" spans="1:10" ht="31.5">
      <c r="A707" s="498">
        <f>A706+1</f>
        <v>803</v>
      </c>
      <c r="B707" s="540" t="s">
        <v>5243</v>
      </c>
      <c r="C707" s="500">
        <f>G707+H707+I707</f>
        <v>94575000</v>
      </c>
      <c r="D707" s="500">
        <v>20000000</v>
      </c>
      <c r="E707" s="541">
        <v>5668208</v>
      </c>
      <c r="F707" s="500"/>
      <c r="G707" s="500">
        <v>30000000</v>
      </c>
      <c r="H707" s="541">
        <f>G707*1.05</f>
        <v>31500000</v>
      </c>
      <c r="I707" s="541">
        <f>H707*1.05</f>
        <v>33075000</v>
      </c>
      <c r="J707" s="542" t="s">
        <v>5244</v>
      </c>
    </row>
    <row r="708" spans="1:10" ht="31.5">
      <c r="A708" s="439"/>
      <c r="B708" s="449" t="s">
        <v>948</v>
      </c>
      <c r="C708" s="441"/>
      <c r="D708" s="441"/>
      <c r="E708" s="441"/>
      <c r="F708" s="441"/>
      <c r="G708" s="441"/>
      <c r="H708" s="441"/>
      <c r="I708" s="441"/>
      <c r="J708" s="442"/>
    </row>
    <row r="709" spans="1:10" ht="15.75">
      <c r="A709" s="439"/>
      <c r="B709" s="449"/>
      <c r="C709" s="441"/>
      <c r="D709" s="441"/>
      <c r="E709" s="441"/>
      <c r="F709" s="441"/>
      <c r="G709" s="441"/>
      <c r="H709" s="441"/>
      <c r="I709" s="441"/>
      <c r="J709" s="442"/>
    </row>
    <row r="710" spans="1:10" ht="31.5">
      <c r="A710" s="439">
        <v>1001</v>
      </c>
      <c r="B710" s="442" t="s">
        <v>5245</v>
      </c>
      <c r="C710" s="441">
        <f>G710+H710+I710</f>
        <v>315250000</v>
      </c>
      <c r="D710" s="441">
        <f>250000000+56000000</f>
        <v>306000000</v>
      </c>
      <c r="E710" s="441">
        <f>8438931+274266</f>
        <v>8713197</v>
      </c>
      <c r="F710" s="441">
        <v>120000000</v>
      </c>
      <c r="G710" s="441">
        <v>100000000</v>
      </c>
      <c r="H710" s="441">
        <f>G710*1.05</f>
        <v>105000000</v>
      </c>
      <c r="I710" s="441">
        <f>H710*1.05</f>
        <v>110250000</v>
      </c>
      <c r="J710" s="442" t="s">
        <v>5246</v>
      </c>
    </row>
    <row r="711" spans="1:10" ht="15.75">
      <c r="A711" s="439"/>
      <c r="B711" s="442"/>
      <c r="C711" s="441"/>
      <c r="D711" s="441"/>
      <c r="E711" s="441"/>
      <c r="F711" s="441"/>
      <c r="G711" s="441"/>
      <c r="H711" s="441"/>
      <c r="I711" s="441"/>
      <c r="J711" s="442"/>
    </row>
    <row r="712" spans="1:10" ht="47.25">
      <c r="A712" s="439">
        <f>1+A710</f>
        <v>1002</v>
      </c>
      <c r="B712" s="442" t="s">
        <v>5247</v>
      </c>
      <c r="C712" s="441">
        <f>SUM(G712:I712)</f>
        <v>189150000</v>
      </c>
      <c r="D712" s="441">
        <v>20000000</v>
      </c>
      <c r="E712" s="441"/>
      <c r="F712" s="441">
        <v>100000000</v>
      </c>
      <c r="G712" s="441">
        <v>60000000</v>
      </c>
      <c r="H712" s="441">
        <f>G712*1.05</f>
        <v>63000000</v>
      </c>
      <c r="I712" s="441">
        <f>H712*1.05</f>
        <v>66150000</v>
      </c>
      <c r="J712" s="442" t="s">
        <v>5702</v>
      </c>
    </row>
    <row r="713" spans="1:10" ht="15.75">
      <c r="A713" s="439"/>
      <c r="B713" s="442"/>
      <c r="C713" s="441"/>
      <c r="D713" s="441"/>
      <c r="E713" s="441"/>
      <c r="F713" s="441"/>
      <c r="G713" s="441"/>
      <c r="H713" s="441"/>
      <c r="I713" s="441"/>
      <c r="J713" s="442"/>
    </row>
    <row r="714" spans="1:10" ht="31.5">
      <c r="A714" s="439">
        <f>1+A712</f>
        <v>1003</v>
      </c>
      <c r="B714" s="442" t="s">
        <v>5248</v>
      </c>
      <c r="C714" s="441">
        <f>G714+H714+I714</f>
        <v>220675000</v>
      </c>
      <c r="D714" s="441">
        <v>70000000</v>
      </c>
      <c r="E714" s="441"/>
      <c r="F714" s="441">
        <v>110000000</v>
      </c>
      <c r="G714" s="441">
        <v>70000000</v>
      </c>
      <c r="H714" s="441">
        <f>G714*1.05</f>
        <v>73500000</v>
      </c>
      <c r="I714" s="441">
        <f>H714*1.05</f>
        <v>77175000</v>
      </c>
      <c r="J714" s="442" t="s">
        <v>5249</v>
      </c>
    </row>
    <row r="715" spans="1:10" ht="15.75">
      <c r="A715" s="439"/>
      <c r="B715" s="442"/>
      <c r="C715" s="441"/>
      <c r="D715" s="441"/>
      <c r="E715" s="441"/>
      <c r="F715" s="441"/>
      <c r="G715" s="441"/>
      <c r="H715" s="441"/>
      <c r="I715" s="441"/>
      <c r="J715" s="442"/>
    </row>
    <row r="716" spans="1:10" ht="31.5">
      <c r="A716" s="439">
        <f>1+A714</f>
        <v>1004</v>
      </c>
      <c r="B716" s="442" t="s">
        <v>5250</v>
      </c>
      <c r="C716" s="441">
        <f>G716+H716+I716</f>
        <v>157625000</v>
      </c>
      <c r="D716" s="441">
        <v>50000000</v>
      </c>
      <c r="E716" s="441"/>
      <c r="F716" s="441">
        <v>50000000</v>
      </c>
      <c r="G716" s="441">
        <v>50000000</v>
      </c>
      <c r="H716" s="441">
        <f>G716*1.05</f>
        <v>52500000</v>
      </c>
      <c r="I716" s="441">
        <f>H716*1.05</f>
        <v>55125000</v>
      </c>
      <c r="J716" s="442" t="s">
        <v>5703</v>
      </c>
    </row>
    <row r="717" spans="1:10" ht="31.5">
      <c r="A717" s="439">
        <v>1005</v>
      </c>
      <c r="B717" s="442" t="s">
        <v>5251</v>
      </c>
      <c r="C717" s="441">
        <f>G717+H717+I717</f>
        <v>2080650000</v>
      </c>
      <c r="D717" s="441">
        <v>1000000000</v>
      </c>
      <c r="E717" s="441">
        <v>153000000</v>
      </c>
      <c r="F717" s="441">
        <v>700000000</v>
      </c>
      <c r="G717" s="441">
        <v>660000000</v>
      </c>
      <c r="H717" s="441">
        <f>G717*1.05</f>
        <v>693000000</v>
      </c>
      <c r="I717" s="441">
        <f>H717*1.05</f>
        <v>727650000</v>
      </c>
      <c r="J717" s="442" t="s">
        <v>5252</v>
      </c>
    </row>
    <row r="718" spans="1:10" ht="31.5">
      <c r="A718" s="439">
        <v>1006</v>
      </c>
      <c r="B718" s="442" t="s">
        <v>5253</v>
      </c>
      <c r="C718" s="441">
        <f>SUM(G718:I718)</f>
        <v>63050000</v>
      </c>
      <c r="D718" s="441">
        <v>20000000</v>
      </c>
      <c r="E718" s="441"/>
      <c r="F718" s="441">
        <v>20000000</v>
      </c>
      <c r="G718" s="441">
        <v>20000000</v>
      </c>
      <c r="H718" s="441">
        <f>G718*5/100+G718</f>
        <v>21000000</v>
      </c>
      <c r="I718" s="441">
        <f>H718*5/100+H718</f>
        <v>22050000</v>
      </c>
      <c r="J718" s="442" t="s">
        <v>5254</v>
      </c>
    </row>
    <row r="719" spans="1:10" ht="15.75">
      <c r="A719" s="439"/>
      <c r="B719" s="442"/>
      <c r="C719" s="441"/>
      <c r="D719" s="543"/>
      <c r="E719" s="543"/>
      <c r="F719" s="543"/>
      <c r="G719" s="543"/>
      <c r="H719" s="543"/>
      <c r="I719" s="543"/>
      <c r="J719" s="442"/>
    </row>
    <row r="720" spans="1:10" ht="31.5">
      <c r="A720" s="439">
        <v>1007</v>
      </c>
      <c r="B720" s="442" t="s">
        <v>5255</v>
      </c>
      <c r="C720" s="441">
        <f>G720+H720+I720</f>
        <v>31525000</v>
      </c>
      <c r="D720" s="543">
        <v>10000000</v>
      </c>
      <c r="E720" s="543"/>
      <c r="F720" s="543">
        <v>10000000</v>
      </c>
      <c r="G720" s="543">
        <v>10000000</v>
      </c>
      <c r="H720" s="543">
        <f>G720*1.05</f>
        <v>10500000</v>
      </c>
      <c r="I720" s="543">
        <f>H720*1.05</f>
        <v>11025000</v>
      </c>
      <c r="J720" s="442" t="s">
        <v>5256</v>
      </c>
    </row>
    <row r="721" spans="1:10" ht="47.25">
      <c r="A721" s="439">
        <f>1+A720</f>
        <v>1008</v>
      </c>
      <c r="B721" s="442" t="s">
        <v>5257</v>
      </c>
      <c r="C721" s="441">
        <f>G721+H721+I721</f>
        <v>94575000</v>
      </c>
      <c r="D721" s="441">
        <v>30000000</v>
      </c>
      <c r="E721" s="441"/>
      <c r="F721" s="441">
        <v>30000000</v>
      </c>
      <c r="G721" s="441">
        <v>30000000</v>
      </c>
      <c r="H721" s="441">
        <f>G721*1.05</f>
        <v>31500000</v>
      </c>
      <c r="I721" s="441">
        <f>H721*1.05</f>
        <v>33075000</v>
      </c>
      <c r="J721" s="442" t="s">
        <v>5258</v>
      </c>
    </row>
    <row r="722" spans="1:10" ht="15.75">
      <c r="A722" s="439"/>
      <c r="B722" s="442"/>
      <c r="C722" s="441"/>
      <c r="D722" s="441"/>
      <c r="E722" s="441"/>
      <c r="F722" s="441"/>
      <c r="G722" s="441"/>
      <c r="H722" s="441"/>
      <c r="I722" s="441"/>
      <c r="J722" s="442"/>
    </row>
    <row r="723" spans="1:10" ht="47.25">
      <c r="A723" s="439">
        <f>1+A721</f>
        <v>1009</v>
      </c>
      <c r="B723" s="442" t="s">
        <v>5259</v>
      </c>
      <c r="C723" s="441">
        <f>G723+H723+I723</f>
        <v>157625000</v>
      </c>
      <c r="D723" s="441">
        <v>1000000000</v>
      </c>
      <c r="E723" s="441"/>
      <c r="F723" s="441">
        <v>75000000</v>
      </c>
      <c r="G723" s="441">
        <v>50000000</v>
      </c>
      <c r="H723" s="441">
        <f>G723*1.05</f>
        <v>52500000</v>
      </c>
      <c r="I723" s="441">
        <f>H723*1.05</f>
        <v>55125000</v>
      </c>
      <c r="J723" s="442" t="s">
        <v>5260</v>
      </c>
    </row>
    <row r="724" spans="1:10" ht="31.5">
      <c r="A724" s="446">
        <f>1+A723</f>
        <v>1010</v>
      </c>
      <c r="B724" s="447" t="s">
        <v>5261</v>
      </c>
      <c r="C724" s="500">
        <f>SUM(G724:I724)</f>
        <v>0</v>
      </c>
      <c r="D724" s="448">
        <v>0</v>
      </c>
      <c r="E724" s="448"/>
      <c r="F724" s="500" t="s">
        <v>3007</v>
      </c>
      <c r="G724" s="500" t="s">
        <v>3007</v>
      </c>
      <c r="H724" s="500" t="s">
        <v>3007</v>
      </c>
      <c r="I724" s="500" t="s">
        <v>3007</v>
      </c>
      <c r="J724" s="447" t="s">
        <v>5262</v>
      </c>
    </row>
    <row r="725" spans="1:10" ht="15.75">
      <c r="A725" s="423"/>
      <c r="B725" s="544"/>
      <c r="C725" s="470" t="s">
        <v>1840</v>
      </c>
      <c r="D725" s="470"/>
      <c r="E725" s="470"/>
      <c r="F725" s="470"/>
      <c r="G725" s="470"/>
      <c r="H725" s="470"/>
      <c r="I725" s="470"/>
      <c r="J725" s="512"/>
    </row>
    <row r="726" spans="1:10" ht="31.5">
      <c r="A726" s="423" t="s">
        <v>5263</v>
      </c>
      <c r="B726" s="544" t="s">
        <v>5166</v>
      </c>
      <c r="C726" s="470"/>
      <c r="D726" s="470"/>
      <c r="E726" s="470"/>
      <c r="F726" s="470"/>
      <c r="G726" s="470"/>
      <c r="H726" s="470"/>
      <c r="I726" s="470"/>
      <c r="J726" s="512"/>
    </row>
    <row r="727" spans="1:10" ht="31.5">
      <c r="A727" s="545" t="s">
        <v>4509</v>
      </c>
      <c r="B727" s="546" t="s">
        <v>4510</v>
      </c>
      <c r="C727" s="466" t="s">
        <v>4511</v>
      </c>
      <c r="D727" s="432" t="s">
        <v>4512</v>
      </c>
      <c r="E727" s="432" t="s">
        <v>5503</v>
      </c>
      <c r="F727" s="432" t="s">
        <v>4305</v>
      </c>
      <c r="G727" s="432" t="s">
        <v>5501</v>
      </c>
      <c r="H727" s="432" t="s">
        <v>4305</v>
      </c>
      <c r="I727" s="432" t="s">
        <v>4305</v>
      </c>
      <c r="J727" s="547" t="s">
        <v>4513</v>
      </c>
    </row>
    <row r="728" spans="1:10" ht="31.5">
      <c r="A728" s="548"/>
      <c r="B728" s="435"/>
      <c r="C728" s="436" t="s">
        <v>4514</v>
      </c>
      <c r="D728" s="437" t="s">
        <v>4515</v>
      </c>
      <c r="E728" s="437" t="s">
        <v>4516</v>
      </c>
      <c r="F728" s="437" t="s">
        <v>243</v>
      </c>
      <c r="G728" s="437" t="s">
        <v>243</v>
      </c>
      <c r="H728" s="437" t="s">
        <v>4130</v>
      </c>
      <c r="I728" s="437" t="s">
        <v>4202</v>
      </c>
      <c r="J728" s="438"/>
    </row>
    <row r="729" spans="1:10" ht="15.75">
      <c r="A729" s="439"/>
      <c r="B729" s="442"/>
      <c r="C729" s="441"/>
      <c r="D729" s="441"/>
      <c r="E729" s="441"/>
      <c r="F729" s="441"/>
      <c r="G729" s="441"/>
      <c r="H729" s="441"/>
      <c r="I729" s="441"/>
      <c r="J729" s="442"/>
    </row>
    <row r="730" spans="1:10" ht="31.5">
      <c r="A730" s="439">
        <v>1011</v>
      </c>
      <c r="B730" s="442" t="s">
        <v>5264</v>
      </c>
      <c r="C730" s="441">
        <f>SUM(G730:I730)</f>
        <v>12000000</v>
      </c>
      <c r="D730" s="441">
        <v>12000000</v>
      </c>
      <c r="E730" s="441"/>
      <c r="F730" s="441">
        <v>12000000</v>
      </c>
      <c r="G730" s="441">
        <v>12000000</v>
      </c>
      <c r="H730" s="441" t="s">
        <v>3007</v>
      </c>
      <c r="I730" s="441" t="s">
        <v>3007</v>
      </c>
      <c r="J730" s="442" t="s">
        <v>5265</v>
      </c>
    </row>
    <row r="731" spans="1:10" ht="15.75">
      <c r="A731" s="439"/>
      <c r="B731" s="442"/>
      <c r="C731" s="441"/>
      <c r="D731" s="441"/>
      <c r="E731" s="441"/>
      <c r="F731" s="441"/>
      <c r="G731" s="441"/>
      <c r="H731" s="441"/>
      <c r="I731" s="441"/>
      <c r="J731" s="442"/>
    </row>
    <row r="732" spans="1:10" ht="31.5">
      <c r="A732" s="439">
        <v>1012</v>
      </c>
      <c r="B732" s="442" t="s">
        <v>5266</v>
      </c>
      <c r="C732" s="441">
        <f t="shared" ref="C732:C741" si="80">G732+H732+I732</f>
        <v>15762500</v>
      </c>
      <c r="D732" s="441">
        <v>5000000</v>
      </c>
      <c r="E732" s="441"/>
      <c r="F732" s="441">
        <v>5000000</v>
      </c>
      <c r="G732" s="441">
        <v>5000000</v>
      </c>
      <c r="H732" s="441">
        <f t="shared" ref="H732:I737" si="81">G732*1.05</f>
        <v>5250000</v>
      </c>
      <c r="I732" s="441">
        <f t="shared" si="81"/>
        <v>5512500</v>
      </c>
      <c r="J732" s="442" t="s">
        <v>5267</v>
      </c>
    </row>
    <row r="733" spans="1:10" ht="31.5">
      <c r="A733" s="439">
        <v>1013</v>
      </c>
      <c r="B733" s="442" t="s">
        <v>5268</v>
      </c>
      <c r="C733" s="441">
        <f t="shared" si="80"/>
        <v>31525000</v>
      </c>
      <c r="D733" s="441">
        <v>10000000</v>
      </c>
      <c r="E733" s="441"/>
      <c r="F733" s="441">
        <v>10000000</v>
      </c>
      <c r="G733" s="441">
        <v>10000000</v>
      </c>
      <c r="H733" s="441">
        <f t="shared" si="81"/>
        <v>10500000</v>
      </c>
      <c r="I733" s="441">
        <f t="shared" si="81"/>
        <v>11025000</v>
      </c>
      <c r="J733" s="442" t="s">
        <v>5269</v>
      </c>
    </row>
    <row r="734" spans="1:10" ht="31.5">
      <c r="A734" s="439">
        <v>1014</v>
      </c>
      <c r="B734" s="442" t="s">
        <v>5270</v>
      </c>
      <c r="C734" s="441">
        <f t="shared" si="80"/>
        <v>945750000</v>
      </c>
      <c r="D734" s="441">
        <v>450000000</v>
      </c>
      <c r="E734" s="441">
        <v>276000000</v>
      </c>
      <c r="F734" s="441">
        <v>400000000</v>
      </c>
      <c r="G734" s="441">
        <v>300000000</v>
      </c>
      <c r="H734" s="441">
        <f t="shared" si="81"/>
        <v>315000000</v>
      </c>
      <c r="I734" s="441">
        <f t="shared" si="81"/>
        <v>330750000</v>
      </c>
      <c r="J734" s="442" t="s">
        <v>5271</v>
      </c>
    </row>
    <row r="735" spans="1:10" ht="47.25">
      <c r="A735" s="439">
        <v>1015</v>
      </c>
      <c r="B735" s="442" t="s">
        <v>5272</v>
      </c>
      <c r="C735" s="441">
        <f t="shared" si="80"/>
        <v>47287500</v>
      </c>
      <c r="D735" s="441">
        <v>15000000</v>
      </c>
      <c r="E735" s="441"/>
      <c r="F735" s="441">
        <v>15000000</v>
      </c>
      <c r="G735" s="441">
        <v>15000000</v>
      </c>
      <c r="H735" s="441">
        <f t="shared" si="81"/>
        <v>15750000</v>
      </c>
      <c r="I735" s="441">
        <f t="shared" si="81"/>
        <v>16537500</v>
      </c>
      <c r="J735" s="442" t="s">
        <v>5273</v>
      </c>
    </row>
    <row r="736" spans="1:10" ht="31.5">
      <c r="A736" s="439">
        <v>1016</v>
      </c>
      <c r="B736" s="442" t="s">
        <v>5274</v>
      </c>
      <c r="C736" s="441">
        <v>0</v>
      </c>
      <c r="D736" s="441"/>
      <c r="E736" s="441"/>
      <c r="F736" s="441" t="s">
        <v>3007</v>
      </c>
      <c r="G736" s="441" t="s">
        <v>3007</v>
      </c>
      <c r="H736" s="441" t="s">
        <v>3007</v>
      </c>
      <c r="I736" s="441" t="s">
        <v>3007</v>
      </c>
      <c r="J736" s="442" t="s">
        <v>5275</v>
      </c>
    </row>
    <row r="737" spans="1:10" ht="47.25">
      <c r="A737" s="439">
        <v>1017</v>
      </c>
      <c r="B737" s="442" t="s">
        <v>5276</v>
      </c>
      <c r="C737" s="441">
        <f t="shared" si="80"/>
        <v>63050000</v>
      </c>
      <c r="D737" s="441">
        <v>20000000</v>
      </c>
      <c r="E737" s="441"/>
      <c r="F737" s="441">
        <v>20000000</v>
      </c>
      <c r="G737" s="441">
        <v>20000000</v>
      </c>
      <c r="H737" s="441">
        <f t="shared" si="81"/>
        <v>21000000</v>
      </c>
      <c r="I737" s="441">
        <f t="shared" si="81"/>
        <v>22050000</v>
      </c>
      <c r="J737" s="442" t="s">
        <v>5704</v>
      </c>
    </row>
    <row r="738" spans="1:10" ht="15.75">
      <c r="A738" s="439"/>
      <c r="B738" s="449" t="s">
        <v>118</v>
      </c>
      <c r="C738" s="441"/>
      <c r="D738" s="441"/>
      <c r="E738" s="441"/>
      <c r="F738" s="441"/>
      <c r="G738" s="441"/>
      <c r="H738" s="441"/>
      <c r="I738" s="441"/>
      <c r="J738" s="442"/>
    </row>
    <row r="739" spans="1:10" ht="15.75">
      <c r="A739" s="439"/>
      <c r="B739" s="449"/>
      <c r="C739" s="441"/>
      <c r="D739" s="441"/>
      <c r="E739" s="441"/>
      <c r="F739" s="441"/>
      <c r="G739" s="441"/>
      <c r="H739" s="441"/>
      <c r="I739" s="441"/>
      <c r="J739" s="442"/>
    </row>
    <row r="740" spans="1:10" ht="47.25">
      <c r="A740" s="439">
        <v>2001</v>
      </c>
      <c r="B740" s="442" t="s">
        <v>5277</v>
      </c>
      <c r="C740" s="441">
        <f t="shared" si="80"/>
        <v>157625000</v>
      </c>
      <c r="D740" s="441">
        <v>50000000</v>
      </c>
      <c r="E740" s="441"/>
      <c r="F740" s="441"/>
      <c r="G740" s="441">
        <v>50000000</v>
      </c>
      <c r="H740" s="441">
        <f>G740*1.05</f>
        <v>52500000</v>
      </c>
      <c r="I740" s="441">
        <f>H740*1.05</f>
        <v>55125000</v>
      </c>
      <c r="J740" s="442" t="s">
        <v>5705</v>
      </c>
    </row>
    <row r="741" spans="1:10" ht="31.5">
      <c r="A741" s="439">
        <f>1+A740</f>
        <v>2002</v>
      </c>
      <c r="B741" s="442" t="s">
        <v>5278</v>
      </c>
      <c r="C741" s="441">
        <f t="shared" si="80"/>
        <v>15762500</v>
      </c>
      <c r="D741" s="441">
        <v>5000000</v>
      </c>
      <c r="E741" s="441">
        <v>248834</v>
      </c>
      <c r="F741" s="441"/>
      <c r="G741" s="441">
        <v>5000000</v>
      </c>
      <c r="H741" s="441">
        <f>G741*1.05</f>
        <v>5250000</v>
      </c>
      <c r="I741" s="441">
        <f>H741*1.05</f>
        <v>5512500</v>
      </c>
      <c r="J741" s="442" t="s">
        <v>5279</v>
      </c>
    </row>
    <row r="742" spans="1:10" ht="15.75">
      <c r="A742" s="439"/>
      <c r="B742" s="442"/>
      <c r="C742" s="441"/>
      <c r="D742" s="441"/>
      <c r="E742" s="441"/>
      <c r="F742" s="441"/>
      <c r="G742" s="441"/>
      <c r="H742" s="441"/>
      <c r="I742" s="441"/>
      <c r="J742" s="442"/>
    </row>
    <row r="743" spans="1:10" ht="31.5">
      <c r="A743" s="439">
        <v>2003</v>
      </c>
      <c r="B743" s="442" t="s">
        <v>5280</v>
      </c>
      <c r="C743" s="441">
        <f>G743+H743+I743</f>
        <v>15762500</v>
      </c>
      <c r="D743" s="441">
        <v>5000000</v>
      </c>
      <c r="E743" s="441"/>
      <c r="F743" s="441"/>
      <c r="G743" s="441">
        <v>5000000</v>
      </c>
      <c r="H743" s="441">
        <f t="shared" ref="H743:I745" si="82">G743*1.05</f>
        <v>5250000</v>
      </c>
      <c r="I743" s="441">
        <f t="shared" si="82"/>
        <v>5512500</v>
      </c>
      <c r="J743" s="442" t="s">
        <v>5281</v>
      </c>
    </row>
    <row r="744" spans="1:10" ht="31.5">
      <c r="A744" s="439">
        <v>2004</v>
      </c>
      <c r="B744" s="442" t="s">
        <v>5282</v>
      </c>
      <c r="C744" s="441">
        <f>G744+H744+I744</f>
        <v>31525000</v>
      </c>
      <c r="D744" s="441">
        <v>10000000</v>
      </c>
      <c r="E744" s="441"/>
      <c r="F744" s="441"/>
      <c r="G744" s="441">
        <v>10000000</v>
      </c>
      <c r="H744" s="441">
        <f t="shared" si="82"/>
        <v>10500000</v>
      </c>
      <c r="I744" s="441">
        <f t="shared" si="82"/>
        <v>11025000</v>
      </c>
      <c r="J744" s="442" t="s">
        <v>5283</v>
      </c>
    </row>
    <row r="745" spans="1:10" ht="31.5">
      <c r="A745" s="439">
        <f>1+A744</f>
        <v>2005</v>
      </c>
      <c r="B745" s="442" t="s">
        <v>5284</v>
      </c>
      <c r="C745" s="441">
        <f>G745+H745+I745</f>
        <v>15762500</v>
      </c>
      <c r="D745" s="441">
        <v>5000000</v>
      </c>
      <c r="E745" s="441"/>
      <c r="F745" s="441"/>
      <c r="G745" s="441">
        <v>5000000</v>
      </c>
      <c r="H745" s="441">
        <f t="shared" si="82"/>
        <v>5250000</v>
      </c>
      <c r="I745" s="441">
        <f t="shared" si="82"/>
        <v>5512500</v>
      </c>
      <c r="J745" s="442" t="s">
        <v>5285</v>
      </c>
    </row>
    <row r="746" spans="1:10" ht="15.75">
      <c r="A746" s="426"/>
      <c r="B746" s="447"/>
      <c r="C746" s="549"/>
      <c r="D746" s="448"/>
      <c r="E746" s="448"/>
      <c r="F746" s="448"/>
      <c r="G746" s="448"/>
      <c r="H746" s="448"/>
      <c r="I746" s="448"/>
      <c r="J746" s="447"/>
    </row>
    <row r="747" spans="1:10" ht="15.75">
      <c r="A747" s="423"/>
      <c r="B747" s="550"/>
      <c r="C747" s="425" t="s">
        <v>1840</v>
      </c>
      <c r="D747" s="425"/>
      <c r="E747" s="425"/>
      <c r="F747" s="425"/>
      <c r="G747" s="425"/>
      <c r="H747" s="425"/>
      <c r="I747" s="425"/>
      <c r="J747" s="424"/>
    </row>
    <row r="748" spans="1:10" ht="15.75">
      <c r="A748" s="423" t="s">
        <v>5165</v>
      </c>
      <c r="B748" s="463"/>
      <c r="C748" s="425"/>
      <c r="D748" s="425"/>
      <c r="E748" s="425"/>
      <c r="F748" s="425"/>
      <c r="G748" s="425"/>
      <c r="H748" s="425"/>
      <c r="I748" s="425"/>
      <c r="J748" s="424"/>
    </row>
    <row r="749" spans="1:10" ht="31.5">
      <c r="A749" s="426" t="s">
        <v>4582</v>
      </c>
      <c r="B749" s="427" t="s">
        <v>5166</v>
      </c>
      <c r="C749" s="474" t="s">
        <v>1840</v>
      </c>
      <c r="D749" s="425"/>
      <c r="E749" s="425"/>
      <c r="F749" s="425"/>
      <c r="G749" s="425"/>
      <c r="H749" s="425"/>
      <c r="I749" s="425"/>
      <c r="J749" s="424"/>
    </row>
    <row r="750" spans="1:10" ht="31.5">
      <c r="A750" s="429" t="s">
        <v>4509</v>
      </c>
      <c r="B750" s="477" t="s">
        <v>4510</v>
      </c>
      <c r="C750" s="466" t="s">
        <v>4511</v>
      </c>
      <c r="D750" s="432" t="s">
        <v>4512</v>
      </c>
      <c r="E750" s="432" t="s">
        <v>5503</v>
      </c>
      <c r="F750" s="432" t="s">
        <v>4305</v>
      </c>
      <c r="G750" s="432" t="s">
        <v>5501</v>
      </c>
      <c r="H750" s="432" t="s">
        <v>4305</v>
      </c>
      <c r="I750" s="432" t="s">
        <v>4305</v>
      </c>
      <c r="J750" s="433" t="s">
        <v>4513</v>
      </c>
    </row>
    <row r="751" spans="1:10" ht="31.5">
      <c r="A751" s="434"/>
      <c r="B751" s="435"/>
      <c r="C751" s="436" t="s">
        <v>4514</v>
      </c>
      <c r="D751" s="437" t="s">
        <v>4515</v>
      </c>
      <c r="E751" s="437" t="s">
        <v>4516</v>
      </c>
      <c r="F751" s="437" t="s">
        <v>243</v>
      </c>
      <c r="G751" s="437" t="s">
        <v>243</v>
      </c>
      <c r="H751" s="437" t="s">
        <v>4130</v>
      </c>
      <c r="I751" s="437" t="s">
        <v>4202</v>
      </c>
      <c r="J751" s="438"/>
    </row>
    <row r="752" spans="1:10" ht="31.5">
      <c r="A752" s="439">
        <v>2007</v>
      </c>
      <c r="B752" s="442" t="s">
        <v>5286</v>
      </c>
      <c r="C752" s="441">
        <f>G752+H752+I752</f>
        <v>315250000</v>
      </c>
      <c r="D752" s="441">
        <v>300000000</v>
      </c>
      <c r="E752" s="441"/>
      <c r="F752" s="441"/>
      <c r="G752" s="441">
        <v>100000000</v>
      </c>
      <c r="H752" s="441">
        <f t="shared" ref="H752:I754" si="83">G752*1.05</f>
        <v>105000000</v>
      </c>
      <c r="I752" s="441">
        <f t="shared" si="83"/>
        <v>110250000</v>
      </c>
      <c r="J752" s="442" t="s">
        <v>5287</v>
      </c>
    </row>
    <row r="753" spans="1:10" ht="15.75">
      <c r="A753" s="439">
        <v>2008</v>
      </c>
      <c r="B753" s="442" t="s">
        <v>5288</v>
      </c>
      <c r="C753" s="441">
        <f>G753+H753+I753</f>
        <v>31525000</v>
      </c>
      <c r="D753" s="441">
        <v>10000000</v>
      </c>
      <c r="E753" s="441"/>
      <c r="F753" s="441"/>
      <c r="G753" s="441">
        <v>10000000</v>
      </c>
      <c r="H753" s="441">
        <f t="shared" si="83"/>
        <v>10500000</v>
      </c>
      <c r="I753" s="441">
        <f t="shared" si="83"/>
        <v>11025000</v>
      </c>
      <c r="J753" s="442" t="s">
        <v>5289</v>
      </c>
    </row>
    <row r="754" spans="1:10" ht="15.75">
      <c r="A754" s="439">
        <v>2009</v>
      </c>
      <c r="B754" s="442" t="s">
        <v>5290</v>
      </c>
      <c r="C754" s="441">
        <f>G754+H754+I754</f>
        <v>78812500</v>
      </c>
      <c r="D754" s="441">
        <v>25000000</v>
      </c>
      <c r="E754" s="441"/>
      <c r="F754" s="441"/>
      <c r="G754" s="441">
        <v>25000000</v>
      </c>
      <c r="H754" s="441">
        <f t="shared" si="83"/>
        <v>26250000</v>
      </c>
      <c r="I754" s="441">
        <f t="shared" si="83"/>
        <v>27562500</v>
      </c>
      <c r="J754" s="442" t="s">
        <v>5291</v>
      </c>
    </row>
    <row r="755" spans="1:10" ht="15.75">
      <c r="A755" s="439"/>
      <c r="B755" s="1023" t="s">
        <v>2132</v>
      </c>
      <c r="C755" s="441"/>
      <c r="D755" s="441"/>
      <c r="E755" s="441"/>
      <c r="F755" s="441"/>
      <c r="G755" s="441"/>
      <c r="H755" s="441"/>
      <c r="I755" s="441"/>
      <c r="J755" s="442"/>
    </row>
    <row r="756" spans="1:10" ht="31.5">
      <c r="A756" s="439">
        <v>3001</v>
      </c>
      <c r="B756" s="442" t="s">
        <v>5292</v>
      </c>
      <c r="C756" s="441">
        <f t="shared" ref="C756:C762" si="84">G756+H756+I756</f>
        <v>315250000</v>
      </c>
      <c r="D756" s="441">
        <v>100000000</v>
      </c>
      <c r="E756" s="441">
        <v>6408134</v>
      </c>
      <c r="F756" s="441">
        <v>150000000</v>
      </c>
      <c r="G756" s="441">
        <v>100000000</v>
      </c>
      <c r="H756" s="441">
        <f t="shared" ref="H756:I760" si="85">G756*1.05</f>
        <v>105000000</v>
      </c>
      <c r="I756" s="441">
        <f t="shared" si="85"/>
        <v>110250000</v>
      </c>
      <c r="J756" s="442" t="s">
        <v>5293</v>
      </c>
    </row>
    <row r="757" spans="1:10" ht="31.5">
      <c r="A757" s="439">
        <v>3002</v>
      </c>
      <c r="B757" s="442" t="s">
        <v>5294</v>
      </c>
      <c r="C757" s="441">
        <f t="shared" si="84"/>
        <v>788125000</v>
      </c>
      <c r="D757" s="441">
        <v>250000000</v>
      </c>
      <c r="E757" s="441">
        <f>83239772+9149754</f>
        <v>92389526</v>
      </c>
      <c r="F757" s="441">
        <v>400000000</v>
      </c>
      <c r="G757" s="441">
        <v>250000000</v>
      </c>
      <c r="H757" s="441">
        <f t="shared" si="85"/>
        <v>262500000</v>
      </c>
      <c r="I757" s="441">
        <f t="shared" si="85"/>
        <v>275625000</v>
      </c>
      <c r="J757" s="442" t="s">
        <v>5295</v>
      </c>
    </row>
    <row r="758" spans="1:10" ht="31.5">
      <c r="A758" s="439">
        <v>3003</v>
      </c>
      <c r="B758" s="442" t="s">
        <v>5296</v>
      </c>
      <c r="C758" s="441">
        <f t="shared" si="84"/>
        <v>157625000</v>
      </c>
      <c r="D758" s="441">
        <v>50000000</v>
      </c>
      <c r="E758" s="441"/>
      <c r="F758" s="441">
        <v>50000000</v>
      </c>
      <c r="G758" s="441">
        <v>50000000</v>
      </c>
      <c r="H758" s="441">
        <f t="shared" si="85"/>
        <v>52500000</v>
      </c>
      <c r="I758" s="441">
        <f t="shared" si="85"/>
        <v>55125000</v>
      </c>
      <c r="J758" s="442" t="s">
        <v>5297</v>
      </c>
    </row>
    <row r="759" spans="1:10" ht="31.5">
      <c r="A759" s="439">
        <v>3004</v>
      </c>
      <c r="B759" s="442" t="s">
        <v>5298</v>
      </c>
      <c r="C759" s="441">
        <f t="shared" si="84"/>
        <v>157625000</v>
      </c>
      <c r="D759" s="441">
        <v>100000000</v>
      </c>
      <c r="E759" s="441">
        <f>46719836+7052072</f>
        <v>53771908</v>
      </c>
      <c r="F759" s="441">
        <v>50000000</v>
      </c>
      <c r="G759" s="441">
        <v>50000000</v>
      </c>
      <c r="H759" s="441">
        <f t="shared" si="85"/>
        <v>52500000</v>
      </c>
      <c r="I759" s="441">
        <f t="shared" si="85"/>
        <v>55125000</v>
      </c>
      <c r="J759" s="442" t="s">
        <v>5299</v>
      </c>
    </row>
    <row r="760" spans="1:10" ht="47.25">
      <c r="A760" s="439">
        <v>3005</v>
      </c>
      <c r="B760" s="442" t="s">
        <v>5300</v>
      </c>
      <c r="C760" s="441">
        <f t="shared" si="84"/>
        <v>63050000</v>
      </c>
      <c r="D760" s="441">
        <v>20000000</v>
      </c>
      <c r="E760" s="443">
        <v>6000000</v>
      </c>
      <c r="F760" s="441">
        <v>25000000</v>
      </c>
      <c r="G760" s="441">
        <v>20000000</v>
      </c>
      <c r="H760" s="441">
        <f t="shared" si="85"/>
        <v>21000000</v>
      </c>
      <c r="I760" s="441">
        <f t="shared" si="85"/>
        <v>22050000</v>
      </c>
      <c r="J760" s="442" t="s">
        <v>5706</v>
      </c>
    </row>
    <row r="761" spans="1:10" ht="15.75">
      <c r="A761" s="439">
        <v>3006</v>
      </c>
      <c r="B761" s="442" t="s">
        <v>5301</v>
      </c>
      <c r="C761" s="441">
        <f t="shared" si="84"/>
        <v>94575000</v>
      </c>
      <c r="D761" s="441">
        <v>30000000</v>
      </c>
      <c r="E761" s="441"/>
      <c r="F761" s="441">
        <v>30000000</v>
      </c>
      <c r="G761" s="441">
        <v>30000000</v>
      </c>
      <c r="H761" s="441">
        <f>G761*1.05</f>
        <v>31500000</v>
      </c>
      <c r="I761" s="441">
        <f>H761*1.05</f>
        <v>33075000</v>
      </c>
      <c r="J761" s="442" t="s">
        <v>5707</v>
      </c>
    </row>
    <row r="762" spans="1:10" ht="15.75">
      <c r="A762" s="439">
        <v>3007</v>
      </c>
      <c r="B762" s="442" t="s">
        <v>4774</v>
      </c>
      <c r="C762" s="441">
        <f t="shared" si="84"/>
        <v>315250000</v>
      </c>
      <c r="D762" s="441">
        <v>100000000</v>
      </c>
      <c r="E762" s="551"/>
      <c r="F762" s="441">
        <v>150000000</v>
      </c>
      <c r="G762" s="441">
        <v>100000000</v>
      </c>
      <c r="H762" s="441">
        <f>G762*1.05</f>
        <v>105000000</v>
      </c>
      <c r="I762" s="441">
        <f>H762*1.05</f>
        <v>110250000</v>
      </c>
      <c r="J762" s="442" t="s">
        <v>5577</v>
      </c>
    </row>
    <row r="763" spans="1:10" ht="15.75">
      <c r="A763" s="439"/>
      <c r="B763" s="449" t="s">
        <v>5302</v>
      </c>
      <c r="C763" s="441"/>
      <c r="D763" s="441"/>
      <c r="E763" s="441"/>
      <c r="F763" s="441"/>
      <c r="G763" s="441"/>
      <c r="H763" s="441"/>
      <c r="I763" s="441"/>
      <c r="J763" s="442"/>
    </row>
    <row r="764" spans="1:10" ht="31.5">
      <c r="A764" s="439">
        <v>4001</v>
      </c>
      <c r="B764" s="442" t="s">
        <v>5303</v>
      </c>
      <c r="C764" s="441">
        <f>G764+H764+I764</f>
        <v>31525000</v>
      </c>
      <c r="D764" s="441">
        <v>10000000</v>
      </c>
      <c r="E764" s="441"/>
      <c r="F764" s="441"/>
      <c r="G764" s="441">
        <v>10000000</v>
      </c>
      <c r="H764" s="441">
        <f t="shared" ref="H764:I766" si="86">G764*1.05</f>
        <v>10500000</v>
      </c>
      <c r="I764" s="441">
        <f t="shared" si="86"/>
        <v>11025000</v>
      </c>
      <c r="J764" s="442" t="s">
        <v>5708</v>
      </c>
    </row>
    <row r="765" spans="1:10" ht="31.5">
      <c r="A765" s="439">
        <v>4002</v>
      </c>
      <c r="B765" s="442" t="s">
        <v>5304</v>
      </c>
      <c r="C765" s="441">
        <f>G765+H765+I765</f>
        <v>15762500</v>
      </c>
      <c r="D765" s="441">
        <v>5000000</v>
      </c>
      <c r="E765" s="441"/>
      <c r="F765" s="441"/>
      <c r="G765" s="441">
        <v>5000000</v>
      </c>
      <c r="H765" s="441">
        <f t="shared" si="86"/>
        <v>5250000</v>
      </c>
      <c r="I765" s="441">
        <f t="shared" si="86"/>
        <v>5512500</v>
      </c>
      <c r="J765" s="442" t="s">
        <v>5709</v>
      </c>
    </row>
    <row r="766" spans="1:10" ht="15.75">
      <c r="A766" s="439">
        <v>4003</v>
      </c>
      <c r="B766" s="442" t="s">
        <v>4711</v>
      </c>
      <c r="C766" s="441">
        <f>G766+H766+I766</f>
        <v>31525000</v>
      </c>
      <c r="D766" s="441">
        <v>10000000</v>
      </c>
      <c r="E766" s="441"/>
      <c r="F766" s="441"/>
      <c r="G766" s="441">
        <v>10000000</v>
      </c>
      <c r="H766" s="441">
        <f t="shared" si="86"/>
        <v>10500000</v>
      </c>
      <c r="I766" s="441">
        <f t="shared" si="86"/>
        <v>11025000</v>
      </c>
      <c r="J766" s="442" t="s">
        <v>5710</v>
      </c>
    </row>
    <row r="767" spans="1:10" ht="15.75">
      <c r="A767" s="439"/>
      <c r="B767" s="1028" t="s">
        <v>5305</v>
      </c>
      <c r="C767" s="441"/>
      <c r="D767" s="441"/>
      <c r="E767" s="441"/>
      <c r="F767" s="441"/>
      <c r="G767" s="441"/>
      <c r="H767" s="441"/>
      <c r="I767" s="441"/>
      <c r="J767" s="442"/>
    </row>
    <row r="768" spans="1:10" ht="33" customHeight="1">
      <c r="A768" s="439">
        <v>5001</v>
      </c>
      <c r="B768" s="442" t="s">
        <v>5306</v>
      </c>
      <c r="C768" s="441">
        <f>SUM(G768:I768)</f>
        <v>0</v>
      </c>
      <c r="D768" s="441" t="s">
        <v>3007</v>
      </c>
      <c r="E768" s="441"/>
      <c r="F768" s="441"/>
      <c r="G768" s="441" t="s">
        <v>3007</v>
      </c>
      <c r="H768" s="441" t="s">
        <v>3007</v>
      </c>
      <c r="I768" s="441" t="s">
        <v>3007</v>
      </c>
      <c r="J768" s="442" t="s">
        <v>5711</v>
      </c>
    </row>
    <row r="769" spans="1:10" ht="15.75">
      <c r="A769" s="439">
        <v>5002</v>
      </c>
      <c r="B769" s="442" t="s">
        <v>5307</v>
      </c>
      <c r="C769" s="441">
        <f>G769+H769+I769</f>
        <v>21700000</v>
      </c>
      <c r="D769" s="441">
        <v>7000000</v>
      </c>
      <c r="E769" s="441"/>
      <c r="F769" s="441"/>
      <c r="G769" s="441">
        <v>7000000</v>
      </c>
      <c r="H769" s="441">
        <f>G769*1.05</f>
        <v>7350000</v>
      </c>
      <c r="I769" s="441">
        <f>G769*1.05</f>
        <v>7350000</v>
      </c>
      <c r="J769" s="442" t="s">
        <v>5712</v>
      </c>
    </row>
    <row r="770" spans="1:10" ht="31.5">
      <c r="A770" s="439">
        <v>5003</v>
      </c>
      <c r="B770" s="442" t="s">
        <v>5308</v>
      </c>
      <c r="C770" s="441">
        <f>G770+H770+I770</f>
        <v>31525000</v>
      </c>
      <c r="D770" s="441">
        <v>10000000</v>
      </c>
      <c r="E770" s="441"/>
      <c r="F770" s="441"/>
      <c r="G770" s="441">
        <v>10000000</v>
      </c>
      <c r="H770" s="441">
        <f>G770*1.05</f>
        <v>10500000</v>
      </c>
      <c r="I770" s="441">
        <f>H770*1.05</f>
        <v>11025000</v>
      </c>
      <c r="J770" s="442" t="s">
        <v>5309</v>
      </c>
    </row>
    <row r="771" spans="1:10" ht="15.75">
      <c r="A771" s="439"/>
      <c r="B771" s="552" t="s">
        <v>5310</v>
      </c>
      <c r="C771" s="441"/>
      <c r="D771" s="441"/>
      <c r="E771" s="441"/>
      <c r="F771" s="441"/>
      <c r="G771" s="441"/>
      <c r="H771" s="441"/>
      <c r="I771" s="441"/>
      <c r="J771" s="442"/>
    </row>
    <row r="772" spans="1:10" ht="33" customHeight="1">
      <c r="A772" s="439">
        <v>6001</v>
      </c>
      <c r="B772" s="442" t="s">
        <v>5311</v>
      </c>
      <c r="C772" s="441">
        <f>G772+H772+I772</f>
        <v>94575000</v>
      </c>
      <c r="D772" s="444">
        <v>30000000</v>
      </c>
      <c r="E772" s="444"/>
      <c r="F772" s="444"/>
      <c r="G772" s="444">
        <v>30000000</v>
      </c>
      <c r="H772" s="444">
        <f>G772*1.05</f>
        <v>31500000</v>
      </c>
      <c r="I772" s="444">
        <f>H772*1.05</f>
        <v>33075000</v>
      </c>
      <c r="J772" s="442" t="s">
        <v>5312</v>
      </c>
    </row>
    <row r="773" spans="1:10" ht="15.75">
      <c r="A773" s="439"/>
      <c r="B773" s="449" t="s">
        <v>5313</v>
      </c>
      <c r="C773" s="441"/>
      <c r="D773" s="441"/>
      <c r="E773" s="441"/>
      <c r="F773" s="441"/>
      <c r="G773" s="441"/>
      <c r="H773" s="441"/>
      <c r="I773" s="441"/>
      <c r="J773" s="442"/>
    </row>
    <row r="774" spans="1:10" ht="15.75">
      <c r="A774" s="446">
        <v>7001</v>
      </c>
      <c r="B774" s="447" t="s">
        <v>5314</v>
      </c>
      <c r="C774" s="448">
        <f>SUM(G774:I774)</f>
        <v>0</v>
      </c>
      <c r="D774" s="448" t="s">
        <v>3007</v>
      </c>
      <c r="E774" s="448"/>
      <c r="F774" s="448"/>
      <c r="G774" s="448" t="s">
        <v>3007</v>
      </c>
      <c r="H774" s="448" t="s">
        <v>3007</v>
      </c>
      <c r="I774" s="448" t="s">
        <v>3007</v>
      </c>
      <c r="J774" s="442" t="s">
        <v>5710</v>
      </c>
    </row>
    <row r="775" spans="1:10" ht="15.75">
      <c r="A775" s="423" t="s">
        <v>5165</v>
      </c>
      <c r="B775" s="463"/>
      <c r="C775" s="425" t="s">
        <v>1840</v>
      </c>
      <c r="D775" s="425"/>
      <c r="E775" s="425"/>
      <c r="F775" s="425"/>
      <c r="G775" s="425"/>
      <c r="H775" s="425"/>
      <c r="I775" s="425"/>
      <c r="J775" s="424"/>
    </row>
    <row r="776" spans="1:10" ht="15.75" customHeight="1">
      <c r="A776" s="553" t="s">
        <v>4582</v>
      </c>
      <c r="B776" s="492" t="s">
        <v>5166</v>
      </c>
      <c r="C776" s="474" t="s">
        <v>1840</v>
      </c>
      <c r="D776" s="474"/>
      <c r="E776" s="474"/>
      <c r="F776" s="474"/>
      <c r="G776" s="474"/>
      <c r="H776" s="474"/>
      <c r="I776" s="474"/>
      <c r="J776" s="476"/>
    </row>
    <row r="777" spans="1:10" ht="32.25" customHeight="1">
      <c r="A777" s="429" t="s">
        <v>4509</v>
      </c>
      <c r="B777" s="477" t="s">
        <v>4510</v>
      </c>
      <c r="C777" s="466" t="s">
        <v>4511</v>
      </c>
      <c r="D777" s="432" t="s">
        <v>4512</v>
      </c>
      <c r="E777" s="432" t="s">
        <v>5503</v>
      </c>
      <c r="F777" s="432" t="s">
        <v>4305</v>
      </c>
      <c r="G777" s="432" t="s">
        <v>5501</v>
      </c>
      <c r="H777" s="432" t="s">
        <v>4305</v>
      </c>
      <c r="I777" s="432" t="s">
        <v>4305</v>
      </c>
      <c r="J777" s="433" t="s">
        <v>4513</v>
      </c>
    </row>
    <row r="778" spans="1:10" ht="18" customHeight="1">
      <c r="A778" s="434"/>
      <c r="B778" s="435"/>
      <c r="C778" s="436" t="s">
        <v>4514</v>
      </c>
      <c r="D778" s="437" t="s">
        <v>4515</v>
      </c>
      <c r="E778" s="437" t="s">
        <v>4516</v>
      </c>
      <c r="F778" s="437" t="s">
        <v>243</v>
      </c>
      <c r="G778" s="437" t="s">
        <v>243</v>
      </c>
      <c r="H778" s="437" t="s">
        <v>4130</v>
      </c>
      <c r="I778" s="437" t="s">
        <v>4202</v>
      </c>
      <c r="J778" s="438"/>
    </row>
    <row r="779" spans="1:10" ht="15.75">
      <c r="A779" s="439"/>
      <c r="B779" s="1023" t="s">
        <v>5315</v>
      </c>
      <c r="C779" s="444"/>
      <c r="D779" s="441"/>
      <c r="E779" s="441"/>
      <c r="F779" s="441"/>
      <c r="G779" s="441"/>
      <c r="H779" s="441"/>
      <c r="I779" s="441"/>
      <c r="J779" s="442"/>
    </row>
    <row r="780" spans="1:10" ht="31.5">
      <c r="A780" s="439">
        <v>8001</v>
      </c>
      <c r="B780" s="442" t="s">
        <v>5316</v>
      </c>
      <c r="C780" s="441">
        <f>G780+H780+I780</f>
        <v>16550625</v>
      </c>
      <c r="D780" s="441">
        <v>5250000</v>
      </c>
      <c r="E780" s="441"/>
      <c r="F780" s="441">
        <v>5250000</v>
      </c>
      <c r="G780" s="441">
        <v>5250000</v>
      </c>
      <c r="H780" s="441">
        <f>G780*1.05</f>
        <v>5512500</v>
      </c>
      <c r="I780" s="441">
        <f>H780*1.05</f>
        <v>5788125</v>
      </c>
      <c r="J780" s="442" t="s">
        <v>5317</v>
      </c>
    </row>
    <row r="781" spans="1:10" ht="31.5">
      <c r="A781" s="439">
        <v>8002</v>
      </c>
      <c r="B781" s="442" t="s">
        <v>5318</v>
      </c>
      <c r="C781" s="441">
        <f>G781+H781+I781</f>
        <v>230132500</v>
      </c>
      <c r="D781" s="441">
        <v>70000000</v>
      </c>
      <c r="E781" s="441"/>
      <c r="F781" s="441">
        <v>100000000</v>
      </c>
      <c r="G781" s="441">
        <v>73000000</v>
      </c>
      <c r="H781" s="441">
        <f>G781*1.05</f>
        <v>76650000</v>
      </c>
      <c r="I781" s="441">
        <f>H781*1.05</f>
        <v>80482500</v>
      </c>
      <c r="J781" s="442" t="s">
        <v>5319</v>
      </c>
    </row>
    <row r="782" spans="1:10" ht="15.75">
      <c r="A782" s="439">
        <v>8003</v>
      </c>
      <c r="B782" s="442" t="s">
        <v>5320</v>
      </c>
      <c r="C782" s="441"/>
      <c r="D782" s="441">
        <v>10000000</v>
      </c>
      <c r="E782" s="444">
        <v>2996670</v>
      </c>
      <c r="F782" s="441">
        <v>15000000</v>
      </c>
      <c r="G782" s="441">
        <v>10000000</v>
      </c>
      <c r="H782" s="441" t="s">
        <v>3007</v>
      </c>
      <c r="I782" s="441" t="s">
        <v>3007</v>
      </c>
      <c r="J782" s="442" t="s">
        <v>5321</v>
      </c>
    </row>
    <row r="783" spans="1:10" ht="31.5">
      <c r="A783" s="439">
        <v>8004</v>
      </c>
      <c r="B783" s="442" t="s">
        <v>5322</v>
      </c>
      <c r="C783" s="441">
        <f>SUM(G783:I783)</f>
        <v>0</v>
      </c>
      <c r="D783" s="441"/>
      <c r="E783" s="441"/>
      <c r="F783" s="441"/>
      <c r="G783" s="441" t="s">
        <v>3007</v>
      </c>
      <c r="H783" s="441" t="s">
        <v>3007</v>
      </c>
      <c r="I783" s="441" t="s">
        <v>3007</v>
      </c>
      <c r="J783" s="442" t="s">
        <v>5323</v>
      </c>
    </row>
    <row r="784" spans="1:10" ht="15.75">
      <c r="A784" s="439">
        <v>8005</v>
      </c>
      <c r="B784" s="442" t="s">
        <v>5324</v>
      </c>
      <c r="C784" s="441">
        <f>SUM(G784:I784)</f>
        <v>126100000</v>
      </c>
      <c r="D784" s="441">
        <v>40000000</v>
      </c>
      <c r="E784" s="441"/>
      <c r="F784" s="441">
        <v>50000000</v>
      </c>
      <c r="G784" s="441">
        <v>40000000</v>
      </c>
      <c r="H784" s="441">
        <f>G784*1.05</f>
        <v>42000000</v>
      </c>
      <c r="I784" s="441">
        <f>H784*1.05</f>
        <v>44100000</v>
      </c>
      <c r="J784" s="442" t="s">
        <v>5325</v>
      </c>
    </row>
    <row r="785" spans="1:10" ht="31.5">
      <c r="A785" s="439">
        <v>9001</v>
      </c>
      <c r="B785" s="440" t="s">
        <v>5326</v>
      </c>
      <c r="C785" s="441"/>
      <c r="D785" s="441"/>
      <c r="E785" s="441"/>
      <c r="F785" s="441"/>
      <c r="G785" s="441" t="s">
        <v>3007</v>
      </c>
      <c r="H785" s="441" t="s">
        <v>3007</v>
      </c>
      <c r="I785" s="441" t="s">
        <v>3007</v>
      </c>
      <c r="J785" s="442" t="s">
        <v>5327</v>
      </c>
    </row>
    <row r="786" spans="1:10" ht="15.75">
      <c r="A786" s="439"/>
      <c r="B786" s="1030" t="s">
        <v>1975</v>
      </c>
      <c r="C786" s="441"/>
      <c r="D786" s="441"/>
      <c r="E786" s="441"/>
      <c r="F786" s="441"/>
      <c r="G786" s="441"/>
      <c r="H786" s="441"/>
      <c r="I786" s="441"/>
      <c r="J786" s="442"/>
    </row>
    <row r="787" spans="1:10" ht="15.75">
      <c r="A787" s="439">
        <v>1101</v>
      </c>
      <c r="B787" s="442" t="s">
        <v>5328</v>
      </c>
      <c r="C787" s="441">
        <f>SUM(G787:I787)</f>
        <v>20500000</v>
      </c>
      <c r="D787" s="441">
        <v>15000000</v>
      </c>
      <c r="E787" s="441"/>
      <c r="F787" s="441">
        <v>15000000</v>
      </c>
      <c r="G787" s="441">
        <v>10000000</v>
      </c>
      <c r="H787" s="441">
        <f>G787*1.05</f>
        <v>10500000</v>
      </c>
      <c r="I787" s="441" t="s">
        <v>3007</v>
      </c>
      <c r="J787" s="442" t="s">
        <v>5714</v>
      </c>
    </row>
    <row r="788" spans="1:10" ht="31.5">
      <c r="A788" s="439">
        <v>1102</v>
      </c>
      <c r="B788" s="442" t="s">
        <v>5329</v>
      </c>
      <c r="C788" s="441">
        <f>SUM(G788:I788)</f>
        <v>5000000</v>
      </c>
      <c r="D788" s="441" t="s">
        <v>3007</v>
      </c>
      <c r="E788" s="441"/>
      <c r="F788" s="441"/>
      <c r="G788" s="441">
        <v>5000000</v>
      </c>
      <c r="H788" s="441" t="s">
        <v>3007</v>
      </c>
      <c r="I788" s="441" t="s">
        <v>3007</v>
      </c>
      <c r="J788" s="442" t="s">
        <v>5713</v>
      </c>
    </row>
    <row r="789" spans="1:10" ht="31.5">
      <c r="A789" s="439">
        <v>1104</v>
      </c>
      <c r="B789" s="1029" t="s">
        <v>5330</v>
      </c>
      <c r="C789" s="441">
        <f>SUM(G789:I789)</f>
        <v>10000000</v>
      </c>
      <c r="D789" s="441">
        <v>10000000</v>
      </c>
      <c r="E789" s="441"/>
      <c r="F789" s="441"/>
      <c r="G789" s="441">
        <v>10000000</v>
      </c>
      <c r="H789" s="441" t="s">
        <v>3007</v>
      </c>
      <c r="I789" s="441" t="s">
        <v>3007</v>
      </c>
      <c r="J789" s="442" t="s">
        <v>5331</v>
      </c>
    </row>
    <row r="790" spans="1:10" ht="15.75">
      <c r="A790" s="439"/>
      <c r="B790" s="1023" t="s">
        <v>5332</v>
      </c>
      <c r="C790" s="441"/>
      <c r="D790" s="441"/>
      <c r="E790" s="441"/>
      <c r="F790" s="441"/>
      <c r="G790" s="441"/>
      <c r="H790" s="441"/>
      <c r="I790" s="441"/>
      <c r="J790" s="442"/>
    </row>
    <row r="791" spans="1:10" ht="15.75">
      <c r="A791" s="439">
        <v>1201</v>
      </c>
      <c r="B791" s="442" t="s">
        <v>5333</v>
      </c>
      <c r="C791" s="441">
        <f>SUM(G791:I791)</f>
        <v>0</v>
      </c>
      <c r="D791" s="441" t="s">
        <v>3007</v>
      </c>
      <c r="E791" s="441"/>
      <c r="F791" s="441"/>
      <c r="G791" s="441" t="s">
        <v>3007</v>
      </c>
      <c r="H791" s="441" t="s">
        <v>3007</v>
      </c>
      <c r="I791" s="441" t="s">
        <v>3007</v>
      </c>
      <c r="J791" s="442" t="s">
        <v>5334</v>
      </c>
    </row>
    <row r="792" spans="1:10" ht="15.75">
      <c r="A792" s="439">
        <v>1202</v>
      </c>
      <c r="B792" s="442" t="s">
        <v>5335</v>
      </c>
      <c r="C792" s="441">
        <f>G792+H792+I792</f>
        <v>15762500</v>
      </c>
      <c r="D792" s="441">
        <v>5000000</v>
      </c>
      <c r="E792" s="441"/>
      <c r="F792" s="441"/>
      <c r="G792" s="441">
        <v>5000000</v>
      </c>
      <c r="H792" s="441">
        <f t="shared" ref="H792:I796" si="87">G792*1.05</f>
        <v>5250000</v>
      </c>
      <c r="I792" s="441">
        <f t="shared" si="87"/>
        <v>5512500</v>
      </c>
      <c r="J792" s="442" t="s">
        <v>5336</v>
      </c>
    </row>
    <row r="793" spans="1:10" ht="64.5" customHeight="1">
      <c r="A793" s="439">
        <v>1301</v>
      </c>
      <c r="B793" s="440" t="s">
        <v>5715</v>
      </c>
      <c r="C793" s="441">
        <f>G793+H793+I793</f>
        <v>220675000</v>
      </c>
      <c r="D793" s="441">
        <v>70000000</v>
      </c>
      <c r="E793" s="441"/>
      <c r="F793" s="441"/>
      <c r="G793" s="441">
        <v>70000000</v>
      </c>
      <c r="H793" s="441">
        <f t="shared" si="87"/>
        <v>73500000</v>
      </c>
      <c r="I793" s="441">
        <f t="shared" si="87"/>
        <v>77175000</v>
      </c>
      <c r="J793" s="442" t="s">
        <v>5716</v>
      </c>
    </row>
    <row r="794" spans="1:10" ht="47.25">
      <c r="A794" s="439">
        <v>1302</v>
      </c>
      <c r="B794" s="440" t="s">
        <v>5337</v>
      </c>
      <c r="C794" s="441">
        <f>G794+H794+I794</f>
        <v>173387500</v>
      </c>
      <c r="D794" s="441">
        <v>55000000</v>
      </c>
      <c r="E794" s="441"/>
      <c r="F794" s="441"/>
      <c r="G794" s="441">
        <v>55000000</v>
      </c>
      <c r="H794" s="441">
        <f t="shared" si="87"/>
        <v>57750000</v>
      </c>
      <c r="I794" s="441">
        <f t="shared" si="87"/>
        <v>60637500</v>
      </c>
      <c r="J794" s="442" t="s">
        <v>5338</v>
      </c>
    </row>
    <row r="795" spans="1:10" ht="15.75">
      <c r="A795" s="439">
        <v>1401</v>
      </c>
      <c r="B795" s="440" t="s">
        <v>5339</v>
      </c>
      <c r="C795" s="441">
        <f>G795+H795+I795</f>
        <v>15762500</v>
      </c>
      <c r="D795" s="441">
        <v>5000000</v>
      </c>
      <c r="E795" s="441"/>
      <c r="F795" s="441"/>
      <c r="G795" s="441">
        <v>5000000</v>
      </c>
      <c r="H795" s="441">
        <f t="shared" si="87"/>
        <v>5250000</v>
      </c>
      <c r="I795" s="441">
        <f t="shared" si="87"/>
        <v>5512500</v>
      </c>
      <c r="J795" s="442" t="s">
        <v>5717</v>
      </c>
    </row>
    <row r="796" spans="1:10" ht="15.75">
      <c r="A796" s="439">
        <v>1402</v>
      </c>
      <c r="B796" s="440" t="s">
        <v>5340</v>
      </c>
      <c r="C796" s="441">
        <f>G796+H796+I796</f>
        <v>15762500</v>
      </c>
      <c r="D796" s="441">
        <v>5000000</v>
      </c>
      <c r="E796" s="441"/>
      <c r="F796" s="441"/>
      <c r="G796" s="441">
        <v>5000000</v>
      </c>
      <c r="H796" s="441">
        <f t="shared" si="87"/>
        <v>5250000</v>
      </c>
      <c r="I796" s="441">
        <f t="shared" si="87"/>
        <v>5512500</v>
      </c>
      <c r="J796" s="442" t="s">
        <v>5340</v>
      </c>
    </row>
    <row r="797" spans="1:10" ht="15.75">
      <c r="A797" s="439"/>
      <c r="B797" s="449" t="s">
        <v>1653</v>
      </c>
      <c r="C797" s="441"/>
      <c r="D797" s="441"/>
      <c r="E797" s="441"/>
      <c r="F797" s="441"/>
      <c r="G797" s="441"/>
      <c r="H797" s="441"/>
      <c r="I797" s="441"/>
      <c r="J797" s="442"/>
    </row>
    <row r="798" spans="1:10" ht="15.75">
      <c r="A798" s="439">
        <v>1501</v>
      </c>
      <c r="B798" s="442" t="s">
        <v>5341</v>
      </c>
      <c r="C798" s="441">
        <v>0</v>
      </c>
      <c r="D798" s="441" t="s">
        <v>3007</v>
      </c>
      <c r="E798" s="441"/>
      <c r="F798" s="441"/>
      <c r="G798" s="441">
        <v>600000000</v>
      </c>
      <c r="H798" s="441" t="s">
        <v>3007</v>
      </c>
      <c r="I798" s="441" t="s">
        <v>3007</v>
      </c>
      <c r="J798" s="442" t="s">
        <v>5342</v>
      </c>
    </row>
    <row r="799" spans="1:10" ht="15.75">
      <c r="A799" s="439">
        <v>1502</v>
      </c>
      <c r="B799" s="442" t="s">
        <v>5343</v>
      </c>
      <c r="C799" s="441">
        <v>0</v>
      </c>
      <c r="D799" s="441" t="s">
        <v>3007</v>
      </c>
      <c r="E799" s="441"/>
      <c r="F799" s="441"/>
      <c r="G799" s="441" t="s">
        <v>3007</v>
      </c>
      <c r="H799" s="441" t="s">
        <v>3007</v>
      </c>
      <c r="I799" s="441" t="s">
        <v>3007</v>
      </c>
      <c r="J799" s="442" t="s">
        <v>5344</v>
      </c>
    </row>
    <row r="800" spans="1:10" ht="15.75">
      <c r="A800" s="439">
        <v>1503</v>
      </c>
      <c r="B800" s="442" t="s">
        <v>5345</v>
      </c>
      <c r="C800" s="441">
        <v>0</v>
      </c>
      <c r="D800" s="441" t="s">
        <v>3007</v>
      </c>
      <c r="E800" s="441"/>
      <c r="F800" s="441"/>
      <c r="G800" s="441">
        <v>100000000</v>
      </c>
      <c r="H800" s="441" t="s">
        <v>3007</v>
      </c>
      <c r="I800" s="441" t="s">
        <v>3007</v>
      </c>
      <c r="J800" s="442" t="s">
        <v>5346</v>
      </c>
    </row>
    <row r="801" spans="1:10" ht="15.75">
      <c r="A801" s="439">
        <v>1504</v>
      </c>
      <c r="B801" s="442" t="s">
        <v>5347</v>
      </c>
      <c r="C801" s="441">
        <f>G801+H801+I801</f>
        <v>63050000</v>
      </c>
      <c r="D801" s="441">
        <v>20000000</v>
      </c>
      <c r="E801" s="441"/>
      <c r="F801" s="441"/>
      <c r="G801" s="441">
        <v>20000000</v>
      </c>
      <c r="H801" s="441">
        <f>G801*1.05</f>
        <v>21000000</v>
      </c>
      <c r="I801" s="441">
        <f>H801*1.05</f>
        <v>22050000</v>
      </c>
      <c r="J801" s="442" t="s">
        <v>5348</v>
      </c>
    </row>
    <row r="802" spans="1:10" ht="15.75">
      <c r="A802" s="439">
        <v>1505</v>
      </c>
      <c r="B802" s="442" t="s">
        <v>5349</v>
      </c>
      <c r="C802" s="441">
        <f>G802+H802+I802</f>
        <v>31525000</v>
      </c>
      <c r="D802" s="441">
        <v>10000000</v>
      </c>
      <c r="E802" s="441"/>
      <c r="F802" s="441"/>
      <c r="G802" s="441">
        <v>10000000</v>
      </c>
      <c r="H802" s="441">
        <f t="shared" ref="H802:I804" si="88">G802*5/100+G802</f>
        <v>10500000</v>
      </c>
      <c r="I802" s="441">
        <f t="shared" si="88"/>
        <v>11025000</v>
      </c>
      <c r="J802" s="442" t="s">
        <v>5719</v>
      </c>
    </row>
    <row r="803" spans="1:10" ht="32.1" customHeight="1">
      <c r="A803" s="439">
        <v>1601</v>
      </c>
      <c r="B803" s="442" t="s">
        <v>5718</v>
      </c>
      <c r="C803" s="441"/>
      <c r="D803" s="441"/>
      <c r="E803" s="441"/>
      <c r="F803" s="441"/>
      <c r="G803" s="441"/>
      <c r="H803" s="441">
        <f t="shared" si="88"/>
        <v>0</v>
      </c>
      <c r="I803" s="441">
        <f t="shared" si="88"/>
        <v>0</v>
      </c>
      <c r="J803" s="442" t="s">
        <v>5350</v>
      </c>
    </row>
    <row r="804" spans="1:10" ht="48" thickBot="1">
      <c r="A804" s="439">
        <v>1701</v>
      </c>
      <c r="B804" s="440" t="s">
        <v>5351</v>
      </c>
      <c r="C804" s="441">
        <f>G804+H804+I804</f>
        <v>315250000</v>
      </c>
      <c r="D804" s="441">
        <v>250000000</v>
      </c>
      <c r="E804" s="441"/>
      <c r="F804" s="441"/>
      <c r="G804" s="441">
        <v>100000000</v>
      </c>
      <c r="H804" s="441">
        <f t="shared" si="88"/>
        <v>105000000</v>
      </c>
      <c r="I804" s="441">
        <f t="shared" si="88"/>
        <v>110250000</v>
      </c>
      <c r="J804" s="442" t="s">
        <v>5352</v>
      </c>
    </row>
    <row r="805" spans="1:10" ht="16.5" thickBot="1">
      <c r="A805" s="554"/>
      <c r="B805" s="555" t="s">
        <v>4580</v>
      </c>
      <c r="C805" s="462">
        <f t="shared" ref="C805:I805" si="89">SUM(C625:C804)</f>
        <v>17123370625</v>
      </c>
      <c r="D805" s="462">
        <f t="shared" si="89"/>
        <v>8870250000</v>
      </c>
      <c r="E805" s="462">
        <f t="shared" si="89"/>
        <v>1274683257</v>
      </c>
      <c r="F805" s="462">
        <f t="shared" si="89"/>
        <v>7472250000</v>
      </c>
      <c r="G805" s="462">
        <f t="shared" si="89"/>
        <v>6362250000</v>
      </c>
      <c r="H805" s="462">
        <f t="shared" si="89"/>
        <v>5764762500</v>
      </c>
      <c r="I805" s="462">
        <f t="shared" si="89"/>
        <v>6041608125</v>
      </c>
      <c r="J805" s="461"/>
    </row>
    <row r="806" spans="1:10" ht="16.5" thickBot="1">
      <c r="A806" s="554"/>
      <c r="B806" s="556" t="s">
        <v>5353</v>
      </c>
      <c r="C806" s="557">
        <f t="shared" ref="C806:I806" si="90">+C805+C619+C481+C246</f>
        <v>147403145000</v>
      </c>
      <c r="D806" s="557">
        <f t="shared" si="90"/>
        <v>66709550000</v>
      </c>
      <c r="E806" s="557">
        <f t="shared" si="90"/>
        <v>12645563262</v>
      </c>
      <c r="F806" s="557">
        <f t="shared" si="90"/>
        <v>111820300000</v>
      </c>
      <c r="G806" s="557">
        <f t="shared" si="90"/>
        <v>51274000000</v>
      </c>
      <c r="H806" s="557">
        <f t="shared" si="90"/>
        <v>51863400000</v>
      </c>
      <c r="I806" s="557">
        <f t="shared" si="90"/>
        <v>54445077500</v>
      </c>
      <c r="J806" s="558"/>
    </row>
    <row r="807" spans="1:10" ht="15.75">
      <c r="A807" s="559"/>
      <c r="B807" s="424"/>
      <c r="C807" s="425"/>
      <c r="D807" s="491"/>
      <c r="E807" s="491"/>
      <c r="F807" s="491"/>
      <c r="G807" s="491"/>
      <c r="H807" s="491"/>
      <c r="I807" s="491"/>
      <c r="J807" s="424"/>
    </row>
    <row r="808" spans="1:10" ht="15.75">
      <c r="A808" s="559"/>
      <c r="B808" s="560"/>
      <c r="C808" s="425"/>
      <c r="D808" s="425"/>
      <c r="E808" s="561"/>
      <c r="F808" s="425"/>
      <c r="G808" s="425"/>
      <c r="H808" s="425"/>
      <c r="I808" s="425"/>
      <c r="J808" s="562"/>
    </row>
    <row r="809" spans="1:10" ht="15.75">
      <c r="A809" s="559"/>
      <c r="B809" s="424"/>
      <c r="C809" s="425"/>
      <c r="D809" s="491"/>
      <c r="E809" s="491"/>
      <c r="F809" s="491"/>
      <c r="G809" s="491"/>
      <c r="H809" s="491"/>
      <c r="I809" s="491"/>
      <c r="J809" s="424"/>
    </row>
    <row r="810" spans="1:10" ht="15.75">
      <c r="A810" s="559"/>
      <c r="B810" s="424"/>
      <c r="C810" s="425"/>
      <c r="D810" s="425"/>
      <c r="E810" s="425"/>
      <c r="F810" s="425"/>
      <c r="H810" s="425"/>
      <c r="I810" s="425"/>
      <c r="J810" s="424"/>
    </row>
    <row r="811" spans="1:10" ht="15.75">
      <c r="A811" s="559"/>
      <c r="B811" s="424"/>
      <c r="C811" s="425"/>
      <c r="D811" s="425"/>
      <c r="E811" s="425"/>
      <c r="F811" s="425"/>
      <c r="G811" s="425"/>
      <c r="H811" s="425"/>
      <c r="I811" s="425"/>
      <c r="J811" s="424"/>
    </row>
    <row r="812" spans="1:10" ht="15.75">
      <c r="A812" s="559"/>
      <c r="B812" s="424"/>
      <c r="C812" s="425"/>
      <c r="D812" s="425" t="s">
        <v>4655</v>
      </c>
      <c r="E812" s="425"/>
      <c r="F812" s="425"/>
      <c r="G812" s="425" t="s">
        <v>4655</v>
      </c>
      <c r="H812" s="425"/>
      <c r="I812" s="425"/>
      <c r="J812" s="424"/>
    </row>
    <row r="813" spans="1:10" ht="15.75">
      <c r="A813" s="559"/>
      <c r="B813" s="424"/>
      <c r="C813" s="425"/>
      <c r="D813" s="425"/>
      <c r="E813" s="425"/>
      <c r="F813" s="425"/>
      <c r="G813" s="425"/>
      <c r="H813" s="425"/>
      <c r="I813" s="425"/>
      <c r="J813" s="424"/>
    </row>
    <row r="814" spans="1:10" ht="15.75">
      <c r="A814" s="559"/>
      <c r="B814" s="424"/>
      <c r="C814" s="425"/>
      <c r="D814" s="425"/>
      <c r="E814" s="425"/>
      <c r="F814" s="425"/>
      <c r="G814" s="425"/>
      <c r="H814" s="425"/>
      <c r="I814" s="425"/>
      <c r="J814" s="424"/>
    </row>
    <row r="815" spans="1:10" ht="15.75">
      <c r="A815" s="559"/>
      <c r="B815" s="424"/>
      <c r="C815" s="425"/>
      <c r="D815" s="425"/>
      <c r="E815" s="425"/>
      <c r="F815" s="425"/>
      <c r="G815" s="425"/>
      <c r="H815" s="425"/>
      <c r="I815" s="425"/>
      <c r="J815" s="424"/>
    </row>
    <row r="816" spans="1:10" ht="15.75">
      <c r="A816" s="559"/>
      <c r="B816" s="424"/>
      <c r="C816" s="425"/>
      <c r="D816" s="425"/>
      <c r="E816" s="425"/>
      <c r="F816" s="425"/>
      <c r="G816" s="425"/>
      <c r="H816" s="425"/>
      <c r="I816" s="425"/>
      <c r="J816" s="424"/>
    </row>
    <row r="817" spans="1:10" ht="15.75">
      <c r="A817" s="559"/>
      <c r="B817" s="424"/>
      <c r="C817" s="425"/>
      <c r="D817" s="425"/>
      <c r="E817" s="425"/>
      <c r="F817" s="425"/>
      <c r="G817" s="425"/>
      <c r="H817" s="425"/>
      <c r="I817" s="425"/>
      <c r="J817" s="424"/>
    </row>
    <row r="818" spans="1:10" ht="15.75">
      <c r="A818" s="559"/>
      <c r="B818" s="424"/>
      <c r="C818" s="425"/>
      <c r="D818" s="425"/>
      <c r="E818" s="425"/>
      <c r="F818" s="425"/>
      <c r="G818" s="425"/>
      <c r="H818" s="425"/>
      <c r="I818" s="425"/>
      <c r="J818" s="424"/>
    </row>
    <row r="819" spans="1:10" ht="15.75">
      <c r="A819" s="559"/>
      <c r="B819" s="424"/>
      <c r="C819" s="425"/>
      <c r="D819" s="425"/>
      <c r="E819" s="425"/>
      <c r="F819" s="425"/>
      <c r="G819" s="425"/>
      <c r="H819" s="425"/>
      <c r="I819" s="425"/>
      <c r="J819" s="424"/>
    </row>
    <row r="820" spans="1:10" ht="15.75">
      <c r="A820" s="559"/>
      <c r="B820" s="424"/>
      <c r="C820" s="425"/>
      <c r="D820" s="425"/>
      <c r="E820" s="425"/>
      <c r="F820" s="425"/>
      <c r="G820" s="425"/>
      <c r="H820" s="425"/>
      <c r="I820" s="425"/>
      <c r="J820" s="424"/>
    </row>
    <row r="821" spans="1:10" ht="15.75">
      <c r="A821" s="559"/>
      <c r="B821" s="424"/>
      <c r="C821" s="425"/>
      <c r="D821" s="425"/>
      <c r="E821" s="425"/>
      <c r="F821" s="425"/>
      <c r="G821" s="425"/>
      <c r="H821" s="425"/>
      <c r="I821" s="425"/>
      <c r="J821" s="424"/>
    </row>
    <row r="822" spans="1:10" ht="15.75">
      <c r="A822" s="559"/>
      <c r="B822" s="424"/>
      <c r="C822" s="425"/>
      <c r="D822" s="425"/>
      <c r="E822" s="425"/>
      <c r="F822" s="425"/>
      <c r="G822" s="425"/>
      <c r="H822" s="425"/>
      <c r="I822" s="425"/>
      <c r="J822" s="424"/>
    </row>
  </sheetData>
  <pageMargins left="0.23622047244094491" right="0.15748031496062992" top="0.55118110236220474" bottom="0.55118110236220474" header="0.51181102362204722" footer="0.27559055118110237"/>
  <pageSetup paperSize="9" scale="68" orientation="landscape" horizontalDpi="4294967292" verticalDpi="4294967292" r:id="rId1"/>
  <headerFooter alignWithMargins="0">
    <oddHeader>&amp;RC&amp;P</oddHeader>
    <oddFooter>&amp;R&amp;"-,Bold"&amp;12Capital Estimates 2015</oddFooter>
  </headerFooter>
  <rowBreaks count="35" manualBreakCount="35">
    <brk id="24" max="16383" man="1"/>
    <brk id="52" max="9" man="1"/>
    <brk id="77" max="9" man="1"/>
    <brk id="90" max="9" man="1"/>
    <brk id="113" max="9" man="1"/>
    <brk id="126" max="9" man="1"/>
    <brk id="151" max="9" man="1"/>
    <brk id="177" max="9" man="1"/>
    <brk id="191" max="9" man="1"/>
    <brk id="209" max="9" man="1"/>
    <brk id="230" max="9" man="1"/>
    <brk id="246" max="9" man="1"/>
    <brk id="268" max="16383" man="1"/>
    <brk id="291" max="16383" man="1"/>
    <brk id="305" max="9" man="1"/>
    <brk id="323" max="9" man="1"/>
    <brk id="344" max="9" man="1"/>
    <brk id="366" max="9" man="1"/>
    <brk id="388" max="9" man="1"/>
    <brk id="412" max="9" man="1"/>
    <brk id="435" max="9" man="1"/>
    <brk id="457" max="9" man="1"/>
    <brk id="481" max="9" man="1"/>
    <brk id="501" max="9" man="1"/>
    <brk id="524" max="9" man="1"/>
    <brk id="546" max="9" man="1"/>
    <brk id="567" max="9" man="1"/>
    <brk id="595" max="9" man="1"/>
    <brk id="620" max="9" man="1"/>
    <brk id="648" max="16383" man="1"/>
    <brk id="675" max="16383" man="1"/>
    <brk id="699" max="9" man="1"/>
    <brk id="725" max="9" man="1"/>
    <brk id="747" max="9" man="1"/>
    <brk id="774" max="9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51"/>
  <sheetViews>
    <sheetView workbookViewId="0"/>
  </sheetViews>
  <sheetFormatPr defaultColWidth="11.42578125" defaultRowHeight="15"/>
  <cols>
    <col min="1" max="1" width="7.85546875" customWidth="1"/>
    <col min="2" max="2" width="33.28515625" customWidth="1"/>
    <col min="3" max="3" width="21" customWidth="1"/>
    <col min="4" max="4" width="19.42578125" customWidth="1"/>
    <col min="5" max="5" width="17.85546875" hidden="1" customWidth="1"/>
    <col min="6" max="6" width="19.85546875" customWidth="1"/>
    <col min="7" max="7" width="21.140625" customWidth="1"/>
    <col min="8" max="9" width="10.85546875" hidden="1" customWidth="1"/>
    <col min="10" max="10" width="6.85546875" customWidth="1"/>
  </cols>
  <sheetData>
    <row r="1" spans="1:10">
      <c r="A1" s="894"/>
      <c r="B1" s="895" t="s">
        <v>5390</v>
      </c>
      <c r="C1" s="896"/>
      <c r="D1" s="896"/>
      <c r="E1" s="896"/>
      <c r="F1" s="896"/>
      <c r="G1" s="896"/>
      <c r="H1" s="896"/>
      <c r="I1" s="896"/>
      <c r="J1" s="897"/>
    </row>
    <row r="2" spans="1:10" ht="15.75">
      <c r="A2" s="898" t="s">
        <v>5500</v>
      </c>
      <c r="C2" s="899"/>
      <c r="D2" s="899"/>
      <c r="E2" s="899"/>
      <c r="F2" s="899"/>
      <c r="G2" s="899"/>
      <c r="H2" s="899"/>
      <c r="I2" s="899"/>
      <c r="J2" s="900"/>
    </row>
    <row r="3" spans="1:10">
      <c r="A3" s="901" t="s">
        <v>1620</v>
      </c>
      <c r="B3" s="901" t="s">
        <v>5392</v>
      </c>
      <c r="C3" s="902" t="s">
        <v>5393</v>
      </c>
      <c r="D3" s="902" t="s">
        <v>1841</v>
      </c>
      <c r="E3" s="902" t="s">
        <v>5394</v>
      </c>
      <c r="F3" s="902" t="s">
        <v>3577</v>
      </c>
      <c r="G3" s="903" t="s">
        <v>1841</v>
      </c>
      <c r="H3" s="904" t="s">
        <v>3577</v>
      </c>
      <c r="I3" s="904" t="s">
        <v>3577</v>
      </c>
      <c r="J3" s="905" t="s">
        <v>1172</v>
      </c>
    </row>
    <row r="4" spans="1:10">
      <c r="A4" s="906"/>
      <c r="B4" s="906"/>
      <c r="C4" s="907" t="s">
        <v>4200</v>
      </c>
      <c r="D4" s="908" t="s">
        <v>4515</v>
      </c>
      <c r="E4" s="909" t="s">
        <v>5396</v>
      </c>
      <c r="F4" s="908" t="s">
        <v>243</v>
      </c>
      <c r="G4" s="910" t="s">
        <v>243</v>
      </c>
      <c r="H4" s="908" t="s">
        <v>5397</v>
      </c>
      <c r="I4" s="908" t="s">
        <v>4515</v>
      </c>
      <c r="J4" s="911"/>
    </row>
    <row r="5" spans="1:10">
      <c r="A5" s="912"/>
      <c r="B5" s="913" t="s">
        <v>5398</v>
      </c>
      <c r="C5" s="914"/>
      <c r="D5" s="915"/>
      <c r="E5" s="915"/>
      <c r="F5" s="915"/>
      <c r="G5" s="915"/>
      <c r="H5" s="915"/>
      <c r="I5" s="915"/>
      <c r="J5" s="916"/>
    </row>
    <row r="6" spans="1:10">
      <c r="A6" s="917">
        <v>450</v>
      </c>
      <c r="B6" s="918" t="s">
        <v>5399</v>
      </c>
      <c r="C6" s="920">
        <f>[4]CAPITAL!C60</f>
        <v>14706412500</v>
      </c>
      <c r="D6" s="920">
        <f>[4]CAPITAL!D60</f>
        <v>8712000000</v>
      </c>
      <c r="E6" s="920">
        <f>[4]CAPITAL!E60</f>
        <v>1583072727</v>
      </c>
      <c r="F6" s="920">
        <f>[4]CAPITAL!F60</f>
        <v>6745000000</v>
      </c>
      <c r="G6" s="920">
        <f>[4]CAPITAL!G60</f>
        <v>4670000000</v>
      </c>
      <c r="H6" s="919">
        <f>+[5]CAPITAL!H60</f>
        <v>4898250000</v>
      </c>
      <c r="I6" s="919">
        <f>+[5]CAPITAL!I60</f>
        <v>5143162500</v>
      </c>
      <c r="J6" s="921">
        <f>G6/G48</f>
        <v>9.1079299450013654E-2</v>
      </c>
    </row>
    <row r="7" spans="1:10">
      <c r="A7" s="912"/>
      <c r="B7" s="912"/>
      <c r="C7" s="920"/>
      <c r="D7" s="920"/>
      <c r="E7" s="920"/>
      <c r="F7" s="920"/>
      <c r="G7" s="920"/>
      <c r="H7" s="919"/>
      <c r="I7" s="919"/>
      <c r="J7" s="921"/>
    </row>
    <row r="8" spans="1:10">
      <c r="A8" s="917">
        <v>451</v>
      </c>
      <c r="B8" s="918" t="s">
        <v>5400</v>
      </c>
      <c r="C8" s="920">
        <f>[4]CAPITAL!C98</f>
        <v>962460000</v>
      </c>
      <c r="D8" s="920">
        <f>[4]CAPITAL!D98</f>
        <v>394000000</v>
      </c>
      <c r="E8" s="920">
        <f>[4]CAPITAL!E98</f>
        <v>0</v>
      </c>
      <c r="F8" s="920">
        <f>[4]CAPITAL!F98</f>
        <v>304000000</v>
      </c>
      <c r="G8" s="920">
        <f>[4]CAPITAL!G98</f>
        <v>304000000</v>
      </c>
      <c r="H8" s="919">
        <f>+[5]CAPITAL!H98</f>
        <v>321200000</v>
      </c>
      <c r="I8" s="919">
        <f>+[5]CAPITAL!I98</f>
        <v>337260000</v>
      </c>
      <c r="J8" s="922">
        <f>G8/G48</f>
        <v>5.928930842142216E-3</v>
      </c>
    </row>
    <row r="9" spans="1:10">
      <c r="A9" s="912"/>
      <c r="B9" s="912"/>
      <c r="C9" s="920"/>
      <c r="D9" s="920"/>
      <c r="E9" s="920"/>
      <c r="F9" s="920"/>
      <c r="G9" s="920"/>
      <c r="H9" s="919"/>
      <c r="I9" s="919"/>
      <c r="J9" s="921"/>
    </row>
    <row r="10" spans="1:10">
      <c r="A10" s="917">
        <v>452</v>
      </c>
      <c r="B10" s="918" t="s">
        <v>5401</v>
      </c>
      <c r="C10" s="920">
        <f>[4]CAPITAL!C121</f>
        <v>309892500</v>
      </c>
      <c r="D10" s="920">
        <f>[4]CAPITAL!D121</f>
        <v>104000000</v>
      </c>
      <c r="E10" s="920">
        <f>[4]CAPITAL!E121</f>
        <v>0</v>
      </c>
      <c r="F10" s="920">
        <f>[4]CAPITAL!F121</f>
        <v>0</v>
      </c>
      <c r="G10" s="920">
        <f>[4]CAPITAL!G121</f>
        <v>97000000</v>
      </c>
      <c r="H10" s="919">
        <f>+[5]CAPITAL!H121</f>
        <v>103850000</v>
      </c>
      <c r="I10" s="919">
        <f>+[5]CAPITAL!I121</f>
        <v>109042500</v>
      </c>
      <c r="J10" s="921">
        <f>G10/G48</f>
        <v>1.8917970121309045E-3</v>
      </c>
    </row>
    <row r="11" spans="1:10">
      <c r="A11" s="912"/>
      <c r="B11" s="912"/>
      <c r="C11" s="920"/>
      <c r="D11" s="920"/>
      <c r="E11" s="920"/>
      <c r="F11" s="920"/>
      <c r="G11" s="920"/>
      <c r="H11" s="919"/>
      <c r="I11" s="919"/>
      <c r="J11" s="921"/>
    </row>
    <row r="12" spans="1:10">
      <c r="A12" s="917">
        <v>453</v>
      </c>
      <c r="B12" s="918" t="s">
        <v>5402</v>
      </c>
      <c r="C12" s="920">
        <f>[4]CAPITAL!C134</f>
        <v>82812500</v>
      </c>
      <c r="D12" s="920">
        <f>[4]CAPITAL!D134</f>
        <v>25000000</v>
      </c>
      <c r="E12" s="920">
        <f>[4]CAPITAL!E134</f>
        <v>0</v>
      </c>
      <c r="F12" s="920">
        <f>[4]CAPITAL!F134</f>
        <v>25000000</v>
      </c>
      <c r="G12" s="920">
        <f>[4]CAPITAL!G134</f>
        <v>25000000</v>
      </c>
      <c r="H12" s="919">
        <f>+[5]CAPITAL!H134</f>
        <v>28250000</v>
      </c>
      <c r="I12" s="919">
        <f>+[5]CAPITAL!I134</f>
        <v>29562500</v>
      </c>
      <c r="J12" s="921">
        <f>G12/G48</f>
        <v>4.8757654951827434E-4</v>
      </c>
    </row>
    <row r="13" spans="1:10">
      <c r="A13" s="912"/>
      <c r="B13" s="912"/>
      <c r="C13" s="920"/>
      <c r="D13" s="920"/>
      <c r="E13" s="920"/>
      <c r="F13" s="920"/>
      <c r="G13" s="920"/>
      <c r="H13" s="919"/>
      <c r="I13" s="919"/>
      <c r="J13" s="921"/>
    </row>
    <row r="14" spans="1:10">
      <c r="A14" s="917">
        <v>454</v>
      </c>
      <c r="B14" s="918" t="s">
        <v>5403</v>
      </c>
      <c r="C14" s="920">
        <f>[4]CAPITAL!C160</f>
        <v>126100000</v>
      </c>
      <c r="D14" s="920">
        <f>[4]CAPITAL!D160</f>
        <v>550000000</v>
      </c>
      <c r="E14" s="920">
        <f>[4]CAPITAL!E160</f>
        <v>0</v>
      </c>
      <c r="F14" s="920">
        <f>[4]CAPITAL!F160</f>
        <v>620000000</v>
      </c>
      <c r="G14" s="920">
        <f>[4]CAPITAL!G160</f>
        <v>45000000</v>
      </c>
      <c r="H14" s="919">
        <f>+[5]CAPITAL!H160</f>
        <v>47250000</v>
      </c>
      <c r="I14" s="919">
        <f>+[5]CAPITAL!I160</f>
        <v>49612500</v>
      </c>
      <c r="J14" s="921">
        <f>G14/G48</f>
        <v>8.7763778913289392E-4</v>
      </c>
    </row>
    <row r="15" spans="1:10">
      <c r="A15" s="912"/>
      <c r="B15" s="912"/>
      <c r="C15" s="920"/>
      <c r="D15" s="920"/>
      <c r="E15" s="920"/>
      <c r="F15" s="920"/>
      <c r="G15" s="920"/>
      <c r="H15" s="919"/>
      <c r="I15" s="919"/>
      <c r="J15" s="921"/>
    </row>
    <row r="16" spans="1:10">
      <c r="A16" s="917">
        <v>455</v>
      </c>
      <c r="B16" s="918" t="s">
        <v>5404</v>
      </c>
      <c r="C16" s="920">
        <f>[4]CAPITAL!C187</f>
        <v>9935375000</v>
      </c>
      <c r="D16" s="920">
        <f>[4]CAPITAL!D187</f>
        <v>4155000000</v>
      </c>
      <c r="E16" s="920">
        <f>[4]CAPITAL!E187</f>
        <v>1379499165</v>
      </c>
      <c r="F16" s="920">
        <f>[4]CAPITAL!F187</f>
        <v>0</v>
      </c>
      <c r="G16" s="920">
        <f>[4]CAPITAL!G187</f>
        <v>3155000000</v>
      </c>
      <c r="H16" s="919">
        <f>+[5]CAPITAL!H187</f>
        <v>3307500000</v>
      </c>
      <c r="I16" s="919">
        <f>+[5]CAPITAL!I187</f>
        <v>3472875000</v>
      </c>
      <c r="J16" s="921">
        <f>G16/G48</f>
        <v>6.1532160549206225E-2</v>
      </c>
    </row>
    <row r="17" spans="1:10">
      <c r="A17" s="923"/>
      <c r="B17" s="924"/>
      <c r="C17" s="920"/>
      <c r="D17" s="920"/>
      <c r="E17" s="920"/>
      <c r="F17" s="920"/>
      <c r="G17" s="920"/>
      <c r="H17" s="919"/>
      <c r="I17" s="919"/>
      <c r="J17" s="921"/>
    </row>
    <row r="18" spans="1:10">
      <c r="A18" s="923">
        <v>456</v>
      </c>
      <c r="B18" s="924" t="s">
        <v>5405</v>
      </c>
      <c r="C18" s="920">
        <f>[4]CAPITAL!C203</f>
        <v>63050000</v>
      </c>
      <c r="D18" s="920">
        <f>[4]CAPITAL!D203</f>
        <v>150000000</v>
      </c>
      <c r="E18" s="920">
        <f>[4]CAPITAL!E203</f>
        <v>0</v>
      </c>
      <c r="F18" s="920">
        <f>[4]CAPITAL!F203</f>
        <v>230000000</v>
      </c>
      <c r="G18" s="920">
        <f>[4]CAPITAL!G203</f>
        <v>30000000</v>
      </c>
      <c r="H18" s="919">
        <f>+[5]CAPITAL!H212</f>
        <v>31500000</v>
      </c>
      <c r="I18" s="919">
        <f>+[5]CAPITAL!I212</f>
        <v>33075000</v>
      </c>
      <c r="J18" s="921">
        <f>G18/G48</f>
        <v>5.8509185942192928E-4</v>
      </c>
    </row>
    <row r="19" spans="1:10">
      <c r="A19" s="912"/>
      <c r="B19" s="912"/>
      <c r="C19" s="920"/>
      <c r="D19" s="920"/>
      <c r="E19" s="920"/>
      <c r="F19" s="920"/>
      <c r="G19" s="920"/>
      <c r="H19" s="919"/>
      <c r="I19" s="919"/>
      <c r="J19" s="921"/>
    </row>
    <row r="20" spans="1:10">
      <c r="A20" s="917">
        <v>457</v>
      </c>
      <c r="B20" s="918" t="s">
        <v>5406</v>
      </c>
      <c r="C20" s="920">
        <f>[4]CAPITAL!C253</f>
        <v>40628683125</v>
      </c>
      <c r="D20" s="920">
        <f>[4]CAPITAL!D253</f>
        <v>19179500000</v>
      </c>
      <c r="E20" s="920">
        <f>[4]CAPITAL!E253</f>
        <v>5767501155</v>
      </c>
      <c r="F20" s="920">
        <f>[4]CAPITAL!F253</f>
        <v>65678000000</v>
      </c>
      <c r="G20" s="920">
        <f>[4]CAPITAL!G253</f>
        <v>12998250000</v>
      </c>
      <c r="H20" s="919">
        <f>+[5]CAPITAL!H262</f>
        <v>13522162500</v>
      </c>
      <c r="I20" s="919">
        <f>+[5]CAPITAL!I262</f>
        <v>14198270625</v>
      </c>
      <c r="J20" s="921">
        <f>G20/G48</f>
        <v>0.25350567539103641</v>
      </c>
    </row>
    <row r="21" spans="1:10">
      <c r="A21" s="925"/>
      <c r="B21" s="926" t="s">
        <v>5407</v>
      </c>
      <c r="C21" s="928">
        <f t="shared" ref="C21:F21" si="0">SUM(C6:C20)</f>
        <v>66814785625</v>
      </c>
      <c r="D21" s="928">
        <f t="shared" si="0"/>
        <v>33269500000</v>
      </c>
      <c r="E21" s="928">
        <f t="shared" si="0"/>
        <v>8730073047</v>
      </c>
      <c r="F21" s="928">
        <f t="shared" si="0"/>
        <v>73602000000</v>
      </c>
      <c r="G21" s="928">
        <f>SUM(G6:G20)</f>
        <v>21324250000</v>
      </c>
      <c r="H21" s="927">
        <f t="shared" ref="H21:J21" si="1">SUM(H6:H20)</f>
        <v>22259962500</v>
      </c>
      <c r="I21" s="927">
        <f t="shared" si="1"/>
        <v>23372860625</v>
      </c>
      <c r="J21" s="929">
        <f t="shared" si="1"/>
        <v>0.41588816944260254</v>
      </c>
    </row>
    <row r="22" spans="1:10">
      <c r="A22" s="912"/>
      <c r="B22" s="895" t="s">
        <v>5408</v>
      </c>
      <c r="C22" s="920" t="s">
        <v>1840</v>
      </c>
      <c r="D22" s="920" t="s">
        <v>1840</v>
      </c>
      <c r="E22" s="920" t="s">
        <v>1840</v>
      </c>
      <c r="F22" s="920" t="s">
        <v>1840</v>
      </c>
      <c r="G22" s="920" t="s">
        <v>1840</v>
      </c>
      <c r="H22" s="919" t="s">
        <v>1840</v>
      </c>
      <c r="I22" s="919" t="s">
        <v>1840</v>
      </c>
      <c r="J22" s="921" t="s">
        <v>1840</v>
      </c>
    </row>
    <row r="23" spans="1:10">
      <c r="A23" s="917">
        <v>458</v>
      </c>
      <c r="B23" s="930" t="s">
        <v>5409</v>
      </c>
      <c r="C23" s="920">
        <f>[4]CAPITAL!C313</f>
        <v>19867751250</v>
      </c>
      <c r="D23" s="920">
        <f>[4]CAPITAL!D313</f>
        <v>7076000000</v>
      </c>
      <c r="E23" s="920">
        <f>[4]CAPITAL!E313</f>
        <v>171642983</v>
      </c>
      <c r="F23" s="920">
        <f>[4]CAPITAL!F313</f>
        <v>4252000000</v>
      </c>
      <c r="G23" s="920">
        <f>[4]CAPITAL!G313</f>
        <v>7124500000</v>
      </c>
      <c r="H23" s="919">
        <f>+[5]CAPITAL!H322</f>
        <v>7480725000</v>
      </c>
      <c r="I23" s="919">
        <f>+[5]CAPITAL!I322</f>
        <v>7854761250</v>
      </c>
      <c r="J23" s="921">
        <f>G23/G48</f>
        <v>0.13894956508171782</v>
      </c>
    </row>
    <row r="24" spans="1:10">
      <c r="A24" s="912"/>
      <c r="B24" s="912"/>
      <c r="C24" s="920"/>
      <c r="D24" s="920"/>
      <c r="E24" s="920"/>
      <c r="F24" s="920"/>
      <c r="G24" s="920"/>
      <c r="H24" s="919"/>
      <c r="I24" s="919"/>
      <c r="J24" s="921"/>
    </row>
    <row r="25" spans="1:10">
      <c r="A25" s="917">
        <v>459</v>
      </c>
      <c r="B25" s="918" t="s">
        <v>5410</v>
      </c>
      <c r="C25" s="920">
        <f>[4]CAPITAL!C352</f>
        <v>11443575000</v>
      </c>
      <c r="D25" s="920">
        <f>[4]CAPITAL!D352</f>
        <v>5045000000</v>
      </c>
      <c r="E25" s="920">
        <f>[4]CAPITAL!E352</f>
        <v>31923291</v>
      </c>
      <c r="F25" s="920">
        <f>[4]CAPITAL!F352</f>
        <v>7729000000</v>
      </c>
      <c r="G25" s="920">
        <f>[4]CAPITAL!G352</f>
        <v>6229000000</v>
      </c>
      <c r="H25" s="919">
        <f>+[5]CAPITAL!H361</f>
        <v>6540450000</v>
      </c>
      <c r="I25" s="919">
        <f>+[5]CAPITAL!I361</f>
        <v>6867472500</v>
      </c>
      <c r="J25" s="921">
        <f>G25/G48</f>
        <v>0.12148457307797324</v>
      </c>
    </row>
    <row r="26" spans="1:10">
      <c r="A26" s="912"/>
      <c r="B26" s="912"/>
      <c r="C26" s="920"/>
      <c r="D26" s="920"/>
      <c r="E26" s="920"/>
      <c r="F26" s="920"/>
      <c r="G26" s="920"/>
      <c r="H26" s="919"/>
      <c r="I26" s="919"/>
      <c r="J26" s="921"/>
    </row>
    <row r="27" spans="1:10">
      <c r="A27" s="931">
        <v>460</v>
      </c>
      <c r="B27" s="918" t="s">
        <v>5411</v>
      </c>
      <c r="C27" s="920">
        <f>[4]CAPITAL!C420</f>
        <v>4604922500</v>
      </c>
      <c r="D27" s="920">
        <f>[4]CAPITAL!D420</f>
        <v>1351000000</v>
      </c>
      <c r="E27" s="920">
        <f>[4]CAPITAL!E420</f>
        <v>163063850</v>
      </c>
      <c r="F27" s="920">
        <f>[4]CAPITAL!F420</f>
        <v>3954000000</v>
      </c>
      <c r="G27" s="920">
        <f>[4]CAPITAL!G420</f>
        <v>1579000000</v>
      </c>
      <c r="H27" s="919">
        <f>+[5]CAPITAL!H429</f>
        <v>1500450000</v>
      </c>
      <c r="I27" s="919">
        <f>+[5]CAPITAL!I429</f>
        <v>1575472500</v>
      </c>
      <c r="J27" s="921">
        <f>G27/G48</f>
        <v>3.0795334867574208E-2</v>
      </c>
    </row>
    <row r="28" spans="1:10">
      <c r="A28" s="917"/>
      <c r="B28" s="918"/>
      <c r="C28" s="920"/>
      <c r="D28" s="920"/>
      <c r="E28" s="920"/>
      <c r="F28" s="920"/>
      <c r="G28" s="920"/>
      <c r="H28" s="919"/>
      <c r="I28" s="919"/>
      <c r="J28" s="921"/>
    </row>
    <row r="29" spans="1:10">
      <c r="A29" s="931" t="s">
        <v>5412</v>
      </c>
      <c r="B29" s="918" t="s">
        <v>5413</v>
      </c>
      <c r="C29" s="920">
        <f>[4]CAPITAL!C444</f>
        <v>849650000</v>
      </c>
      <c r="D29" s="920">
        <f>[4]CAPITAL!D444</f>
        <v>240000000</v>
      </c>
      <c r="E29" s="920">
        <f>[4]CAPITAL!E444</f>
        <v>20000000</v>
      </c>
      <c r="F29" s="920">
        <f>[4]CAPITAL!F444</f>
        <v>415000000</v>
      </c>
      <c r="G29" s="920">
        <f>[4]CAPITAL!G444</f>
        <v>490000000</v>
      </c>
      <c r="H29" s="919" t="str">
        <f>+[5]CAPITAL!H451</f>
        <v>10t</v>
      </c>
      <c r="I29" s="919" t="str">
        <f>+[5]CAPITAL!I451</f>
        <v>10t</v>
      </c>
      <c r="J29" s="922">
        <f>G29/G48</f>
        <v>9.5565003705581769E-3</v>
      </c>
    </row>
    <row r="30" spans="1:10">
      <c r="A30" s="912"/>
      <c r="B30" s="912"/>
      <c r="C30" s="920"/>
      <c r="D30" s="920"/>
      <c r="E30" s="920"/>
      <c r="F30" s="920"/>
      <c r="G30" s="920"/>
      <c r="H30" s="919"/>
      <c r="I30" s="919"/>
      <c r="J30" s="921"/>
    </row>
    <row r="31" spans="1:10">
      <c r="A31" s="917">
        <v>461</v>
      </c>
      <c r="B31" s="918" t="s">
        <v>5414</v>
      </c>
      <c r="C31" s="920">
        <f>[4]CAPITAL!C490</f>
        <v>2049685000</v>
      </c>
      <c r="D31" s="920">
        <f>[4]CAPITAL!D490</f>
        <v>1261800000</v>
      </c>
      <c r="E31" s="920">
        <f>[4]CAPITAL!E490</f>
        <v>50000000</v>
      </c>
      <c r="F31" s="920">
        <f>[4]CAPITAL!F490</f>
        <v>545000000</v>
      </c>
      <c r="G31" s="920">
        <f>[4]CAPITAL!G490</f>
        <v>685000000</v>
      </c>
      <c r="H31" s="919">
        <f>+[5]CAPITAL!H497</f>
        <v>0</v>
      </c>
      <c r="I31" s="919">
        <f>+[5]CAPITAL!I497</f>
        <v>0</v>
      </c>
      <c r="J31" s="921">
        <f>G31/G48</f>
        <v>1.3359597456800718E-2</v>
      </c>
    </row>
    <row r="32" spans="1:10" ht="15.75">
      <c r="A32" s="925"/>
      <c r="B32" s="926" t="s">
        <v>2593</v>
      </c>
      <c r="C32" s="462">
        <f t="shared" ref="C32:F32" si="2">SUM(C23:C31)</f>
        <v>38815583750</v>
      </c>
      <c r="D32" s="462">
        <f t="shared" si="2"/>
        <v>14973800000</v>
      </c>
      <c r="E32" s="462">
        <f t="shared" si="2"/>
        <v>436630124</v>
      </c>
      <c r="F32" s="462">
        <f t="shared" si="2"/>
        <v>16895000000</v>
      </c>
      <c r="G32" s="462">
        <f>SUM(G23:G31)</f>
        <v>16107500000</v>
      </c>
      <c r="H32" s="927">
        <f t="shared" ref="H32:J32" si="3">SUM(H23:H31)</f>
        <v>15521625000</v>
      </c>
      <c r="I32" s="927">
        <f t="shared" si="3"/>
        <v>16297706250</v>
      </c>
      <c r="J32" s="929">
        <f t="shared" si="3"/>
        <v>0.31414557085462413</v>
      </c>
    </row>
    <row r="33" spans="1:10">
      <c r="A33" s="932"/>
      <c r="B33" s="895" t="s">
        <v>5415</v>
      </c>
      <c r="C33" s="920" t="s">
        <v>5416</v>
      </c>
      <c r="D33" s="920" t="s">
        <v>5416</v>
      </c>
      <c r="E33" s="920" t="s">
        <v>5416</v>
      </c>
      <c r="F33" s="920" t="s">
        <v>5416</v>
      </c>
      <c r="G33" s="920" t="s">
        <v>5416</v>
      </c>
      <c r="H33" s="919" t="s">
        <v>5416</v>
      </c>
      <c r="I33" s="919" t="s">
        <v>5416</v>
      </c>
      <c r="J33" s="921" t="s">
        <v>5416</v>
      </c>
    </row>
    <row r="34" spans="1:10">
      <c r="A34" s="919"/>
      <c r="B34" s="919"/>
      <c r="C34" s="920"/>
      <c r="D34" s="920"/>
      <c r="E34" s="920"/>
      <c r="F34" s="920"/>
      <c r="G34" s="920"/>
      <c r="H34" s="919"/>
      <c r="I34" s="919"/>
      <c r="J34" s="921"/>
    </row>
    <row r="35" spans="1:10">
      <c r="A35" s="917">
        <v>462</v>
      </c>
      <c r="B35" s="918" t="s">
        <v>5417</v>
      </c>
      <c r="C35" s="920">
        <f>[4]CAPITAL!C534</f>
        <v>7566000000</v>
      </c>
      <c r="D35" s="920">
        <f>[4]CAPITAL!D534</f>
        <v>3076000000</v>
      </c>
      <c r="E35" s="920">
        <f>[4]CAPITAL!E534</f>
        <v>297334429</v>
      </c>
      <c r="F35" s="920">
        <f>[4]CAPITAL!F534</f>
        <v>500000000</v>
      </c>
      <c r="G35" s="920">
        <f>[4]CAPITAL!G534</f>
        <v>2400000000</v>
      </c>
      <c r="H35" s="919">
        <f>+[5]CAPITAL!H541</f>
        <v>52500000</v>
      </c>
      <c r="I35" s="919">
        <f>+[5]CAPITAL!I541</f>
        <v>55125000</v>
      </c>
      <c r="J35" s="921">
        <f>G35/G48</f>
        <v>4.6807348753754342E-2</v>
      </c>
    </row>
    <row r="36" spans="1:10">
      <c r="A36" s="912"/>
      <c r="B36" s="912"/>
      <c r="C36" s="920"/>
      <c r="D36" s="920"/>
      <c r="E36" s="920"/>
      <c r="F36" s="920"/>
      <c r="G36" s="920"/>
      <c r="H36" s="919"/>
      <c r="I36" s="919"/>
      <c r="J36" s="921"/>
    </row>
    <row r="37" spans="1:10">
      <c r="A37" s="917">
        <v>463</v>
      </c>
      <c r="B37" s="918" t="s">
        <v>5418</v>
      </c>
      <c r="C37" s="920">
        <f>[4]CAPITAL!C556</f>
        <v>709312500</v>
      </c>
      <c r="D37" s="920">
        <f>[4]CAPITAL!D556</f>
        <v>570000000</v>
      </c>
      <c r="E37" s="920">
        <f>[4]CAPITAL!E556</f>
        <v>65202577</v>
      </c>
      <c r="F37" s="920">
        <f>[4]CAPITAL!F556</f>
        <v>471300000</v>
      </c>
      <c r="G37" s="920">
        <f>[4]CAPITAL!G556</f>
        <v>225000000</v>
      </c>
      <c r="H37" s="919">
        <f>+[5]CAPITAL!H563</f>
        <v>5250000</v>
      </c>
      <c r="I37" s="919">
        <f>+[5]CAPITAL!I563</f>
        <v>5512500</v>
      </c>
      <c r="J37" s="921">
        <f>G37/G48</f>
        <v>4.3881889456644689E-3</v>
      </c>
    </row>
    <row r="38" spans="1:10">
      <c r="A38" s="912"/>
      <c r="B38" s="912"/>
      <c r="C38" s="920"/>
      <c r="D38" s="920"/>
      <c r="E38" s="920"/>
      <c r="F38" s="920"/>
      <c r="G38" s="920"/>
      <c r="H38" s="919"/>
      <c r="I38" s="919"/>
      <c r="J38" s="921"/>
    </row>
    <row r="39" spans="1:10">
      <c r="A39" s="917">
        <v>464</v>
      </c>
      <c r="B39" s="918" t="s">
        <v>5419</v>
      </c>
      <c r="C39" s="920">
        <f>[4]CAPITAL!C578</f>
        <v>1261000000</v>
      </c>
      <c r="D39" s="920">
        <f>[4]CAPITAL!D578</f>
        <v>750000000</v>
      </c>
      <c r="E39" s="920">
        <f>[4]CAPITAL!E578</f>
        <v>68242099</v>
      </c>
      <c r="F39" s="920">
        <f>[4]CAPITAL!F578</f>
        <v>600000000</v>
      </c>
      <c r="G39" s="920">
        <f>[4]CAPITAL!G578</f>
        <v>400000000</v>
      </c>
      <c r="H39" s="919">
        <f>+[5]CAPITAL!H585</f>
        <v>52500000</v>
      </c>
      <c r="I39" s="919">
        <f>+[5]CAPITAL!I585</f>
        <v>55125000</v>
      </c>
      <c r="J39" s="921">
        <f>G39/G48</f>
        <v>7.8012247922923895E-3</v>
      </c>
    </row>
    <row r="40" spans="1:10">
      <c r="A40" s="912"/>
      <c r="B40" s="912"/>
      <c r="C40" s="920"/>
      <c r="D40" s="920"/>
      <c r="E40" s="920"/>
      <c r="F40" s="920"/>
      <c r="G40" s="920"/>
      <c r="H40" s="919"/>
      <c r="I40" s="919"/>
      <c r="J40" s="921"/>
    </row>
    <row r="41" spans="1:10">
      <c r="A41" s="917">
        <v>465</v>
      </c>
      <c r="B41" s="918" t="s">
        <v>5420</v>
      </c>
      <c r="C41" s="920">
        <f>[4]CAPITAL!C606</f>
        <v>13070337500</v>
      </c>
      <c r="D41" s="920">
        <f>[4]CAPITAL!D606</f>
        <v>5265000000</v>
      </c>
      <c r="E41" s="920">
        <f>[4]CAPITAL!E606</f>
        <v>1773397729</v>
      </c>
      <c r="F41" s="920">
        <f>[4]CAPITAL!F606</f>
        <v>7816750000</v>
      </c>
      <c r="G41" s="920">
        <f>[4]CAPITAL!G606</f>
        <v>4385000000</v>
      </c>
      <c r="H41" s="919">
        <f>+[5]CAPITAL!H613</f>
        <v>31500000</v>
      </c>
      <c r="I41" s="919">
        <f>+[5]CAPITAL!I613</f>
        <v>33075000</v>
      </c>
      <c r="J41" s="921">
        <f>G41/G48</f>
        <v>8.5520926785505325E-2</v>
      </c>
    </row>
    <row r="42" spans="1:10">
      <c r="A42" s="912"/>
      <c r="B42" s="912"/>
      <c r="C42" s="920"/>
      <c r="D42" s="920"/>
      <c r="E42" s="920"/>
      <c r="F42" s="920"/>
      <c r="G42" s="920"/>
      <c r="H42" s="919"/>
      <c r="I42" s="919"/>
      <c r="J42" s="921"/>
    </row>
    <row r="43" spans="1:10">
      <c r="A43" s="917">
        <v>466</v>
      </c>
      <c r="B43" s="918" t="s">
        <v>5421</v>
      </c>
      <c r="C43" s="920">
        <f>[4]CAPITAL!C634</f>
        <v>214217500</v>
      </c>
      <c r="D43" s="920">
        <f>[4]CAPITAL!D634</f>
        <v>35000000</v>
      </c>
      <c r="E43" s="920">
        <f>[4]CAPITAL!E634</f>
        <v>0</v>
      </c>
      <c r="F43" s="920">
        <f>[4]CAPITAL!F634</f>
        <v>70000000</v>
      </c>
      <c r="G43" s="920">
        <f>[4]CAPITAL!G634</f>
        <v>70000000</v>
      </c>
      <c r="H43" s="919" t="str">
        <f>+[5]CAPITAL!H641</f>
        <v>10t</v>
      </c>
      <c r="I43" s="919" t="str">
        <f>+[5]CAPITAL!I641</f>
        <v>10t</v>
      </c>
      <c r="J43" s="921">
        <f>G43/G48</f>
        <v>1.3652143386511683E-3</v>
      </c>
    </row>
    <row r="44" spans="1:10">
      <c r="A44" s="925"/>
      <c r="B44" s="926" t="s">
        <v>2593</v>
      </c>
      <c r="C44" s="928">
        <f t="shared" ref="C44:F44" si="4">SUM(C35:C43)</f>
        <v>22820867500</v>
      </c>
      <c r="D44" s="928">
        <f t="shared" si="4"/>
        <v>9696000000</v>
      </c>
      <c r="E44" s="928">
        <f t="shared" si="4"/>
        <v>2204176834</v>
      </c>
      <c r="F44" s="928">
        <f t="shared" si="4"/>
        <v>9458050000</v>
      </c>
      <c r="G44" s="928">
        <f>SUM(G35:G43)</f>
        <v>7480000000</v>
      </c>
      <c r="H44" s="927">
        <f t="shared" ref="H44:I44" si="5">SUM(H35:H43)</f>
        <v>141750000</v>
      </c>
      <c r="I44" s="927">
        <f t="shared" si="5"/>
        <v>148837500</v>
      </c>
      <c r="J44" s="929">
        <f>SUM(J35:J43)</f>
        <v>0.1458829036158677</v>
      </c>
    </row>
    <row r="45" spans="1:10">
      <c r="A45" s="912"/>
      <c r="B45" s="933" t="s">
        <v>5422</v>
      </c>
      <c r="C45" s="920" t="s">
        <v>1840</v>
      </c>
      <c r="D45" s="920" t="s">
        <v>1840</v>
      </c>
      <c r="E45" s="920" t="s">
        <v>1840</v>
      </c>
      <c r="F45" s="920" t="s">
        <v>1840</v>
      </c>
      <c r="G45" s="920" t="s">
        <v>1840</v>
      </c>
      <c r="H45" s="919" t="s">
        <v>1840</v>
      </c>
      <c r="I45" s="919" t="s">
        <v>1840</v>
      </c>
      <c r="J45" s="921" t="s">
        <v>1840</v>
      </c>
    </row>
    <row r="46" spans="1:10">
      <c r="A46" s="917">
        <v>467</v>
      </c>
      <c r="B46" s="918" t="s">
        <v>5423</v>
      </c>
      <c r="C46" s="920">
        <f>[4]CAPITAL!C831</f>
        <v>17123370625</v>
      </c>
      <c r="D46" s="920">
        <f>[4]CAPITAL!D831</f>
        <v>8870250000</v>
      </c>
      <c r="E46" s="920">
        <f>[4]CAPITAL!E831</f>
        <v>1274683257</v>
      </c>
      <c r="F46" s="920">
        <f>[4]CAPITAL!F831</f>
        <v>5378250000</v>
      </c>
      <c r="G46" s="920">
        <f>[4]CAPITAL!G831</f>
        <v>6362250000</v>
      </c>
      <c r="H46" s="919">
        <f>+[5]CAPITAL!H838</f>
        <v>0</v>
      </c>
      <c r="I46" s="919">
        <f>+[5]CAPITAL!I838</f>
        <v>0</v>
      </c>
      <c r="J46" s="921">
        <f>G46/G48</f>
        <v>0.12408335608690564</v>
      </c>
    </row>
    <row r="47" spans="1:10">
      <c r="A47" s="912"/>
      <c r="B47" s="918"/>
      <c r="C47" s="920" t="s">
        <v>1840</v>
      </c>
      <c r="D47" s="920" t="s">
        <v>1840</v>
      </c>
      <c r="E47" s="920" t="s">
        <v>1840</v>
      </c>
      <c r="F47" s="920" t="s">
        <v>1840</v>
      </c>
      <c r="G47" s="920" t="s">
        <v>1840</v>
      </c>
      <c r="H47" s="919" t="s">
        <v>1840</v>
      </c>
      <c r="I47" s="919" t="s">
        <v>1840</v>
      </c>
      <c r="J47" s="921" t="s">
        <v>1840</v>
      </c>
    </row>
    <row r="48" spans="1:10" ht="15.75">
      <c r="A48" s="925"/>
      <c r="B48" s="934" t="s">
        <v>5424</v>
      </c>
      <c r="C48" s="928">
        <f t="shared" ref="C48:I48" si="6">C21+C32+C44+C46</f>
        <v>145574607500</v>
      </c>
      <c r="D48" s="928">
        <f t="shared" si="6"/>
        <v>66809550000</v>
      </c>
      <c r="E48" s="928">
        <f t="shared" si="6"/>
        <v>12645563262</v>
      </c>
      <c r="F48" s="928">
        <f t="shared" si="6"/>
        <v>105333300000</v>
      </c>
      <c r="G48" s="928">
        <f t="shared" si="6"/>
        <v>51274000000</v>
      </c>
      <c r="H48" s="927">
        <f t="shared" si="6"/>
        <v>37923337500</v>
      </c>
      <c r="I48" s="927">
        <f t="shared" si="6"/>
        <v>39819404375</v>
      </c>
      <c r="J48" s="935">
        <f>J46+J44+J32+J21</f>
        <v>1</v>
      </c>
    </row>
    <row r="49" spans="3:10">
      <c r="C49" s="936"/>
      <c r="D49" s="936"/>
      <c r="E49" s="937"/>
      <c r="F49" s="937"/>
      <c r="G49" s="937"/>
      <c r="H49" s="936"/>
      <c r="I49" s="936"/>
      <c r="J49" s="938"/>
    </row>
    <row r="50" spans="3:10">
      <c r="C50" s="1020">
        <f>[4]CAPITAL!C832</f>
        <v>145574607500</v>
      </c>
      <c r="D50" s="1020">
        <f>[4]CAPITAL!D832</f>
        <v>66809550000</v>
      </c>
      <c r="E50" s="1020">
        <f>[4]CAPITAL!E832</f>
        <v>12645563262</v>
      </c>
      <c r="F50" s="1020">
        <f>[4]CAPITAL!F832</f>
        <v>105333300000</v>
      </c>
      <c r="G50" s="1020">
        <f>[4]CAPITAL!G832</f>
        <v>51274000000</v>
      </c>
    </row>
    <row r="51" spans="3:10">
      <c r="C51" s="967" t="b">
        <f>C50=C48</f>
        <v>1</v>
      </c>
      <c r="D51" s="967" t="b">
        <f t="shared" ref="D51:G51" si="7">D50=D48</f>
        <v>1</v>
      </c>
      <c r="E51" s="967" t="b">
        <f t="shared" si="7"/>
        <v>1</v>
      </c>
      <c r="F51" s="967" t="b">
        <f t="shared" si="7"/>
        <v>1</v>
      </c>
      <c r="G51" s="967" t="b">
        <f t="shared" si="7"/>
        <v>1</v>
      </c>
    </row>
  </sheetData>
  <pageMargins left="0.70866141732283472" right="0.70866141732283472" top="0.39" bottom="0.74803149606299213" header="0.31496062992125984" footer="0.31496062992125984"/>
  <pageSetup paperSize="9" orientation="landscape" r:id="rId1"/>
  <rowBreaks count="1" manualBreakCount="1">
    <brk id="3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N209"/>
  <sheetViews>
    <sheetView workbookViewId="0"/>
  </sheetViews>
  <sheetFormatPr defaultRowHeight="15"/>
  <cols>
    <col min="2" max="2" width="45.42578125" customWidth="1"/>
    <col min="3" max="3" width="18.140625" customWidth="1"/>
    <col min="4" max="4" width="18.5703125" hidden="1" customWidth="1"/>
    <col min="5" max="5" width="18" customWidth="1"/>
    <col min="6" max="6" width="20.140625" customWidth="1"/>
    <col min="7" max="7" width="19.42578125" customWidth="1"/>
    <col min="8" max="8" width="21" customWidth="1"/>
  </cols>
  <sheetData>
    <row r="1" spans="1:14" ht="26.25">
      <c r="A1" s="949" t="s">
        <v>5440</v>
      </c>
      <c r="B1" s="950"/>
      <c r="C1" s="951"/>
      <c r="D1" s="951"/>
      <c r="E1" s="951"/>
      <c r="F1" s="951"/>
      <c r="G1" s="951"/>
      <c r="H1" s="951"/>
      <c r="I1" s="952"/>
    </row>
    <row r="2" spans="1:14" ht="30">
      <c r="A2" s="953"/>
      <c r="B2" s="954"/>
      <c r="C2" s="954"/>
      <c r="D2" s="954"/>
      <c r="E2" s="954"/>
      <c r="F2" s="954"/>
      <c r="G2" s="954"/>
      <c r="H2" s="955" t="s">
        <v>5441</v>
      </c>
      <c r="I2" s="956"/>
    </row>
    <row r="3" spans="1:14" ht="15.75">
      <c r="A3" s="957" t="s">
        <v>1620</v>
      </c>
      <c r="B3" s="957" t="s">
        <v>5442</v>
      </c>
      <c r="C3" s="958" t="s">
        <v>1841</v>
      </c>
      <c r="D3" s="959" t="s">
        <v>5443</v>
      </c>
      <c r="E3" s="958" t="s">
        <v>1841</v>
      </c>
      <c r="F3" s="958" t="s">
        <v>3577</v>
      </c>
      <c r="G3" s="958" t="s">
        <v>3577</v>
      </c>
      <c r="H3" s="958" t="s">
        <v>3577</v>
      </c>
      <c r="I3" s="956"/>
    </row>
    <row r="4" spans="1:14" ht="15.75">
      <c r="A4" s="960"/>
      <c r="B4" s="960"/>
      <c r="C4" s="961" t="s">
        <v>5444</v>
      </c>
      <c r="D4" s="960" t="s">
        <v>5445</v>
      </c>
      <c r="E4" s="961" t="s">
        <v>5444</v>
      </c>
      <c r="F4" s="961" t="s">
        <v>5444</v>
      </c>
      <c r="G4" s="961" t="s">
        <v>5444</v>
      </c>
      <c r="H4" s="961" t="s">
        <v>5444</v>
      </c>
      <c r="I4" s="956"/>
    </row>
    <row r="5" spans="1:14" ht="15.75">
      <c r="A5" s="962"/>
      <c r="B5" s="962"/>
      <c r="C5" s="963">
        <v>2014</v>
      </c>
      <c r="D5" s="963" t="s">
        <v>5446</v>
      </c>
      <c r="E5" s="963">
        <v>2015</v>
      </c>
      <c r="F5" s="963">
        <v>2016</v>
      </c>
      <c r="G5" s="963">
        <v>2017</v>
      </c>
      <c r="H5" s="963" t="s">
        <v>4200</v>
      </c>
      <c r="I5" s="956"/>
    </row>
    <row r="6" spans="1:14" ht="15.75">
      <c r="A6" s="964"/>
      <c r="B6" s="964"/>
      <c r="C6" s="965"/>
      <c r="D6" s="965"/>
      <c r="E6" s="965"/>
      <c r="F6" s="965"/>
      <c r="G6" s="965"/>
      <c r="H6" s="965"/>
      <c r="I6" s="956"/>
    </row>
    <row r="7" spans="1:14" ht="15.75">
      <c r="A7" s="964">
        <v>440</v>
      </c>
      <c r="B7" s="964" t="s">
        <v>5447</v>
      </c>
      <c r="C7" s="966">
        <v>22830666000</v>
      </c>
      <c r="D7" s="966">
        <f>+D44</f>
        <v>9003279945</v>
      </c>
      <c r="E7" s="966">
        <f>+E44</f>
        <v>13111362508</v>
      </c>
      <c r="F7" s="966">
        <f>+F44</f>
        <v>13766930633.4</v>
      </c>
      <c r="G7" s="966">
        <f>+G44</f>
        <v>14455277165.07</v>
      </c>
      <c r="H7" s="966">
        <f>SUM(E7:G7)</f>
        <v>41333570306.470001</v>
      </c>
      <c r="I7" s="956"/>
      <c r="J7">
        <f>23701000000-14002500000</f>
        <v>9698500000</v>
      </c>
    </row>
    <row r="8" spans="1:14" ht="15.75">
      <c r="A8" s="964" t="s">
        <v>1840</v>
      </c>
      <c r="B8" s="964"/>
      <c r="C8" s="966"/>
      <c r="D8" s="966"/>
      <c r="E8" s="966"/>
      <c r="F8" s="966"/>
      <c r="G8" s="966"/>
      <c r="H8" s="966"/>
      <c r="I8" s="967"/>
    </row>
    <row r="9" spans="1:14" ht="25.5">
      <c r="A9" s="964">
        <v>441</v>
      </c>
      <c r="B9" s="964" t="s">
        <v>5448</v>
      </c>
      <c r="C9" s="966">
        <v>8000000000</v>
      </c>
      <c r="D9" s="966">
        <f>+D58</f>
        <v>8093756429</v>
      </c>
      <c r="E9" s="966">
        <f>+E58</f>
        <v>9000000000</v>
      </c>
      <c r="F9" s="966">
        <f>+F58</f>
        <v>9450000000</v>
      </c>
      <c r="G9" s="966">
        <f>+G58</f>
        <v>9922500000</v>
      </c>
      <c r="H9" s="966">
        <f>SUM(E9:G9)</f>
        <v>28372500000</v>
      </c>
      <c r="I9" s="968"/>
    </row>
    <row r="10" spans="1:14" ht="15.75">
      <c r="A10" s="964"/>
      <c r="B10" s="964"/>
      <c r="C10" s="966"/>
      <c r="D10" s="966"/>
      <c r="E10" s="966"/>
      <c r="F10" s="966"/>
      <c r="G10" s="966"/>
      <c r="H10" s="966"/>
      <c r="N10">
        <f>30645181320-29045181320</f>
        <v>1600000000</v>
      </c>
    </row>
    <row r="11" spans="1:14" ht="30.75" customHeight="1">
      <c r="A11" s="964">
        <v>442</v>
      </c>
      <c r="B11" s="969" t="s">
        <v>5449</v>
      </c>
      <c r="C11" s="970">
        <v>23452000000</v>
      </c>
      <c r="D11" s="970">
        <f>+D77</f>
        <v>6662446364</v>
      </c>
      <c r="E11" s="970">
        <f>+E77</f>
        <v>25000000000</v>
      </c>
      <c r="F11" s="970">
        <f>+F77</f>
        <v>17850000000</v>
      </c>
      <c r="G11" s="970">
        <f>+G77</f>
        <v>18742500000</v>
      </c>
      <c r="H11" s="966">
        <f>SUM(E11:G11)</f>
        <v>61592500000</v>
      </c>
      <c r="K11">
        <f>31283431320-29045181320</f>
        <v>2238250000</v>
      </c>
    </row>
    <row r="12" spans="1:14" ht="15.75">
      <c r="A12" s="964"/>
      <c r="B12" s="964"/>
      <c r="C12" s="966"/>
      <c r="D12" s="966"/>
      <c r="E12" s="966"/>
      <c r="F12" s="966"/>
      <c r="G12" s="966"/>
      <c r="H12" s="966"/>
    </row>
    <row r="13" spans="1:14" ht="15.75">
      <c r="A13" s="964">
        <v>443</v>
      </c>
      <c r="B13" s="964" t="s">
        <v>5450</v>
      </c>
      <c r="C13" s="971">
        <v>570000000</v>
      </c>
      <c r="D13" s="972">
        <f>+D97</f>
        <v>76000000</v>
      </c>
      <c r="E13" s="971">
        <f>+E97</f>
        <v>776000000</v>
      </c>
      <c r="F13" s="971">
        <f>+F97</f>
        <v>814800000</v>
      </c>
      <c r="G13" s="971">
        <f>+G97</f>
        <v>855540000</v>
      </c>
      <c r="H13" s="966">
        <f>SUM(E13:G13)</f>
        <v>2446340000</v>
      </c>
      <c r="I13" s="956"/>
    </row>
    <row r="14" spans="1:14" ht="15.75">
      <c r="A14" s="964"/>
      <c r="B14" s="964"/>
      <c r="C14" s="966"/>
      <c r="D14" s="966"/>
      <c r="E14" s="966"/>
      <c r="F14" s="966"/>
      <c r="G14" s="966"/>
      <c r="H14" s="966"/>
    </row>
    <row r="15" spans="1:14" ht="15.75">
      <c r="A15" s="964">
        <v>444</v>
      </c>
      <c r="B15" s="964" t="s">
        <v>5451</v>
      </c>
      <c r="C15" s="966">
        <v>10850000000</v>
      </c>
      <c r="D15" s="966">
        <f>+D124</f>
        <v>249312991</v>
      </c>
      <c r="E15" s="966">
        <f>+E124</f>
        <v>2636637491.8453369</v>
      </c>
      <c r="F15" s="966">
        <f>+F124</f>
        <v>2768469366.437604</v>
      </c>
      <c r="G15" s="966">
        <f>+G124</f>
        <v>2906892834.7594843</v>
      </c>
      <c r="H15" s="966">
        <f>SUM(E15:G15)</f>
        <v>8311999693.0424252</v>
      </c>
      <c r="I15" s="973"/>
    </row>
    <row r="16" spans="1:14" ht="15.75">
      <c r="A16" s="964"/>
      <c r="B16" s="964"/>
      <c r="C16" s="966"/>
      <c r="D16" s="966"/>
      <c r="E16" s="966"/>
      <c r="F16" s="966"/>
      <c r="G16" s="966"/>
      <c r="H16" s="966"/>
      <c r="I16" s="974"/>
    </row>
    <row r="17" spans="1:12" ht="15.75">
      <c r="A17" s="964">
        <v>445</v>
      </c>
      <c r="B17" s="964" t="s">
        <v>5452</v>
      </c>
      <c r="C17" s="966">
        <v>2750000000</v>
      </c>
      <c r="D17" s="966">
        <f>+D136</f>
        <v>28000000</v>
      </c>
      <c r="E17" s="966">
        <f>+E136</f>
        <v>750000000</v>
      </c>
      <c r="F17" s="966">
        <f>+F136</f>
        <v>787500000</v>
      </c>
      <c r="G17" s="966">
        <f>+G136</f>
        <v>826875000</v>
      </c>
      <c r="H17" s="966">
        <f>SUM(E17:G17)</f>
        <v>2364375000</v>
      </c>
      <c r="I17" s="975"/>
    </row>
    <row r="18" spans="1:12" ht="15.75">
      <c r="A18" s="964"/>
      <c r="B18" s="964"/>
      <c r="C18" s="976"/>
      <c r="D18" s="976"/>
      <c r="E18" s="976"/>
      <c r="F18" s="976"/>
      <c r="G18" s="976"/>
      <c r="H18" s="976"/>
      <c r="I18" s="974"/>
    </row>
    <row r="19" spans="1:12" ht="15.75">
      <c r="A19" s="977"/>
      <c r="B19" s="978" t="s">
        <v>939</v>
      </c>
      <c r="C19" s="979">
        <f t="shared" ref="C19:H19" si="0">SUM(C7:C18)</f>
        <v>68452666000</v>
      </c>
      <c r="D19" s="979">
        <f t="shared" si="0"/>
        <v>24112795729</v>
      </c>
      <c r="E19" s="979">
        <f t="shared" si="0"/>
        <v>51273999999.845337</v>
      </c>
      <c r="F19" s="979">
        <f t="shared" si="0"/>
        <v>45437699999.837608</v>
      </c>
      <c r="G19" s="979">
        <f t="shared" si="0"/>
        <v>47709584999.829483</v>
      </c>
      <c r="H19" s="979">
        <f t="shared" si="0"/>
        <v>144421284999.51242</v>
      </c>
      <c r="I19" s="974"/>
      <c r="J19" s="980"/>
      <c r="L19" s="956"/>
    </row>
    <row r="20" spans="1:12" ht="15.75">
      <c r="A20" s="954"/>
      <c r="B20" s="954"/>
      <c r="C20" s="981"/>
      <c r="D20" s="981"/>
      <c r="E20" s="981"/>
      <c r="F20" s="981"/>
      <c r="G20" s="981"/>
      <c r="H20" s="982" t="s">
        <v>1840</v>
      </c>
      <c r="I20" s="982"/>
      <c r="L20" s="956"/>
    </row>
    <row r="21" spans="1:12" ht="30">
      <c r="A21" s="953" t="s">
        <v>5453</v>
      </c>
      <c r="B21" s="953"/>
      <c r="C21" s="981"/>
      <c r="D21" s="981"/>
      <c r="E21" s="981"/>
      <c r="F21" s="981"/>
      <c r="G21" s="981"/>
      <c r="H21" s="956"/>
      <c r="I21" s="956"/>
    </row>
    <row r="22" spans="1:12" ht="15.75">
      <c r="A22" s="954"/>
      <c r="B22" s="954"/>
      <c r="C22" s="981"/>
      <c r="D22" s="981"/>
      <c r="E22" s="981"/>
      <c r="F22" s="981"/>
      <c r="G22" s="981"/>
      <c r="H22" s="983" t="s">
        <v>5454</v>
      </c>
      <c r="J22" s="956"/>
    </row>
    <row r="23" spans="1:12" ht="15.75">
      <c r="A23" s="957" t="s">
        <v>1620</v>
      </c>
      <c r="B23" s="957" t="s">
        <v>5442</v>
      </c>
      <c r="C23" s="958" t="s">
        <v>1841</v>
      </c>
      <c r="D23" s="959" t="s">
        <v>5443</v>
      </c>
      <c r="E23" s="958" t="s">
        <v>1841</v>
      </c>
      <c r="F23" s="958" t="s">
        <v>3577</v>
      </c>
      <c r="G23" s="958" t="s">
        <v>3577</v>
      </c>
      <c r="H23" s="958" t="s">
        <v>3577</v>
      </c>
    </row>
    <row r="24" spans="1:12" ht="15.75">
      <c r="A24" s="960"/>
      <c r="B24" s="960"/>
      <c r="C24" s="961" t="s">
        <v>5444</v>
      </c>
      <c r="D24" s="960" t="s">
        <v>5445</v>
      </c>
      <c r="E24" s="961" t="s">
        <v>5444</v>
      </c>
      <c r="F24" s="961" t="s">
        <v>5444</v>
      </c>
      <c r="G24" s="961" t="s">
        <v>5444</v>
      </c>
      <c r="H24" s="961" t="s">
        <v>5444</v>
      </c>
      <c r="I24" s="984"/>
    </row>
    <row r="25" spans="1:12" ht="15.75">
      <c r="A25" s="962"/>
      <c r="B25" s="962"/>
      <c r="C25" s="963">
        <v>2014</v>
      </c>
      <c r="D25" s="963" t="s">
        <v>5446</v>
      </c>
      <c r="E25" s="963">
        <v>2015</v>
      </c>
      <c r="F25" s="963">
        <v>2016</v>
      </c>
      <c r="G25" s="963">
        <v>2017</v>
      </c>
      <c r="H25" s="963" t="s">
        <v>5455</v>
      </c>
    </row>
    <row r="26" spans="1:12" ht="15.75">
      <c r="A26" s="964"/>
      <c r="B26" s="964"/>
      <c r="C26" s="985"/>
      <c r="D26" s="986"/>
      <c r="E26" s="986"/>
      <c r="F26" s="986"/>
      <c r="G26" s="986"/>
      <c r="H26" s="985"/>
    </row>
    <row r="27" spans="1:12" ht="30.75">
      <c r="A27" s="987">
        <v>1</v>
      </c>
      <c r="B27" s="969" t="s">
        <v>5456</v>
      </c>
      <c r="C27" s="966">
        <f>14109067168-3205000000-1585062871+667862871</f>
        <v>9986867168</v>
      </c>
      <c r="D27" s="966">
        <f>6428904916-28000000</f>
        <v>6400904916</v>
      </c>
      <c r="E27" s="966">
        <v>11111362508</v>
      </c>
      <c r="F27" s="966">
        <f>E27*1.05</f>
        <v>11666930633.4</v>
      </c>
      <c r="G27" s="966">
        <f>F27*1.05</f>
        <v>12250277165.07</v>
      </c>
      <c r="H27" s="966">
        <f>E27+F27+G27</f>
        <v>35028570306.470001</v>
      </c>
      <c r="I27" s="988"/>
    </row>
    <row r="28" spans="1:12" ht="15.75">
      <c r="A28" s="964"/>
      <c r="B28" s="964"/>
      <c r="C28" s="966"/>
      <c r="D28" s="966"/>
      <c r="E28" s="966"/>
      <c r="F28" s="966"/>
      <c r="G28" s="966"/>
      <c r="H28" s="966"/>
    </row>
    <row r="29" spans="1:12" ht="15.75">
      <c r="A29" s="964"/>
      <c r="B29" s="964"/>
      <c r="C29" s="966"/>
      <c r="D29" s="966"/>
      <c r="E29" s="966"/>
      <c r="F29" s="966"/>
      <c r="G29" s="966"/>
      <c r="H29" s="966"/>
    </row>
    <row r="30" spans="1:12" ht="15.75">
      <c r="A30" s="964">
        <v>2</v>
      </c>
      <c r="B30" s="989" t="s">
        <v>5457</v>
      </c>
      <c r="C30" s="990" t="s">
        <v>3007</v>
      </c>
      <c r="D30" s="991"/>
      <c r="E30" s="992" t="s">
        <v>3007</v>
      </c>
      <c r="F30" s="993" t="s">
        <v>3007</v>
      </c>
      <c r="G30" s="991">
        <v>0</v>
      </c>
      <c r="H30" s="1025">
        <v>0</v>
      </c>
    </row>
    <row r="31" spans="1:12" ht="15.75">
      <c r="A31" s="964"/>
      <c r="B31" s="964"/>
      <c r="C31" s="966"/>
      <c r="D31" s="966"/>
      <c r="E31" s="966"/>
      <c r="F31" s="966"/>
      <c r="G31" s="966"/>
      <c r="H31" s="1025"/>
    </row>
    <row r="32" spans="1:12" ht="15.75">
      <c r="A32" s="964">
        <v>3</v>
      </c>
      <c r="B32" s="989" t="s">
        <v>5458</v>
      </c>
      <c r="C32" s="990" t="s">
        <v>3007</v>
      </c>
      <c r="D32" s="991"/>
      <c r="E32" s="992" t="s">
        <v>3007</v>
      </c>
      <c r="F32" s="993" t="s">
        <v>3007</v>
      </c>
      <c r="G32" s="991">
        <v>0</v>
      </c>
      <c r="H32" s="1025">
        <v>0</v>
      </c>
    </row>
    <row r="33" spans="1:8" ht="15.75">
      <c r="A33" s="964"/>
      <c r="B33" s="964"/>
      <c r="C33" s="966"/>
      <c r="D33" s="966"/>
      <c r="E33" s="966"/>
      <c r="F33" s="966"/>
      <c r="G33" s="966"/>
      <c r="H33" s="966"/>
    </row>
    <row r="34" spans="1:8" ht="15.75">
      <c r="A34" s="964">
        <v>4</v>
      </c>
      <c r="B34" s="964" t="s">
        <v>5459</v>
      </c>
      <c r="C34" s="966">
        <f>5890932832+450000000-917200000+1585062871-1367862832-39</f>
        <v>5640932832</v>
      </c>
      <c r="D34" s="966">
        <v>2602375029</v>
      </c>
      <c r="E34" s="966">
        <v>2000000000</v>
      </c>
      <c r="F34" s="966">
        <f>E34*1.05</f>
        <v>2100000000</v>
      </c>
      <c r="G34" s="966">
        <f>F34*1.05</f>
        <v>2205000000</v>
      </c>
      <c r="H34" s="966">
        <f>E34+F34+G34</f>
        <v>6305000000</v>
      </c>
    </row>
    <row r="35" spans="1:8" ht="15.75">
      <c r="A35" s="964"/>
      <c r="B35" s="964"/>
      <c r="C35" s="986"/>
      <c r="D35" s="986"/>
      <c r="E35" s="986"/>
      <c r="F35" s="986"/>
      <c r="G35" s="986"/>
      <c r="H35" s="966"/>
    </row>
    <row r="36" spans="1:8" ht="15.75">
      <c r="A36" s="964">
        <v>2</v>
      </c>
      <c r="B36" s="964" t="s">
        <v>5460</v>
      </c>
      <c r="C36" s="994">
        <v>7660000000</v>
      </c>
      <c r="D36" s="995"/>
      <c r="E36" s="995"/>
      <c r="F36" s="995"/>
      <c r="G36" s="995"/>
      <c r="H36" s="994"/>
    </row>
    <row r="37" spans="1:8" ht="15.75">
      <c r="A37" s="964"/>
      <c r="B37" s="964"/>
      <c r="C37" s="996"/>
      <c r="D37" s="997"/>
      <c r="E37" s="997"/>
      <c r="F37" s="997"/>
      <c r="G37" s="997"/>
      <c r="H37" s="996"/>
    </row>
    <row r="38" spans="1:8" ht="15.75">
      <c r="A38" s="964">
        <v>3</v>
      </c>
      <c r="B38" s="964" t="s">
        <v>5461</v>
      </c>
      <c r="C38" s="996">
        <v>2500000000</v>
      </c>
      <c r="D38" s="997"/>
      <c r="E38" s="997"/>
      <c r="F38" s="997"/>
      <c r="G38" s="997"/>
      <c r="H38" s="996"/>
    </row>
    <row r="39" spans="1:8" ht="15.75">
      <c r="A39" s="964"/>
      <c r="B39" s="964" t="s">
        <v>5462</v>
      </c>
      <c r="C39" s="997"/>
      <c r="D39" s="997"/>
      <c r="E39" s="997"/>
      <c r="F39" s="997"/>
      <c r="G39" s="997"/>
      <c r="H39" s="996"/>
    </row>
    <row r="40" spans="1:8" ht="15.75">
      <c r="A40" s="964"/>
      <c r="B40" s="964"/>
      <c r="C40" s="997"/>
      <c r="D40" s="997"/>
      <c r="E40" s="997"/>
      <c r="F40" s="997"/>
      <c r="G40" s="997"/>
      <c r="H40" s="996"/>
    </row>
    <row r="41" spans="1:8" ht="15.75">
      <c r="A41" s="964">
        <v>4</v>
      </c>
      <c r="B41" s="964" t="s">
        <v>2371</v>
      </c>
      <c r="C41" s="998" t="s">
        <v>1182</v>
      </c>
      <c r="D41" s="997"/>
      <c r="E41" s="997"/>
      <c r="F41" s="997"/>
      <c r="G41" s="997"/>
      <c r="H41" s="996"/>
    </row>
    <row r="42" spans="1:8" ht="15.75">
      <c r="A42" s="964"/>
      <c r="B42" s="964"/>
      <c r="C42" s="999"/>
      <c r="D42" s="997"/>
      <c r="E42" s="997"/>
      <c r="F42" s="997"/>
      <c r="G42" s="997"/>
      <c r="H42" s="996"/>
    </row>
    <row r="43" spans="1:8" ht="15.75">
      <c r="A43" s="964">
        <v>5</v>
      </c>
      <c r="B43" s="964" t="s">
        <v>5463</v>
      </c>
      <c r="C43" s="998" t="s">
        <v>1182</v>
      </c>
      <c r="D43" s="997"/>
      <c r="E43" s="997"/>
      <c r="F43" s="997"/>
      <c r="G43" s="997"/>
      <c r="H43" s="976"/>
    </row>
    <row r="44" spans="1:8" ht="15.75">
      <c r="A44" s="978"/>
      <c r="B44" s="978" t="s">
        <v>939</v>
      </c>
      <c r="C44" s="1000">
        <f t="shared" ref="C44:H44" si="1">SUM(C27:C34)</f>
        <v>15627800000</v>
      </c>
      <c r="D44" s="1000">
        <f t="shared" si="1"/>
        <v>9003279945</v>
      </c>
      <c r="E44" s="1000">
        <f t="shared" si="1"/>
        <v>13111362508</v>
      </c>
      <c r="F44" s="1000">
        <f t="shared" si="1"/>
        <v>13766930633.4</v>
      </c>
      <c r="G44" s="1000">
        <f t="shared" si="1"/>
        <v>14455277165.07</v>
      </c>
      <c r="H44" s="1000">
        <f t="shared" si="1"/>
        <v>41333570306.470001</v>
      </c>
    </row>
    <row r="45" spans="1:8" ht="15.75">
      <c r="A45" s="954"/>
      <c r="B45" s="954"/>
      <c r="C45" s="981"/>
      <c r="D45" s="981"/>
      <c r="E45" s="981"/>
      <c r="F45" s="981"/>
      <c r="G45" s="981"/>
      <c r="H45" s="982"/>
    </row>
    <row r="46" spans="1:8" ht="30">
      <c r="A46" s="953" t="s">
        <v>5464</v>
      </c>
      <c r="B46" s="954"/>
      <c r="C46" s="981"/>
      <c r="D46" s="981"/>
      <c r="E46" s="981"/>
      <c r="F46" s="981"/>
      <c r="G46" s="981"/>
      <c r="H46" s="982"/>
    </row>
    <row r="47" spans="1:8" ht="30">
      <c r="A47" s="953"/>
      <c r="B47" s="954"/>
      <c r="C47" s="981"/>
      <c r="D47" s="981"/>
      <c r="E47" s="981"/>
      <c r="F47" s="981"/>
      <c r="G47" s="981"/>
      <c r="H47" s="983" t="s">
        <v>5465</v>
      </c>
    </row>
    <row r="48" spans="1:8" ht="15.75">
      <c r="A48" s="957" t="s">
        <v>1620</v>
      </c>
      <c r="B48" s="957" t="s">
        <v>5442</v>
      </c>
      <c r="C48" s="958" t="s">
        <v>1841</v>
      </c>
      <c r="D48" s="959" t="s">
        <v>5443</v>
      </c>
      <c r="E48" s="958" t="s">
        <v>1841</v>
      </c>
      <c r="F48" s="958" t="s">
        <v>3577</v>
      </c>
      <c r="G48" s="958" t="s">
        <v>3577</v>
      </c>
      <c r="H48" s="958" t="s">
        <v>3577</v>
      </c>
    </row>
    <row r="49" spans="1:8" ht="15.75">
      <c r="A49" s="960"/>
      <c r="B49" s="960"/>
      <c r="C49" s="961" t="s">
        <v>5444</v>
      </c>
      <c r="D49" s="960" t="s">
        <v>5445</v>
      </c>
      <c r="E49" s="961" t="s">
        <v>5444</v>
      </c>
      <c r="F49" s="961" t="s">
        <v>5444</v>
      </c>
      <c r="G49" s="961" t="s">
        <v>5444</v>
      </c>
      <c r="H49" s="961" t="s">
        <v>5444</v>
      </c>
    </row>
    <row r="50" spans="1:8" ht="15.75">
      <c r="A50" s="962"/>
      <c r="B50" s="962"/>
      <c r="C50" s="963">
        <v>2014</v>
      </c>
      <c r="D50" s="963" t="s">
        <v>5446</v>
      </c>
      <c r="E50" s="963">
        <v>2015</v>
      </c>
      <c r="F50" s="963">
        <v>2016</v>
      </c>
      <c r="G50" s="963">
        <v>2017</v>
      </c>
      <c r="H50" s="963" t="s">
        <v>5455</v>
      </c>
    </row>
    <row r="51" spans="1:8" ht="15.75">
      <c r="A51" s="964"/>
      <c r="B51" s="964"/>
      <c r="C51" s="966"/>
      <c r="D51" s="986"/>
      <c r="E51" s="986"/>
      <c r="F51" s="986"/>
      <c r="G51" s="986"/>
      <c r="H51" s="966"/>
    </row>
    <row r="52" spans="1:8" ht="15.75">
      <c r="A52" s="964">
        <v>1</v>
      </c>
      <c r="B52" s="964" t="s">
        <v>5466</v>
      </c>
      <c r="C52" s="966">
        <v>8700000000</v>
      </c>
      <c r="D52" s="966">
        <v>8093756429</v>
      </c>
      <c r="E52" s="966">
        <v>9000000000</v>
      </c>
      <c r="F52" s="966">
        <f>E52*1.05</f>
        <v>9450000000</v>
      </c>
      <c r="G52" s="966">
        <f>F52*1.05</f>
        <v>9922500000</v>
      </c>
      <c r="H52" s="966">
        <f>E52+F52+G52</f>
        <v>28372500000</v>
      </c>
    </row>
    <row r="53" spans="1:8" ht="15.75">
      <c r="A53" s="964"/>
      <c r="B53" s="964"/>
      <c r="C53" s="966"/>
      <c r="D53" s="966"/>
      <c r="E53" s="966"/>
      <c r="F53" s="966"/>
      <c r="G53" s="966"/>
      <c r="H53" s="966"/>
    </row>
    <row r="54" spans="1:8" ht="15.75">
      <c r="A54" s="964"/>
      <c r="B54" s="964"/>
      <c r="C54" s="966"/>
      <c r="D54" s="966"/>
      <c r="E54" s="966"/>
      <c r="F54" s="966"/>
      <c r="G54" s="966"/>
      <c r="H54" s="966"/>
    </row>
    <row r="55" spans="1:8" ht="15.75">
      <c r="A55" s="964"/>
      <c r="B55" s="964"/>
      <c r="C55" s="966"/>
      <c r="D55" s="966"/>
      <c r="E55" s="966"/>
      <c r="F55" s="966"/>
      <c r="G55" s="966"/>
      <c r="H55" s="966"/>
    </row>
    <row r="56" spans="1:8" ht="15.75">
      <c r="A56" s="964"/>
      <c r="B56" s="964"/>
      <c r="C56" s="966"/>
      <c r="D56" s="966"/>
      <c r="E56" s="966"/>
      <c r="F56" s="966"/>
      <c r="G56" s="966"/>
      <c r="H56" s="966"/>
    </row>
    <row r="57" spans="1:8" ht="15.75">
      <c r="A57" s="964"/>
      <c r="B57" s="964"/>
      <c r="C57" s="966"/>
      <c r="D57" s="966"/>
      <c r="E57" s="966"/>
      <c r="F57" s="966"/>
      <c r="G57" s="966"/>
      <c r="H57" s="966"/>
    </row>
    <row r="58" spans="1:8" ht="15.75">
      <c r="A58" s="978"/>
      <c r="B58" s="978" t="s">
        <v>939</v>
      </c>
      <c r="C58" s="1000">
        <f t="shared" ref="C58:H58" si="2">SUM(C52:C57)</f>
        <v>8700000000</v>
      </c>
      <c r="D58" s="1000">
        <f t="shared" si="2"/>
        <v>8093756429</v>
      </c>
      <c r="E58" s="1000">
        <f t="shared" si="2"/>
        <v>9000000000</v>
      </c>
      <c r="F58" s="1000">
        <f t="shared" si="2"/>
        <v>9450000000</v>
      </c>
      <c r="G58" s="1000">
        <f t="shared" si="2"/>
        <v>9922500000</v>
      </c>
      <c r="H58" s="1000">
        <f t="shared" si="2"/>
        <v>28372500000</v>
      </c>
    </row>
    <row r="59" spans="1:8">
      <c r="H59" s="1001"/>
    </row>
    <row r="60" spans="1:8" ht="30">
      <c r="A60" s="953" t="s">
        <v>5467</v>
      </c>
      <c r="B60" s="953"/>
      <c r="C60" s="981"/>
      <c r="D60" s="981"/>
      <c r="E60" s="981"/>
      <c r="F60" s="981"/>
      <c r="G60" s="981"/>
      <c r="H60" s="982"/>
    </row>
    <row r="61" spans="1:8" ht="15.75">
      <c r="A61" s="954"/>
      <c r="B61" s="954"/>
      <c r="C61" s="981"/>
      <c r="D61" s="981"/>
      <c r="E61" s="981"/>
      <c r="F61" s="981"/>
      <c r="G61" s="981"/>
      <c r="H61" s="983" t="s">
        <v>5468</v>
      </c>
    </row>
    <row r="62" spans="1:8" ht="15.75">
      <c r="A62" s="957" t="s">
        <v>1620</v>
      </c>
      <c r="B62" s="957" t="s">
        <v>5442</v>
      </c>
      <c r="C62" s="958" t="s">
        <v>1841</v>
      </c>
      <c r="D62" s="959" t="s">
        <v>5443</v>
      </c>
      <c r="E62" s="958" t="s">
        <v>1841</v>
      </c>
      <c r="F62" s="958" t="s">
        <v>3577</v>
      </c>
      <c r="G62" s="958" t="s">
        <v>3577</v>
      </c>
      <c r="H62" s="958" t="s">
        <v>3577</v>
      </c>
    </row>
    <row r="63" spans="1:8" ht="15.75">
      <c r="A63" s="960"/>
      <c r="B63" s="960"/>
      <c r="C63" s="961" t="s">
        <v>5444</v>
      </c>
      <c r="D63" s="960" t="s">
        <v>5445</v>
      </c>
      <c r="E63" s="961" t="s">
        <v>5444</v>
      </c>
      <c r="F63" s="961" t="s">
        <v>5444</v>
      </c>
      <c r="G63" s="961" t="s">
        <v>5444</v>
      </c>
      <c r="H63" s="961" t="s">
        <v>5444</v>
      </c>
    </row>
    <row r="64" spans="1:8" ht="15.75">
      <c r="A64" s="962"/>
      <c r="B64" s="962"/>
      <c r="C64" s="963">
        <v>2014</v>
      </c>
      <c r="D64" s="963" t="s">
        <v>5446</v>
      </c>
      <c r="E64" s="963">
        <v>2015</v>
      </c>
      <c r="F64" s="963">
        <v>2016</v>
      </c>
      <c r="G64" s="963">
        <v>2017</v>
      </c>
      <c r="H64" s="963" t="s">
        <v>5455</v>
      </c>
    </row>
    <row r="65" spans="1:9" ht="15.75">
      <c r="A65" s="964"/>
      <c r="B65" s="964"/>
      <c r="C65" s="1002"/>
      <c r="D65" s="986"/>
      <c r="E65" s="986"/>
      <c r="F65" s="986"/>
      <c r="G65" s="986"/>
      <c r="H65" s="985"/>
    </row>
    <row r="66" spans="1:9" ht="15.75">
      <c r="A66" s="964">
        <v>1</v>
      </c>
      <c r="B66" s="964" t="s">
        <v>5469</v>
      </c>
      <c r="C66" s="1003">
        <v>0</v>
      </c>
      <c r="D66" s="1004"/>
      <c r="E66" s="1003">
        <v>0</v>
      </c>
      <c r="F66" s="1004">
        <v>2100000000</v>
      </c>
      <c r="G66" s="1004">
        <v>2205000000</v>
      </c>
      <c r="H66" s="1004">
        <f>E66+F66+G66</f>
        <v>4305000000</v>
      </c>
    </row>
    <row r="67" spans="1:9" ht="15.75">
      <c r="A67" s="964"/>
      <c r="B67" s="964"/>
      <c r="C67" s="971"/>
      <c r="D67" s="971"/>
      <c r="E67" s="971"/>
      <c r="F67" s="971"/>
      <c r="G67" s="971"/>
      <c r="H67" s="971"/>
    </row>
    <row r="68" spans="1:9" ht="15.75">
      <c r="A68" s="1005" t="s">
        <v>5470</v>
      </c>
      <c r="B68" s="964" t="s">
        <v>5471</v>
      </c>
      <c r="C68" s="1003">
        <v>0</v>
      </c>
      <c r="D68" s="1003">
        <v>6662446364</v>
      </c>
      <c r="E68" s="1003">
        <v>5000000000</v>
      </c>
      <c r="F68" s="1003">
        <v>15750000000</v>
      </c>
      <c r="G68" s="1003">
        <v>16537500000</v>
      </c>
      <c r="H68" s="1003">
        <f>E68+F68+G68</f>
        <v>37287500000</v>
      </c>
      <c r="I68" s="1006"/>
    </row>
    <row r="69" spans="1:9" ht="15.75">
      <c r="A69" s="1005"/>
      <c r="B69" s="964"/>
      <c r="C69" s="1007"/>
      <c r="D69" s="1007"/>
      <c r="E69" s="1007"/>
      <c r="F69" s="1007"/>
      <c r="G69" s="1007"/>
      <c r="H69" s="1007"/>
    </row>
    <row r="70" spans="1:9" ht="15.75">
      <c r="A70" s="1005" t="s">
        <v>993</v>
      </c>
      <c r="B70" s="964" t="s">
        <v>5472</v>
      </c>
      <c r="C70" s="990" t="s">
        <v>3007</v>
      </c>
      <c r="D70" s="991"/>
      <c r="E70" s="992" t="s">
        <v>3007</v>
      </c>
      <c r="F70" s="993" t="s">
        <v>3007</v>
      </c>
      <c r="G70" s="991">
        <v>0</v>
      </c>
      <c r="H70" s="972">
        <v>0</v>
      </c>
      <c r="I70" s="1006"/>
    </row>
    <row r="71" spans="1:9" ht="15.75">
      <c r="A71" s="1005"/>
      <c r="B71" s="964"/>
      <c r="C71" s="1007"/>
      <c r="D71" s="1007"/>
      <c r="E71" s="1007"/>
      <c r="F71" s="1007"/>
      <c r="G71" s="1007"/>
      <c r="H71" s="972"/>
    </row>
    <row r="72" spans="1:9" ht="15.75">
      <c r="A72" s="1005" t="s">
        <v>3831</v>
      </c>
      <c r="B72" s="964" t="s">
        <v>5473</v>
      </c>
      <c r="C72" s="990" t="s">
        <v>3007</v>
      </c>
      <c r="D72" s="991"/>
      <c r="E72" s="992" t="s">
        <v>3007</v>
      </c>
      <c r="F72" s="993" t="s">
        <v>3007</v>
      </c>
      <c r="G72" s="991">
        <v>0</v>
      </c>
      <c r="H72" s="972">
        <v>0</v>
      </c>
    </row>
    <row r="73" spans="1:9" ht="15.75">
      <c r="A73" s="1005"/>
      <c r="B73" s="964"/>
      <c r="C73" s="1007"/>
      <c r="D73" s="1007"/>
      <c r="E73" s="1007"/>
      <c r="F73" s="1007"/>
      <c r="G73" s="1007"/>
      <c r="H73" s="1007"/>
    </row>
    <row r="74" spans="1:9" ht="15.75">
      <c r="A74" s="1005" t="s">
        <v>3833</v>
      </c>
      <c r="B74" s="964" t="s">
        <v>5474</v>
      </c>
      <c r="C74" s="1007">
        <v>35000000000</v>
      </c>
      <c r="D74" s="972">
        <v>0</v>
      </c>
      <c r="E74" s="1007">
        <v>20000000000</v>
      </c>
      <c r="F74" s="972">
        <v>0</v>
      </c>
      <c r="G74" s="972">
        <v>0</v>
      </c>
      <c r="H74" s="1003">
        <f>E74+F74+G74</f>
        <v>20000000000</v>
      </c>
    </row>
    <row r="75" spans="1:9" ht="15.75">
      <c r="A75" s="964"/>
      <c r="B75" s="964" t="s">
        <v>1840</v>
      </c>
      <c r="C75" s="971"/>
      <c r="D75" s="971"/>
      <c r="E75" s="971"/>
      <c r="F75" s="971"/>
      <c r="G75" s="971"/>
      <c r="H75" s="971"/>
    </row>
    <row r="76" spans="1:9" ht="15.75">
      <c r="A76" s="964"/>
      <c r="B76" s="964"/>
      <c r="C76" s="1008"/>
      <c r="D76" s="1008"/>
      <c r="E76" s="1008"/>
      <c r="F76" s="1008"/>
      <c r="G76" s="1008"/>
      <c r="H76" s="1008"/>
    </row>
    <row r="77" spans="1:9" ht="15.75">
      <c r="A77" s="977"/>
      <c r="B77" s="977" t="s">
        <v>939</v>
      </c>
      <c r="C77" s="1009">
        <f t="shared" ref="C77:H77" si="3">SUM(C66:C76)</f>
        <v>35000000000</v>
      </c>
      <c r="D77" s="1009">
        <f t="shared" si="3"/>
        <v>6662446364</v>
      </c>
      <c r="E77" s="1009">
        <f t="shared" si="3"/>
        <v>25000000000</v>
      </c>
      <c r="F77" s="1009">
        <f t="shared" si="3"/>
        <v>17850000000</v>
      </c>
      <c r="G77" s="1009">
        <f t="shared" si="3"/>
        <v>18742500000</v>
      </c>
      <c r="H77" s="1009">
        <f t="shared" si="3"/>
        <v>61592500000</v>
      </c>
    </row>
    <row r="78" spans="1:9" ht="15.75">
      <c r="A78" s="954"/>
      <c r="B78" s="954"/>
      <c r="C78" s="981"/>
      <c r="D78" s="981"/>
      <c r="E78" s="981"/>
      <c r="F78" s="981"/>
      <c r="G78" s="981"/>
      <c r="H78" s="982"/>
    </row>
    <row r="79" spans="1:9" ht="15.75">
      <c r="A79" s="954"/>
      <c r="B79" s="954"/>
      <c r="C79" s="981"/>
      <c r="D79" s="981"/>
      <c r="E79" s="981"/>
      <c r="F79" s="981"/>
      <c r="G79" s="981"/>
      <c r="H79" s="982"/>
    </row>
    <row r="80" spans="1:9" ht="30">
      <c r="A80" s="953" t="s">
        <v>5475</v>
      </c>
      <c r="B80" s="953"/>
      <c r="C80" s="981"/>
      <c r="D80" s="981"/>
      <c r="E80" s="981"/>
      <c r="F80" s="981"/>
      <c r="G80" s="981"/>
      <c r="H80" s="982"/>
    </row>
    <row r="81" spans="1:8" ht="15.75">
      <c r="A81" s="954"/>
      <c r="B81" s="954"/>
      <c r="C81" s="981"/>
      <c r="D81" s="981"/>
      <c r="E81" s="981"/>
      <c r="F81" s="981"/>
      <c r="G81" s="981"/>
      <c r="H81" s="983" t="s">
        <v>5476</v>
      </c>
    </row>
    <row r="82" spans="1:8" ht="15.75">
      <c r="A82" s="957" t="s">
        <v>1620</v>
      </c>
      <c r="B82" s="957" t="s">
        <v>5442</v>
      </c>
      <c r="C82" s="958" t="s">
        <v>1841</v>
      </c>
      <c r="D82" s="959" t="s">
        <v>5443</v>
      </c>
      <c r="E82" s="958" t="s">
        <v>1841</v>
      </c>
      <c r="F82" s="958" t="s">
        <v>3577</v>
      </c>
      <c r="G82" s="958" t="s">
        <v>3577</v>
      </c>
      <c r="H82" s="958" t="s">
        <v>3577</v>
      </c>
    </row>
    <row r="83" spans="1:8" ht="15.75">
      <c r="A83" s="960"/>
      <c r="B83" s="960"/>
      <c r="C83" s="961" t="s">
        <v>5444</v>
      </c>
      <c r="D83" s="960" t="s">
        <v>5445</v>
      </c>
      <c r="E83" s="961" t="s">
        <v>5444</v>
      </c>
      <c r="F83" s="961" t="s">
        <v>5444</v>
      </c>
      <c r="G83" s="961" t="s">
        <v>5444</v>
      </c>
      <c r="H83" s="961" t="s">
        <v>5444</v>
      </c>
    </row>
    <row r="84" spans="1:8" ht="15.75">
      <c r="A84" s="962"/>
      <c r="B84" s="962"/>
      <c r="C84" s="963">
        <v>2014</v>
      </c>
      <c r="D84" s="963" t="s">
        <v>5446</v>
      </c>
      <c r="E84" s="963">
        <v>2015</v>
      </c>
      <c r="F84" s="963">
        <v>2016</v>
      </c>
      <c r="G84" s="963">
        <v>2017</v>
      </c>
      <c r="H84" s="963" t="s">
        <v>5455</v>
      </c>
    </row>
    <row r="85" spans="1:8" ht="15.75">
      <c r="A85" s="964"/>
      <c r="B85" s="964"/>
      <c r="C85" s="966"/>
      <c r="D85" s="986"/>
      <c r="E85" s="986"/>
      <c r="F85" s="986"/>
      <c r="G85" s="986"/>
      <c r="H85" s="966"/>
    </row>
    <row r="86" spans="1:8" ht="30.75">
      <c r="A86" s="987">
        <v>1</v>
      </c>
      <c r="B86" s="969" t="s">
        <v>5477</v>
      </c>
      <c r="C86" s="1010">
        <v>176750000</v>
      </c>
      <c r="D86" s="1010">
        <v>76000000</v>
      </c>
      <c r="E86" s="1010">
        <v>466000000</v>
      </c>
      <c r="F86" s="1010">
        <f>E86*1.05</f>
        <v>489300000</v>
      </c>
      <c r="G86" s="1010">
        <f>F86*1.05</f>
        <v>513765000</v>
      </c>
      <c r="H86" s="1010">
        <f>E86+F86+G86</f>
        <v>1469065000</v>
      </c>
    </row>
    <row r="87" spans="1:8" ht="15.75">
      <c r="A87" s="964" t="s">
        <v>1840</v>
      </c>
      <c r="B87" s="964"/>
      <c r="C87" s="996"/>
      <c r="D87" s="996"/>
      <c r="E87" s="996"/>
      <c r="F87" s="996"/>
      <c r="G87" s="996"/>
      <c r="H87" s="996"/>
    </row>
    <row r="88" spans="1:8" ht="15.75">
      <c r="A88" s="964">
        <v>2</v>
      </c>
      <c r="B88" s="964" t="s">
        <v>5478</v>
      </c>
      <c r="C88" s="991"/>
      <c r="D88" s="991"/>
      <c r="E88" s="991"/>
      <c r="F88" s="991"/>
      <c r="G88" s="991"/>
      <c r="H88" s="991"/>
    </row>
    <row r="89" spans="1:8" ht="15.75">
      <c r="A89" s="964"/>
      <c r="B89" s="964"/>
      <c r="C89" s="1010"/>
      <c r="D89" s="1010"/>
      <c r="E89" s="1010"/>
      <c r="F89" s="1010"/>
      <c r="G89" s="1010"/>
      <c r="H89" s="1010"/>
    </row>
    <row r="90" spans="1:8" ht="15.75">
      <c r="A90" s="964">
        <v>3</v>
      </c>
      <c r="B90" s="964" t="s">
        <v>5479</v>
      </c>
      <c r="C90" s="991">
        <v>200000000</v>
      </c>
      <c r="D90" s="991"/>
      <c r="E90" s="991">
        <v>200000000</v>
      </c>
      <c r="F90" s="1010">
        <f>E90*1.05</f>
        <v>210000000</v>
      </c>
      <c r="G90" s="1010">
        <f>F90*1.05</f>
        <v>220500000</v>
      </c>
      <c r="H90" s="1010">
        <f>E90+F90+G90</f>
        <v>630500000</v>
      </c>
    </row>
    <row r="91" spans="1:8" ht="15.75">
      <c r="A91" s="964"/>
      <c r="B91" s="964"/>
      <c r="C91" s="1011"/>
      <c r="D91" s="1011"/>
      <c r="E91" s="1011"/>
      <c r="F91" s="1011"/>
      <c r="G91" s="1011"/>
      <c r="H91" s="1011"/>
    </row>
    <row r="92" spans="1:8" ht="15.75">
      <c r="A92" s="964">
        <v>4</v>
      </c>
      <c r="B92" s="989" t="s">
        <v>5480</v>
      </c>
      <c r="C92" s="990" t="s">
        <v>3007</v>
      </c>
      <c r="D92" s="991"/>
      <c r="E92" s="992" t="s">
        <v>3007</v>
      </c>
      <c r="F92" s="993" t="s">
        <v>3007</v>
      </c>
      <c r="G92" s="991">
        <v>0</v>
      </c>
      <c r="H92" s="991">
        <v>0</v>
      </c>
    </row>
    <row r="93" spans="1:8" ht="15.75">
      <c r="A93" s="964"/>
      <c r="B93" s="964"/>
      <c r="C93" s="1010"/>
      <c r="D93" s="1010"/>
      <c r="E93" s="1010"/>
      <c r="F93" s="1010"/>
      <c r="G93" s="1010"/>
      <c r="H93" s="1010"/>
    </row>
    <row r="94" spans="1:8" ht="15.75">
      <c r="A94" s="964">
        <v>5</v>
      </c>
      <c r="B94" s="989" t="s">
        <v>5481</v>
      </c>
      <c r="C94" s="990" t="s">
        <v>3007</v>
      </c>
      <c r="D94" s="991"/>
      <c r="E94" s="992" t="s">
        <v>3007</v>
      </c>
      <c r="F94" s="993" t="s">
        <v>3007</v>
      </c>
      <c r="G94" s="991">
        <v>0</v>
      </c>
      <c r="H94" s="991">
        <v>0</v>
      </c>
    </row>
    <row r="95" spans="1:8" ht="15.75">
      <c r="A95" s="964"/>
      <c r="B95" s="964"/>
      <c r="C95" s="1010"/>
      <c r="D95" s="1010"/>
      <c r="E95" s="1010"/>
      <c r="F95" s="1010"/>
      <c r="G95" s="1010"/>
      <c r="H95" s="1010"/>
    </row>
    <row r="96" spans="1:8" ht="15.75">
      <c r="A96" s="964">
        <v>6</v>
      </c>
      <c r="B96" s="964" t="s">
        <v>5482</v>
      </c>
      <c r="C96" s="976">
        <v>110000000</v>
      </c>
      <c r="D96" s="976"/>
      <c r="E96" s="976">
        <v>110000000</v>
      </c>
      <c r="F96" s="976">
        <f>E96*1.05</f>
        <v>115500000</v>
      </c>
      <c r="G96" s="976">
        <f>F96*1.05</f>
        <v>121275000</v>
      </c>
      <c r="H96" s="976">
        <f>E96+F96+G96</f>
        <v>346775000</v>
      </c>
    </row>
    <row r="97" spans="1:8" ht="15.75">
      <c r="A97" s="978"/>
      <c r="B97" s="978" t="s">
        <v>939</v>
      </c>
      <c r="C97" s="979">
        <f t="shared" ref="C97:H97" si="4">SUM(C86:C96)</f>
        <v>486750000</v>
      </c>
      <c r="D97" s="979">
        <f t="shared" si="4"/>
        <v>76000000</v>
      </c>
      <c r="E97" s="979">
        <f t="shared" si="4"/>
        <v>776000000</v>
      </c>
      <c r="F97" s="979">
        <f t="shared" si="4"/>
        <v>814800000</v>
      </c>
      <c r="G97" s="979">
        <f t="shared" si="4"/>
        <v>855540000</v>
      </c>
      <c r="H97" s="979">
        <f t="shared" si="4"/>
        <v>2446340000</v>
      </c>
    </row>
    <row r="98" spans="1:8" ht="15.75">
      <c r="A98" s="954"/>
      <c r="B98" s="954"/>
      <c r="C98" s="981"/>
      <c r="D98" s="981"/>
      <c r="E98" s="981"/>
      <c r="F98" s="981"/>
      <c r="G98" s="981"/>
      <c r="H98" s="982"/>
    </row>
    <row r="99" spans="1:8" ht="30">
      <c r="A99" s="953" t="s">
        <v>5483</v>
      </c>
      <c r="B99" s="953"/>
      <c r="C99" s="981"/>
      <c r="D99" s="981"/>
      <c r="E99" s="981"/>
      <c r="F99" s="981"/>
      <c r="G99" s="981"/>
      <c r="H99" s="982"/>
    </row>
    <row r="100" spans="1:8" ht="15.75">
      <c r="A100" s="954"/>
      <c r="B100" s="954"/>
      <c r="C100" s="981"/>
      <c r="D100" s="981"/>
      <c r="E100" s="981"/>
      <c r="F100" s="981"/>
      <c r="G100" s="981"/>
      <c r="H100" s="983" t="s">
        <v>5484</v>
      </c>
    </row>
    <row r="101" spans="1:8" ht="15.75">
      <c r="A101" s="957" t="s">
        <v>1620</v>
      </c>
      <c r="B101" s="957" t="s">
        <v>5442</v>
      </c>
      <c r="C101" s="958" t="s">
        <v>1841</v>
      </c>
      <c r="D101" s="959" t="s">
        <v>5443</v>
      </c>
      <c r="E101" s="958" t="s">
        <v>1841</v>
      </c>
      <c r="F101" s="958" t="s">
        <v>3577</v>
      </c>
      <c r="G101" s="958" t="s">
        <v>3577</v>
      </c>
      <c r="H101" s="958" t="s">
        <v>3577</v>
      </c>
    </row>
    <row r="102" spans="1:8" ht="15.75">
      <c r="A102" s="960"/>
      <c r="B102" s="960"/>
      <c r="C102" s="961" t="s">
        <v>5444</v>
      </c>
      <c r="D102" s="960" t="s">
        <v>5445</v>
      </c>
      <c r="E102" s="961" t="s">
        <v>5444</v>
      </c>
      <c r="F102" s="961" t="s">
        <v>5444</v>
      </c>
      <c r="G102" s="961" t="s">
        <v>5444</v>
      </c>
      <c r="H102" s="961" t="s">
        <v>5444</v>
      </c>
    </row>
    <row r="103" spans="1:8" ht="15.75">
      <c r="A103" s="962"/>
      <c r="B103" s="962"/>
      <c r="C103" s="963">
        <v>2014</v>
      </c>
      <c r="D103" s="963" t="s">
        <v>5446</v>
      </c>
      <c r="E103" s="963">
        <v>2015</v>
      </c>
      <c r="F103" s="963">
        <v>2016</v>
      </c>
      <c r="G103" s="963">
        <v>2017</v>
      </c>
      <c r="H103" s="963" t="s">
        <v>5455</v>
      </c>
    </row>
    <row r="104" spans="1:8" ht="15.75">
      <c r="A104" s="964"/>
      <c r="B104" s="964"/>
      <c r="C104" s="985"/>
      <c r="D104" s="986"/>
      <c r="E104" s="986"/>
      <c r="F104" s="986"/>
      <c r="G104" s="986"/>
      <c r="H104" s="985"/>
    </row>
    <row r="105" spans="1:8" ht="30.75">
      <c r="A105" s="964">
        <v>1</v>
      </c>
      <c r="B105" s="969" t="s">
        <v>5485</v>
      </c>
      <c r="C105" s="1007">
        <v>50000000</v>
      </c>
      <c r="D105" s="956"/>
      <c r="E105" s="1007">
        <v>50000000</v>
      </c>
      <c r="F105" s="1012">
        <f>E105*1.05</f>
        <v>52500000</v>
      </c>
      <c r="G105" s="1013">
        <f>F105*1.05</f>
        <v>55125000</v>
      </c>
      <c r="H105" s="1007">
        <f>E105+F105+G105</f>
        <v>157625000</v>
      </c>
    </row>
    <row r="106" spans="1:8" ht="15.75">
      <c r="A106" s="964" t="s">
        <v>1840</v>
      </c>
      <c r="B106" s="964"/>
      <c r="C106" s="966"/>
      <c r="D106" s="966"/>
      <c r="E106" s="966"/>
      <c r="F106" s="966"/>
      <c r="G106" s="966"/>
      <c r="H106" s="966"/>
    </row>
    <row r="107" spans="1:8" ht="15.75">
      <c r="A107" s="964">
        <v>2</v>
      </c>
      <c r="B107" s="964" t="s">
        <v>5486</v>
      </c>
      <c r="C107" s="1007">
        <v>100000000</v>
      </c>
      <c r="D107" s="1007"/>
      <c r="E107" s="1007">
        <v>100000000</v>
      </c>
      <c r="F107" s="1007">
        <f>E107*1.05</f>
        <v>105000000</v>
      </c>
      <c r="G107" s="966">
        <f>F107*1.05</f>
        <v>110250000</v>
      </c>
      <c r="H107" s="1007">
        <f>E107+F107+G107</f>
        <v>315250000</v>
      </c>
    </row>
    <row r="108" spans="1:8" ht="15.75">
      <c r="A108" s="964"/>
      <c r="B108" s="964"/>
      <c r="C108" s="966"/>
      <c r="D108" s="966"/>
      <c r="E108" s="966"/>
      <c r="F108" s="966"/>
      <c r="G108" s="966"/>
      <c r="H108" s="966"/>
    </row>
    <row r="109" spans="1:8" ht="15.75">
      <c r="A109" s="964">
        <v>3</v>
      </c>
      <c r="B109" s="964" t="s">
        <v>5487</v>
      </c>
      <c r="C109" s="966">
        <v>150000000</v>
      </c>
      <c r="D109" s="966">
        <v>20000000</v>
      </c>
      <c r="E109" s="966">
        <v>150000000</v>
      </c>
      <c r="F109" s="966">
        <f>E109*1.05</f>
        <v>157500000</v>
      </c>
      <c r="G109" s="966">
        <f>F109*1.05</f>
        <v>165375000</v>
      </c>
      <c r="H109" s="966">
        <f>E109+F109+G109</f>
        <v>472875000</v>
      </c>
    </row>
    <row r="110" spans="1:8" ht="15.75">
      <c r="A110" s="964"/>
      <c r="B110" s="964" t="s">
        <v>5488</v>
      </c>
      <c r="C110" s="966"/>
      <c r="D110" s="966"/>
      <c r="E110" s="966"/>
      <c r="F110" s="966"/>
      <c r="G110" s="966"/>
      <c r="H110" s="966"/>
    </row>
    <row r="111" spans="1:8" ht="15.75">
      <c r="A111" s="964"/>
      <c r="B111" s="964"/>
      <c r="C111" s="966"/>
      <c r="D111" s="966"/>
      <c r="E111" s="966"/>
      <c r="F111" s="966"/>
      <c r="G111" s="966"/>
      <c r="H111" s="966"/>
    </row>
    <row r="112" spans="1:8" ht="15.75">
      <c r="A112" s="964">
        <v>4</v>
      </c>
      <c r="B112" s="964" t="s">
        <v>5489</v>
      </c>
      <c r="C112" s="966"/>
      <c r="D112" s="966"/>
      <c r="E112" s="966"/>
      <c r="F112" s="966"/>
      <c r="G112" s="966"/>
      <c r="H112" s="966"/>
    </row>
    <row r="113" spans="1:8" ht="15.75">
      <c r="A113" s="964"/>
      <c r="B113" s="964" t="s">
        <v>5490</v>
      </c>
      <c r="C113" s="966">
        <v>100000000</v>
      </c>
      <c r="D113" s="966">
        <v>100000000</v>
      </c>
      <c r="E113" s="966">
        <v>350000000</v>
      </c>
      <c r="F113" s="1004">
        <f>E113*1.05</f>
        <v>367500000</v>
      </c>
      <c r="G113" s="1004">
        <f>F113*1.05</f>
        <v>385875000</v>
      </c>
      <c r="H113" s="966">
        <f>E113+F113+G113</f>
        <v>1103375000</v>
      </c>
    </row>
    <row r="114" spans="1:8" ht="15.75">
      <c r="A114" s="964"/>
      <c r="B114" s="964"/>
      <c r="C114" s="966"/>
      <c r="D114" s="966"/>
      <c r="E114" s="966"/>
      <c r="F114" s="966"/>
      <c r="G114" s="966"/>
      <c r="H114" s="966"/>
    </row>
    <row r="115" spans="1:8" ht="15.75">
      <c r="A115" s="964">
        <v>5</v>
      </c>
      <c r="B115" s="964" t="s">
        <v>5491</v>
      </c>
      <c r="C115" s="1004">
        <v>1700000000</v>
      </c>
      <c r="D115" s="1004"/>
      <c r="E115" s="1004">
        <v>500000000</v>
      </c>
      <c r="F115" s="1004">
        <f>E115*1.05</f>
        <v>525000000</v>
      </c>
      <c r="G115" s="1004">
        <f>F115*1.05</f>
        <v>551250000</v>
      </c>
      <c r="H115" s="1004">
        <f>E115+F115+G115</f>
        <v>1576250000</v>
      </c>
    </row>
    <row r="116" spans="1:8" ht="15.75">
      <c r="A116" s="964"/>
      <c r="B116" s="964"/>
      <c r="C116" s="1004"/>
      <c r="D116" s="1004"/>
      <c r="E116" s="1004"/>
      <c r="F116" s="1004"/>
      <c r="G116" s="1004"/>
      <c r="H116" s="1004"/>
    </row>
    <row r="117" spans="1:8" ht="15.75">
      <c r="A117" s="964"/>
      <c r="B117" s="964"/>
      <c r="C117" s="966"/>
      <c r="D117" s="966"/>
      <c r="E117" s="966"/>
      <c r="F117" s="966"/>
      <c r="G117" s="966"/>
      <c r="H117" s="966"/>
    </row>
    <row r="118" spans="1:8" ht="15.75">
      <c r="A118" s="964">
        <v>6</v>
      </c>
      <c r="B118" s="964" t="s">
        <v>5492</v>
      </c>
      <c r="C118" s="966">
        <v>900000000</v>
      </c>
      <c r="D118" s="966">
        <v>129312991</v>
      </c>
      <c r="E118" s="966">
        <v>900000000</v>
      </c>
      <c r="F118" s="966">
        <f>E118*1.05</f>
        <v>945000000</v>
      </c>
      <c r="G118" s="966">
        <f>F118*1.05</f>
        <v>992250000</v>
      </c>
      <c r="H118" s="966">
        <f>E118+F118+G118</f>
        <v>2837250000</v>
      </c>
    </row>
    <row r="119" spans="1:8" ht="15.75">
      <c r="A119" s="964"/>
      <c r="B119" s="964" t="s">
        <v>5493</v>
      </c>
      <c r="C119" s="966"/>
      <c r="D119" s="966"/>
      <c r="E119" s="966"/>
      <c r="F119" s="966"/>
      <c r="G119" s="966"/>
      <c r="H119" s="966"/>
    </row>
    <row r="120" spans="1:8" ht="15.75">
      <c r="A120" s="964">
        <v>7</v>
      </c>
      <c r="B120" s="964" t="s">
        <v>5494</v>
      </c>
      <c r="C120" s="1014" t="s">
        <v>3007</v>
      </c>
      <c r="D120" s="966"/>
      <c r="E120" s="1014" t="s">
        <v>3007</v>
      </c>
      <c r="F120" s="1014" t="s">
        <v>3007</v>
      </c>
      <c r="G120" s="1024">
        <v>0</v>
      </c>
      <c r="H120" s="1024">
        <v>0</v>
      </c>
    </row>
    <row r="121" spans="1:8" ht="15.75">
      <c r="A121" s="964"/>
      <c r="B121" s="964"/>
      <c r="C121" s="966"/>
      <c r="D121" s="966"/>
      <c r="E121" s="966"/>
      <c r="F121" s="966"/>
      <c r="G121" s="966"/>
      <c r="H121" s="966"/>
    </row>
    <row r="122" spans="1:8" ht="15.75">
      <c r="A122" s="964">
        <v>8</v>
      </c>
      <c r="B122" s="964" t="s">
        <v>5495</v>
      </c>
      <c r="C122" s="1014">
        <v>2250000000</v>
      </c>
      <c r="D122" s="1014"/>
      <c r="E122" s="1014">
        <f>1001682832-250000000-222000000-100000000-143045340.154663</f>
        <v>286637491.84533703</v>
      </c>
      <c r="F122" s="1014">
        <f>E122*1.05</f>
        <v>300969366.43760389</v>
      </c>
      <c r="G122" s="1014">
        <f>F122*1.05</f>
        <v>316017834.75948411</v>
      </c>
      <c r="H122" s="1015">
        <f>E122+F122+G122</f>
        <v>903624693.04242492</v>
      </c>
    </row>
    <row r="123" spans="1:8" ht="15.75">
      <c r="A123" s="964">
        <v>9</v>
      </c>
      <c r="B123" s="964" t="s">
        <v>5496</v>
      </c>
      <c r="C123" s="1016">
        <v>500000000</v>
      </c>
      <c r="D123" s="1016"/>
      <c r="E123" s="1017">
        <v>300000000</v>
      </c>
      <c r="F123" s="1015">
        <f>E123*1.05</f>
        <v>315000000</v>
      </c>
      <c r="G123" s="1015">
        <f>F123*1.05</f>
        <v>330750000</v>
      </c>
      <c r="H123" s="1015">
        <f>E123+F123+G123</f>
        <v>945750000</v>
      </c>
    </row>
    <row r="124" spans="1:8" ht="15.75">
      <c r="A124" s="978"/>
      <c r="B124" s="978" t="s">
        <v>939</v>
      </c>
      <c r="C124" s="1018">
        <f>SUM(C105:C123)</f>
        <v>5750000000</v>
      </c>
      <c r="D124" s="1018">
        <f>SUM(D105:D122)</f>
        <v>249312991</v>
      </c>
      <c r="E124" s="1019">
        <f>SUM(E105:E123)</f>
        <v>2636637491.8453369</v>
      </c>
      <c r="F124" s="1019">
        <f>SUM(F105:F123)</f>
        <v>2768469366.437604</v>
      </c>
      <c r="G124" s="1019">
        <f>SUM(G105:G123)</f>
        <v>2906892834.7594843</v>
      </c>
      <c r="H124" s="1019">
        <f>SUM(H105:H122)</f>
        <v>7366249693.0424252</v>
      </c>
    </row>
    <row r="125" spans="1:8" ht="15.75">
      <c r="A125" s="954"/>
      <c r="B125" s="954"/>
      <c r="C125" s="981"/>
      <c r="D125" s="981"/>
      <c r="E125" s="981"/>
      <c r="F125" s="981"/>
      <c r="G125" s="981"/>
      <c r="H125" s="981"/>
    </row>
    <row r="126" spans="1:8" ht="15.75">
      <c r="A126" s="954"/>
      <c r="B126" s="954"/>
      <c r="C126" s="981"/>
      <c r="D126" s="981"/>
      <c r="E126" s="981"/>
      <c r="F126" s="981"/>
      <c r="G126" s="981"/>
      <c r="H126" s="981"/>
    </row>
    <row r="127" spans="1:8" ht="30">
      <c r="A127" s="953" t="s">
        <v>5497</v>
      </c>
      <c r="B127" s="953"/>
      <c r="C127" s="981"/>
      <c r="D127" s="981"/>
      <c r="E127" s="981"/>
      <c r="F127" s="981"/>
      <c r="G127" s="981"/>
      <c r="H127" s="982"/>
    </row>
    <row r="128" spans="1:8" ht="15.75">
      <c r="A128" s="954"/>
      <c r="B128" s="954"/>
      <c r="C128" s="981"/>
      <c r="D128" s="981"/>
      <c r="E128" s="981"/>
      <c r="F128" s="981"/>
      <c r="G128" s="981"/>
      <c r="H128" s="983" t="s">
        <v>5502</v>
      </c>
    </row>
    <row r="129" spans="1:8" ht="15.75">
      <c r="A129" s="957" t="s">
        <v>1620</v>
      </c>
      <c r="B129" s="957" t="s">
        <v>5442</v>
      </c>
      <c r="C129" s="958" t="s">
        <v>1841</v>
      </c>
      <c r="D129" s="959" t="s">
        <v>5443</v>
      </c>
      <c r="E129" s="958" t="s">
        <v>1841</v>
      </c>
      <c r="F129" s="958" t="s">
        <v>3577</v>
      </c>
      <c r="G129" s="958" t="s">
        <v>3577</v>
      </c>
      <c r="H129" s="958" t="s">
        <v>3577</v>
      </c>
    </row>
    <row r="130" spans="1:8" ht="15.75">
      <c r="A130" s="960"/>
      <c r="B130" s="960"/>
      <c r="C130" s="961" t="s">
        <v>5444</v>
      </c>
      <c r="D130" s="960" t="s">
        <v>5445</v>
      </c>
      <c r="E130" s="961" t="s">
        <v>5444</v>
      </c>
      <c r="F130" s="961" t="s">
        <v>5444</v>
      </c>
      <c r="G130" s="961" t="s">
        <v>5444</v>
      </c>
      <c r="H130" s="961" t="s">
        <v>5444</v>
      </c>
    </row>
    <row r="131" spans="1:8" ht="15.75">
      <c r="A131" s="962"/>
      <c r="B131" s="962"/>
      <c r="C131" s="963">
        <v>2014</v>
      </c>
      <c r="D131" s="963" t="s">
        <v>5446</v>
      </c>
      <c r="E131" s="963">
        <v>2015</v>
      </c>
      <c r="F131" s="963">
        <v>2016</v>
      </c>
      <c r="G131" s="963">
        <v>2017</v>
      </c>
      <c r="H131" s="963" t="s">
        <v>5455</v>
      </c>
    </row>
    <row r="132" spans="1:8" ht="30.75">
      <c r="A132" s="964">
        <v>1</v>
      </c>
      <c r="B132" s="969" t="s">
        <v>5498</v>
      </c>
      <c r="C132" s="966">
        <v>250000000</v>
      </c>
      <c r="D132" s="966">
        <v>28000000</v>
      </c>
      <c r="E132" s="966">
        <v>250000000</v>
      </c>
      <c r="F132" s="966">
        <f>E132*1.05</f>
        <v>262500000</v>
      </c>
      <c r="G132" s="966">
        <f>F132*1.05</f>
        <v>275625000</v>
      </c>
      <c r="H132" s="966">
        <f>E132+F132+G132</f>
        <v>788125000</v>
      </c>
    </row>
    <row r="133" spans="1:8" ht="15.75">
      <c r="A133" s="964"/>
      <c r="B133" s="969"/>
      <c r="C133" s="966"/>
      <c r="D133" s="966"/>
      <c r="E133" s="966"/>
      <c r="F133" s="966"/>
      <c r="G133" s="966"/>
      <c r="H133" s="966"/>
    </row>
    <row r="134" spans="1:8" ht="15.75">
      <c r="A134" s="964"/>
      <c r="B134" s="969"/>
      <c r="C134" s="966"/>
      <c r="D134" s="966"/>
      <c r="E134" s="966"/>
      <c r="F134" s="966"/>
      <c r="G134" s="966"/>
      <c r="H134" s="966"/>
    </row>
    <row r="135" spans="1:8" ht="15.75">
      <c r="A135" s="964">
        <v>2</v>
      </c>
      <c r="B135" s="964" t="s">
        <v>5499</v>
      </c>
      <c r="C135" s="1008">
        <v>2500000000</v>
      </c>
      <c r="D135" s="1008"/>
      <c r="E135" s="1008">
        <v>500000000</v>
      </c>
      <c r="F135" s="1008">
        <f>E135*1.05</f>
        <v>525000000</v>
      </c>
      <c r="G135" s="1008">
        <f>F135*1.05</f>
        <v>551250000</v>
      </c>
      <c r="H135" s="1008">
        <f>E135+F135+G135</f>
        <v>1576250000</v>
      </c>
    </row>
    <row r="136" spans="1:8" ht="15.75">
      <c r="A136" s="978"/>
      <c r="B136" s="978" t="s">
        <v>939</v>
      </c>
      <c r="C136" s="1019">
        <f t="shared" ref="C136:H136" si="5">SUM(C132:C135)</f>
        <v>2750000000</v>
      </c>
      <c r="D136" s="1019">
        <f t="shared" si="5"/>
        <v>28000000</v>
      </c>
      <c r="E136" s="1019">
        <f t="shared" si="5"/>
        <v>750000000</v>
      </c>
      <c r="F136" s="1019">
        <f t="shared" si="5"/>
        <v>787500000</v>
      </c>
      <c r="G136" s="1019">
        <f t="shared" si="5"/>
        <v>826875000</v>
      </c>
      <c r="H136" s="1019">
        <f t="shared" si="5"/>
        <v>2364375000</v>
      </c>
    </row>
    <row r="137" spans="1:8" ht="15.75">
      <c r="A137" s="954"/>
      <c r="B137" s="954"/>
      <c r="C137" s="981"/>
      <c r="D137" s="981"/>
      <c r="E137" s="981"/>
      <c r="F137" s="981"/>
      <c r="G137" s="981"/>
      <c r="H137" s="981"/>
    </row>
    <row r="138" spans="1:8" ht="15.75">
      <c r="A138" s="954"/>
      <c r="B138" s="954"/>
      <c r="C138" s="981"/>
      <c r="D138" s="981"/>
      <c r="E138" s="981"/>
      <c r="F138" s="981"/>
      <c r="G138" s="981"/>
      <c r="H138" s="981"/>
    </row>
    <row r="139" spans="1:8" ht="15.75">
      <c r="A139" s="954"/>
      <c r="B139" s="954"/>
      <c r="C139" s="981"/>
      <c r="D139" s="981"/>
      <c r="E139" s="981"/>
      <c r="F139" s="981"/>
      <c r="G139" s="981"/>
      <c r="H139" s="981"/>
    </row>
    <row r="140" spans="1:8" ht="15.75">
      <c r="A140" s="954"/>
      <c r="B140" s="954"/>
      <c r="C140" s="981"/>
      <c r="D140" s="981"/>
      <c r="E140" s="981"/>
      <c r="F140" s="981"/>
      <c r="G140" s="981"/>
      <c r="H140" s="981"/>
    </row>
    <row r="141" spans="1:8" ht="15.75">
      <c r="A141" s="954"/>
      <c r="B141" s="954"/>
      <c r="C141" s="981"/>
      <c r="D141" s="981"/>
      <c r="E141" s="981"/>
      <c r="F141" s="981"/>
      <c r="G141" s="981"/>
      <c r="H141" s="981"/>
    </row>
    <row r="142" spans="1:8" ht="15.75">
      <c r="A142" s="954"/>
      <c r="B142" s="954"/>
      <c r="C142" s="981"/>
      <c r="D142" s="981"/>
      <c r="E142" s="981"/>
      <c r="F142" s="981"/>
      <c r="G142" s="981"/>
      <c r="H142" s="981"/>
    </row>
    <row r="143" spans="1:8" ht="15.75">
      <c r="A143" s="954"/>
      <c r="B143" s="954"/>
      <c r="C143" s="981"/>
      <c r="D143" s="981"/>
      <c r="E143" s="981"/>
      <c r="F143" s="981"/>
      <c r="G143" s="981"/>
      <c r="H143" s="981"/>
    </row>
    <row r="144" spans="1:8" ht="15.75">
      <c r="A144" s="954"/>
      <c r="B144" s="954"/>
      <c r="C144" s="981"/>
      <c r="D144" s="981"/>
      <c r="E144" s="981"/>
      <c r="F144" s="981"/>
      <c r="G144" s="981"/>
      <c r="H144" s="981"/>
    </row>
    <row r="145" spans="1:8" ht="15.75">
      <c r="A145" s="954"/>
      <c r="B145" s="954"/>
      <c r="C145" s="981"/>
      <c r="D145" s="981"/>
      <c r="E145" s="981"/>
      <c r="F145" s="981"/>
      <c r="G145" s="981"/>
      <c r="H145" s="981"/>
    </row>
    <row r="146" spans="1:8" ht="15.75">
      <c r="A146" s="954"/>
      <c r="B146" s="954"/>
      <c r="C146" s="981"/>
      <c r="D146" s="981"/>
      <c r="E146" s="981"/>
      <c r="F146" s="981"/>
      <c r="G146" s="981"/>
      <c r="H146" s="981"/>
    </row>
    <row r="147" spans="1:8" ht="15.75">
      <c r="A147" s="954"/>
      <c r="B147" s="954"/>
      <c r="C147" s="981"/>
      <c r="D147" s="981"/>
      <c r="E147" s="981"/>
      <c r="F147" s="981"/>
      <c r="G147" s="981"/>
      <c r="H147" s="981"/>
    </row>
    <row r="148" spans="1:8" ht="15.75">
      <c r="A148" s="954"/>
      <c r="B148" s="954"/>
      <c r="C148" s="981"/>
      <c r="D148" s="981"/>
      <c r="E148" s="981"/>
      <c r="F148" s="981"/>
      <c r="G148" s="981"/>
      <c r="H148" s="981"/>
    </row>
    <row r="149" spans="1:8" ht="15.75">
      <c r="A149" s="954"/>
      <c r="B149" s="954"/>
      <c r="C149" s="981"/>
      <c r="D149" s="981"/>
      <c r="E149" s="981"/>
      <c r="F149" s="981"/>
      <c r="G149" s="981"/>
      <c r="H149" s="981"/>
    </row>
    <row r="150" spans="1:8" ht="15.75">
      <c r="A150" s="954"/>
      <c r="B150" s="954"/>
      <c r="C150" s="981"/>
      <c r="D150" s="981"/>
      <c r="E150" s="981"/>
      <c r="F150" s="981"/>
      <c r="G150" s="981"/>
      <c r="H150" s="981"/>
    </row>
    <row r="151" spans="1:8" ht="15.75">
      <c r="A151" s="954"/>
      <c r="B151" s="954"/>
      <c r="C151" s="981"/>
      <c r="D151" s="981"/>
      <c r="E151" s="981"/>
      <c r="F151" s="981"/>
      <c r="G151" s="981"/>
      <c r="H151" s="981"/>
    </row>
    <row r="152" spans="1:8" ht="15.75">
      <c r="A152" s="954"/>
      <c r="B152" s="954"/>
      <c r="C152" s="981"/>
      <c r="D152" s="981"/>
      <c r="E152" s="981"/>
      <c r="F152" s="981"/>
      <c r="G152" s="981"/>
      <c r="H152" s="981"/>
    </row>
    <row r="153" spans="1:8" ht="15.75">
      <c r="A153" s="954"/>
      <c r="B153" s="954"/>
      <c r="C153" s="981"/>
      <c r="D153" s="981"/>
      <c r="E153" s="981"/>
      <c r="F153" s="981"/>
      <c r="G153" s="981"/>
      <c r="H153" s="981"/>
    </row>
    <row r="154" spans="1:8" ht="15.75">
      <c r="A154" s="954"/>
      <c r="B154" s="954"/>
      <c r="C154" s="981"/>
      <c r="D154" s="981"/>
      <c r="E154" s="981"/>
      <c r="F154" s="981"/>
      <c r="G154" s="981"/>
      <c r="H154" s="981"/>
    </row>
    <row r="155" spans="1:8" ht="15.75">
      <c r="A155" s="954"/>
      <c r="B155" s="954"/>
      <c r="C155" s="981"/>
      <c r="D155" s="981"/>
      <c r="E155" s="981"/>
      <c r="F155" s="981"/>
      <c r="G155" s="981"/>
      <c r="H155" s="981"/>
    </row>
    <row r="156" spans="1:8" ht="15.75">
      <c r="A156" s="954"/>
      <c r="B156" s="954"/>
      <c r="C156" s="981"/>
      <c r="D156" s="981"/>
      <c r="E156" s="981"/>
      <c r="F156" s="981"/>
      <c r="G156" s="981"/>
      <c r="H156" s="981"/>
    </row>
    <row r="157" spans="1:8" ht="15.75">
      <c r="A157" s="954"/>
      <c r="B157" s="954"/>
      <c r="C157" s="981"/>
      <c r="D157" s="981"/>
      <c r="E157" s="981"/>
      <c r="F157" s="981"/>
      <c r="G157" s="981"/>
      <c r="H157" s="981"/>
    </row>
    <row r="158" spans="1:8" ht="15.75">
      <c r="A158" s="954"/>
      <c r="B158" s="954"/>
      <c r="C158" s="981"/>
      <c r="D158" s="981"/>
      <c r="E158" s="981"/>
      <c r="F158" s="981"/>
      <c r="G158" s="981"/>
      <c r="H158" s="981"/>
    </row>
    <row r="159" spans="1:8" ht="15.75">
      <c r="A159" s="954"/>
      <c r="B159" s="954"/>
      <c r="C159" s="981"/>
      <c r="D159" s="981"/>
      <c r="E159" s="981"/>
      <c r="F159" s="981"/>
      <c r="G159" s="981"/>
      <c r="H159" s="981"/>
    </row>
    <row r="160" spans="1:8" ht="15.75">
      <c r="A160" s="954"/>
      <c r="B160" s="954"/>
      <c r="C160" s="981"/>
      <c r="D160" s="981"/>
      <c r="E160" s="981"/>
      <c r="F160" s="981"/>
      <c r="G160" s="981"/>
      <c r="H160" s="981"/>
    </row>
    <row r="161" spans="1:8" ht="15.75">
      <c r="A161" s="954"/>
      <c r="B161" s="954"/>
      <c r="C161" s="981"/>
      <c r="D161" s="981"/>
      <c r="E161" s="981"/>
      <c r="F161" s="981"/>
      <c r="G161" s="981"/>
      <c r="H161" s="981"/>
    </row>
    <row r="162" spans="1:8" ht="15.75">
      <c r="A162" s="954"/>
      <c r="B162" s="954"/>
      <c r="C162" s="981"/>
      <c r="D162" s="981"/>
      <c r="E162" s="981"/>
      <c r="F162" s="981"/>
      <c r="G162" s="981"/>
      <c r="H162" s="981"/>
    </row>
    <row r="163" spans="1:8" ht="15.75">
      <c r="A163" s="954"/>
      <c r="B163" s="954"/>
      <c r="C163" s="981"/>
      <c r="D163" s="981"/>
      <c r="E163" s="981"/>
      <c r="F163" s="981"/>
      <c r="G163" s="981"/>
      <c r="H163" s="981"/>
    </row>
    <row r="164" spans="1:8" ht="15.75">
      <c r="A164" s="954"/>
      <c r="B164" s="954"/>
      <c r="C164" s="981"/>
      <c r="D164" s="981"/>
      <c r="E164" s="981"/>
      <c r="F164" s="981"/>
      <c r="G164" s="981"/>
      <c r="H164" s="981"/>
    </row>
    <row r="165" spans="1:8" ht="15.75">
      <c r="A165" s="954"/>
      <c r="B165" s="954"/>
      <c r="C165" s="981"/>
      <c r="D165" s="981"/>
      <c r="E165" s="981"/>
      <c r="F165" s="981"/>
      <c r="G165" s="981"/>
      <c r="H165" s="981"/>
    </row>
    <row r="166" spans="1:8" ht="15.75">
      <c r="A166" s="954"/>
      <c r="B166" s="954"/>
      <c r="C166" s="981"/>
      <c r="D166" s="981"/>
      <c r="E166" s="981"/>
      <c r="F166" s="981"/>
      <c r="G166" s="981"/>
      <c r="H166" s="981"/>
    </row>
    <row r="167" spans="1:8" ht="15.75">
      <c r="A167" s="954"/>
      <c r="B167" s="954"/>
      <c r="C167" s="981"/>
      <c r="D167" s="981"/>
      <c r="E167" s="981"/>
      <c r="F167" s="981"/>
      <c r="G167" s="981"/>
      <c r="H167" s="981"/>
    </row>
    <row r="168" spans="1:8" ht="15.75">
      <c r="A168" s="954"/>
      <c r="B168" s="954"/>
      <c r="C168" s="981"/>
      <c r="D168" s="981"/>
      <c r="E168" s="981"/>
      <c r="F168" s="981"/>
      <c r="G168" s="981"/>
      <c r="H168" s="981"/>
    </row>
    <row r="169" spans="1:8" ht="15.75">
      <c r="A169" s="954"/>
      <c r="B169" s="954"/>
      <c r="C169" s="981"/>
      <c r="D169" s="981"/>
      <c r="E169" s="981"/>
      <c r="F169" s="981"/>
      <c r="G169" s="981"/>
      <c r="H169" s="981"/>
    </row>
    <row r="170" spans="1:8" ht="15.75">
      <c r="A170" s="954"/>
      <c r="B170" s="954"/>
      <c r="C170" s="981"/>
      <c r="D170" s="981"/>
      <c r="E170" s="981"/>
      <c r="F170" s="981"/>
      <c r="G170" s="981"/>
      <c r="H170" s="981"/>
    </row>
    <row r="171" spans="1:8" ht="15.75">
      <c r="A171" s="954"/>
      <c r="B171" s="954"/>
      <c r="C171" s="981"/>
      <c r="D171" s="981"/>
      <c r="E171" s="981"/>
      <c r="F171" s="981"/>
      <c r="G171" s="981"/>
      <c r="H171" s="981"/>
    </row>
    <row r="172" spans="1:8" ht="15.75">
      <c r="A172" s="954"/>
      <c r="B172" s="954"/>
      <c r="C172" s="981"/>
      <c r="D172" s="981"/>
      <c r="E172" s="981"/>
      <c r="F172" s="981"/>
      <c r="G172" s="981"/>
      <c r="H172" s="981"/>
    </row>
    <row r="173" spans="1:8" ht="15.75">
      <c r="A173" s="954"/>
      <c r="B173" s="954"/>
      <c r="C173" s="981"/>
      <c r="D173" s="981"/>
      <c r="E173" s="981"/>
      <c r="F173" s="981"/>
      <c r="G173" s="981"/>
      <c r="H173" s="981"/>
    </row>
    <row r="174" spans="1:8" ht="15.75">
      <c r="A174" s="954"/>
      <c r="B174" s="954"/>
      <c r="C174" s="981"/>
      <c r="D174" s="981"/>
      <c r="E174" s="981"/>
      <c r="F174" s="981"/>
      <c r="G174" s="981"/>
      <c r="H174" s="981"/>
    </row>
    <row r="175" spans="1:8" ht="15.75">
      <c r="A175" s="954"/>
      <c r="B175" s="954"/>
      <c r="C175" s="981"/>
      <c r="D175" s="981"/>
      <c r="E175" s="981"/>
      <c r="F175" s="981"/>
      <c r="G175" s="981"/>
      <c r="H175" s="981"/>
    </row>
    <row r="176" spans="1:8" ht="15.75">
      <c r="A176" s="954"/>
      <c r="B176" s="954"/>
      <c r="C176" s="981"/>
      <c r="D176" s="981"/>
      <c r="E176" s="981"/>
      <c r="F176" s="981"/>
      <c r="G176" s="981"/>
      <c r="H176" s="981"/>
    </row>
    <row r="177" spans="1:8" ht="15.75">
      <c r="A177" s="954"/>
      <c r="B177" s="954"/>
      <c r="C177" s="981"/>
      <c r="D177" s="981"/>
      <c r="E177" s="981"/>
      <c r="F177" s="981"/>
      <c r="G177" s="981"/>
      <c r="H177" s="981"/>
    </row>
    <row r="178" spans="1:8" ht="15.75">
      <c r="A178" s="954"/>
      <c r="B178" s="954"/>
      <c r="C178" s="981"/>
      <c r="D178" s="981"/>
      <c r="E178" s="981"/>
      <c r="F178" s="981"/>
      <c r="G178" s="981"/>
      <c r="H178" s="981"/>
    </row>
    <row r="179" spans="1:8" ht="15.75">
      <c r="A179" s="954"/>
      <c r="B179" s="954"/>
      <c r="C179" s="981"/>
      <c r="D179" s="981"/>
      <c r="E179" s="981"/>
      <c r="F179" s="981"/>
      <c r="G179" s="981"/>
      <c r="H179" s="981"/>
    </row>
    <row r="180" spans="1:8" ht="15.75">
      <c r="A180" s="954"/>
      <c r="B180" s="954"/>
      <c r="C180" s="981"/>
      <c r="D180" s="981"/>
      <c r="E180" s="981"/>
      <c r="F180" s="981"/>
      <c r="G180" s="981"/>
      <c r="H180" s="981"/>
    </row>
    <row r="181" spans="1:8" ht="15.75">
      <c r="A181" s="954"/>
      <c r="B181" s="954"/>
      <c r="C181" s="981"/>
      <c r="D181" s="981"/>
      <c r="E181" s="981"/>
      <c r="F181" s="981"/>
      <c r="G181" s="981"/>
      <c r="H181" s="981"/>
    </row>
    <row r="182" spans="1:8" ht="15.75">
      <c r="A182" s="954"/>
      <c r="B182" s="954"/>
      <c r="C182" s="981"/>
      <c r="D182" s="981"/>
      <c r="E182" s="981"/>
      <c r="F182" s="981"/>
      <c r="G182" s="981"/>
      <c r="H182" s="981"/>
    </row>
    <row r="183" spans="1:8" ht="15.75">
      <c r="A183" s="954"/>
      <c r="B183" s="954"/>
      <c r="C183" s="981"/>
      <c r="D183" s="981"/>
      <c r="E183" s="981"/>
      <c r="F183" s="981"/>
      <c r="G183" s="981"/>
      <c r="H183" s="981"/>
    </row>
    <row r="184" spans="1:8" ht="15.75">
      <c r="A184" s="954"/>
      <c r="B184" s="954"/>
      <c r="C184" s="981"/>
      <c r="D184" s="981"/>
      <c r="E184" s="981"/>
      <c r="F184" s="981"/>
      <c r="G184" s="981"/>
      <c r="H184" s="981"/>
    </row>
    <row r="185" spans="1:8" ht="15.75">
      <c r="A185" s="954"/>
      <c r="B185" s="954"/>
      <c r="C185" s="981"/>
      <c r="D185" s="981"/>
      <c r="E185" s="981"/>
      <c r="F185" s="981"/>
      <c r="G185" s="981"/>
      <c r="H185" s="981"/>
    </row>
    <row r="186" spans="1:8" ht="15.75">
      <c r="A186" s="954"/>
      <c r="B186" s="954"/>
      <c r="C186" s="981"/>
      <c r="D186" s="981"/>
      <c r="E186" s="981"/>
      <c r="F186" s="981"/>
      <c r="G186" s="981"/>
      <c r="H186" s="981"/>
    </row>
    <row r="187" spans="1:8" ht="15.75">
      <c r="A187" s="954"/>
      <c r="B187" s="954"/>
      <c r="C187" s="981"/>
      <c r="D187" s="981"/>
      <c r="E187" s="981"/>
      <c r="F187" s="981"/>
      <c r="G187" s="981"/>
      <c r="H187" s="981"/>
    </row>
    <row r="188" spans="1:8" ht="15.75">
      <c r="A188" s="954"/>
      <c r="B188" s="954"/>
      <c r="C188" s="981"/>
      <c r="D188" s="981"/>
      <c r="E188" s="981"/>
      <c r="F188" s="981"/>
      <c r="G188" s="981"/>
      <c r="H188" s="981"/>
    </row>
    <row r="189" spans="1:8" ht="15.75">
      <c r="A189" s="954"/>
      <c r="B189" s="954"/>
      <c r="C189" s="981"/>
      <c r="D189" s="981"/>
      <c r="E189" s="981"/>
      <c r="F189" s="981"/>
      <c r="G189" s="981"/>
      <c r="H189" s="981"/>
    </row>
    <row r="190" spans="1:8" ht="15.75">
      <c r="A190" s="954"/>
      <c r="B190" s="954"/>
      <c r="C190" s="981"/>
      <c r="D190" s="981"/>
      <c r="E190" s="981"/>
      <c r="F190" s="981"/>
      <c r="G190" s="981"/>
      <c r="H190" s="981"/>
    </row>
    <row r="191" spans="1:8" ht="15.75">
      <c r="A191" s="954"/>
      <c r="B191" s="954"/>
      <c r="C191" s="981"/>
      <c r="D191" s="981"/>
      <c r="E191" s="981"/>
      <c r="F191" s="981"/>
      <c r="G191" s="981"/>
      <c r="H191" s="981"/>
    </row>
    <row r="192" spans="1:8" ht="15.75">
      <c r="A192" s="954"/>
      <c r="B192" s="954"/>
      <c r="C192" s="981"/>
      <c r="D192" s="981"/>
      <c r="E192" s="981"/>
      <c r="F192" s="981"/>
      <c r="G192" s="981"/>
      <c r="H192" s="981"/>
    </row>
    <row r="193" spans="1:8" ht="15.75">
      <c r="A193" s="954"/>
      <c r="B193" s="954"/>
      <c r="C193" s="981"/>
      <c r="D193" s="981"/>
      <c r="E193" s="981"/>
      <c r="F193" s="981"/>
      <c r="G193" s="981"/>
      <c r="H193" s="981"/>
    </row>
    <row r="194" spans="1:8" ht="15.75">
      <c r="A194" s="954"/>
      <c r="B194" s="954"/>
      <c r="C194" s="981"/>
      <c r="D194" s="981"/>
      <c r="E194" s="981"/>
      <c r="F194" s="981"/>
      <c r="G194" s="981"/>
      <c r="H194" s="981"/>
    </row>
    <row r="195" spans="1:8" ht="15.75">
      <c r="A195" s="954"/>
      <c r="B195" s="954"/>
      <c r="C195" s="981"/>
      <c r="D195" s="981"/>
      <c r="E195" s="981"/>
      <c r="F195" s="981"/>
      <c r="G195" s="981"/>
      <c r="H195" s="981"/>
    </row>
    <row r="196" spans="1:8" ht="15.75">
      <c r="A196" s="954"/>
      <c r="B196" s="954"/>
      <c r="C196" s="981"/>
      <c r="D196" s="981"/>
      <c r="E196" s="981"/>
      <c r="F196" s="981"/>
      <c r="G196" s="981"/>
      <c r="H196" s="981"/>
    </row>
    <row r="197" spans="1:8" ht="15.75">
      <c r="A197" s="954"/>
      <c r="B197" s="954"/>
      <c r="C197" s="981"/>
      <c r="D197" s="981"/>
      <c r="E197" s="981"/>
      <c r="F197" s="981"/>
      <c r="G197" s="981"/>
      <c r="H197" s="981"/>
    </row>
    <row r="198" spans="1:8" ht="15.75">
      <c r="A198" s="954"/>
      <c r="B198" s="954"/>
      <c r="C198" s="981"/>
      <c r="D198" s="981"/>
      <c r="E198" s="981"/>
      <c r="F198" s="981"/>
      <c r="G198" s="981"/>
      <c r="H198" s="981"/>
    </row>
    <row r="199" spans="1:8" ht="15.75">
      <c r="A199" s="954"/>
      <c r="B199" s="954"/>
      <c r="C199" s="981"/>
      <c r="D199" s="981"/>
      <c r="E199" s="981"/>
      <c r="F199" s="981"/>
      <c r="G199" s="981"/>
      <c r="H199" s="981"/>
    </row>
    <row r="200" spans="1:8" ht="15.75">
      <c r="A200" s="954"/>
      <c r="B200" s="954"/>
      <c r="C200" s="981"/>
      <c r="D200" s="981"/>
      <c r="E200" s="981"/>
      <c r="F200" s="981"/>
      <c r="G200" s="981"/>
      <c r="H200" s="981"/>
    </row>
    <row r="201" spans="1:8" ht="15.75">
      <c r="A201" s="954"/>
      <c r="B201" s="954"/>
      <c r="C201" s="981"/>
      <c r="D201" s="981"/>
      <c r="E201" s="981"/>
      <c r="F201" s="981"/>
      <c r="G201" s="981"/>
      <c r="H201" s="981"/>
    </row>
    <row r="202" spans="1:8" ht="15.75">
      <c r="A202" s="954"/>
      <c r="B202" s="954"/>
      <c r="C202" s="981"/>
      <c r="D202" s="981"/>
      <c r="E202" s="981"/>
      <c r="F202" s="981"/>
      <c r="G202" s="981"/>
      <c r="H202" s="981"/>
    </row>
    <row r="203" spans="1:8" ht="15.75">
      <c r="A203" s="954"/>
      <c r="B203" s="954"/>
      <c r="C203" s="981"/>
      <c r="D203" s="981"/>
      <c r="E203" s="981"/>
      <c r="F203" s="981"/>
      <c r="G203" s="981"/>
      <c r="H203" s="981"/>
    </row>
    <row r="204" spans="1:8" ht="15.75">
      <c r="A204" s="954"/>
      <c r="B204" s="954"/>
      <c r="C204" s="981"/>
      <c r="D204" s="981"/>
      <c r="E204" s="981"/>
      <c r="F204" s="981"/>
      <c r="G204" s="981"/>
      <c r="H204" s="981"/>
    </row>
    <row r="205" spans="1:8" ht="15.75">
      <c r="A205" s="954"/>
      <c r="B205" s="954"/>
      <c r="C205" s="981"/>
      <c r="D205" s="981"/>
      <c r="E205" s="981"/>
      <c r="F205" s="981"/>
      <c r="G205" s="981"/>
      <c r="H205" s="981"/>
    </row>
    <row r="206" spans="1:8" ht="15.75">
      <c r="A206" s="954"/>
      <c r="B206" s="954"/>
      <c r="C206" s="981"/>
      <c r="D206" s="981"/>
      <c r="E206" s="981"/>
      <c r="F206" s="981"/>
      <c r="G206" s="981"/>
      <c r="H206" s="981"/>
    </row>
    <row r="207" spans="1:8" ht="15.75">
      <c r="A207" s="954"/>
      <c r="B207" s="954"/>
      <c r="C207" s="981"/>
      <c r="D207" s="981"/>
      <c r="E207" s="981"/>
      <c r="F207" s="981"/>
      <c r="G207" s="981"/>
      <c r="H207" s="981"/>
    </row>
    <row r="208" spans="1:8" ht="15.75">
      <c r="A208" s="954"/>
      <c r="B208" s="954"/>
      <c r="C208" s="981"/>
      <c r="D208" s="981"/>
      <c r="E208" s="981"/>
      <c r="F208" s="981"/>
      <c r="G208" s="981"/>
      <c r="H208" s="981"/>
    </row>
    <row r="209" spans="1:8" ht="15.75">
      <c r="A209" s="954"/>
      <c r="B209" s="954"/>
      <c r="C209" s="981"/>
      <c r="D209" s="981"/>
      <c r="E209" s="981"/>
      <c r="F209" s="981"/>
      <c r="G209" s="981"/>
      <c r="H209" s="981"/>
    </row>
  </sheetData>
  <pageMargins left="0.31496062992125984" right="0.23622047244094491" top="0.74803149606299213" bottom="0.74803149606299213" header="0.31496062992125984" footer="0.31496062992125984"/>
  <pageSetup paperSize="9" scale="90" orientation="landscape" r:id="rId1"/>
  <rowBreaks count="6" manualBreakCount="6">
    <brk id="20" max="16383" man="1"/>
    <brk id="45" max="16383" man="1"/>
    <brk id="59" max="16383" man="1"/>
    <brk id="79" max="16383" man="1"/>
    <brk id="98" max="16383" man="1"/>
    <brk id="126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171"/>
  <sheetViews>
    <sheetView topLeftCell="A3" zoomScale="150" zoomScaleNormal="150" workbookViewId="0">
      <selection activeCell="C156" sqref="C156"/>
    </sheetView>
  </sheetViews>
  <sheetFormatPr defaultColWidth="11.42578125" defaultRowHeight="15"/>
  <cols>
    <col min="1" max="1" width="4.85546875" customWidth="1"/>
    <col min="2" max="2" width="29.7109375" customWidth="1"/>
    <col min="3" max="3" width="24" customWidth="1"/>
    <col min="4" max="10" width="14.140625" hidden="1" customWidth="1"/>
    <col min="11" max="15" width="13.140625" hidden="1" customWidth="1"/>
    <col min="16" max="16" width="25.140625" customWidth="1"/>
    <col min="17" max="17" width="5.42578125" customWidth="1"/>
    <col min="18" max="18" width="14" customWidth="1"/>
  </cols>
  <sheetData>
    <row r="1" spans="1:17" ht="14.1" customHeight="1">
      <c r="B1" s="1109" t="s">
        <v>4499</v>
      </c>
      <c r="C1" s="1109"/>
      <c r="D1" s="1109"/>
      <c r="E1" s="1109"/>
      <c r="F1" s="1109"/>
      <c r="G1" s="1109"/>
    </row>
    <row r="2" spans="1:17" ht="26.25">
      <c r="A2" s="361" t="s">
        <v>4328</v>
      </c>
      <c r="B2" s="361" t="s">
        <v>4329</v>
      </c>
      <c r="C2" s="400" t="s">
        <v>4500</v>
      </c>
      <c r="D2" s="351" t="s">
        <v>4316</v>
      </c>
      <c r="E2" s="351" t="s">
        <v>4317</v>
      </c>
      <c r="F2" s="351" t="s">
        <v>4318</v>
      </c>
      <c r="G2" s="351" t="s">
        <v>4319</v>
      </c>
      <c r="H2" s="351" t="s">
        <v>4320</v>
      </c>
      <c r="I2" s="351" t="s">
        <v>4321</v>
      </c>
      <c r="J2" s="362" t="s">
        <v>4322</v>
      </c>
      <c r="K2" s="351" t="s">
        <v>4323</v>
      </c>
      <c r="L2" s="351" t="s">
        <v>4480</v>
      </c>
      <c r="M2" s="351" t="s">
        <v>4325</v>
      </c>
      <c r="N2" s="351" t="s">
        <v>4326</v>
      </c>
      <c r="O2" s="351" t="s">
        <v>4327</v>
      </c>
      <c r="P2" s="401" t="s">
        <v>4501</v>
      </c>
    </row>
    <row r="3" spans="1:17">
      <c r="A3" s="363">
        <v>1</v>
      </c>
      <c r="B3" s="398" t="s">
        <v>4331</v>
      </c>
      <c r="C3" s="402">
        <v>88996962</v>
      </c>
      <c r="D3" s="357">
        <v>6719755</v>
      </c>
      <c r="E3" s="357">
        <v>6719755</v>
      </c>
      <c r="F3" s="357">
        <v>6995291</v>
      </c>
      <c r="G3" s="357">
        <v>7009375</v>
      </c>
      <c r="H3" s="359">
        <v>7064106</v>
      </c>
      <c r="I3" s="357">
        <v>9947610</v>
      </c>
      <c r="J3" s="357">
        <v>7064263</v>
      </c>
      <c r="K3" s="357">
        <v>9947816</v>
      </c>
      <c r="L3" s="364">
        <v>9947816</v>
      </c>
      <c r="M3" s="364">
        <v>9947816</v>
      </c>
      <c r="N3" s="364">
        <v>9947816</v>
      </c>
      <c r="O3" s="364">
        <v>9947816</v>
      </c>
      <c r="P3" s="397">
        <f>SUM(D3:O3)</f>
        <v>101259235</v>
      </c>
      <c r="Q3" s="407">
        <f>3</f>
        <v>3</v>
      </c>
    </row>
    <row r="4" spans="1:17">
      <c r="A4" s="363">
        <f>A3+1</f>
        <v>2</v>
      </c>
      <c r="B4" s="398" t="s">
        <v>4332</v>
      </c>
      <c r="C4" s="402">
        <v>0</v>
      </c>
      <c r="D4" s="357">
        <v>0</v>
      </c>
      <c r="E4" s="357">
        <v>0</v>
      </c>
      <c r="F4" s="357">
        <v>0</v>
      </c>
      <c r="G4" s="357">
        <v>0</v>
      </c>
      <c r="H4" s="357">
        <v>0</v>
      </c>
      <c r="I4" s="357">
        <v>0</v>
      </c>
      <c r="J4" s="357">
        <v>0</v>
      </c>
      <c r="K4" s="357">
        <v>0</v>
      </c>
      <c r="L4" s="364">
        <v>0</v>
      </c>
      <c r="M4" s="359">
        <v>0</v>
      </c>
      <c r="N4" s="359">
        <v>0</v>
      </c>
      <c r="O4" s="359">
        <v>0</v>
      </c>
      <c r="P4" s="393">
        <f t="shared" ref="P4:P67" si="0">SUM(D4:O4)</f>
        <v>0</v>
      </c>
      <c r="Q4" s="406">
        <f>Q3+1</f>
        <v>4</v>
      </c>
    </row>
    <row r="5" spans="1:17">
      <c r="A5" s="363">
        <f t="shared" ref="A5:A68" si="1">A4+1</f>
        <v>3</v>
      </c>
      <c r="B5" s="398" t="s">
        <v>4333</v>
      </c>
      <c r="C5" s="402">
        <v>23410131</v>
      </c>
      <c r="D5" s="357">
        <v>1587749</v>
      </c>
      <c r="E5" s="357">
        <v>1587747</v>
      </c>
      <c r="F5" s="357">
        <v>1680919</v>
      </c>
      <c r="G5" s="357">
        <v>1680919</v>
      </c>
      <c r="H5" s="357">
        <v>1691174</v>
      </c>
      <c r="I5" s="357">
        <v>1733862</v>
      </c>
      <c r="J5" s="357">
        <v>1733885</v>
      </c>
      <c r="K5" s="357">
        <v>1733885</v>
      </c>
      <c r="L5" s="364">
        <v>1733885</v>
      </c>
      <c r="M5" s="364">
        <v>1733885</v>
      </c>
      <c r="N5" s="364">
        <v>1733885</v>
      </c>
      <c r="O5" s="364">
        <v>1733885</v>
      </c>
      <c r="P5" s="393">
        <f t="shared" si="0"/>
        <v>20365680</v>
      </c>
      <c r="Q5" s="406">
        <f t="shared" ref="Q5:Q68" si="2">Q4+1</f>
        <v>5</v>
      </c>
    </row>
    <row r="6" spans="1:17">
      <c r="A6" s="363">
        <f t="shared" si="1"/>
        <v>4</v>
      </c>
      <c r="B6" s="398" t="s">
        <v>4334</v>
      </c>
      <c r="C6" s="402">
        <v>33837219</v>
      </c>
      <c r="D6" s="357">
        <v>2475642</v>
      </c>
      <c r="E6" s="357">
        <v>2475642</v>
      </c>
      <c r="F6" s="357">
        <v>2719959</v>
      </c>
      <c r="G6" s="357">
        <v>2719951</v>
      </c>
      <c r="H6" s="357">
        <v>2730214</v>
      </c>
      <c r="I6" s="357">
        <v>2770519</v>
      </c>
      <c r="J6" s="357">
        <v>2590450</v>
      </c>
      <c r="K6" s="357">
        <v>2590540</v>
      </c>
      <c r="L6" s="364">
        <v>2770540</v>
      </c>
      <c r="M6" s="364">
        <v>2770540</v>
      </c>
      <c r="N6" s="364">
        <v>2770540</v>
      </c>
      <c r="O6" s="364">
        <v>2420540</v>
      </c>
      <c r="P6" s="393">
        <f t="shared" si="0"/>
        <v>31805077</v>
      </c>
      <c r="Q6" s="406">
        <f t="shared" si="2"/>
        <v>6</v>
      </c>
    </row>
    <row r="7" spans="1:17">
      <c r="A7" s="363">
        <f t="shared" si="1"/>
        <v>5</v>
      </c>
      <c r="B7" s="398" t="s">
        <v>4335</v>
      </c>
      <c r="C7" s="402">
        <v>9901145</v>
      </c>
      <c r="D7" s="357">
        <v>3555235</v>
      </c>
      <c r="E7" s="357">
        <v>3555844</v>
      </c>
      <c r="F7" s="357">
        <v>2568709</v>
      </c>
      <c r="G7" s="357">
        <v>3568709</v>
      </c>
      <c r="H7" s="357">
        <v>670260</v>
      </c>
      <c r="I7" s="357">
        <v>747938</v>
      </c>
      <c r="J7" s="357">
        <v>747941</v>
      </c>
      <c r="K7" s="357">
        <v>747941</v>
      </c>
      <c r="L7" s="364">
        <v>747941</v>
      </c>
      <c r="M7" s="364">
        <v>747941</v>
      </c>
      <c r="N7" s="364">
        <v>747941</v>
      </c>
      <c r="O7" s="364">
        <v>747941</v>
      </c>
      <c r="P7" s="397">
        <f t="shared" si="0"/>
        <v>19154341</v>
      </c>
      <c r="Q7" s="406">
        <f t="shared" si="2"/>
        <v>7</v>
      </c>
    </row>
    <row r="8" spans="1:17">
      <c r="A8" s="363">
        <f t="shared" si="1"/>
        <v>6</v>
      </c>
      <c r="B8" s="398" t="s">
        <v>4336</v>
      </c>
      <c r="C8" s="402">
        <v>4508371</v>
      </c>
      <c r="D8" s="357">
        <v>289948</v>
      </c>
      <c r="E8" s="357">
        <v>289948</v>
      </c>
      <c r="F8" s="357">
        <v>303258</v>
      </c>
      <c r="G8" s="357">
        <v>305224</v>
      </c>
      <c r="H8" s="357">
        <v>305224</v>
      </c>
      <c r="I8" s="357">
        <v>305224</v>
      </c>
      <c r="J8" s="357">
        <v>305226</v>
      </c>
      <c r="K8" s="357">
        <v>305226</v>
      </c>
      <c r="L8" s="364">
        <v>305226</v>
      </c>
      <c r="M8" s="364">
        <v>305226</v>
      </c>
      <c r="N8" s="364">
        <v>305226</v>
      </c>
      <c r="O8" s="364">
        <v>305226</v>
      </c>
      <c r="P8" s="393">
        <f t="shared" si="0"/>
        <v>3630182</v>
      </c>
      <c r="Q8" s="406">
        <f t="shared" si="2"/>
        <v>8</v>
      </c>
    </row>
    <row r="9" spans="1:17">
      <c r="A9" s="363">
        <f t="shared" si="1"/>
        <v>7</v>
      </c>
      <c r="B9" s="398" t="s">
        <v>4337</v>
      </c>
      <c r="C9" s="402">
        <v>196590146</v>
      </c>
      <c r="D9" s="357">
        <v>14580845</v>
      </c>
      <c r="E9" s="357">
        <v>14580845</v>
      </c>
      <c r="F9" s="357">
        <v>11505808</v>
      </c>
      <c r="G9" s="357">
        <v>11562332</v>
      </c>
      <c r="H9" s="357">
        <v>11541058</v>
      </c>
      <c r="I9" s="357">
        <v>11740136</v>
      </c>
      <c r="J9" s="357">
        <v>11761755</v>
      </c>
      <c r="K9" s="357">
        <v>11761755</v>
      </c>
      <c r="L9" s="364">
        <v>11761755</v>
      </c>
      <c r="M9" s="364">
        <v>11761755</v>
      </c>
      <c r="N9" s="364">
        <v>11761755</v>
      </c>
      <c r="O9" s="364">
        <v>11761755</v>
      </c>
      <c r="P9" s="393">
        <f t="shared" si="0"/>
        <v>146081554</v>
      </c>
      <c r="Q9" s="406">
        <f t="shared" si="2"/>
        <v>9</v>
      </c>
    </row>
    <row r="10" spans="1:17">
      <c r="A10" s="363">
        <f t="shared" si="1"/>
        <v>8</v>
      </c>
      <c r="B10" s="398" t="s">
        <v>4338</v>
      </c>
      <c r="C10" s="402">
        <v>7933060</v>
      </c>
      <c r="D10" s="357">
        <v>493209</v>
      </c>
      <c r="E10" s="357">
        <v>493209</v>
      </c>
      <c r="F10" s="357">
        <v>534747</v>
      </c>
      <c r="G10" s="357">
        <v>547643</v>
      </c>
      <c r="H10" s="357">
        <v>530699</v>
      </c>
      <c r="I10" s="357">
        <v>551307</v>
      </c>
      <c r="J10" s="357">
        <v>551316</v>
      </c>
      <c r="K10" s="357">
        <v>551316</v>
      </c>
      <c r="L10" s="364">
        <v>551316</v>
      </c>
      <c r="M10" s="364">
        <v>551316</v>
      </c>
      <c r="N10" s="364">
        <v>551316</v>
      </c>
      <c r="O10" s="364">
        <v>551316</v>
      </c>
      <c r="P10" s="393">
        <f t="shared" si="0"/>
        <v>6458710</v>
      </c>
      <c r="Q10" s="406">
        <f t="shared" si="2"/>
        <v>10</v>
      </c>
    </row>
    <row r="11" spans="1:17" ht="30">
      <c r="A11" s="363">
        <f t="shared" si="1"/>
        <v>9</v>
      </c>
      <c r="B11" s="398" t="s">
        <v>4339</v>
      </c>
      <c r="C11" s="402">
        <v>30527570</v>
      </c>
      <c r="D11" s="357">
        <v>2187116</v>
      </c>
      <c r="E11" s="357">
        <v>2187116</v>
      </c>
      <c r="F11" s="357">
        <v>2294224</v>
      </c>
      <c r="G11" s="357">
        <v>2349479</v>
      </c>
      <c r="H11" s="357">
        <v>2349479</v>
      </c>
      <c r="I11" s="357">
        <v>2517008</v>
      </c>
      <c r="J11" s="357">
        <v>2508585</v>
      </c>
      <c r="K11" s="357">
        <v>2512034</v>
      </c>
      <c r="L11" s="364">
        <v>2517034</v>
      </c>
      <c r="M11" s="359">
        <v>2472826</v>
      </c>
      <c r="N11" s="359">
        <v>2472826</v>
      </c>
      <c r="O11" s="359">
        <v>2472826</v>
      </c>
      <c r="P11" s="393">
        <f t="shared" si="0"/>
        <v>28840553</v>
      </c>
      <c r="Q11" s="406">
        <f t="shared" si="2"/>
        <v>11</v>
      </c>
    </row>
    <row r="12" spans="1:17">
      <c r="A12" s="363">
        <f t="shared" si="1"/>
        <v>10</v>
      </c>
      <c r="B12" s="398" t="s">
        <v>4340</v>
      </c>
      <c r="C12" s="402">
        <v>36071369</v>
      </c>
      <c r="D12" s="357">
        <v>2835511</v>
      </c>
      <c r="E12" s="357">
        <v>2835511</v>
      </c>
      <c r="F12" s="357">
        <v>2928865</v>
      </c>
      <c r="G12" s="357">
        <v>295373</v>
      </c>
      <c r="H12" s="357">
        <v>295373</v>
      </c>
      <c r="I12" s="357">
        <v>295373</v>
      </c>
      <c r="J12" s="357">
        <v>295380</v>
      </c>
      <c r="K12" s="357">
        <v>295380</v>
      </c>
      <c r="L12" s="364">
        <v>295380</v>
      </c>
      <c r="M12" s="364">
        <v>295380</v>
      </c>
      <c r="N12" s="364">
        <v>295380</v>
      </c>
      <c r="O12" s="364">
        <v>295380</v>
      </c>
      <c r="P12" s="393">
        <f t="shared" si="0"/>
        <v>11258286</v>
      </c>
      <c r="Q12" s="406">
        <f t="shared" si="2"/>
        <v>12</v>
      </c>
    </row>
    <row r="13" spans="1:17">
      <c r="A13" s="363">
        <f t="shared" si="1"/>
        <v>11</v>
      </c>
      <c r="B13" s="398" t="s">
        <v>4341</v>
      </c>
      <c r="C13" s="402">
        <v>35350788</v>
      </c>
      <c r="D13" s="357">
        <v>2662352</v>
      </c>
      <c r="E13" s="357">
        <v>2662352</v>
      </c>
      <c r="F13" s="357">
        <v>482298</v>
      </c>
      <c r="G13" s="357">
        <v>489334</v>
      </c>
      <c r="H13" s="357">
        <v>453780</v>
      </c>
      <c r="I13" s="357">
        <v>493049</v>
      </c>
      <c r="J13" s="357">
        <v>543421</v>
      </c>
      <c r="K13" s="357">
        <v>523249</v>
      </c>
      <c r="L13" s="364">
        <v>532249</v>
      </c>
      <c r="M13" s="364">
        <v>532249</v>
      </c>
      <c r="N13" s="364">
        <v>532249</v>
      </c>
      <c r="O13" s="364">
        <v>532249</v>
      </c>
      <c r="P13" s="393">
        <f t="shared" si="0"/>
        <v>10438831</v>
      </c>
      <c r="Q13" s="406">
        <f t="shared" si="2"/>
        <v>13</v>
      </c>
    </row>
    <row r="14" spans="1:17">
      <c r="A14" s="363">
        <f t="shared" si="1"/>
        <v>12</v>
      </c>
      <c r="B14" s="398" t="s">
        <v>4342</v>
      </c>
      <c r="C14" s="402">
        <v>780037</v>
      </c>
      <c r="D14" s="357">
        <v>0</v>
      </c>
      <c r="E14" s="357">
        <v>0</v>
      </c>
      <c r="F14" s="357">
        <v>0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64">
        <v>0</v>
      </c>
      <c r="M14" s="359">
        <v>0</v>
      </c>
      <c r="N14" s="359">
        <v>0</v>
      </c>
      <c r="O14" s="359">
        <v>0</v>
      </c>
      <c r="P14" s="393">
        <f t="shared" si="0"/>
        <v>0</v>
      </c>
      <c r="Q14" s="406">
        <f t="shared" si="2"/>
        <v>14</v>
      </c>
    </row>
    <row r="15" spans="1:17">
      <c r="A15" s="363">
        <f t="shared" si="1"/>
        <v>13</v>
      </c>
      <c r="B15" s="398" t="s">
        <v>4343</v>
      </c>
      <c r="C15" s="402">
        <v>16871366</v>
      </c>
      <c r="D15" s="357">
        <v>1313547</v>
      </c>
      <c r="E15" s="357">
        <v>1313547</v>
      </c>
      <c r="F15" s="357">
        <v>1418836</v>
      </c>
      <c r="G15" s="357">
        <v>1419981</v>
      </c>
      <c r="H15" s="357">
        <v>1427790</v>
      </c>
      <c r="I15" s="357">
        <v>1488034</v>
      </c>
      <c r="J15" s="357">
        <v>1488063</v>
      </c>
      <c r="K15" s="357">
        <v>1488063</v>
      </c>
      <c r="L15" s="364">
        <v>1301558</v>
      </c>
      <c r="M15" s="357">
        <v>1488063</v>
      </c>
      <c r="N15" s="357">
        <v>1491063</v>
      </c>
      <c r="O15" s="357">
        <v>1491063</v>
      </c>
      <c r="P15" s="397">
        <f t="shared" si="0"/>
        <v>17129608</v>
      </c>
      <c r="Q15" s="406">
        <f t="shared" si="2"/>
        <v>15</v>
      </c>
    </row>
    <row r="16" spans="1:17">
      <c r="A16" s="363">
        <f t="shared" si="1"/>
        <v>14</v>
      </c>
      <c r="B16" s="398" t="s">
        <v>4344</v>
      </c>
      <c r="C16" s="402">
        <v>830301190</v>
      </c>
      <c r="D16" s="357">
        <v>68927905</v>
      </c>
      <c r="E16" s="357">
        <v>68927904</v>
      </c>
      <c r="F16" s="357">
        <v>66452109</v>
      </c>
      <c r="G16" s="357">
        <v>66452102</v>
      </c>
      <c r="H16" s="357">
        <v>66452672</v>
      </c>
      <c r="I16" s="357">
        <v>66477418</v>
      </c>
      <c r="J16" s="357">
        <v>66477430</v>
      </c>
      <c r="K16" s="357">
        <v>74024431</v>
      </c>
      <c r="L16" s="364">
        <v>63394431</v>
      </c>
      <c r="M16" s="357">
        <v>66477431</v>
      </c>
      <c r="N16" s="357">
        <v>66477431</v>
      </c>
      <c r="O16" s="357">
        <v>66477431</v>
      </c>
      <c r="P16" s="393">
        <f t="shared" si="0"/>
        <v>807018695</v>
      </c>
      <c r="Q16" s="406">
        <f t="shared" si="2"/>
        <v>16</v>
      </c>
    </row>
    <row r="17" spans="1:17">
      <c r="A17" s="363">
        <f t="shared" si="1"/>
        <v>15</v>
      </c>
      <c r="B17" s="398" t="s">
        <v>4346</v>
      </c>
      <c r="C17" s="402">
        <v>999305972</v>
      </c>
      <c r="D17" s="357">
        <v>41282979</v>
      </c>
      <c r="E17" s="357">
        <v>41602198</v>
      </c>
      <c r="F17" s="357">
        <v>34306774</v>
      </c>
      <c r="G17" s="357">
        <v>46368304</v>
      </c>
      <c r="H17" s="357">
        <v>46119054</v>
      </c>
      <c r="I17" s="357">
        <v>44838518</v>
      </c>
      <c r="J17" s="357">
        <v>44936027</v>
      </c>
      <c r="K17" s="357">
        <v>44281151</v>
      </c>
      <c r="L17" s="364">
        <v>43751053</v>
      </c>
      <c r="M17" s="357">
        <v>42677647</v>
      </c>
      <c r="N17" s="357">
        <v>42888915</v>
      </c>
      <c r="O17" s="357">
        <v>43163835</v>
      </c>
      <c r="P17" s="393">
        <f t="shared" si="0"/>
        <v>516216455</v>
      </c>
      <c r="Q17" s="406">
        <f t="shared" si="2"/>
        <v>17</v>
      </c>
    </row>
    <row r="18" spans="1:17">
      <c r="A18" s="363">
        <f t="shared" si="1"/>
        <v>16</v>
      </c>
      <c r="B18" s="398" t="s">
        <v>4347</v>
      </c>
      <c r="C18" s="402">
        <v>14072117</v>
      </c>
      <c r="D18" s="357">
        <v>1071485</v>
      </c>
      <c r="E18" s="357">
        <v>1071484</v>
      </c>
      <c r="F18" s="357">
        <v>1161834</v>
      </c>
      <c r="G18" s="357">
        <v>1175005</v>
      </c>
      <c r="H18" s="357">
        <v>1175005</v>
      </c>
      <c r="I18" s="357">
        <v>1194897</v>
      </c>
      <c r="J18" s="357">
        <v>1914906</v>
      </c>
      <c r="K18" s="357">
        <v>1194907</v>
      </c>
      <c r="L18" s="357">
        <v>1194907</v>
      </c>
      <c r="M18" s="364">
        <v>1142855</v>
      </c>
      <c r="N18" s="364">
        <v>1118334</v>
      </c>
      <c r="O18" s="364">
        <v>1118334</v>
      </c>
      <c r="P18" s="397">
        <f t="shared" si="0"/>
        <v>14533953</v>
      </c>
      <c r="Q18" s="406">
        <f t="shared" si="2"/>
        <v>18</v>
      </c>
    </row>
    <row r="19" spans="1:17">
      <c r="A19" s="363">
        <f t="shared" si="1"/>
        <v>17</v>
      </c>
      <c r="B19" s="398" t="s">
        <v>4348</v>
      </c>
      <c r="C19" s="402">
        <v>32824640</v>
      </c>
      <c r="D19" s="357">
        <v>2796931</v>
      </c>
      <c r="E19" s="357">
        <v>2651742</v>
      </c>
      <c r="F19" s="357">
        <v>2830996</v>
      </c>
      <c r="G19" s="357">
        <v>2860286</v>
      </c>
      <c r="H19" s="357">
        <v>2927891</v>
      </c>
      <c r="I19" s="357">
        <v>3021574</v>
      </c>
      <c r="J19" s="357">
        <v>3021595</v>
      </c>
      <c r="K19" s="357">
        <v>3021595</v>
      </c>
      <c r="L19" s="364">
        <v>3021595</v>
      </c>
      <c r="M19" s="364">
        <v>3021595</v>
      </c>
      <c r="N19" s="364">
        <v>2944757</v>
      </c>
      <c r="O19" s="364">
        <v>2944757</v>
      </c>
      <c r="P19" s="397">
        <f t="shared" si="0"/>
        <v>35065314</v>
      </c>
      <c r="Q19" s="406">
        <f t="shared" si="2"/>
        <v>19</v>
      </c>
    </row>
    <row r="20" spans="1:17">
      <c r="A20" s="363">
        <f t="shared" si="1"/>
        <v>18</v>
      </c>
      <c r="B20" s="398" t="s">
        <v>4349</v>
      </c>
      <c r="C20" s="402">
        <v>12904749</v>
      </c>
      <c r="D20" s="357">
        <v>947650</v>
      </c>
      <c r="E20" s="357">
        <v>947650</v>
      </c>
      <c r="F20" s="357">
        <v>973374</v>
      </c>
      <c r="G20" s="357">
        <v>973374</v>
      </c>
      <c r="H20" s="357">
        <v>782040</v>
      </c>
      <c r="I20" s="357">
        <v>982040</v>
      </c>
      <c r="J20" s="357">
        <v>982057</v>
      </c>
      <c r="K20" s="357">
        <v>982057</v>
      </c>
      <c r="L20" s="364">
        <v>982057</v>
      </c>
      <c r="M20" s="364">
        <v>982057</v>
      </c>
      <c r="N20" s="364">
        <v>982057</v>
      </c>
      <c r="O20" s="364">
        <v>982057</v>
      </c>
      <c r="P20" s="393">
        <f t="shared" si="0"/>
        <v>11498470</v>
      </c>
      <c r="Q20" s="406">
        <f t="shared" si="2"/>
        <v>20</v>
      </c>
    </row>
    <row r="21" spans="1:17">
      <c r="A21" s="363">
        <f t="shared" si="1"/>
        <v>19</v>
      </c>
      <c r="B21" s="398" t="s">
        <v>4350</v>
      </c>
      <c r="C21" s="402">
        <v>37931246</v>
      </c>
      <c r="D21" s="357">
        <v>2788781</v>
      </c>
      <c r="E21" s="357">
        <v>2766466</v>
      </c>
      <c r="F21" s="357">
        <v>2903981</v>
      </c>
      <c r="G21" s="357">
        <v>2869116</v>
      </c>
      <c r="H21" s="357">
        <v>2812711</v>
      </c>
      <c r="I21" s="357">
        <v>2777422</v>
      </c>
      <c r="J21" s="357">
        <v>2777430</v>
      </c>
      <c r="K21" s="357">
        <v>2777430</v>
      </c>
      <c r="L21" s="364">
        <v>2844769</v>
      </c>
      <c r="M21" s="364">
        <v>2844769</v>
      </c>
      <c r="N21" s="364">
        <v>2844769</v>
      </c>
      <c r="O21" s="364">
        <v>2715293</v>
      </c>
      <c r="P21" s="393">
        <f t="shared" si="0"/>
        <v>33722937</v>
      </c>
      <c r="Q21" s="406">
        <f t="shared" si="2"/>
        <v>21</v>
      </c>
    </row>
    <row r="22" spans="1:17">
      <c r="A22" s="363">
        <f t="shared" si="1"/>
        <v>20</v>
      </c>
      <c r="B22" s="398" t="s">
        <v>4351</v>
      </c>
      <c r="C22" s="402">
        <v>15266472</v>
      </c>
      <c r="D22" s="357">
        <v>1136342</v>
      </c>
      <c r="E22" s="357">
        <v>1136342</v>
      </c>
      <c r="F22" s="357">
        <v>1230819</v>
      </c>
      <c r="G22" s="357">
        <v>1230819</v>
      </c>
      <c r="H22" s="357">
        <v>1235294</v>
      </c>
      <c r="I22" s="357">
        <v>1244518</v>
      </c>
      <c r="J22" s="357">
        <v>1244539</v>
      </c>
      <c r="K22" s="357">
        <v>1036858</v>
      </c>
      <c r="L22" s="364">
        <v>1244523</v>
      </c>
      <c r="M22" s="364">
        <v>1244523</v>
      </c>
      <c r="N22" s="364">
        <v>1244523</v>
      </c>
      <c r="O22" s="364">
        <v>1244523</v>
      </c>
      <c r="P22" s="393">
        <f t="shared" si="0"/>
        <v>14473623</v>
      </c>
      <c r="Q22" s="406">
        <f t="shared" si="2"/>
        <v>22</v>
      </c>
    </row>
    <row r="23" spans="1:17">
      <c r="A23" s="363">
        <f t="shared" si="1"/>
        <v>21</v>
      </c>
      <c r="B23" s="398" t="s">
        <v>4352</v>
      </c>
      <c r="C23" s="402">
        <v>44143088</v>
      </c>
      <c r="D23" s="357">
        <v>3372384</v>
      </c>
      <c r="E23" s="357">
        <v>3306884</v>
      </c>
      <c r="F23" s="357">
        <v>3319101</v>
      </c>
      <c r="G23" s="357">
        <v>3321420</v>
      </c>
      <c r="H23" s="357">
        <v>3321417</v>
      </c>
      <c r="I23" s="357">
        <v>3321417</v>
      </c>
      <c r="J23" s="357">
        <v>3321424</v>
      </c>
      <c r="K23" s="357">
        <v>3321424</v>
      </c>
      <c r="L23" s="364">
        <v>3321424</v>
      </c>
      <c r="M23" s="364">
        <v>3321424</v>
      </c>
      <c r="N23" s="357">
        <v>2971676</v>
      </c>
      <c r="O23" s="357">
        <v>2971676</v>
      </c>
      <c r="P23" s="393">
        <f t="shared" si="0"/>
        <v>39191671</v>
      </c>
      <c r="Q23" s="406">
        <f t="shared" si="2"/>
        <v>23</v>
      </c>
    </row>
    <row r="24" spans="1:17">
      <c r="A24" s="363">
        <f t="shared" si="1"/>
        <v>22</v>
      </c>
      <c r="B24" s="398" t="s">
        <v>4353</v>
      </c>
      <c r="C24" s="402">
        <v>1730200000</v>
      </c>
      <c r="D24" s="357">
        <v>114077942</v>
      </c>
      <c r="E24" s="357">
        <v>114077942</v>
      </c>
      <c r="F24" s="357">
        <v>130252942</v>
      </c>
      <c r="G24" s="357">
        <v>155921443</v>
      </c>
      <c r="H24" s="357">
        <v>166008752</v>
      </c>
      <c r="I24" s="357">
        <v>170633874</v>
      </c>
      <c r="J24" s="357">
        <v>168559521</v>
      </c>
      <c r="K24" s="357">
        <v>185746950</v>
      </c>
      <c r="L24" s="364">
        <v>187672288</v>
      </c>
      <c r="M24" s="357">
        <v>190144126</v>
      </c>
      <c r="N24" s="357">
        <v>185550238</v>
      </c>
      <c r="O24" s="357">
        <v>185026235</v>
      </c>
      <c r="P24" s="397">
        <f t="shared" si="0"/>
        <v>1953672253</v>
      </c>
      <c r="Q24" s="406">
        <f t="shared" si="2"/>
        <v>24</v>
      </c>
    </row>
    <row r="25" spans="1:17">
      <c r="A25" s="363">
        <f t="shared" si="1"/>
        <v>23</v>
      </c>
      <c r="B25" s="398" t="s">
        <v>4354</v>
      </c>
      <c r="C25" s="402">
        <v>0</v>
      </c>
      <c r="D25" s="357">
        <v>0</v>
      </c>
      <c r="E25" s="357">
        <v>0</v>
      </c>
      <c r="F25" s="357">
        <v>0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64">
        <v>0</v>
      </c>
      <c r="M25" s="357">
        <v>0</v>
      </c>
      <c r="N25" s="357">
        <v>0</v>
      </c>
      <c r="O25" s="359">
        <v>0</v>
      </c>
      <c r="P25" s="393">
        <f t="shared" si="0"/>
        <v>0</v>
      </c>
      <c r="Q25" s="406">
        <f t="shared" si="2"/>
        <v>25</v>
      </c>
    </row>
    <row r="26" spans="1:17">
      <c r="A26" s="363">
        <f t="shared" si="1"/>
        <v>24</v>
      </c>
      <c r="B26" s="398" t="s">
        <v>4355</v>
      </c>
      <c r="C26" s="402">
        <v>1687913</v>
      </c>
      <c r="D26" s="357">
        <v>86583</v>
      </c>
      <c r="E26" s="357">
        <v>86583</v>
      </c>
      <c r="F26" s="357">
        <v>88882</v>
      </c>
      <c r="G26" s="357">
        <v>88882</v>
      </c>
      <c r="H26" s="357">
        <v>89776</v>
      </c>
      <c r="I26" s="357">
        <v>111217</v>
      </c>
      <c r="J26" s="357">
        <v>111218</v>
      </c>
      <c r="K26" s="357">
        <v>111218</v>
      </c>
      <c r="L26" s="364">
        <v>111218</v>
      </c>
      <c r="M26" s="364">
        <v>111218</v>
      </c>
      <c r="N26" s="364">
        <v>111218</v>
      </c>
      <c r="O26" s="364">
        <v>111218</v>
      </c>
      <c r="P26" s="393">
        <f t="shared" si="0"/>
        <v>1219231</v>
      </c>
      <c r="Q26" s="406">
        <f t="shared" si="2"/>
        <v>26</v>
      </c>
    </row>
    <row r="27" spans="1:17">
      <c r="A27" s="363">
        <f t="shared" si="1"/>
        <v>25</v>
      </c>
      <c r="B27" s="398" t="s">
        <v>4356</v>
      </c>
      <c r="C27" s="402">
        <v>0</v>
      </c>
      <c r="D27" s="357">
        <v>0</v>
      </c>
      <c r="E27" s="357">
        <v>0</v>
      </c>
      <c r="F27" s="357">
        <v>0</v>
      </c>
      <c r="G27" s="357">
        <v>0</v>
      </c>
      <c r="H27" s="357">
        <v>0</v>
      </c>
      <c r="I27" s="357">
        <v>0</v>
      </c>
      <c r="J27" s="357">
        <v>0</v>
      </c>
      <c r="K27" s="357">
        <v>0</v>
      </c>
      <c r="L27" s="364">
        <v>0</v>
      </c>
      <c r="M27" s="357">
        <v>0</v>
      </c>
      <c r="N27" s="357">
        <v>0</v>
      </c>
      <c r="O27" s="359">
        <v>0</v>
      </c>
      <c r="P27" s="393">
        <f t="shared" si="0"/>
        <v>0</v>
      </c>
      <c r="Q27" s="406">
        <f t="shared" si="2"/>
        <v>27</v>
      </c>
    </row>
    <row r="28" spans="1:17">
      <c r="A28" s="363">
        <f t="shared" si="1"/>
        <v>26</v>
      </c>
      <c r="B28" s="398" t="s">
        <v>4357</v>
      </c>
      <c r="C28" s="402">
        <v>75072860</v>
      </c>
      <c r="D28" s="357">
        <v>5662131</v>
      </c>
      <c r="E28" s="357">
        <v>5649065</v>
      </c>
      <c r="F28" s="357">
        <v>6033813</v>
      </c>
      <c r="G28" s="357">
        <v>6033813</v>
      </c>
      <c r="H28" s="357">
        <v>6060280</v>
      </c>
      <c r="I28" s="357">
        <v>6060280</v>
      </c>
      <c r="J28" s="357">
        <v>6060327</v>
      </c>
      <c r="K28" s="357">
        <v>6060327</v>
      </c>
      <c r="L28" s="364">
        <v>6036217</v>
      </c>
      <c r="M28" s="364">
        <v>6036217</v>
      </c>
      <c r="N28" s="357">
        <v>5860973</v>
      </c>
      <c r="O28" s="357">
        <v>5806429</v>
      </c>
      <c r="P28" s="393">
        <f t="shared" si="0"/>
        <v>71359872</v>
      </c>
      <c r="Q28" s="406">
        <f t="shared" si="2"/>
        <v>28</v>
      </c>
    </row>
    <row r="29" spans="1:17">
      <c r="A29" s="363">
        <f t="shared" si="1"/>
        <v>27</v>
      </c>
      <c r="B29" s="398" t="s">
        <v>4358</v>
      </c>
      <c r="C29" s="402">
        <v>170541525</v>
      </c>
      <c r="D29" s="357">
        <v>15349109</v>
      </c>
      <c r="E29" s="357">
        <v>15694899</v>
      </c>
      <c r="F29" s="357">
        <v>17035936</v>
      </c>
      <c r="G29" s="357">
        <v>17346325</v>
      </c>
      <c r="H29" s="357">
        <v>17542715</v>
      </c>
      <c r="I29" s="357">
        <v>21091927</v>
      </c>
      <c r="J29" s="357">
        <v>20198919</v>
      </c>
      <c r="K29" s="357">
        <v>20391795</v>
      </c>
      <c r="L29" s="364">
        <v>20332410</v>
      </c>
      <c r="M29" s="357">
        <v>20610528</v>
      </c>
      <c r="N29" s="357">
        <v>20727564</v>
      </c>
      <c r="O29" s="357">
        <v>20491163</v>
      </c>
      <c r="P29" s="397">
        <f t="shared" si="0"/>
        <v>226813290</v>
      </c>
      <c r="Q29" s="406">
        <f t="shared" si="2"/>
        <v>29</v>
      </c>
    </row>
    <row r="30" spans="1:17">
      <c r="A30" s="363">
        <f t="shared" si="1"/>
        <v>28</v>
      </c>
      <c r="B30" s="398" t="s">
        <v>4359</v>
      </c>
      <c r="C30" s="402">
        <v>26478025</v>
      </c>
      <c r="D30" s="357">
        <v>1941382</v>
      </c>
      <c r="E30" s="357">
        <v>1941383</v>
      </c>
      <c r="F30" s="357">
        <v>2076773</v>
      </c>
      <c r="G30" s="357">
        <v>2076773</v>
      </c>
      <c r="H30" s="357">
        <v>2084452</v>
      </c>
      <c r="I30" s="357">
        <v>2084451</v>
      </c>
      <c r="J30" s="357">
        <v>2084472</v>
      </c>
      <c r="K30" s="357">
        <v>2040583</v>
      </c>
      <c r="L30" s="364">
        <v>2078804</v>
      </c>
      <c r="M30" s="357">
        <v>2061431</v>
      </c>
      <c r="N30" s="357">
        <v>2661431</v>
      </c>
      <c r="O30" s="357">
        <v>1992774</v>
      </c>
      <c r="P30" s="393">
        <f t="shared" si="0"/>
        <v>25124709</v>
      </c>
      <c r="Q30" s="406">
        <f t="shared" si="2"/>
        <v>30</v>
      </c>
    </row>
    <row r="31" spans="1:17">
      <c r="A31" s="363">
        <f t="shared" si="1"/>
        <v>29</v>
      </c>
      <c r="B31" s="398" t="s">
        <v>4360</v>
      </c>
      <c r="C31" s="402">
        <v>43667087</v>
      </c>
      <c r="D31" s="357">
        <v>3234804</v>
      </c>
      <c r="E31" s="357">
        <v>3201989</v>
      </c>
      <c r="F31" s="357">
        <v>3398215</v>
      </c>
      <c r="G31" s="357">
        <v>3398215</v>
      </c>
      <c r="H31" s="357">
        <v>3412950</v>
      </c>
      <c r="I31" s="357">
        <v>3447095</v>
      </c>
      <c r="J31" s="357">
        <v>3457372</v>
      </c>
      <c r="K31" s="357">
        <v>3457372</v>
      </c>
      <c r="L31" s="364">
        <v>3457372</v>
      </c>
      <c r="M31" s="364">
        <v>3457372</v>
      </c>
      <c r="N31" s="364">
        <v>3457372</v>
      </c>
      <c r="O31" s="364">
        <v>3457372</v>
      </c>
      <c r="P31" s="393">
        <f t="shared" si="0"/>
        <v>40837500</v>
      </c>
      <c r="Q31" s="406">
        <f t="shared" si="2"/>
        <v>31</v>
      </c>
    </row>
    <row r="32" spans="1:17">
      <c r="A32" s="363">
        <f t="shared" si="1"/>
        <v>30</v>
      </c>
      <c r="B32" s="398" t="s">
        <v>4361</v>
      </c>
      <c r="C32" s="402">
        <v>3226726</v>
      </c>
      <c r="D32" s="357">
        <v>226673</v>
      </c>
      <c r="E32" s="357">
        <v>226673</v>
      </c>
      <c r="F32" s="357">
        <v>233791</v>
      </c>
      <c r="G32" s="357">
        <v>235377</v>
      </c>
      <c r="H32" s="357">
        <v>235377</v>
      </c>
      <c r="I32" s="357">
        <v>235377</v>
      </c>
      <c r="J32" s="357">
        <v>235377</v>
      </c>
      <c r="K32" s="357">
        <v>235377</v>
      </c>
      <c r="L32" s="364">
        <v>235377</v>
      </c>
      <c r="M32" s="364">
        <v>235377</v>
      </c>
      <c r="N32" s="364">
        <v>235377</v>
      </c>
      <c r="O32" s="364">
        <v>235377</v>
      </c>
      <c r="P32" s="393">
        <f t="shared" si="0"/>
        <v>2805530</v>
      </c>
      <c r="Q32" s="406">
        <f t="shared" si="2"/>
        <v>32</v>
      </c>
    </row>
    <row r="33" spans="1:17">
      <c r="A33" s="363">
        <f t="shared" si="1"/>
        <v>31</v>
      </c>
      <c r="B33" s="398" t="s">
        <v>4362</v>
      </c>
      <c r="C33" s="402">
        <v>587994589</v>
      </c>
      <c r="D33" s="357">
        <v>44952615</v>
      </c>
      <c r="E33" s="357">
        <v>44952615</v>
      </c>
      <c r="F33" s="357">
        <v>45941290</v>
      </c>
      <c r="G33" s="357">
        <v>45695825</v>
      </c>
      <c r="H33" s="357">
        <v>46029695</v>
      </c>
      <c r="I33" s="357">
        <v>46945727</v>
      </c>
      <c r="J33" s="357">
        <v>46689566</v>
      </c>
      <c r="K33" s="357">
        <v>46667924</v>
      </c>
      <c r="L33" s="364">
        <v>46961023</v>
      </c>
      <c r="M33" s="357">
        <v>46672655</v>
      </c>
      <c r="N33" s="357">
        <v>46494692</v>
      </c>
      <c r="O33" s="357">
        <v>46243202</v>
      </c>
      <c r="P33" s="393">
        <f t="shared" si="0"/>
        <v>554246829</v>
      </c>
      <c r="Q33" s="406">
        <f t="shared" si="2"/>
        <v>33</v>
      </c>
    </row>
    <row r="34" spans="1:17">
      <c r="A34" s="363">
        <f t="shared" si="1"/>
        <v>32</v>
      </c>
      <c r="B34" s="398" t="s">
        <v>4363</v>
      </c>
      <c r="C34" s="402">
        <v>68838577</v>
      </c>
      <c r="D34" s="357">
        <v>5120939</v>
      </c>
      <c r="E34" s="357">
        <v>5120939</v>
      </c>
      <c r="F34" s="357">
        <v>5379478</v>
      </c>
      <c r="G34" s="357">
        <v>5274497</v>
      </c>
      <c r="H34" s="357">
        <v>5363544</v>
      </c>
      <c r="I34" s="357">
        <v>5439544</v>
      </c>
      <c r="J34" s="357">
        <v>5418457</v>
      </c>
      <c r="K34" s="357">
        <v>5404352</v>
      </c>
      <c r="L34" s="364">
        <v>5404352</v>
      </c>
      <c r="M34" s="357">
        <v>5260579</v>
      </c>
      <c r="N34" s="357">
        <v>5286579</v>
      </c>
      <c r="O34" s="357">
        <v>5268579</v>
      </c>
      <c r="P34" s="393">
        <f t="shared" si="0"/>
        <v>63741839</v>
      </c>
      <c r="Q34" s="406">
        <f t="shared" si="2"/>
        <v>34</v>
      </c>
    </row>
    <row r="35" spans="1:17">
      <c r="A35" s="363">
        <f t="shared" si="1"/>
        <v>33</v>
      </c>
      <c r="B35" s="398" t="s">
        <v>4364</v>
      </c>
      <c r="C35" s="402">
        <v>1910288480</v>
      </c>
      <c r="D35" s="357">
        <v>29494360</v>
      </c>
      <c r="E35" s="357">
        <v>29563517</v>
      </c>
      <c r="F35" s="357">
        <v>31692191</v>
      </c>
      <c r="G35" s="357">
        <v>31970708</v>
      </c>
      <c r="H35" s="357">
        <v>31950690</v>
      </c>
      <c r="I35" s="357">
        <v>31691076</v>
      </c>
      <c r="J35" s="357">
        <v>31981485</v>
      </c>
      <c r="K35" s="357">
        <v>31549826</v>
      </c>
      <c r="L35" s="364">
        <v>31322086</v>
      </c>
      <c r="M35" s="357">
        <v>31291800</v>
      </c>
      <c r="N35" s="357">
        <v>31503170</v>
      </c>
      <c r="O35" s="357">
        <v>31334587</v>
      </c>
      <c r="P35" s="393">
        <f t="shared" si="0"/>
        <v>375345496</v>
      </c>
      <c r="Q35" s="406">
        <f t="shared" si="2"/>
        <v>35</v>
      </c>
    </row>
    <row r="36" spans="1:17">
      <c r="A36" s="363">
        <f t="shared" si="1"/>
        <v>34</v>
      </c>
      <c r="B36" s="398" t="s">
        <v>4365</v>
      </c>
      <c r="C36" s="402">
        <v>30030589</v>
      </c>
      <c r="D36" s="357">
        <v>1945293</v>
      </c>
      <c r="E36" s="357">
        <v>1945293</v>
      </c>
      <c r="F36" s="357">
        <v>2106722</v>
      </c>
      <c r="G36" s="357">
        <v>2106722</v>
      </c>
      <c r="H36" s="357">
        <v>2113363</v>
      </c>
      <c r="I36" s="357">
        <v>2207795</v>
      </c>
      <c r="J36" s="357">
        <v>2172861</v>
      </c>
      <c r="K36" s="357">
        <v>2172861</v>
      </c>
      <c r="L36" s="364">
        <v>2177861</v>
      </c>
      <c r="M36" s="357">
        <v>2227460</v>
      </c>
      <c r="N36" s="357">
        <v>2227460</v>
      </c>
      <c r="O36" s="357">
        <v>2227460</v>
      </c>
      <c r="P36" s="393">
        <f t="shared" si="0"/>
        <v>25631151</v>
      </c>
      <c r="Q36" s="406">
        <f t="shared" si="2"/>
        <v>36</v>
      </c>
    </row>
    <row r="37" spans="1:17">
      <c r="A37" s="363">
        <f t="shared" si="1"/>
        <v>35</v>
      </c>
      <c r="B37" s="398" t="s">
        <v>4366</v>
      </c>
      <c r="C37" s="402">
        <v>168565745</v>
      </c>
      <c r="D37" s="357">
        <v>15382133</v>
      </c>
      <c r="E37" s="357">
        <v>17141532</v>
      </c>
      <c r="F37" s="357">
        <v>18733207</v>
      </c>
      <c r="G37" s="357">
        <v>18720200</v>
      </c>
      <c r="H37" s="357">
        <v>18856327</v>
      </c>
      <c r="I37" s="357">
        <v>19676695</v>
      </c>
      <c r="J37" s="357">
        <v>20070177</v>
      </c>
      <c r="K37" s="357">
        <v>18890411</v>
      </c>
      <c r="L37" s="364">
        <v>19932321</v>
      </c>
      <c r="M37" s="357">
        <v>20181649</v>
      </c>
      <c r="N37" s="357">
        <v>19833817</v>
      </c>
      <c r="O37" s="357">
        <v>19833817</v>
      </c>
      <c r="P37" s="397">
        <f t="shared" si="0"/>
        <v>227252286</v>
      </c>
      <c r="Q37" s="406">
        <f t="shared" si="2"/>
        <v>37</v>
      </c>
    </row>
    <row r="38" spans="1:17">
      <c r="A38" s="363">
        <f t="shared" si="1"/>
        <v>36</v>
      </c>
      <c r="B38" s="398" t="s">
        <v>4367</v>
      </c>
      <c r="C38" s="402">
        <v>470000000</v>
      </c>
      <c r="D38" s="357">
        <v>30580581</v>
      </c>
      <c r="E38" s="357">
        <v>30499717</v>
      </c>
      <c r="F38" s="357">
        <v>40269917</v>
      </c>
      <c r="G38" s="357">
        <v>49280175</v>
      </c>
      <c r="H38" s="357">
        <v>45388977</v>
      </c>
      <c r="I38" s="357">
        <v>47859701</v>
      </c>
      <c r="J38" s="357">
        <v>47859701</v>
      </c>
      <c r="K38" s="357">
        <v>47380195</v>
      </c>
      <c r="L38" s="357">
        <v>47380195</v>
      </c>
      <c r="M38" s="357">
        <v>47044517</v>
      </c>
      <c r="N38" s="357">
        <v>48145028</v>
      </c>
      <c r="O38" s="357">
        <v>49514198</v>
      </c>
      <c r="P38" s="397">
        <f t="shared" si="0"/>
        <v>531202902</v>
      </c>
      <c r="Q38" s="406">
        <f t="shared" si="2"/>
        <v>38</v>
      </c>
    </row>
    <row r="39" spans="1:17">
      <c r="A39" s="363">
        <f t="shared" si="1"/>
        <v>37</v>
      </c>
      <c r="B39" s="398" t="s">
        <v>4368</v>
      </c>
      <c r="C39" s="402">
        <v>17220474</v>
      </c>
      <c r="D39" s="357">
        <v>1078363</v>
      </c>
      <c r="E39" s="357">
        <v>1078363</v>
      </c>
      <c r="F39" s="357">
        <v>1163602</v>
      </c>
      <c r="G39" s="357">
        <v>1163602</v>
      </c>
      <c r="H39" s="357">
        <v>1167567</v>
      </c>
      <c r="I39" s="357">
        <v>1370143</v>
      </c>
      <c r="J39" s="357">
        <v>1370145</v>
      </c>
      <c r="K39" s="357">
        <v>1370145</v>
      </c>
      <c r="L39" s="364">
        <v>1370145</v>
      </c>
      <c r="M39" s="364">
        <v>1370145</v>
      </c>
      <c r="N39" s="357">
        <v>1297562</v>
      </c>
      <c r="O39" s="359">
        <v>1080889</v>
      </c>
      <c r="P39" s="397">
        <f t="shared" si="0"/>
        <v>14880671</v>
      </c>
      <c r="Q39" s="406">
        <f t="shared" si="2"/>
        <v>39</v>
      </c>
    </row>
    <row r="40" spans="1:17">
      <c r="A40" s="363">
        <f t="shared" si="1"/>
        <v>38</v>
      </c>
      <c r="B40" s="398" t="s">
        <v>4369</v>
      </c>
      <c r="C40" s="402">
        <v>25043011</v>
      </c>
      <c r="D40" s="357">
        <v>1795758</v>
      </c>
      <c r="E40" s="357">
        <v>1795758</v>
      </c>
      <c r="F40" s="357">
        <v>1877208</v>
      </c>
      <c r="G40" s="357">
        <v>1877208</v>
      </c>
      <c r="H40" s="357">
        <v>1887227</v>
      </c>
      <c r="I40" s="357">
        <v>1887227</v>
      </c>
      <c r="J40" s="357">
        <v>1887239</v>
      </c>
      <c r="K40" s="357">
        <v>1887252</v>
      </c>
      <c r="L40" s="364">
        <v>1887252</v>
      </c>
      <c r="M40" s="364">
        <v>1887252</v>
      </c>
      <c r="N40" s="364">
        <v>1887252</v>
      </c>
      <c r="O40" s="364">
        <v>1887252</v>
      </c>
      <c r="P40" s="393">
        <f t="shared" si="0"/>
        <v>22443885</v>
      </c>
      <c r="Q40" s="406">
        <f t="shared" si="2"/>
        <v>40</v>
      </c>
    </row>
    <row r="41" spans="1:17">
      <c r="A41" s="363">
        <f t="shared" si="1"/>
        <v>39</v>
      </c>
      <c r="B41" s="398" t="s">
        <v>4370</v>
      </c>
      <c r="C41" s="402">
        <v>63715575</v>
      </c>
      <c r="D41" s="357">
        <v>5071802</v>
      </c>
      <c r="E41" s="357">
        <v>5071802</v>
      </c>
      <c r="F41" s="357">
        <v>3589360</v>
      </c>
      <c r="G41" s="357">
        <v>3716575</v>
      </c>
      <c r="H41" s="357">
        <v>3716575</v>
      </c>
      <c r="I41" s="357">
        <v>3738256</v>
      </c>
      <c r="J41" s="357">
        <v>3738260</v>
      </c>
      <c r="K41" s="357">
        <v>3738260</v>
      </c>
      <c r="L41" s="364">
        <v>3738260</v>
      </c>
      <c r="M41" s="364">
        <v>3738260</v>
      </c>
      <c r="N41" s="364">
        <v>3738260</v>
      </c>
      <c r="O41" s="364">
        <v>3738260</v>
      </c>
      <c r="P41" s="393">
        <f t="shared" si="0"/>
        <v>47333930</v>
      </c>
      <c r="Q41" s="406">
        <f t="shared" si="2"/>
        <v>41</v>
      </c>
    </row>
    <row r="42" spans="1:17">
      <c r="A42" s="363">
        <f t="shared" si="1"/>
        <v>40</v>
      </c>
      <c r="B42" s="398" t="s">
        <v>4371</v>
      </c>
      <c r="C42" s="402">
        <v>3871313</v>
      </c>
      <c r="D42" s="357">
        <v>229705</v>
      </c>
      <c r="E42" s="357">
        <v>229705</v>
      </c>
      <c r="F42" s="357">
        <v>244055</v>
      </c>
      <c r="G42" s="357">
        <v>244055</v>
      </c>
      <c r="H42" s="357">
        <v>244671</v>
      </c>
      <c r="I42" s="357">
        <v>244671</v>
      </c>
      <c r="J42" s="357">
        <v>244678</v>
      </c>
      <c r="K42" s="357">
        <v>244678</v>
      </c>
      <c r="L42" s="364">
        <v>244678</v>
      </c>
      <c r="M42" s="364">
        <v>244678</v>
      </c>
      <c r="N42" s="364">
        <v>244678</v>
      </c>
      <c r="O42" s="364">
        <v>244678</v>
      </c>
      <c r="P42" s="393">
        <f t="shared" si="0"/>
        <v>2904930</v>
      </c>
      <c r="Q42" s="406">
        <f t="shared" si="2"/>
        <v>42</v>
      </c>
    </row>
    <row r="43" spans="1:17">
      <c r="A43" s="363">
        <f t="shared" si="1"/>
        <v>41</v>
      </c>
      <c r="B43" s="398" t="s">
        <v>4372</v>
      </c>
      <c r="C43" s="402">
        <v>112266739</v>
      </c>
      <c r="D43" s="357">
        <v>8015871</v>
      </c>
      <c r="E43" s="357">
        <v>8015871</v>
      </c>
      <c r="F43" s="357">
        <v>9754534</v>
      </c>
      <c r="G43" s="357">
        <v>9565202</v>
      </c>
      <c r="H43" s="357">
        <v>9685083</v>
      </c>
      <c r="I43" s="357">
        <v>9594381</v>
      </c>
      <c r="J43" s="357">
        <v>9322442</v>
      </c>
      <c r="K43" s="357">
        <v>9361728</v>
      </c>
      <c r="L43" s="364">
        <v>9517504</v>
      </c>
      <c r="M43" s="357">
        <v>9527374</v>
      </c>
      <c r="N43" s="357">
        <v>9499933</v>
      </c>
      <c r="O43" s="357">
        <v>9527374</v>
      </c>
      <c r="P43" s="393">
        <f t="shared" si="0"/>
        <v>111387297</v>
      </c>
      <c r="Q43" s="406">
        <f t="shared" si="2"/>
        <v>43</v>
      </c>
    </row>
    <row r="44" spans="1:17">
      <c r="A44" s="363">
        <f t="shared" si="1"/>
        <v>42</v>
      </c>
      <c r="B44" s="398" t="s">
        <v>4373</v>
      </c>
      <c r="C44" s="402">
        <v>180203813</v>
      </c>
      <c r="D44" s="357">
        <v>14257973</v>
      </c>
      <c r="E44" s="357">
        <v>14234937</v>
      </c>
      <c r="F44" s="357">
        <v>15656623</v>
      </c>
      <c r="G44" s="357">
        <v>16128379</v>
      </c>
      <c r="H44" s="357">
        <v>16128318</v>
      </c>
      <c r="I44" s="357">
        <v>73242005</v>
      </c>
      <c r="J44" s="357">
        <v>16105097</v>
      </c>
      <c r="K44" s="357">
        <v>16105106</v>
      </c>
      <c r="L44" s="364">
        <v>16105106</v>
      </c>
      <c r="M44" s="357">
        <v>16077410</v>
      </c>
      <c r="N44" s="357">
        <v>16077410</v>
      </c>
      <c r="O44" s="357">
        <v>16077410</v>
      </c>
      <c r="P44" s="397">
        <f t="shared" si="0"/>
        <v>246195774</v>
      </c>
      <c r="Q44" s="406">
        <f t="shared" si="2"/>
        <v>44</v>
      </c>
    </row>
    <row r="45" spans="1:17">
      <c r="A45" s="363">
        <f t="shared" si="1"/>
        <v>43</v>
      </c>
      <c r="B45" s="398" t="s">
        <v>4374</v>
      </c>
      <c r="C45" s="402">
        <v>412512566</v>
      </c>
      <c r="D45" s="357">
        <v>32434463</v>
      </c>
      <c r="E45" s="357">
        <v>32317411</v>
      </c>
      <c r="F45" s="357">
        <v>36862193</v>
      </c>
      <c r="G45" s="357">
        <v>35019611</v>
      </c>
      <c r="H45" s="357">
        <v>35819578</v>
      </c>
      <c r="I45" s="357">
        <v>73798718</v>
      </c>
      <c r="J45" s="357">
        <v>36918838</v>
      </c>
      <c r="K45" s="357">
        <v>36627694</v>
      </c>
      <c r="L45" s="357">
        <v>36627694</v>
      </c>
      <c r="M45" s="357">
        <v>36627694</v>
      </c>
      <c r="N45" s="357">
        <v>36627694</v>
      </c>
      <c r="O45" s="357">
        <v>36627694</v>
      </c>
      <c r="P45" s="397">
        <f t="shared" si="0"/>
        <v>466309282</v>
      </c>
      <c r="Q45" s="406">
        <f t="shared" si="2"/>
        <v>45</v>
      </c>
    </row>
    <row r="46" spans="1:17">
      <c r="A46" s="363">
        <f t="shared" si="1"/>
        <v>44</v>
      </c>
      <c r="B46" s="398" t="s">
        <v>4375</v>
      </c>
      <c r="C46" s="402">
        <v>37636012</v>
      </c>
      <c r="D46" s="357">
        <v>2873106</v>
      </c>
      <c r="E46" s="357">
        <v>1245350</v>
      </c>
      <c r="F46" s="357">
        <v>904699</v>
      </c>
      <c r="G46" s="357">
        <v>904699</v>
      </c>
      <c r="H46" s="357">
        <v>904699</v>
      </c>
      <c r="I46" s="357">
        <v>904700</v>
      </c>
      <c r="J46" s="357">
        <v>904698</v>
      </c>
      <c r="K46" s="357">
        <v>904700</v>
      </c>
      <c r="L46" s="357">
        <v>904700</v>
      </c>
      <c r="M46" s="357">
        <v>904700</v>
      </c>
      <c r="N46" s="357">
        <v>904700</v>
      </c>
      <c r="O46" s="357">
        <v>904700</v>
      </c>
      <c r="P46" s="393">
        <f t="shared" si="0"/>
        <v>13165451</v>
      </c>
      <c r="Q46" s="406">
        <f t="shared" si="2"/>
        <v>46</v>
      </c>
    </row>
    <row r="47" spans="1:17">
      <c r="A47" s="363">
        <f t="shared" si="1"/>
        <v>45</v>
      </c>
      <c r="B47" s="398" t="s">
        <v>4376</v>
      </c>
      <c r="C47" s="402">
        <v>4914312</v>
      </c>
      <c r="D47" s="357">
        <v>313143</v>
      </c>
      <c r="E47" s="357">
        <v>313143</v>
      </c>
      <c r="F47" s="357">
        <v>344363</v>
      </c>
      <c r="G47" s="357">
        <v>351801</v>
      </c>
      <c r="H47" s="357">
        <v>352096</v>
      </c>
      <c r="I47" s="357">
        <v>352097</v>
      </c>
      <c r="J47" s="357">
        <v>353331</v>
      </c>
      <c r="K47" s="357">
        <v>353331</v>
      </c>
      <c r="L47" s="364">
        <v>353331</v>
      </c>
      <c r="M47" s="357">
        <v>353332</v>
      </c>
      <c r="N47" s="357">
        <v>353332</v>
      </c>
      <c r="O47" s="357">
        <v>353332</v>
      </c>
      <c r="P47" s="393">
        <f t="shared" si="0"/>
        <v>4146632</v>
      </c>
      <c r="Q47" s="406">
        <f t="shared" si="2"/>
        <v>47</v>
      </c>
    </row>
    <row r="48" spans="1:17">
      <c r="A48" s="363">
        <f t="shared" si="1"/>
        <v>46</v>
      </c>
      <c r="B48" s="398" t="s">
        <v>4377</v>
      </c>
      <c r="C48" s="402">
        <v>240981122</v>
      </c>
      <c r="D48" s="357">
        <v>19059559</v>
      </c>
      <c r="E48" s="357">
        <v>19059559</v>
      </c>
      <c r="F48" s="357">
        <v>19399557</v>
      </c>
      <c r="G48" s="357">
        <v>19464243</v>
      </c>
      <c r="H48" s="357">
        <v>19542234</v>
      </c>
      <c r="I48" s="357">
        <v>19563468</v>
      </c>
      <c r="J48" s="357">
        <v>19557399</v>
      </c>
      <c r="K48" s="357">
        <v>19540522</v>
      </c>
      <c r="L48" s="357">
        <v>19540522</v>
      </c>
      <c r="M48" s="357">
        <v>19540522</v>
      </c>
      <c r="N48" s="357">
        <v>19540522</v>
      </c>
      <c r="O48" s="357">
        <v>19540522</v>
      </c>
      <c r="P48" s="393">
        <f t="shared" si="0"/>
        <v>233348629</v>
      </c>
      <c r="Q48" s="406">
        <f t="shared" si="2"/>
        <v>48</v>
      </c>
    </row>
    <row r="49" spans="1:17">
      <c r="A49" s="363">
        <f t="shared" si="1"/>
        <v>47</v>
      </c>
      <c r="B49" s="398" t="s">
        <v>4481</v>
      </c>
      <c r="C49" s="402">
        <v>51033877</v>
      </c>
      <c r="D49" s="357">
        <v>0</v>
      </c>
      <c r="E49" s="357">
        <v>0</v>
      </c>
      <c r="F49" s="357">
        <v>0</v>
      </c>
      <c r="G49" s="357">
        <v>0</v>
      </c>
      <c r="H49" s="357">
        <v>0</v>
      </c>
      <c r="I49" s="357">
        <v>0</v>
      </c>
      <c r="J49" s="357"/>
      <c r="K49" s="357">
        <v>0</v>
      </c>
      <c r="L49" s="364">
        <v>0</v>
      </c>
      <c r="M49" s="357">
        <v>0</v>
      </c>
      <c r="N49" s="357">
        <v>0</v>
      </c>
      <c r="O49" s="359">
        <v>0</v>
      </c>
      <c r="P49" s="393">
        <f t="shared" si="0"/>
        <v>0</v>
      </c>
      <c r="Q49" s="406">
        <f t="shared" si="2"/>
        <v>49</v>
      </c>
    </row>
    <row r="50" spans="1:17">
      <c r="A50" s="363">
        <f t="shared" si="1"/>
        <v>48</v>
      </c>
      <c r="B50" s="398" t="s">
        <v>4379</v>
      </c>
      <c r="C50" s="402">
        <v>46305338</v>
      </c>
      <c r="D50" s="357">
        <v>3704429</v>
      </c>
      <c r="E50" s="357">
        <v>3704429</v>
      </c>
      <c r="F50" s="357">
        <v>50660</v>
      </c>
      <c r="G50" s="357">
        <v>51416</v>
      </c>
      <c r="H50" s="357">
        <v>51416</v>
      </c>
      <c r="I50" s="357">
        <v>74345</v>
      </c>
      <c r="J50" s="357">
        <v>74346</v>
      </c>
      <c r="K50" s="357">
        <v>71072</v>
      </c>
      <c r="L50" s="357">
        <v>71072</v>
      </c>
      <c r="M50" s="357">
        <v>71072</v>
      </c>
      <c r="N50" s="357">
        <v>71072</v>
      </c>
      <c r="O50" s="357">
        <v>71072</v>
      </c>
      <c r="P50" s="393">
        <f t="shared" si="0"/>
        <v>8066401</v>
      </c>
      <c r="Q50" s="406">
        <f t="shared" si="2"/>
        <v>50</v>
      </c>
    </row>
    <row r="51" spans="1:17">
      <c r="A51" s="363">
        <f t="shared" si="1"/>
        <v>49</v>
      </c>
      <c r="B51" s="398" t="s">
        <v>4380</v>
      </c>
      <c r="C51" s="402">
        <v>117343562</v>
      </c>
      <c r="D51" s="357">
        <v>8805622</v>
      </c>
      <c r="E51" s="357">
        <v>8776799</v>
      </c>
      <c r="F51" s="357">
        <v>9680577</v>
      </c>
      <c r="G51" s="357">
        <v>9680577</v>
      </c>
      <c r="H51" s="357">
        <v>9626563</v>
      </c>
      <c r="I51" s="357">
        <v>9707694</v>
      </c>
      <c r="J51" s="357">
        <v>9993744</v>
      </c>
      <c r="K51" s="357">
        <v>9993745</v>
      </c>
      <c r="L51" s="364">
        <v>9760755</v>
      </c>
      <c r="M51" s="357">
        <v>9714970</v>
      </c>
      <c r="N51" s="357">
        <v>9714970</v>
      </c>
      <c r="O51" s="357">
        <v>9714970</v>
      </c>
      <c r="P51" s="393">
        <f t="shared" si="0"/>
        <v>115170986</v>
      </c>
      <c r="Q51" s="406">
        <f t="shared" si="2"/>
        <v>51</v>
      </c>
    </row>
    <row r="52" spans="1:17">
      <c r="A52" s="363">
        <f t="shared" si="1"/>
        <v>50</v>
      </c>
      <c r="B52" s="398" t="s">
        <v>4381</v>
      </c>
      <c r="C52" s="402">
        <v>15843425</v>
      </c>
      <c r="D52" s="357">
        <v>1096128</v>
      </c>
      <c r="E52" s="357">
        <v>1173402</v>
      </c>
      <c r="F52" s="357">
        <v>1454596</v>
      </c>
      <c r="G52" s="357">
        <v>1451139</v>
      </c>
      <c r="H52" s="357">
        <v>1456682</v>
      </c>
      <c r="I52" s="357">
        <v>1418510</v>
      </c>
      <c r="J52" s="357">
        <v>1418511</v>
      </c>
      <c r="K52" s="357">
        <v>1370291</v>
      </c>
      <c r="L52" s="357">
        <v>1370291</v>
      </c>
      <c r="M52" s="357">
        <v>1370291</v>
      </c>
      <c r="N52" s="357">
        <v>1370291</v>
      </c>
      <c r="O52" s="357">
        <v>1370291</v>
      </c>
      <c r="P52" s="397">
        <f t="shared" si="0"/>
        <v>16320423</v>
      </c>
      <c r="Q52" s="406">
        <f t="shared" si="2"/>
        <v>52</v>
      </c>
    </row>
    <row r="53" spans="1:17">
      <c r="A53" s="363">
        <f t="shared" si="1"/>
        <v>51</v>
      </c>
      <c r="B53" s="398" t="s">
        <v>4382</v>
      </c>
      <c r="C53" s="402">
        <v>12398513</v>
      </c>
      <c r="D53" s="357">
        <v>829045</v>
      </c>
      <c r="E53" s="357">
        <v>829045</v>
      </c>
      <c r="F53" s="357">
        <v>864233</v>
      </c>
      <c r="G53" s="357">
        <v>864233</v>
      </c>
      <c r="H53" s="357">
        <v>871863</v>
      </c>
      <c r="I53" s="357">
        <v>910999</v>
      </c>
      <c r="J53" s="357">
        <v>911013</v>
      </c>
      <c r="K53" s="357">
        <v>911013</v>
      </c>
      <c r="L53" s="357">
        <v>911013</v>
      </c>
      <c r="M53" s="357">
        <v>911013</v>
      </c>
      <c r="N53" s="357">
        <v>911013</v>
      </c>
      <c r="O53" s="357">
        <v>911013</v>
      </c>
      <c r="P53" s="393">
        <f t="shared" si="0"/>
        <v>10635496</v>
      </c>
      <c r="Q53" s="406">
        <f t="shared" si="2"/>
        <v>53</v>
      </c>
    </row>
    <row r="54" spans="1:17">
      <c r="A54" s="363">
        <f t="shared" si="1"/>
        <v>52</v>
      </c>
      <c r="B54" s="398" t="s">
        <v>4383</v>
      </c>
      <c r="C54" s="402">
        <v>38444263</v>
      </c>
      <c r="D54" s="357">
        <v>2858292</v>
      </c>
      <c r="E54" s="357">
        <v>2868292</v>
      </c>
      <c r="F54" s="357">
        <v>3054394</v>
      </c>
      <c r="G54" s="357">
        <v>3029623</v>
      </c>
      <c r="H54" s="357">
        <v>3045183</v>
      </c>
      <c r="I54" s="357">
        <v>3066957</v>
      </c>
      <c r="J54" s="357">
        <v>3067003</v>
      </c>
      <c r="K54" s="357">
        <v>3067004</v>
      </c>
      <c r="L54" s="357">
        <v>3067004</v>
      </c>
      <c r="M54" s="357">
        <v>3067004</v>
      </c>
      <c r="N54" s="357">
        <v>3067004</v>
      </c>
      <c r="O54" s="357">
        <v>3067004</v>
      </c>
      <c r="P54" s="393">
        <f t="shared" si="0"/>
        <v>36324764</v>
      </c>
      <c r="Q54" s="406">
        <f t="shared" si="2"/>
        <v>54</v>
      </c>
    </row>
    <row r="55" spans="1:17">
      <c r="A55" s="363">
        <f t="shared" si="1"/>
        <v>53</v>
      </c>
      <c r="B55" s="398" t="s">
        <v>4397</v>
      </c>
      <c r="C55" s="402">
        <v>74489833</v>
      </c>
      <c r="D55" s="357">
        <v>3873046</v>
      </c>
      <c r="E55" s="357">
        <v>3873046</v>
      </c>
      <c r="F55" s="357">
        <v>4036201</v>
      </c>
      <c r="G55" s="357">
        <v>4036201</v>
      </c>
      <c r="H55" s="357">
        <v>4062446</v>
      </c>
      <c r="I55" s="357">
        <v>4082816</v>
      </c>
      <c r="J55" s="357">
        <v>4082903</v>
      </c>
      <c r="K55" s="357">
        <v>4060861</v>
      </c>
      <c r="L55" s="357">
        <v>4060861</v>
      </c>
      <c r="M55" s="357">
        <v>4060861</v>
      </c>
      <c r="N55" s="357">
        <v>4060861</v>
      </c>
      <c r="O55" s="357">
        <v>4060861</v>
      </c>
      <c r="P55" s="393">
        <f t="shared" si="0"/>
        <v>48350964</v>
      </c>
      <c r="Q55" s="406">
        <f t="shared" si="2"/>
        <v>55</v>
      </c>
    </row>
    <row r="56" spans="1:17">
      <c r="A56" s="363">
        <f t="shared" si="1"/>
        <v>54</v>
      </c>
      <c r="B56" s="398" t="s">
        <v>4384</v>
      </c>
      <c r="C56" s="402">
        <v>14210949</v>
      </c>
      <c r="D56" s="357">
        <v>1222765</v>
      </c>
      <c r="E56" s="357">
        <v>1222765</v>
      </c>
      <c r="F56" s="357">
        <v>1413224</v>
      </c>
      <c r="G56" s="357">
        <v>1339526</v>
      </c>
      <c r="H56" s="357">
        <v>1343989</v>
      </c>
      <c r="I56" s="357">
        <v>1343989</v>
      </c>
      <c r="J56" s="357">
        <v>1350004</v>
      </c>
      <c r="K56" s="357">
        <v>1343997</v>
      </c>
      <c r="L56" s="357">
        <v>1343997</v>
      </c>
      <c r="M56" s="357">
        <v>1343997</v>
      </c>
      <c r="N56" s="357">
        <v>1343997</v>
      </c>
      <c r="O56" s="357">
        <v>1343997</v>
      </c>
      <c r="P56" s="397">
        <f t="shared" si="0"/>
        <v>15956247</v>
      </c>
      <c r="Q56" s="406">
        <f t="shared" si="2"/>
        <v>56</v>
      </c>
    </row>
    <row r="57" spans="1:17">
      <c r="A57" s="363">
        <f t="shared" si="1"/>
        <v>55</v>
      </c>
      <c r="B57" s="398" t="s">
        <v>4385</v>
      </c>
      <c r="C57" s="402">
        <v>35061488</v>
      </c>
      <c r="D57" s="357">
        <v>2818857</v>
      </c>
      <c r="E57" s="357">
        <v>2755883</v>
      </c>
      <c r="F57" s="357">
        <v>2959876</v>
      </c>
      <c r="G57" s="357">
        <v>2931848</v>
      </c>
      <c r="H57" s="357">
        <v>2910915</v>
      </c>
      <c r="I57" s="357">
        <v>2908904</v>
      </c>
      <c r="J57" s="357">
        <v>2939331</v>
      </c>
      <c r="K57" s="357">
        <v>2908921</v>
      </c>
      <c r="L57" s="357">
        <v>2908921</v>
      </c>
      <c r="M57" s="357">
        <v>2838947</v>
      </c>
      <c r="N57" s="357">
        <v>2838947</v>
      </c>
      <c r="O57" s="357">
        <v>2838947</v>
      </c>
      <c r="P57" s="393">
        <f t="shared" si="0"/>
        <v>34560297</v>
      </c>
      <c r="Q57" s="406">
        <f t="shared" si="2"/>
        <v>57</v>
      </c>
    </row>
    <row r="58" spans="1:17">
      <c r="A58" s="363">
        <f t="shared" si="1"/>
        <v>56</v>
      </c>
      <c r="B58" s="398" t="s">
        <v>4386</v>
      </c>
      <c r="C58" s="402">
        <v>63866200</v>
      </c>
      <c r="D58" s="357">
        <v>4671497</v>
      </c>
      <c r="E58" s="357">
        <v>4649886</v>
      </c>
      <c r="F58" s="357">
        <v>4880139</v>
      </c>
      <c r="G58" s="357">
        <v>4916640</v>
      </c>
      <c r="H58" s="357">
        <v>4916640</v>
      </c>
      <c r="I58" s="357">
        <v>4956540</v>
      </c>
      <c r="J58" s="357">
        <v>4956613</v>
      </c>
      <c r="K58" s="357">
        <v>4956613</v>
      </c>
      <c r="L58" s="357">
        <v>4956613</v>
      </c>
      <c r="M58" s="357">
        <v>4868445</v>
      </c>
      <c r="N58" s="357">
        <v>4868445</v>
      </c>
      <c r="O58" s="357">
        <v>4802983</v>
      </c>
      <c r="P58" s="393">
        <f t="shared" si="0"/>
        <v>58401054</v>
      </c>
      <c r="Q58" s="406">
        <f t="shared" si="2"/>
        <v>58</v>
      </c>
    </row>
    <row r="59" spans="1:17">
      <c r="A59" s="363">
        <f t="shared" si="1"/>
        <v>57</v>
      </c>
      <c r="B59" s="398" t="s">
        <v>4387</v>
      </c>
      <c r="C59" s="402">
        <v>140345157</v>
      </c>
      <c r="D59" s="357">
        <v>21567311</v>
      </c>
      <c r="E59" s="357">
        <v>21505276</v>
      </c>
      <c r="F59" s="357">
        <v>22665338</v>
      </c>
      <c r="G59" s="357">
        <v>21390792</v>
      </c>
      <c r="H59" s="357">
        <v>21390792</v>
      </c>
      <c r="I59" s="357">
        <v>23300562</v>
      </c>
      <c r="J59" s="357">
        <v>23449233</v>
      </c>
      <c r="K59" s="357">
        <v>22889542</v>
      </c>
      <c r="L59" s="364">
        <v>22771379</v>
      </c>
      <c r="M59" s="357">
        <v>22750040</v>
      </c>
      <c r="N59" s="357">
        <v>22750040</v>
      </c>
      <c r="O59" s="357">
        <v>22773664</v>
      </c>
      <c r="P59" s="397">
        <f t="shared" si="0"/>
        <v>269203969</v>
      </c>
      <c r="Q59" s="406">
        <f t="shared" si="2"/>
        <v>59</v>
      </c>
    </row>
    <row r="60" spans="1:17">
      <c r="A60" s="363">
        <f t="shared" si="1"/>
        <v>58</v>
      </c>
      <c r="B60" s="398" t="s">
        <v>4388</v>
      </c>
      <c r="C60" s="402">
        <v>80345111</v>
      </c>
      <c r="D60" s="357">
        <v>6084834</v>
      </c>
      <c r="E60" s="357">
        <v>6084834</v>
      </c>
      <c r="F60" s="357">
        <v>6379937</v>
      </c>
      <c r="G60" s="357">
        <v>6367059</v>
      </c>
      <c r="H60" s="357">
        <v>6412995</v>
      </c>
      <c r="I60" s="357">
        <v>6596536</v>
      </c>
      <c r="J60" s="357">
        <v>6596593</v>
      </c>
      <c r="K60" s="357">
        <v>6573290</v>
      </c>
      <c r="L60" s="357">
        <v>6573290</v>
      </c>
      <c r="M60" s="357">
        <v>6573290</v>
      </c>
      <c r="N60" s="357">
        <v>6573290</v>
      </c>
      <c r="O60" s="357">
        <v>6275229</v>
      </c>
      <c r="P60" s="393">
        <f t="shared" si="0"/>
        <v>77091177</v>
      </c>
      <c r="Q60" s="406">
        <f t="shared" si="2"/>
        <v>60</v>
      </c>
    </row>
    <row r="61" spans="1:17">
      <c r="A61" s="363">
        <f t="shared" si="1"/>
        <v>59</v>
      </c>
      <c r="B61" s="398" t="s">
        <v>4389</v>
      </c>
      <c r="C61" s="402">
        <v>38454898</v>
      </c>
      <c r="D61" s="366">
        <v>2468778</v>
      </c>
      <c r="E61" s="357">
        <v>2468778</v>
      </c>
      <c r="F61" s="357">
        <v>3177899</v>
      </c>
      <c r="G61" s="357">
        <v>3198411</v>
      </c>
      <c r="H61" s="357">
        <v>3274365</v>
      </c>
      <c r="I61" s="357">
        <v>3321135</v>
      </c>
      <c r="J61" s="357">
        <v>3274357</v>
      </c>
      <c r="K61" s="357">
        <v>3274357</v>
      </c>
      <c r="L61" s="364">
        <v>3426407</v>
      </c>
      <c r="M61" s="364">
        <v>3426407</v>
      </c>
      <c r="N61" s="364">
        <v>3426407</v>
      </c>
      <c r="O61" s="364">
        <v>3426407</v>
      </c>
      <c r="P61" s="393">
        <f t="shared" si="0"/>
        <v>38163708</v>
      </c>
      <c r="Q61" s="406">
        <f t="shared" si="2"/>
        <v>61</v>
      </c>
    </row>
    <row r="62" spans="1:17">
      <c r="A62" s="363">
        <f t="shared" si="1"/>
        <v>60</v>
      </c>
      <c r="B62" s="398" t="s">
        <v>4390</v>
      </c>
      <c r="C62" s="402">
        <v>4244077</v>
      </c>
      <c r="D62" s="366">
        <v>3030349</v>
      </c>
      <c r="E62" s="357">
        <v>3030349</v>
      </c>
      <c r="F62" s="357">
        <v>601416</v>
      </c>
      <c r="G62" s="357">
        <v>328381</v>
      </c>
      <c r="H62" s="357">
        <v>329329</v>
      </c>
      <c r="I62" s="357">
        <v>329330</v>
      </c>
      <c r="J62" s="357">
        <v>329330</v>
      </c>
      <c r="K62" s="357">
        <v>329330</v>
      </c>
      <c r="L62" s="357">
        <v>329330</v>
      </c>
      <c r="M62" s="357">
        <v>329330</v>
      </c>
      <c r="N62" s="357">
        <v>329330</v>
      </c>
      <c r="O62" s="357">
        <v>329330</v>
      </c>
      <c r="P62" s="397">
        <f t="shared" si="0"/>
        <v>9625134</v>
      </c>
      <c r="Q62" s="406">
        <f t="shared" si="2"/>
        <v>62</v>
      </c>
    </row>
    <row r="63" spans="1:17">
      <c r="A63" s="363">
        <f t="shared" si="1"/>
        <v>61</v>
      </c>
      <c r="B63" s="398" t="s">
        <v>4391</v>
      </c>
      <c r="C63" s="402">
        <v>42452815</v>
      </c>
      <c r="D63" s="366">
        <v>3152736</v>
      </c>
      <c r="E63" s="357">
        <v>3152736</v>
      </c>
      <c r="F63" s="357">
        <v>4242800</v>
      </c>
      <c r="G63" s="357">
        <v>4290692</v>
      </c>
      <c r="H63" s="357">
        <v>4545648</v>
      </c>
      <c r="I63" s="357">
        <v>4526249</v>
      </c>
      <c r="J63" s="357">
        <v>4417143</v>
      </c>
      <c r="K63" s="357">
        <v>4525646</v>
      </c>
      <c r="L63" s="357">
        <v>4525646</v>
      </c>
      <c r="M63" s="357">
        <v>4437138</v>
      </c>
      <c r="N63" s="357">
        <v>4437138</v>
      </c>
      <c r="O63" s="357">
        <v>4437138</v>
      </c>
      <c r="P63" s="397">
        <f t="shared" si="0"/>
        <v>50690710</v>
      </c>
      <c r="Q63" s="406">
        <f t="shared" si="2"/>
        <v>63</v>
      </c>
    </row>
    <row r="64" spans="1:17">
      <c r="A64" s="363">
        <f t="shared" si="1"/>
        <v>62</v>
      </c>
      <c r="B64" s="398" t="s">
        <v>4392</v>
      </c>
      <c r="C64" s="402">
        <v>9017630</v>
      </c>
      <c r="D64" s="366">
        <v>2466214</v>
      </c>
      <c r="E64" s="357">
        <v>2466214</v>
      </c>
      <c r="F64" s="357">
        <v>2515416</v>
      </c>
      <c r="G64" s="357">
        <v>675068</v>
      </c>
      <c r="H64" s="357">
        <v>680856</v>
      </c>
      <c r="I64" s="357">
        <v>680857</v>
      </c>
      <c r="J64" s="357">
        <v>680871</v>
      </c>
      <c r="K64" s="357">
        <v>680299</v>
      </c>
      <c r="L64" s="364">
        <v>596961</v>
      </c>
      <c r="M64" s="357">
        <v>596961</v>
      </c>
      <c r="N64" s="357">
        <v>555931</v>
      </c>
      <c r="O64" s="357">
        <v>534181</v>
      </c>
      <c r="P64" s="397">
        <f t="shared" si="0"/>
        <v>13129829</v>
      </c>
      <c r="Q64" s="406">
        <f t="shared" si="2"/>
        <v>64</v>
      </c>
    </row>
    <row r="65" spans="1:17">
      <c r="A65" s="363">
        <f t="shared" si="1"/>
        <v>63</v>
      </c>
      <c r="B65" s="398" t="s">
        <v>4393</v>
      </c>
      <c r="C65" s="402">
        <v>163382050</v>
      </c>
      <c r="D65" s="366">
        <v>12433333</v>
      </c>
      <c r="E65" s="357">
        <v>12432286</v>
      </c>
      <c r="F65" s="357">
        <v>13449093</v>
      </c>
      <c r="G65" s="357">
        <v>13629629</v>
      </c>
      <c r="H65" s="357">
        <v>13689864</v>
      </c>
      <c r="I65" s="357">
        <v>13883603</v>
      </c>
      <c r="J65" s="357">
        <v>13711631</v>
      </c>
      <c r="K65" s="357">
        <v>13743422</v>
      </c>
      <c r="L65" s="364">
        <v>13765509</v>
      </c>
      <c r="M65" s="357">
        <v>13770753</v>
      </c>
      <c r="N65" s="357">
        <v>13791123</v>
      </c>
      <c r="O65" s="357">
        <v>13791123</v>
      </c>
      <c r="P65" s="393">
        <f t="shared" si="0"/>
        <v>162091369</v>
      </c>
      <c r="Q65" s="406">
        <f t="shared" si="2"/>
        <v>65</v>
      </c>
    </row>
    <row r="66" spans="1:17">
      <c r="A66" s="363">
        <f t="shared" si="1"/>
        <v>64</v>
      </c>
      <c r="B66" s="398" t="s">
        <v>4394</v>
      </c>
      <c r="C66" s="402">
        <v>22593439</v>
      </c>
      <c r="D66" s="366">
        <v>5432129</v>
      </c>
      <c r="E66" s="357">
        <v>5432129</v>
      </c>
      <c r="F66" s="357">
        <v>5620030</v>
      </c>
      <c r="G66" s="357">
        <v>1963778</v>
      </c>
      <c r="H66" s="357">
        <v>1968778</v>
      </c>
      <c r="I66" s="357">
        <v>1883536</v>
      </c>
      <c r="J66" s="357">
        <v>1883552</v>
      </c>
      <c r="K66" s="357">
        <v>1883552</v>
      </c>
      <c r="L66" s="364">
        <v>1840921</v>
      </c>
      <c r="M66" s="364">
        <v>1840921</v>
      </c>
      <c r="N66" s="364">
        <v>1840921</v>
      </c>
      <c r="O66" s="364">
        <v>1840921</v>
      </c>
      <c r="P66" s="397">
        <f t="shared" si="0"/>
        <v>33431168</v>
      </c>
      <c r="Q66" s="406">
        <f t="shared" si="2"/>
        <v>66</v>
      </c>
    </row>
    <row r="67" spans="1:17">
      <c r="A67" s="363">
        <f t="shared" si="1"/>
        <v>65</v>
      </c>
      <c r="B67" s="398" t="s">
        <v>4395</v>
      </c>
      <c r="C67" s="402">
        <v>6666107</v>
      </c>
      <c r="D67" s="366">
        <v>464435</v>
      </c>
      <c r="E67" s="357">
        <v>464435</v>
      </c>
      <c r="F67" s="357">
        <v>486319</v>
      </c>
      <c r="G67" s="357">
        <v>486391</v>
      </c>
      <c r="H67" s="357">
        <v>490501</v>
      </c>
      <c r="I67" s="357">
        <v>570122</v>
      </c>
      <c r="J67" s="357">
        <v>570134</v>
      </c>
      <c r="K67" s="357">
        <v>570134</v>
      </c>
      <c r="L67" s="357">
        <v>570134</v>
      </c>
      <c r="M67" s="357">
        <v>570134</v>
      </c>
      <c r="N67" s="357">
        <v>570134</v>
      </c>
      <c r="O67" s="357">
        <v>570134</v>
      </c>
      <c r="P67" s="393">
        <f t="shared" si="0"/>
        <v>6383007</v>
      </c>
      <c r="Q67" s="406">
        <f t="shared" si="2"/>
        <v>67</v>
      </c>
    </row>
    <row r="68" spans="1:17">
      <c r="A68" s="363">
        <f t="shared" si="1"/>
        <v>66</v>
      </c>
      <c r="B68" s="398" t="s">
        <v>4396</v>
      </c>
      <c r="C68" s="402">
        <v>3362423</v>
      </c>
      <c r="D68" s="366">
        <v>240345</v>
      </c>
      <c r="E68" s="357">
        <v>240345</v>
      </c>
      <c r="F68" s="357">
        <v>268751</v>
      </c>
      <c r="G68" s="357">
        <v>271015</v>
      </c>
      <c r="H68" s="357">
        <v>271015</v>
      </c>
      <c r="I68" s="357">
        <v>388206</v>
      </c>
      <c r="J68" s="357">
        <v>311372</v>
      </c>
      <c r="K68" s="357">
        <v>311372</v>
      </c>
      <c r="L68" s="357">
        <v>311372</v>
      </c>
      <c r="M68" s="357">
        <v>311372</v>
      </c>
      <c r="N68" s="357">
        <v>311372</v>
      </c>
      <c r="O68" s="357">
        <v>311372</v>
      </c>
      <c r="P68" s="397">
        <f t="shared" ref="P68:P131" si="3">SUM(D68:O68)</f>
        <v>3547909</v>
      </c>
      <c r="Q68" s="406">
        <f t="shared" si="2"/>
        <v>68</v>
      </c>
    </row>
    <row r="69" spans="1:17">
      <c r="A69" s="363">
        <f t="shared" ref="A69:A132" si="4">A68+1</f>
        <v>67</v>
      </c>
      <c r="B69" s="398" t="s">
        <v>4399</v>
      </c>
      <c r="C69" s="402">
        <v>0</v>
      </c>
      <c r="D69" s="366">
        <v>0</v>
      </c>
      <c r="E69" s="357">
        <v>0</v>
      </c>
      <c r="F69" s="357">
        <v>0</v>
      </c>
      <c r="G69" s="357">
        <v>0</v>
      </c>
      <c r="H69" s="357">
        <v>0</v>
      </c>
      <c r="I69" s="357">
        <v>0</v>
      </c>
      <c r="J69" s="357">
        <v>0</v>
      </c>
      <c r="K69" s="357">
        <v>0</v>
      </c>
      <c r="L69" s="364">
        <v>0</v>
      </c>
      <c r="M69" s="357">
        <v>0</v>
      </c>
      <c r="N69" s="357">
        <v>0</v>
      </c>
      <c r="O69" s="357">
        <v>0</v>
      </c>
      <c r="P69" s="393">
        <f t="shared" si="3"/>
        <v>0</v>
      </c>
      <c r="Q69" s="406">
        <f t="shared" ref="Q69:Q132" si="5">Q68+1</f>
        <v>69</v>
      </c>
    </row>
    <row r="70" spans="1:17">
      <c r="A70" s="363">
        <f t="shared" si="4"/>
        <v>68</v>
      </c>
      <c r="B70" s="398" t="s">
        <v>4400</v>
      </c>
      <c r="C70" s="402">
        <v>0</v>
      </c>
      <c r="D70" s="366">
        <v>0</v>
      </c>
      <c r="E70" s="357">
        <v>0</v>
      </c>
      <c r="F70" s="357">
        <v>0</v>
      </c>
      <c r="G70" s="357">
        <v>0</v>
      </c>
      <c r="H70" s="357">
        <v>0</v>
      </c>
      <c r="I70" s="357">
        <v>0</v>
      </c>
      <c r="J70" s="357">
        <v>0</v>
      </c>
      <c r="K70" s="357">
        <v>0</v>
      </c>
      <c r="L70" s="364">
        <v>0</v>
      </c>
      <c r="M70" s="357">
        <v>0</v>
      </c>
      <c r="N70" s="357">
        <v>0</v>
      </c>
      <c r="O70" s="357">
        <v>0</v>
      </c>
      <c r="P70" s="393">
        <f t="shared" si="3"/>
        <v>0</v>
      </c>
      <c r="Q70" s="406">
        <f t="shared" si="5"/>
        <v>70</v>
      </c>
    </row>
    <row r="71" spans="1:17">
      <c r="A71" s="363">
        <f t="shared" si="4"/>
        <v>69</v>
      </c>
      <c r="B71" s="398" t="s">
        <v>4401</v>
      </c>
      <c r="C71" s="402">
        <v>0</v>
      </c>
      <c r="D71" s="366">
        <v>0</v>
      </c>
      <c r="E71" s="357">
        <v>0</v>
      </c>
      <c r="F71" s="357">
        <v>0</v>
      </c>
      <c r="G71" s="357">
        <v>0</v>
      </c>
      <c r="H71" s="357">
        <v>0</v>
      </c>
      <c r="I71" s="357">
        <v>0</v>
      </c>
      <c r="J71" s="357">
        <v>0</v>
      </c>
      <c r="K71" s="357">
        <v>0</v>
      </c>
      <c r="L71" s="364">
        <v>0</v>
      </c>
      <c r="M71" s="357">
        <v>0</v>
      </c>
      <c r="N71" s="357">
        <v>0</v>
      </c>
      <c r="O71" s="357">
        <v>0</v>
      </c>
      <c r="P71" s="393">
        <f t="shared" si="3"/>
        <v>0</v>
      </c>
      <c r="Q71" s="406">
        <f t="shared" si="5"/>
        <v>71</v>
      </c>
    </row>
    <row r="72" spans="1:17">
      <c r="A72" s="363">
        <f t="shared" si="4"/>
        <v>70</v>
      </c>
      <c r="B72" s="398" t="s">
        <v>4402</v>
      </c>
      <c r="C72" s="402">
        <v>0</v>
      </c>
      <c r="D72" s="366">
        <v>0</v>
      </c>
      <c r="E72" s="357">
        <v>0</v>
      </c>
      <c r="F72" s="357">
        <v>0</v>
      </c>
      <c r="G72" s="357">
        <v>0</v>
      </c>
      <c r="H72" s="357">
        <v>0</v>
      </c>
      <c r="I72" s="357">
        <v>0</v>
      </c>
      <c r="J72" s="357">
        <v>0</v>
      </c>
      <c r="K72" s="357">
        <v>0</v>
      </c>
      <c r="L72" s="364">
        <v>0</v>
      </c>
      <c r="M72" s="357">
        <v>0</v>
      </c>
      <c r="N72" s="357">
        <v>0</v>
      </c>
      <c r="O72" s="357">
        <v>0</v>
      </c>
      <c r="P72" s="393">
        <f t="shared" si="3"/>
        <v>0</v>
      </c>
      <c r="Q72" s="406">
        <f t="shared" si="5"/>
        <v>72</v>
      </c>
    </row>
    <row r="73" spans="1:17">
      <c r="A73" s="363">
        <f t="shared" si="4"/>
        <v>71</v>
      </c>
      <c r="B73" s="398" t="s">
        <v>4403</v>
      </c>
      <c r="C73" s="402">
        <v>0</v>
      </c>
      <c r="D73" s="366">
        <v>0</v>
      </c>
      <c r="E73" s="357">
        <v>0</v>
      </c>
      <c r="F73" s="357">
        <v>0</v>
      </c>
      <c r="G73" s="357">
        <v>0</v>
      </c>
      <c r="H73" s="357">
        <v>0</v>
      </c>
      <c r="I73" s="357">
        <v>0</v>
      </c>
      <c r="J73" s="357">
        <v>0</v>
      </c>
      <c r="K73" s="357">
        <v>0</v>
      </c>
      <c r="L73" s="364">
        <v>0</v>
      </c>
      <c r="M73" s="357">
        <v>0</v>
      </c>
      <c r="N73" s="357">
        <v>0</v>
      </c>
      <c r="O73" s="357">
        <v>0</v>
      </c>
      <c r="P73" s="393">
        <f t="shared" si="3"/>
        <v>0</v>
      </c>
      <c r="Q73" s="406">
        <f t="shared" si="5"/>
        <v>73</v>
      </c>
    </row>
    <row r="74" spans="1:17">
      <c r="A74" s="363">
        <f t="shared" si="4"/>
        <v>72</v>
      </c>
      <c r="B74" s="398" t="s">
        <v>4404</v>
      </c>
      <c r="C74" s="402">
        <v>0</v>
      </c>
      <c r="D74" s="366">
        <v>0</v>
      </c>
      <c r="E74" s="357">
        <v>0</v>
      </c>
      <c r="F74" s="357">
        <v>0</v>
      </c>
      <c r="G74" s="357">
        <v>0</v>
      </c>
      <c r="H74" s="357">
        <v>0</v>
      </c>
      <c r="I74" s="357">
        <v>0</v>
      </c>
      <c r="J74" s="357">
        <v>0</v>
      </c>
      <c r="K74" s="357">
        <v>0</v>
      </c>
      <c r="L74" s="364">
        <v>0</v>
      </c>
      <c r="M74" s="357">
        <v>0</v>
      </c>
      <c r="N74" s="357">
        <v>0</v>
      </c>
      <c r="O74" s="357">
        <v>0</v>
      </c>
      <c r="P74" s="393">
        <f t="shared" si="3"/>
        <v>0</v>
      </c>
      <c r="Q74" s="406">
        <f t="shared" si="5"/>
        <v>74</v>
      </c>
    </row>
    <row r="75" spans="1:17">
      <c r="A75" s="363">
        <f t="shared" si="4"/>
        <v>73</v>
      </c>
      <c r="B75" s="398" t="s">
        <v>4405</v>
      </c>
      <c r="C75" s="402">
        <v>0</v>
      </c>
      <c r="D75" s="366">
        <v>0</v>
      </c>
      <c r="E75" s="357">
        <v>0</v>
      </c>
      <c r="F75" s="357">
        <v>0</v>
      </c>
      <c r="G75" s="357">
        <v>0</v>
      </c>
      <c r="H75" s="357">
        <v>0</v>
      </c>
      <c r="I75" s="357">
        <v>0</v>
      </c>
      <c r="J75" s="357">
        <v>0</v>
      </c>
      <c r="K75" s="357">
        <v>0</v>
      </c>
      <c r="L75" s="364">
        <v>0</v>
      </c>
      <c r="M75" s="357">
        <v>0</v>
      </c>
      <c r="N75" s="357">
        <v>0</v>
      </c>
      <c r="O75" s="357">
        <v>0</v>
      </c>
      <c r="P75" s="393">
        <f t="shared" si="3"/>
        <v>0</v>
      </c>
      <c r="Q75" s="406">
        <f t="shared" si="5"/>
        <v>75</v>
      </c>
    </row>
    <row r="76" spans="1:17">
      <c r="A76" s="363">
        <f t="shared" si="4"/>
        <v>74</v>
      </c>
      <c r="B76" s="398" t="s">
        <v>4406</v>
      </c>
      <c r="C76" s="402">
        <v>0</v>
      </c>
      <c r="D76" s="366">
        <v>0</v>
      </c>
      <c r="E76" s="357">
        <v>0</v>
      </c>
      <c r="F76" s="357">
        <v>0</v>
      </c>
      <c r="G76" s="357">
        <v>0</v>
      </c>
      <c r="H76" s="357">
        <v>0</v>
      </c>
      <c r="I76" s="357">
        <v>0</v>
      </c>
      <c r="J76" s="357">
        <v>0</v>
      </c>
      <c r="K76" s="357">
        <v>0</v>
      </c>
      <c r="L76" s="364">
        <v>0</v>
      </c>
      <c r="M76" s="357">
        <v>0</v>
      </c>
      <c r="N76" s="357">
        <v>0</v>
      </c>
      <c r="O76" s="357">
        <v>0</v>
      </c>
      <c r="P76" s="393">
        <f t="shared" si="3"/>
        <v>0</v>
      </c>
      <c r="Q76" s="406">
        <f t="shared" si="5"/>
        <v>76</v>
      </c>
    </row>
    <row r="77" spans="1:17">
      <c r="A77" s="363">
        <f t="shared" si="4"/>
        <v>75</v>
      </c>
      <c r="B77" s="398" t="s">
        <v>4407</v>
      </c>
      <c r="C77" s="402">
        <v>0</v>
      </c>
      <c r="D77" s="366">
        <v>0</v>
      </c>
      <c r="E77" s="357">
        <v>0</v>
      </c>
      <c r="F77" s="357">
        <v>0</v>
      </c>
      <c r="G77" s="357">
        <v>0</v>
      </c>
      <c r="H77" s="357">
        <v>0</v>
      </c>
      <c r="I77" s="357">
        <v>0</v>
      </c>
      <c r="J77" s="357">
        <v>0</v>
      </c>
      <c r="K77" s="357">
        <v>0</v>
      </c>
      <c r="L77" s="364">
        <v>0</v>
      </c>
      <c r="M77" s="357">
        <v>0</v>
      </c>
      <c r="N77" s="357">
        <v>0</v>
      </c>
      <c r="O77" s="357">
        <v>0</v>
      </c>
      <c r="P77" s="393">
        <f t="shared" si="3"/>
        <v>0</v>
      </c>
      <c r="Q77" s="406">
        <f t="shared" si="5"/>
        <v>77</v>
      </c>
    </row>
    <row r="78" spans="1:17">
      <c r="A78" s="363">
        <f t="shared" si="4"/>
        <v>76</v>
      </c>
      <c r="B78" s="398" t="s">
        <v>4408</v>
      </c>
      <c r="C78" s="402">
        <v>32884800</v>
      </c>
      <c r="D78" s="366">
        <v>2771812</v>
      </c>
      <c r="E78" s="357">
        <v>2771811</v>
      </c>
      <c r="F78" s="357">
        <v>3043536</v>
      </c>
      <c r="G78" s="357">
        <v>3061971</v>
      </c>
      <c r="H78" s="357">
        <v>2999687</v>
      </c>
      <c r="I78" s="357">
        <v>3171533</v>
      </c>
      <c r="J78" s="357">
        <v>3161169</v>
      </c>
      <c r="K78" s="357">
        <v>3084358</v>
      </c>
      <c r="L78" s="357">
        <v>3084358</v>
      </c>
      <c r="M78" s="357">
        <v>3137256</v>
      </c>
      <c r="N78" s="357">
        <v>2957256</v>
      </c>
      <c r="O78" s="357">
        <v>2957256</v>
      </c>
      <c r="P78" s="397">
        <f t="shared" si="3"/>
        <v>36202003</v>
      </c>
      <c r="Q78" s="406">
        <f t="shared" si="5"/>
        <v>78</v>
      </c>
    </row>
    <row r="79" spans="1:17">
      <c r="A79" s="363">
        <f t="shared" si="4"/>
        <v>77</v>
      </c>
      <c r="B79" s="398" t="s">
        <v>4409</v>
      </c>
      <c r="C79" s="402">
        <v>80038400</v>
      </c>
      <c r="D79" s="366">
        <v>6871767</v>
      </c>
      <c r="E79" s="357">
        <v>6722420</v>
      </c>
      <c r="F79" s="357">
        <v>7140460</v>
      </c>
      <c r="G79" s="357">
        <v>7212163</v>
      </c>
      <c r="H79" s="357">
        <v>7308400</v>
      </c>
      <c r="I79" s="357">
        <v>7162979</v>
      </c>
      <c r="J79" s="357">
        <v>7612824</v>
      </c>
      <c r="K79" s="357">
        <v>7282088</v>
      </c>
      <c r="L79" s="357">
        <v>7282088</v>
      </c>
      <c r="M79" s="357">
        <v>7214577</v>
      </c>
      <c r="N79" s="357">
        <v>7214577</v>
      </c>
      <c r="O79" s="357">
        <v>7236664</v>
      </c>
      <c r="P79" s="397">
        <f t="shared" si="3"/>
        <v>86261007</v>
      </c>
      <c r="Q79" s="406">
        <f t="shared" si="5"/>
        <v>79</v>
      </c>
    </row>
    <row r="80" spans="1:17">
      <c r="A80" s="363">
        <f t="shared" si="4"/>
        <v>78</v>
      </c>
      <c r="B80" s="398" t="s">
        <v>4410</v>
      </c>
      <c r="C80" s="402">
        <v>356507291</v>
      </c>
      <c r="D80" s="366">
        <v>28668403</v>
      </c>
      <c r="E80" s="357">
        <v>28668403</v>
      </c>
      <c r="F80" s="357">
        <v>30070618</v>
      </c>
      <c r="G80" s="357">
        <v>29825533</v>
      </c>
      <c r="H80" s="357">
        <v>29825547</v>
      </c>
      <c r="I80" s="357">
        <v>30978415</v>
      </c>
      <c r="J80" s="357">
        <v>30836382</v>
      </c>
      <c r="K80" s="357">
        <v>30797899</v>
      </c>
      <c r="L80" s="357">
        <v>30797899</v>
      </c>
      <c r="M80" s="357">
        <v>30240067</v>
      </c>
      <c r="N80" s="357">
        <v>30122055</v>
      </c>
      <c r="O80" s="357">
        <v>30122055</v>
      </c>
      <c r="P80" s="397">
        <f t="shared" si="3"/>
        <v>360953276</v>
      </c>
      <c r="Q80" s="406">
        <f t="shared" si="5"/>
        <v>80</v>
      </c>
    </row>
    <row r="81" spans="1:17">
      <c r="A81" s="363">
        <f t="shared" si="4"/>
        <v>79</v>
      </c>
      <c r="B81" s="398" t="s">
        <v>4411</v>
      </c>
      <c r="C81" s="402">
        <v>3359600</v>
      </c>
      <c r="D81" s="366">
        <v>185768</v>
      </c>
      <c r="E81" s="357">
        <v>185768</v>
      </c>
      <c r="F81" s="357">
        <v>190101</v>
      </c>
      <c r="G81" s="357">
        <v>190101</v>
      </c>
      <c r="H81" s="357">
        <v>191671</v>
      </c>
      <c r="I81" s="357">
        <v>191671</v>
      </c>
      <c r="J81" s="357">
        <v>191673</v>
      </c>
      <c r="K81" s="357">
        <v>191673</v>
      </c>
      <c r="L81" s="357">
        <v>191673</v>
      </c>
      <c r="M81" s="357">
        <v>191673</v>
      </c>
      <c r="N81" s="357">
        <v>191673</v>
      </c>
      <c r="O81" s="357">
        <v>191673</v>
      </c>
      <c r="P81" s="393">
        <f t="shared" si="3"/>
        <v>2285118</v>
      </c>
      <c r="Q81" s="406">
        <f t="shared" si="5"/>
        <v>81</v>
      </c>
    </row>
    <row r="82" spans="1:17">
      <c r="A82" s="363">
        <f t="shared" si="4"/>
        <v>80</v>
      </c>
      <c r="B82" s="398" t="s">
        <v>4412</v>
      </c>
      <c r="C82" s="402">
        <v>7280000</v>
      </c>
      <c r="D82" s="366">
        <v>570017</v>
      </c>
      <c r="E82" s="357">
        <v>570017</v>
      </c>
      <c r="F82" s="357">
        <v>587075</v>
      </c>
      <c r="G82" s="357">
        <v>586325</v>
      </c>
      <c r="H82" s="357">
        <v>551460</v>
      </c>
      <c r="I82" s="357">
        <v>551460</v>
      </c>
      <c r="J82" s="357">
        <v>551466</v>
      </c>
      <c r="K82" s="357">
        <v>551464</v>
      </c>
      <c r="L82" s="357">
        <v>551464</v>
      </c>
      <c r="M82" s="357">
        <v>551464</v>
      </c>
      <c r="N82" s="357">
        <v>551464</v>
      </c>
      <c r="O82" s="357">
        <v>551464</v>
      </c>
      <c r="P82" s="393">
        <f t="shared" si="3"/>
        <v>6725140</v>
      </c>
      <c r="Q82" s="406">
        <f t="shared" si="5"/>
        <v>82</v>
      </c>
    </row>
    <row r="83" spans="1:17">
      <c r="A83" s="363">
        <f t="shared" si="4"/>
        <v>81</v>
      </c>
      <c r="B83" s="398" t="s">
        <v>4413</v>
      </c>
      <c r="C83" s="402">
        <v>2000000000</v>
      </c>
      <c r="D83" s="366">
        <v>173306403</v>
      </c>
      <c r="E83" s="357">
        <v>173174124</v>
      </c>
      <c r="F83" s="357">
        <v>192319345</v>
      </c>
      <c r="G83" s="357">
        <v>195426336</v>
      </c>
      <c r="H83" s="357">
        <v>198809358</v>
      </c>
      <c r="I83" s="357">
        <v>202909710</v>
      </c>
      <c r="J83" s="357">
        <v>202570869</v>
      </c>
      <c r="K83" s="357">
        <v>202102883</v>
      </c>
      <c r="L83" s="357">
        <v>202102883</v>
      </c>
      <c r="M83" s="357">
        <v>211728776</v>
      </c>
      <c r="N83" s="357">
        <v>211573278</v>
      </c>
      <c r="O83" s="357">
        <v>211247322</v>
      </c>
      <c r="P83" s="397">
        <f t="shared" si="3"/>
        <v>2377271287</v>
      </c>
      <c r="Q83" s="406">
        <f t="shared" si="5"/>
        <v>83</v>
      </c>
    </row>
    <row r="84" spans="1:17">
      <c r="A84" s="363">
        <f t="shared" si="4"/>
        <v>82</v>
      </c>
      <c r="B84" s="398" t="s">
        <v>4414</v>
      </c>
      <c r="C84" s="402">
        <v>81120000</v>
      </c>
      <c r="D84" s="366">
        <v>7740703</v>
      </c>
      <c r="E84" s="357">
        <v>7682527</v>
      </c>
      <c r="F84" s="357">
        <v>8157964</v>
      </c>
      <c r="G84" s="357">
        <v>8216136</v>
      </c>
      <c r="H84" s="357">
        <v>8216136</v>
      </c>
      <c r="I84" s="357">
        <v>8337038</v>
      </c>
      <c r="J84" s="357">
        <v>8337153</v>
      </c>
      <c r="K84" s="357">
        <v>8337153</v>
      </c>
      <c r="L84" s="357">
        <v>8337153</v>
      </c>
      <c r="M84" s="357">
        <v>8273840</v>
      </c>
      <c r="N84" s="357">
        <v>8273840</v>
      </c>
      <c r="O84" s="357">
        <v>8273840</v>
      </c>
      <c r="P84" s="397">
        <f t="shared" si="3"/>
        <v>98183483</v>
      </c>
      <c r="Q84" s="406">
        <f t="shared" si="5"/>
        <v>84</v>
      </c>
    </row>
    <row r="85" spans="1:17">
      <c r="A85" s="363">
        <f t="shared" si="4"/>
        <v>83</v>
      </c>
      <c r="B85" s="398" t="s">
        <v>4415</v>
      </c>
      <c r="C85" s="402">
        <v>120872052</v>
      </c>
      <c r="D85" s="366">
        <v>10932024</v>
      </c>
      <c r="E85" s="357">
        <v>11354468</v>
      </c>
      <c r="F85" s="357">
        <v>12740320</v>
      </c>
      <c r="G85" s="357">
        <v>12806452</v>
      </c>
      <c r="H85" s="357">
        <v>14534242</v>
      </c>
      <c r="I85" s="357">
        <v>14702552</v>
      </c>
      <c r="J85" s="357">
        <v>14544748</v>
      </c>
      <c r="K85" s="357">
        <v>14459266</v>
      </c>
      <c r="L85" s="357">
        <v>14459266</v>
      </c>
      <c r="M85" s="357">
        <v>14943378</v>
      </c>
      <c r="N85" s="357">
        <v>14943378</v>
      </c>
      <c r="O85" s="357">
        <v>14943378</v>
      </c>
      <c r="P85" s="397">
        <f t="shared" si="3"/>
        <v>165363472</v>
      </c>
      <c r="Q85" s="406">
        <f t="shared" si="5"/>
        <v>85</v>
      </c>
    </row>
    <row r="86" spans="1:17">
      <c r="A86" s="363">
        <f t="shared" si="4"/>
        <v>84</v>
      </c>
      <c r="B86" s="398" t="s">
        <v>4416</v>
      </c>
      <c r="C86" s="402">
        <v>104842802</v>
      </c>
      <c r="D86" s="366">
        <v>8043884</v>
      </c>
      <c r="E86" s="357">
        <v>8050317</v>
      </c>
      <c r="F86" s="357">
        <v>841346</v>
      </c>
      <c r="G86" s="357">
        <v>8534753</v>
      </c>
      <c r="H86" s="357">
        <v>8583348</v>
      </c>
      <c r="I86" s="357">
        <v>8579416</v>
      </c>
      <c r="J86" s="357">
        <v>8539960</v>
      </c>
      <c r="K86" s="357">
        <v>8539960</v>
      </c>
      <c r="L86" s="357">
        <v>8539960</v>
      </c>
      <c r="M86" s="357">
        <v>8539960</v>
      </c>
      <c r="N86" s="357">
        <v>8539960</v>
      </c>
      <c r="O86" s="357">
        <v>8539960</v>
      </c>
      <c r="P86" s="393">
        <f t="shared" si="3"/>
        <v>93872824</v>
      </c>
      <c r="Q86" s="406">
        <f t="shared" si="5"/>
        <v>86</v>
      </c>
    </row>
    <row r="87" spans="1:17">
      <c r="A87" s="363">
        <f t="shared" si="4"/>
        <v>85</v>
      </c>
      <c r="B87" s="398" t="s">
        <v>4417</v>
      </c>
      <c r="C87" s="402">
        <v>12190010</v>
      </c>
      <c r="D87" s="366">
        <v>7817016</v>
      </c>
      <c r="E87" s="357">
        <v>7887759</v>
      </c>
      <c r="F87" s="357">
        <v>8388953</v>
      </c>
      <c r="G87" s="357">
        <v>8473424</v>
      </c>
      <c r="H87" s="357">
        <v>8431832</v>
      </c>
      <c r="I87" s="357">
        <v>879699</v>
      </c>
      <c r="J87" s="357">
        <v>8834711</v>
      </c>
      <c r="K87" s="357">
        <v>8834720</v>
      </c>
      <c r="L87" s="357">
        <v>8854602</v>
      </c>
      <c r="M87" s="357">
        <v>8799076</v>
      </c>
      <c r="N87" s="357">
        <v>8799076</v>
      </c>
      <c r="O87" s="357">
        <v>8799076</v>
      </c>
      <c r="P87" s="397">
        <f t="shared" si="3"/>
        <v>94799944</v>
      </c>
      <c r="Q87" s="406">
        <f t="shared" si="5"/>
        <v>87</v>
      </c>
    </row>
    <row r="88" spans="1:17">
      <c r="A88" s="363">
        <f t="shared" si="4"/>
        <v>86</v>
      </c>
      <c r="B88" s="398" t="s">
        <v>4418</v>
      </c>
      <c r="C88" s="402">
        <v>10400000</v>
      </c>
      <c r="D88" s="366">
        <v>678438</v>
      </c>
      <c r="E88" s="357">
        <v>678438</v>
      </c>
      <c r="F88" s="357">
        <v>749418</v>
      </c>
      <c r="G88" s="357">
        <v>749418</v>
      </c>
      <c r="H88" s="357">
        <v>752778</v>
      </c>
      <c r="I88" s="357">
        <v>752778</v>
      </c>
      <c r="J88" s="357">
        <v>752785</v>
      </c>
      <c r="K88" s="357">
        <v>752785</v>
      </c>
      <c r="L88" s="357">
        <v>752785</v>
      </c>
      <c r="M88" s="357">
        <v>752285</v>
      </c>
      <c r="N88" s="357">
        <v>903290</v>
      </c>
      <c r="O88" s="357">
        <v>903290</v>
      </c>
      <c r="P88" s="393">
        <f t="shared" si="3"/>
        <v>9178488</v>
      </c>
      <c r="Q88" s="406">
        <f t="shared" si="5"/>
        <v>88</v>
      </c>
    </row>
    <row r="89" spans="1:17">
      <c r="A89" s="363">
        <f t="shared" si="4"/>
        <v>87</v>
      </c>
      <c r="B89" s="398" t="s">
        <v>4419</v>
      </c>
      <c r="C89" s="402">
        <v>0</v>
      </c>
      <c r="D89" s="366">
        <v>0</v>
      </c>
      <c r="E89" s="357">
        <v>0</v>
      </c>
      <c r="F89" s="357">
        <v>0</v>
      </c>
      <c r="G89" s="357">
        <v>0</v>
      </c>
      <c r="H89" s="357">
        <v>0</v>
      </c>
      <c r="I89" s="357">
        <v>0</v>
      </c>
      <c r="J89" s="357">
        <v>0</v>
      </c>
      <c r="K89" s="357">
        <v>0</v>
      </c>
      <c r="L89" s="357">
        <v>0</v>
      </c>
      <c r="M89" s="357">
        <v>0</v>
      </c>
      <c r="N89" s="357">
        <v>0</v>
      </c>
      <c r="O89" s="357">
        <v>0</v>
      </c>
      <c r="P89" s="393">
        <f t="shared" si="3"/>
        <v>0</v>
      </c>
      <c r="Q89" s="406">
        <f t="shared" si="5"/>
        <v>89</v>
      </c>
    </row>
    <row r="90" spans="1:17">
      <c r="A90" s="363">
        <f t="shared" si="4"/>
        <v>88</v>
      </c>
      <c r="B90" s="398" t="s">
        <v>4420</v>
      </c>
      <c r="C90" s="402">
        <v>0</v>
      </c>
      <c r="D90" s="366">
        <v>0</v>
      </c>
      <c r="E90" s="357">
        <v>0</v>
      </c>
      <c r="F90" s="357">
        <v>0</v>
      </c>
      <c r="G90" s="357">
        <v>0</v>
      </c>
      <c r="H90" s="357">
        <v>0</v>
      </c>
      <c r="I90" s="357">
        <v>0</v>
      </c>
      <c r="J90" s="357">
        <v>0</v>
      </c>
      <c r="K90" s="357">
        <v>0</v>
      </c>
      <c r="L90" s="357">
        <v>0</v>
      </c>
      <c r="M90" s="357">
        <v>0</v>
      </c>
      <c r="N90" s="357">
        <v>0</v>
      </c>
      <c r="O90" s="357">
        <v>0</v>
      </c>
      <c r="P90" s="393">
        <f t="shared" si="3"/>
        <v>0</v>
      </c>
      <c r="Q90" s="406">
        <f t="shared" si="5"/>
        <v>90</v>
      </c>
    </row>
    <row r="91" spans="1:17">
      <c r="A91" s="363">
        <f t="shared" si="4"/>
        <v>89</v>
      </c>
      <c r="B91" s="398" t="s">
        <v>4421</v>
      </c>
      <c r="C91" s="402">
        <v>109527099</v>
      </c>
      <c r="D91" s="366">
        <v>10294908</v>
      </c>
      <c r="E91" s="357">
        <v>10852684</v>
      </c>
      <c r="F91" s="357">
        <v>12116194</v>
      </c>
      <c r="G91" s="357">
        <v>12974543</v>
      </c>
      <c r="H91" s="357">
        <v>12676081</v>
      </c>
      <c r="I91" s="357">
        <v>12889821</v>
      </c>
      <c r="J91" s="357">
        <v>12662733</v>
      </c>
      <c r="K91" s="357">
        <v>12614136</v>
      </c>
      <c r="L91" s="357">
        <v>12614136</v>
      </c>
      <c r="M91" s="357">
        <v>12788751</v>
      </c>
      <c r="N91" s="357">
        <v>12788751</v>
      </c>
      <c r="O91" s="357">
        <v>12788751</v>
      </c>
      <c r="P91" s="397">
        <f t="shared" si="3"/>
        <v>148061489</v>
      </c>
      <c r="Q91" s="406">
        <f t="shared" si="5"/>
        <v>91</v>
      </c>
    </row>
    <row r="92" spans="1:17">
      <c r="A92" s="363">
        <f t="shared" si="4"/>
        <v>90</v>
      </c>
      <c r="B92" s="398" t="s">
        <v>4422</v>
      </c>
      <c r="C92" s="402">
        <v>540800000</v>
      </c>
      <c r="D92" s="366">
        <v>42867340</v>
      </c>
      <c r="E92" s="357">
        <v>42583378</v>
      </c>
      <c r="F92" s="357">
        <v>48072177</v>
      </c>
      <c r="G92" s="357">
        <v>48419921</v>
      </c>
      <c r="H92" s="357">
        <v>49072177</v>
      </c>
      <c r="I92" s="357">
        <v>50606472</v>
      </c>
      <c r="J92" s="357">
        <v>50186802</v>
      </c>
      <c r="K92" s="357">
        <v>50146815</v>
      </c>
      <c r="L92" s="357">
        <v>50146815</v>
      </c>
      <c r="M92" s="357">
        <v>50370846</v>
      </c>
      <c r="N92" s="357">
        <v>50370846</v>
      </c>
      <c r="O92" s="357">
        <v>50348741</v>
      </c>
      <c r="P92" s="397">
        <f t="shared" si="3"/>
        <v>583192330</v>
      </c>
      <c r="Q92" s="406">
        <f t="shared" si="5"/>
        <v>92</v>
      </c>
    </row>
    <row r="93" spans="1:17">
      <c r="A93" s="363">
        <f t="shared" si="4"/>
        <v>91</v>
      </c>
      <c r="B93" s="398" t="s">
        <v>4423</v>
      </c>
      <c r="C93" s="402">
        <v>15000000</v>
      </c>
      <c r="D93" s="366">
        <v>992812</v>
      </c>
      <c r="E93" s="357">
        <v>970230</v>
      </c>
      <c r="F93" s="357">
        <v>1003349</v>
      </c>
      <c r="G93" s="357">
        <v>1003349</v>
      </c>
      <c r="H93" s="357">
        <v>1008607</v>
      </c>
      <c r="I93" s="357">
        <v>1008607</v>
      </c>
      <c r="J93" s="357">
        <v>973334</v>
      </c>
      <c r="K93" s="357">
        <v>973334</v>
      </c>
      <c r="L93" s="357">
        <v>973334</v>
      </c>
      <c r="M93" s="357">
        <v>973334</v>
      </c>
      <c r="N93" s="357">
        <v>973334</v>
      </c>
      <c r="O93" s="357">
        <v>950892</v>
      </c>
      <c r="P93" s="393">
        <f t="shared" si="3"/>
        <v>11804516</v>
      </c>
      <c r="Q93" s="406">
        <f t="shared" si="5"/>
        <v>93</v>
      </c>
    </row>
    <row r="94" spans="1:17">
      <c r="A94" s="363">
        <f t="shared" si="4"/>
        <v>92</v>
      </c>
      <c r="B94" s="398" t="s">
        <v>4424</v>
      </c>
      <c r="C94" s="402">
        <v>36092967</v>
      </c>
      <c r="D94" s="366">
        <v>2697893</v>
      </c>
      <c r="E94" s="357">
        <v>2618341</v>
      </c>
      <c r="F94" s="357">
        <v>3008704</v>
      </c>
      <c r="G94" s="357">
        <v>3008704</v>
      </c>
      <c r="H94" s="357">
        <v>3026579</v>
      </c>
      <c r="I94" s="357">
        <v>2993294</v>
      </c>
      <c r="J94" s="357">
        <v>3023625</v>
      </c>
      <c r="K94" s="357">
        <v>2976058</v>
      </c>
      <c r="L94" s="357">
        <v>2976058</v>
      </c>
      <c r="M94" s="357">
        <v>2976058</v>
      </c>
      <c r="N94" s="357">
        <v>2976058</v>
      </c>
      <c r="O94" s="357">
        <v>2976058</v>
      </c>
      <c r="P94" s="393">
        <f t="shared" si="3"/>
        <v>35257430</v>
      </c>
      <c r="Q94" s="406">
        <f t="shared" si="5"/>
        <v>94</v>
      </c>
    </row>
    <row r="95" spans="1:17">
      <c r="A95" s="363">
        <f t="shared" si="4"/>
        <v>93</v>
      </c>
      <c r="B95" s="398" t="s">
        <v>4425</v>
      </c>
      <c r="C95" s="402">
        <v>8044808</v>
      </c>
      <c r="D95" s="366">
        <v>560588</v>
      </c>
      <c r="E95" s="357">
        <v>560588</v>
      </c>
      <c r="F95" s="357">
        <v>587337</v>
      </c>
      <c r="G95" s="357">
        <v>587337</v>
      </c>
      <c r="H95" s="357">
        <v>590004</v>
      </c>
      <c r="I95" s="357">
        <v>590004</v>
      </c>
      <c r="J95" s="357">
        <v>590007</v>
      </c>
      <c r="K95" s="357">
        <v>549014</v>
      </c>
      <c r="L95" s="357">
        <v>549014</v>
      </c>
      <c r="M95" s="357">
        <v>549014</v>
      </c>
      <c r="N95" s="357">
        <v>549014</v>
      </c>
      <c r="O95" s="357">
        <v>549014</v>
      </c>
      <c r="P95" s="393">
        <f t="shared" si="3"/>
        <v>6810935</v>
      </c>
      <c r="Q95" s="406">
        <f t="shared" si="5"/>
        <v>95</v>
      </c>
    </row>
    <row r="96" spans="1:17">
      <c r="A96" s="363">
        <f t="shared" si="4"/>
        <v>94</v>
      </c>
      <c r="B96" s="398" t="s">
        <v>4426</v>
      </c>
      <c r="C96" s="402">
        <v>1500000000</v>
      </c>
      <c r="D96" s="366">
        <v>103518370</v>
      </c>
      <c r="E96" s="357">
        <v>103518370</v>
      </c>
      <c r="F96" s="357">
        <v>116651371</v>
      </c>
      <c r="G96" s="357">
        <v>116785762</v>
      </c>
      <c r="H96" s="357">
        <v>117207180</v>
      </c>
      <c r="I96" s="357">
        <v>117157290</v>
      </c>
      <c r="J96" s="357">
        <v>117189257</v>
      </c>
      <c r="K96" s="357">
        <v>117051946</v>
      </c>
      <c r="L96" s="357">
        <v>117051946</v>
      </c>
      <c r="M96" s="357">
        <v>116140833</v>
      </c>
      <c r="N96" s="357">
        <v>115995903</v>
      </c>
      <c r="O96" s="357">
        <v>116077361</v>
      </c>
      <c r="P96" s="393">
        <f t="shared" si="3"/>
        <v>1374345589</v>
      </c>
      <c r="Q96" s="406">
        <f t="shared" si="5"/>
        <v>96</v>
      </c>
    </row>
    <row r="97" spans="1:17">
      <c r="A97" s="363">
        <f t="shared" si="4"/>
        <v>95</v>
      </c>
      <c r="B97" s="398" t="s">
        <v>3707</v>
      </c>
      <c r="C97" s="402">
        <v>7280000</v>
      </c>
      <c r="D97" s="366">
        <v>485256</v>
      </c>
      <c r="E97" s="357">
        <v>485256</v>
      </c>
      <c r="F97" s="357">
        <v>502034</v>
      </c>
      <c r="G97" s="357">
        <v>505407</v>
      </c>
      <c r="H97" s="357">
        <v>505407</v>
      </c>
      <c r="I97" s="357">
        <v>505407</v>
      </c>
      <c r="J97" s="357">
        <v>505140</v>
      </c>
      <c r="K97" s="357">
        <v>505410</v>
      </c>
      <c r="L97" s="357">
        <v>505410</v>
      </c>
      <c r="M97" s="357">
        <v>505410</v>
      </c>
      <c r="N97" s="357">
        <v>505410</v>
      </c>
      <c r="O97" s="357">
        <v>505410</v>
      </c>
      <c r="P97" s="393">
        <f t="shared" si="3"/>
        <v>6020957</v>
      </c>
      <c r="Q97" s="406">
        <f t="shared" si="5"/>
        <v>97</v>
      </c>
    </row>
    <row r="98" spans="1:17">
      <c r="A98" s="363">
        <f t="shared" si="4"/>
        <v>96</v>
      </c>
      <c r="B98" s="398" t="s">
        <v>4427</v>
      </c>
      <c r="C98" s="402">
        <v>7571200</v>
      </c>
      <c r="D98" s="366">
        <v>387228</v>
      </c>
      <c r="E98" s="357">
        <v>387228</v>
      </c>
      <c r="F98" s="357">
        <v>406088</v>
      </c>
      <c r="G98" s="357">
        <v>406088</v>
      </c>
      <c r="H98" s="357">
        <v>408044</v>
      </c>
      <c r="I98" s="357">
        <v>408044</v>
      </c>
      <c r="J98" s="357">
        <v>408049</v>
      </c>
      <c r="K98" s="357">
        <v>408049</v>
      </c>
      <c r="L98" s="357">
        <v>408049</v>
      </c>
      <c r="M98" s="357">
        <v>408049</v>
      </c>
      <c r="N98" s="357">
        <v>408049</v>
      </c>
      <c r="O98" s="357">
        <v>408049</v>
      </c>
      <c r="P98" s="393">
        <f t="shared" si="3"/>
        <v>4851014</v>
      </c>
      <c r="Q98" s="406">
        <f t="shared" si="5"/>
        <v>98</v>
      </c>
    </row>
    <row r="99" spans="1:17">
      <c r="A99" s="363">
        <f t="shared" si="4"/>
        <v>97</v>
      </c>
      <c r="B99" s="398" t="s">
        <v>4428</v>
      </c>
      <c r="C99" s="402">
        <v>43300000</v>
      </c>
      <c r="D99" s="366">
        <v>3225571</v>
      </c>
      <c r="E99" s="357">
        <v>3225571</v>
      </c>
      <c r="F99" s="357">
        <v>3308198</v>
      </c>
      <c r="G99" s="357">
        <v>3308198</v>
      </c>
      <c r="H99" s="357">
        <v>3324606</v>
      </c>
      <c r="I99" s="357">
        <v>4475786</v>
      </c>
      <c r="J99" s="357">
        <v>4430247</v>
      </c>
      <c r="K99" s="357">
        <v>4430256</v>
      </c>
      <c r="L99" s="357">
        <v>4430256</v>
      </c>
      <c r="M99" s="357">
        <v>4430256</v>
      </c>
      <c r="N99" s="357">
        <v>4430256</v>
      </c>
      <c r="O99" s="357">
        <v>4430256</v>
      </c>
      <c r="P99" s="397">
        <f t="shared" si="3"/>
        <v>47449457</v>
      </c>
      <c r="Q99" s="406">
        <f t="shared" si="5"/>
        <v>99</v>
      </c>
    </row>
    <row r="100" spans="1:17">
      <c r="A100" s="363">
        <f t="shared" si="4"/>
        <v>98</v>
      </c>
      <c r="B100" s="398" t="s">
        <v>4482</v>
      </c>
      <c r="C100" s="402">
        <v>10485280</v>
      </c>
      <c r="D100" s="366">
        <v>612231</v>
      </c>
      <c r="E100" s="357">
        <v>446081</v>
      </c>
      <c r="F100" s="357">
        <v>460570</v>
      </c>
      <c r="G100" s="357">
        <v>432320</v>
      </c>
      <c r="H100" s="357">
        <v>432320</v>
      </c>
      <c r="I100" s="357">
        <v>432320</v>
      </c>
      <c r="J100" s="357">
        <v>432319</v>
      </c>
      <c r="K100" s="357">
        <v>147277</v>
      </c>
      <c r="L100" s="357">
        <v>147277</v>
      </c>
      <c r="M100" s="357">
        <v>147277</v>
      </c>
      <c r="N100" s="357">
        <v>147277</v>
      </c>
      <c r="O100" s="357">
        <v>147277</v>
      </c>
      <c r="P100" s="393">
        <f t="shared" si="3"/>
        <v>3984546</v>
      </c>
      <c r="Q100" s="406">
        <f t="shared" si="5"/>
        <v>100</v>
      </c>
    </row>
    <row r="101" spans="1:17">
      <c r="A101" s="363">
        <f t="shared" si="4"/>
        <v>99</v>
      </c>
      <c r="B101" s="398" t="s">
        <v>4430</v>
      </c>
      <c r="C101" s="402">
        <v>6489600</v>
      </c>
      <c r="D101" s="366">
        <v>260525</v>
      </c>
      <c r="E101" s="357">
        <v>260525</v>
      </c>
      <c r="F101" s="357">
        <v>274999</v>
      </c>
      <c r="G101" s="357">
        <v>274999</v>
      </c>
      <c r="H101" s="357">
        <v>276394</v>
      </c>
      <c r="I101" s="357">
        <v>279394</v>
      </c>
      <c r="J101" s="357">
        <v>276394</v>
      </c>
      <c r="K101" s="357">
        <v>276394</v>
      </c>
      <c r="L101" s="357">
        <v>276394</v>
      </c>
      <c r="M101" s="357">
        <v>276394</v>
      </c>
      <c r="N101" s="357">
        <v>276394</v>
      </c>
      <c r="O101" s="357">
        <v>276394</v>
      </c>
      <c r="P101" s="393">
        <f t="shared" si="3"/>
        <v>3285200</v>
      </c>
      <c r="Q101" s="406">
        <f t="shared" si="5"/>
        <v>101</v>
      </c>
    </row>
    <row r="102" spans="1:17">
      <c r="A102" s="363">
        <f t="shared" si="4"/>
        <v>100</v>
      </c>
      <c r="B102" s="398" t="s">
        <v>4431</v>
      </c>
      <c r="C102" s="402">
        <v>17100000</v>
      </c>
      <c r="D102" s="366">
        <v>1285701</v>
      </c>
      <c r="E102" s="357">
        <v>1285701</v>
      </c>
      <c r="F102" s="357">
        <v>1388926</v>
      </c>
      <c r="G102" s="357">
        <v>1404421</v>
      </c>
      <c r="H102" s="357">
        <v>1404421</v>
      </c>
      <c r="I102" s="357">
        <v>1484042</v>
      </c>
      <c r="J102" s="357">
        <v>1484063</v>
      </c>
      <c r="K102" s="357">
        <v>1366719</v>
      </c>
      <c r="L102" s="357">
        <v>1366719</v>
      </c>
      <c r="M102" s="357">
        <v>1366719</v>
      </c>
      <c r="N102" s="357">
        <v>1366719</v>
      </c>
      <c r="O102" s="357">
        <v>1366719</v>
      </c>
      <c r="P102" s="393">
        <f t="shared" si="3"/>
        <v>16570870</v>
      </c>
      <c r="Q102" s="406">
        <f t="shared" si="5"/>
        <v>102</v>
      </c>
    </row>
    <row r="103" spans="1:17">
      <c r="A103" s="363">
        <f t="shared" si="4"/>
        <v>101</v>
      </c>
      <c r="B103" s="398" t="s">
        <v>4432</v>
      </c>
      <c r="C103" s="402">
        <v>211000000</v>
      </c>
      <c r="D103" s="366">
        <v>15876650</v>
      </c>
      <c r="E103" s="357">
        <v>15893137</v>
      </c>
      <c r="F103" s="357">
        <v>17592514</v>
      </c>
      <c r="G103" s="357">
        <v>17900422</v>
      </c>
      <c r="H103" s="357">
        <v>17589735</v>
      </c>
      <c r="I103" s="357">
        <v>17787129</v>
      </c>
      <c r="J103" s="357">
        <v>17842763</v>
      </c>
      <c r="K103" s="357">
        <v>17883301</v>
      </c>
      <c r="L103" s="357">
        <v>17883301</v>
      </c>
      <c r="M103" s="357">
        <v>18323672</v>
      </c>
      <c r="N103" s="357">
        <v>17933325</v>
      </c>
      <c r="O103" s="357">
        <v>17933325</v>
      </c>
      <c r="P103" s="393">
        <f t="shared" si="3"/>
        <v>210439274</v>
      </c>
      <c r="Q103" s="406">
        <f t="shared" si="5"/>
        <v>103</v>
      </c>
    </row>
    <row r="104" spans="1:17">
      <c r="A104" s="363">
        <f t="shared" si="4"/>
        <v>102</v>
      </c>
      <c r="B104" s="398" t="s">
        <v>4433</v>
      </c>
      <c r="C104" s="402">
        <v>23795200</v>
      </c>
      <c r="D104" s="366">
        <v>1653535</v>
      </c>
      <c r="E104" s="357">
        <v>1653535</v>
      </c>
      <c r="F104" s="357">
        <v>1685765</v>
      </c>
      <c r="G104" s="357">
        <v>1685765</v>
      </c>
      <c r="H104" s="357">
        <v>1674260</v>
      </c>
      <c r="I104" s="357">
        <v>1674260</v>
      </c>
      <c r="J104" s="357">
        <v>1699213</v>
      </c>
      <c r="K104" s="357">
        <v>1699213</v>
      </c>
      <c r="L104" s="357">
        <v>1699213</v>
      </c>
      <c r="M104" s="357">
        <v>1674287</v>
      </c>
      <c r="N104" s="357">
        <v>1674287</v>
      </c>
      <c r="O104" s="357">
        <v>1674287</v>
      </c>
      <c r="P104" s="393">
        <f t="shared" si="3"/>
        <v>20147620</v>
      </c>
      <c r="Q104" s="406">
        <f t="shared" si="5"/>
        <v>104</v>
      </c>
    </row>
    <row r="105" spans="1:17">
      <c r="A105" s="363">
        <f t="shared" si="4"/>
        <v>103</v>
      </c>
      <c r="B105" s="398" t="s">
        <v>4434</v>
      </c>
      <c r="C105" s="402">
        <v>8652800</v>
      </c>
      <c r="D105" s="366">
        <v>381715</v>
      </c>
      <c r="E105" s="357">
        <v>381715</v>
      </c>
      <c r="F105" s="357">
        <v>405377</v>
      </c>
      <c r="G105" s="357">
        <v>406109</v>
      </c>
      <c r="H105" s="357">
        <v>406109</v>
      </c>
      <c r="I105" s="357">
        <v>426240</v>
      </c>
      <c r="J105" s="357">
        <v>426247</v>
      </c>
      <c r="K105" s="357">
        <v>426247</v>
      </c>
      <c r="L105" s="357">
        <v>426247</v>
      </c>
      <c r="M105" s="357">
        <v>426247</v>
      </c>
      <c r="N105" s="357">
        <v>426247</v>
      </c>
      <c r="O105" s="357">
        <v>426247</v>
      </c>
      <c r="P105" s="393">
        <f t="shared" si="3"/>
        <v>4964747</v>
      </c>
      <c r="Q105" s="406">
        <f t="shared" si="5"/>
        <v>105</v>
      </c>
    </row>
    <row r="106" spans="1:17">
      <c r="A106" s="363">
        <f t="shared" si="4"/>
        <v>104</v>
      </c>
      <c r="B106" s="398" t="s">
        <v>4435</v>
      </c>
      <c r="C106" s="402">
        <v>12800000</v>
      </c>
      <c r="D106" s="366">
        <v>895373</v>
      </c>
      <c r="E106" s="357">
        <v>895373</v>
      </c>
      <c r="F106" s="357">
        <v>785790</v>
      </c>
      <c r="G106" s="357">
        <v>708160</v>
      </c>
      <c r="H106" s="357">
        <v>710729</v>
      </c>
      <c r="I106" s="357">
        <v>730860</v>
      </c>
      <c r="J106" s="357">
        <v>730868</v>
      </c>
      <c r="K106" s="357">
        <v>730868</v>
      </c>
      <c r="L106" s="357">
        <v>730868</v>
      </c>
      <c r="M106" s="357">
        <v>730868</v>
      </c>
      <c r="N106" s="357">
        <v>730868</v>
      </c>
      <c r="O106" s="357">
        <v>730868</v>
      </c>
      <c r="P106" s="393">
        <f t="shared" si="3"/>
        <v>9111493</v>
      </c>
      <c r="Q106" s="406">
        <f t="shared" si="5"/>
        <v>106</v>
      </c>
    </row>
    <row r="107" spans="1:17">
      <c r="A107" s="363">
        <f t="shared" si="4"/>
        <v>105</v>
      </c>
      <c r="B107" s="398" t="s">
        <v>4436</v>
      </c>
      <c r="C107" s="402">
        <v>884000000</v>
      </c>
      <c r="D107" s="366">
        <v>62172337</v>
      </c>
      <c r="E107" s="357">
        <v>62027883</v>
      </c>
      <c r="F107" s="357">
        <v>68822594</v>
      </c>
      <c r="G107" s="357">
        <v>69149537</v>
      </c>
      <c r="H107" s="357">
        <v>69265050</v>
      </c>
      <c r="I107" s="357">
        <v>70350901</v>
      </c>
      <c r="J107" s="357">
        <v>69872693</v>
      </c>
      <c r="K107" s="357">
        <v>70432885</v>
      </c>
      <c r="L107" s="357">
        <v>70432885</v>
      </c>
      <c r="M107" s="357">
        <v>69400944</v>
      </c>
      <c r="N107" s="357">
        <v>69922178</v>
      </c>
      <c r="O107" s="357">
        <v>69917877</v>
      </c>
      <c r="P107" s="393">
        <f t="shared" si="3"/>
        <v>821767764</v>
      </c>
      <c r="Q107" s="406">
        <f t="shared" si="5"/>
        <v>107</v>
      </c>
    </row>
    <row r="108" spans="1:17">
      <c r="A108" s="363">
        <f t="shared" si="4"/>
        <v>106</v>
      </c>
      <c r="B108" s="398" t="s">
        <v>4437</v>
      </c>
      <c r="C108" s="402">
        <v>30284800</v>
      </c>
      <c r="D108" s="366">
        <v>2114832</v>
      </c>
      <c r="E108" s="357">
        <v>2114833</v>
      </c>
      <c r="F108" s="357">
        <v>2173566</v>
      </c>
      <c r="G108" s="357">
        <v>2173566</v>
      </c>
      <c r="H108" s="357">
        <v>2190152</v>
      </c>
      <c r="I108" s="357">
        <v>2956320</v>
      </c>
      <c r="J108" s="357">
        <v>2956349</v>
      </c>
      <c r="K108" s="357">
        <v>2956349</v>
      </c>
      <c r="L108" s="357">
        <v>2956349</v>
      </c>
      <c r="M108" s="357">
        <v>2956349</v>
      </c>
      <c r="N108" s="357">
        <v>2956349</v>
      </c>
      <c r="O108" s="357">
        <v>2956349</v>
      </c>
      <c r="P108" s="397">
        <f t="shared" si="3"/>
        <v>31461363</v>
      </c>
      <c r="Q108" s="406">
        <f t="shared" si="5"/>
        <v>108</v>
      </c>
    </row>
    <row r="109" spans="1:17">
      <c r="A109" s="363">
        <f t="shared" si="4"/>
        <v>107</v>
      </c>
      <c r="B109" s="398" t="s">
        <v>4438</v>
      </c>
      <c r="C109" s="402">
        <v>25000000</v>
      </c>
      <c r="D109" s="366">
        <v>1815500</v>
      </c>
      <c r="E109" s="357">
        <v>1815499</v>
      </c>
      <c r="F109" s="357">
        <v>1908390</v>
      </c>
      <c r="G109" s="357">
        <v>1717135</v>
      </c>
      <c r="H109" s="357">
        <v>1917135</v>
      </c>
      <c r="I109" s="357">
        <v>1880980</v>
      </c>
      <c r="J109" s="357">
        <v>1917144</v>
      </c>
      <c r="K109" s="357">
        <v>1917144</v>
      </c>
      <c r="L109" s="357">
        <v>1917144</v>
      </c>
      <c r="M109" s="357">
        <v>1880988</v>
      </c>
      <c r="N109" s="357">
        <v>1880988</v>
      </c>
      <c r="O109" s="357">
        <v>1880988</v>
      </c>
      <c r="P109" s="393">
        <f t="shared" si="3"/>
        <v>22449035</v>
      </c>
      <c r="Q109" s="406">
        <f t="shared" si="5"/>
        <v>109</v>
      </c>
    </row>
    <row r="110" spans="1:17">
      <c r="A110" s="363">
        <f t="shared" si="4"/>
        <v>108</v>
      </c>
      <c r="B110" s="398" t="s">
        <v>4439</v>
      </c>
      <c r="C110" s="402">
        <v>10816000</v>
      </c>
      <c r="D110" s="366">
        <v>630437</v>
      </c>
      <c r="E110" s="357">
        <v>630437</v>
      </c>
      <c r="F110" s="357">
        <v>652686</v>
      </c>
      <c r="G110" s="357">
        <v>652686</v>
      </c>
      <c r="H110" s="357">
        <v>657138</v>
      </c>
      <c r="I110" s="357">
        <v>654544</v>
      </c>
      <c r="J110" s="357">
        <v>654544</v>
      </c>
      <c r="K110" s="357">
        <v>655147</v>
      </c>
      <c r="L110" s="357">
        <v>655147</v>
      </c>
      <c r="M110" s="357">
        <v>655147</v>
      </c>
      <c r="N110" s="357">
        <v>655147</v>
      </c>
      <c r="O110" s="357">
        <v>655147</v>
      </c>
      <c r="P110" s="393">
        <f t="shared" si="3"/>
        <v>7808207</v>
      </c>
      <c r="Q110" s="406">
        <f t="shared" si="5"/>
        <v>110</v>
      </c>
    </row>
    <row r="111" spans="1:17">
      <c r="A111" s="363">
        <f t="shared" si="4"/>
        <v>109</v>
      </c>
      <c r="B111" s="398" t="s">
        <v>4440</v>
      </c>
      <c r="C111" s="402">
        <v>65000000</v>
      </c>
      <c r="D111" s="366">
        <v>5672434</v>
      </c>
      <c r="E111" s="357">
        <v>5673307</v>
      </c>
      <c r="F111" s="357">
        <v>6255367</v>
      </c>
      <c r="G111" s="357">
        <v>5506679</v>
      </c>
      <c r="H111" s="357">
        <v>5506679</v>
      </c>
      <c r="I111" s="357">
        <v>5531302</v>
      </c>
      <c r="J111" s="357">
        <v>5531299</v>
      </c>
      <c r="K111" s="357">
        <v>5536657</v>
      </c>
      <c r="L111" s="357">
        <v>5536657</v>
      </c>
      <c r="M111" s="357">
        <v>5536652</v>
      </c>
      <c r="N111" s="357">
        <v>5536652</v>
      </c>
      <c r="O111" s="357">
        <v>5536652</v>
      </c>
      <c r="P111" s="397">
        <f t="shared" si="3"/>
        <v>67360337</v>
      </c>
      <c r="Q111" s="406">
        <f t="shared" si="5"/>
        <v>111</v>
      </c>
    </row>
    <row r="112" spans="1:17">
      <c r="A112" s="363">
        <f t="shared" si="4"/>
        <v>110</v>
      </c>
      <c r="B112" s="398" t="s">
        <v>4441</v>
      </c>
      <c r="C112" s="402">
        <v>5030000</v>
      </c>
      <c r="D112" s="366">
        <v>4521156</v>
      </c>
      <c r="E112" s="357">
        <v>4071156</v>
      </c>
      <c r="F112" s="357">
        <v>4071156</v>
      </c>
      <c r="G112" s="357">
        <v>4071156</v>
      </c>
      <c r="H112" s="357">
        <v>4071156</v>
      </c>
      <c r="I112" s="357">
        <v>4071150</v>
      </c>
      <c r="J112" s="357">
        <v>4071156</v>
      </c>
      <c r="K112" s="357">
        <v>4071156</v>
      </c>
      <c r="L112" s="357">
        <v>4071156</v>
      </c>
      <c r="M112" s="357">
        <v>4071156</v>
      </c>
      <c r="N112" s="357">
        <v>4071156</v>
      </c>
      <c r="O112" s="357">
        <v>4046156</v>
      </c>
      <c r="P112" s="397">
        <f t="shared" si="3"/>
        <v>49278866</v>
      </c>
      <c r="Q112" s="406">
        <f t="shared" si="5"/>
        <v>112</v>
      </c>
    </row>
    <row r="113" spans="1:17">
      <c r="A113" s="363">
        <f t="shared" si="4"/>
        <v>111</v>
      </c>
      <c r="B113" s="398" t="s">
        <v>4442</v>
      </c>
      <c r="C113" s="402">
        <v>200000000</v>
      </c>
      <c r="D113" s="366">
        <v>15599721</v>
      </c>
      <c r="E113" s="357">
        <v>15578326</v>
      </c>
      <c r="F113" s="357">
        <v>16984767</v>
      </c>
      <c r="G113" s="357">
        <v>16950506</v>
      </c>
      <c r="H113" s="357">
        <v>17076815</v>
      </c>
      <c r="I113" s="357">
        <v>17088049</v>
      </c>
      <c r="J113" s="357">
        <v>17149058</v>
      </c>
      <c r="K113" s="357">
        <v>17062669</v>
      </c>
      <c r="L113" s="357">
        <v>17062669</v>
      </c>
      <c r="M113" s="357">
        <v>16881428</v>
      </c>
      <c r="N113" s="357">
        <v>16881428</v>
      </c>
      <c r="O113" s="357">
        <v>16816724</v>
      </c>
      <c r="P113" s="397">
        <f t="shared" si="3"/>
        <v>201132160</v>
      </c>
      <c r="Q113" s="406">
        <f t="shared" si="5"/>
        <v>113</v>
      </c>
    </row>
    <row r="114" spans="1:17">
      <c r="A114" s="363">
        <f t="shared" si="4"/>
        <v>112</v>
      </c>
      <c r="B114" s="398" t="s">
        <v>4443</v>
      </c>
      <c r="C114" s="402">
        <v>11000000</v>
      </c>
      <c r="D114" s="366">
        <v>763450</v>
      </c>
      <c r="E114" s="357">
        <v>763450</v>
      </c>
      <c r="F114" s="357">
        <v>788927</v>
      </c>
      <c r="G114" s="357">
        <v>788929</v>
      </c>
      <c r="H114" s="357">
        <v>794604</v>
      </c>
      <c r="I114" s="357">
        <v>794604</v>
      </c>
      <c r="J114" s="357">
        <v>794605</v>
      </c>
      <c r="K114" s="357">
        <v>794605</v>
      </c>
      <c r="L114" s="357">
        <v>794605</v>
      </c>
      <c r="M114" s="357">
        <v>794605</v>
      </c>
      <c r="N114" s="357">
        <v>794605</v>
      </c>
      <c r="O114" s="357">
        <v>794605</v>
      </c>
      <c r="P114" s="393">
        <f t="shared" si="3"/>
        <v>9461594</v>
      </c>
      <c r="Q114" s="406">
        <f t="shared" si="5"/>
        <v>114</v>
      </c>
    </row>
    <row r="115" spans="1:17">
      <c r="A115" s="363">
        <f t="shared" si="4"/>
        <v>113</v>
      </c>
      <c r="B115" s="398" t="s">
        <v>4444</v>
      </c>
      <c r="C115" s="402">
        <v>12979200</v>
      </c>
      <c r="D115" s="366">
        <v>0</v>
      </c>
      <c r="E115" s="357">
        <v>0</v>
      </c>
      <c r="F115" s="357">
        <v>0</v>
      </c>
      <c r="G115" s="357">
        <v>0</v>
      </c>
      <c r="H115" s="357">
        <v>0</v>
      </c>
      <c r="I115" s="357">
        <v>0</v>
      </c>
      <c r="J115" s="357">
        <v>0</v>
      </c>
      <c r="K115" s="357">
        <v>0</v>
      </c>
      <c r="L115" s="357">
        <v>0</v>
      </c>
      <c r="M115" s="357">
        <v>0</v>
      </c>
      <c r="N115" s="357">
        <v>0</v>
      </c>
      <c r="O115" s="357">
        <v>0</v>
      </c>
      <c r="P115" s="393">
        <f t="shared" si="3"/>
        <v>0</v>
      </c>
      <c r="Q115" s="406">
        <f t="shared" si="5"/>
        <v>115</v>
      </c>
    </row>
    <row r="116" spans="1:17">
      <c r="A116" s="363">
        <f t="shared" si="4"/>
        <v>114</v>
      </c>
      <c r="B116" s="398" t="s">
        <v>4020</v>
      </c>
      <c r="C116" s="402">
        <v>66643200</v>
      </c>
      <c r="D116" s="366">
        <v>5074692</v>
      </c>
      <c r="E116" s="357">
        <v>5074689</v>
      </c>
      <c r="F116" s="357">
        <v>5274176</v>
      </c>
      <c r="G116" s="357">
        <v>5274941</v>
      </c>
      <c r="H116" s="357">
        <v>5254037</v>
      </c>
      <c r="I116" s="357">
        <v>5186698</v>
      </c>
      <c r="J116" s="357">
        <v>5186745</v>
      </c>
      <c r="K116" s="357">
        <v>5161819</v>
      </c>
      <c r="L116" s="357">
        <v>5161819</v>
      </c>
      <c r="M116" s="357">
        <v>5161819</v>
      </c>
      <c r="N116" s="357">
        <v>5161819</v>
      </c>
      <c r="O116" s="357">
        <v>5161819</v>
      </c>
      <c r="P116" s="393">
        <f t="shared" si="3"/>
        <v>62135073</v>
      </c>
      <c r="Q116" s="406">
        <f t="shared" si="5"/>
        <v>116</v>
      </c>
    </row>
    <row r="117" spans="1:17">
      <c r="A117" s="363">
        <f t="shared" si="4"/>
        <v>115</v>
      </c>
      <c r="B117" s="398" t="s">
        <v>4483</v>
      </c>
      <c r="C117" s="402">
        <v>400000000</v>
      </c>
      <c r="D117" s="366">
        <v>31549247</v>
      </c>
      <c r="E117" s="357">
        <v>31562670</v>
      </c>
      <c r="F117" s="357">
        <v>32912484</v>
      </c>
      <c r="G117" s="357">
        <v>32120821</v>
      </c>
      <c r="H117" s="357">
        <v>33104411</v>
      </c>
      <c r="I117" s="357">
        <v>33316083</v>
      </c>
      <c r="J117" s="357">
        <v>33284649</v>
      </c>
      <c r="K117" s="357">
        <v>33243170</v>
      </c>
      <c r="L117" s="357">
        <v>33243170</v>
      </c>
      <c r="M117" s="357">
        <v>32871362</v>
      </c>
      <c r="N117" s="357">
        <v>32871362</v>
      </c>
      <c r="O117" s="357">
        <v>32871362</v>
      </c>
      <c r="P117" s="393">
        <f t="shared" si="3"/>
        <v>392950791</v>
      </c>
      <c r="Q117" s="406">
        <f t="shared" si="5"/>
        <v>117</v>
      </c>
    </row>
    <row r="118" spans="1:17">
      <c r="A118" s="363">
        <f t="shared" si="4"/>
        <v>116</v>
      </c>
      <c r="B118" s="398" t="s">
        <v>4446</v>
      </c>
      <c r="C118" s="402">
        <v>0</v>
      </c>
      <c r="D118" s="366">
        <v>0</v>
      </c>
      <c r="E118" s="357">
        <v>0</v>
      </c>
      <c r="F118" s="357">
        <v>0</v>
      </c>
      <c r="G118" s="357">
        <v>0</v>
      </c>
      <c r="H118" s="357">
        <v>0</v>
      </c>
      <c r="I118" s="357">
        <v>0</v>
      </c>
      <c r="J118" s="357">
        <v>0</v>
      </c>
      <c r="K118" s="357">
        <v>0</v>
      </c>
      <c r="L118" s="357">
        <v>0</v>
      </c>
      <c r="M118" s="357">
        <v>0</v>
      </c>
      <c r="N118" s="357">
        <v>0</v>
      </c>
      <c r="O118" s="357">
        <v>0</v>
      </c>
      <c r="P118" s="393">
        <f t="shared" si="3"/>
        <v>0</v>
      </c>
      <c r="Q118" s="406">
        <f t="shared" si="5"/>
        <v>118</v>
      </c>
    </row>
    <row r="119" spans="1:17">
      <c r="A119" s="363">
        <f t="shared" si="4"/>
        <v>117</v>
      </c>
      <c r="B119" s="398" t="s">
        <v>696</v>
      </c>
      <c r="C119" s="402">
        <v>0</v>
      </c>
      <c r="D119" s="366">
        <v>0</v>
      </c>
      <c r="E119" s="357">
        <v>0</v>
      </c>
      <c r="F119" s="357">
        <v>0</v>
      </c>
      <c r="G119" s="357">
        <v>0</v>
      </c>
      <c r="H119" s="357">
        <v>0</v>
      </c>
      <c r="I119" s="357">
        <v>0</v>
      </c>
      <c r="J119" s="357">
        <v>0</v>
      </c>
      <c r="K119" s="357">
        <v>0</v>
      </c>
      <c r="L119" s="357">
        <v>0</v>
      </c>
      <c r="M119" s="357">
        <v>0</v>
      </c>
      <c r="N119" s="357"/>
      <c r="O119" s="357">
        <v>0</v>
      </c>
      <c r="P119" s="393">
        <f t="shared" si="3"/>
        <v>0</v>
      </c>
      <c r="Q119" s="406">
        <f t="shared" si="5"/>
        <v>119</v>
      </c>
    </row>
    <row r="120" spans="1:17">
      <c r="A120" s="363">
        <f t="shared" si="4"/>
        <v>118</v>
      </c>
      <c r="B120" s="398" t="s">
        <v>4447</v>
      </c>
      <c r="C120" s="402">
        <v>29000000</v>
      </c>
      <c r="D120" s="366">
        <v>2153101</v>
      </c>
      <c r="E120" s="357">
        <v>2153101</v>
      </c>
      <c r="F120" s="357">
        <v>2435513</v>
      </c>
      <c r="G120" s="357">
        <v>2454021</v>
      </c>
      <c r="H120" s="357">
        <v>2454021</v>
      </c>
      <c r="I120" s="357">
        <v>2646600</v>
      </c>
      <c r="J120" s="357">
        <v>2646636</v>
      </c>
      <c r="K120" s="357">
        <v>2646639</v>
      </c>
      <c r="L120" s="357">
        <v>2611084</v>
      </c>
      <c r="M120" s="357">
        <v>2611084</v>
      </c>
      <c r="N120" s="357">
        <v>2611084</v>
      </c>
      <c r="O120" s="357">
        <v>2611084</v>
      </c>
      <c r="P120" s="397">
        <f t="shared" si="3"/>
        <v>30033968</v>
      </c>
      <c r="Q120" s="406">
        <f t="shared" si="5"/>
        <v>120</v>
      </c>
    </row>
    <row r="121" spans="1:17">
      <c r="A121" s="363">
        <f t="shared" si="4"/>
        <v>119</v>
      </c>
      <c r="B121" s="398" t="s">
        <v>4448</v>
      </c>
      <c r="C121" s="402">
        <v>73000000</v>
      </c>
      <c r="D121" s="366">
        <v>5524670</v>
      </c>
      <c r="E121" s="357">
        <v>5524670</v>
      </c>
      <c r="F121" s="357">
        <v>5860657</v>
      </c>
      <c r="G121" s="357">
        <v>5919164</v>
      </c>
      <c r="H121" s="357">
        <v>5930058</v>
      </c>
      <c r="I121" s="357">
        <v>6495093</v>
      </c>
      <c r="J121" s="357">
        <v>6424148</v>
      </c>
      <c r="K121" s="357">
        <v>6495218</v>
      </c>
      <c r="L121" s="357">
        <v>6453720</v>
      </c>
      <c r="M121" s="357">
        <v>6432872</v>
      </c>
      <c r="N121" s="357">
        <v>6432872</v>
      </c>
      <c r="O121" s="357">
        <v>6401586</v>
      </c>
      <c r="P121" s="397">
        <f t="shared" si="3"/>
        <v>73894728</v>
      </c>
      <c r="Q121" s="406">
        <f t="shared" si="5"/>
        <v>121</v>
      </c>
    </row>
    <row r="122" spans="1:17">
      <c r="A122" s="363">
        <f t="shared" si="4"/>
        <v>120</v>
      </c>
      <c r="B122" s="398" t="s">
        <v>4449</v>
      </c>
      <c r="C122" s="402">
        <v>0</v>
      </c>
      <c r="D122" s="366">
        <v>0</v>
      </c>
      <c r="E122" s="357">
        <v>0</v>
      </c>
      <c r="F122" s="357">
        <v>0</v>
      </c>
      <c r="G122" s="357">
        <v>0</v>
      </c>
      <c r="H122" s="357">
        <v>0</v>
      </c>
      <c r="I122" s="357">
        <v>0</v>
      </c>
      <c r="J122" s="357">
        <v>0</v>
      </c>
      <c r="K122" s="357">
        <v>0</v>
      </c>
      <c r="L122" s="357">
        <v>0</v>
      </c>
      <c r="M122" s="357">
        <v>0</v>
      </c>
      <c r="N122" s="357">
        <v>0</v>
      </c>
      <c r="O122" s="357">
        <v>0</v>
      </c>
      <c r="P122" s="393">
        <f t="shared" si="3"/>
        <v>0</v>
      </c>
      <c r="Q122" s="406">
        <f t="shared" si="5"/>
        <v>122</v>
      </c>
    </row>
    <row r="123" spans="1:17">
      <c r="A123" s="363">
        <f t="shared" si="4"/>
        <v>121</v>
      </c>
      <c r="B123" s="398" t="s">
        <v>4450</v>
      </c>
      <c r="C123" s="402">
        <v>0</v>
      </c>
      <c r="D123" s="366">
        <v>0</v>
      </c>
      <c r="E123" s="357">
        <v>0</v>
      </c>
      <c r="F123" s="357">
        <v>0</v>
      </c>
      <c r="G123" s="357">
        <v>0</v>
      </c>
      <c r="H123" s="357">
        <v>0</v>
      </c>
      <c r="I123" s="357">
        <v>0</v>
      </c>
      <c r="J123" s="357">
        <v>0</v>
      </c>
      <c r="K123" s="357">
        <v>0</v>
      </c>
      <c r="L123" s="357">
        <v>0</v>
      </c>
      <c r="M123" s="357">
        <v>0</v>
      </c>
      <c r="N123" s="357">
        <v>0</v>
      </c>
      <c r="O123" s="357">
        <v>0</v>
      </c>
      <c r="P123" s="393">
        <f t="shared" si="3"/>
        <v>0</v>
      </c>
      <c r="Q123" s="406">
        <f t="shared" si="5"/>
        <v>123</v>
      </c>
    </row>
    <row r="124" spans="1:17">
      <c r="A124" s="363">
        <f t="shared" si="4"/>
        <v>122</v>
      </c>
      <c r="B124" s="398" t="s">
        <v>4451</v>
      </c>
      <c r="C124" s="402">
        <v>5408000</v>
      </c>
      <c r="D124" s="366">
        <v>0</v>
      </c>
      <c r="E124" s="357">
        <v>0</v>
      </c>
      <c r="F124" s="357">
        <v>0</v>
      </c>
      <c r="G124" s="357">
        <v>0</v>
      </c>
      <c r="H124" s="357">
        <v>0</v>
      </c>
      <c r="I124" s="357">
        <v>0</v>
      </c>
      <c r="J124" s="357">
        <v>0</v>
      </c>
      <c r="K124" s="357">
        <v>0</v>
      </c>
      <c r="L124" s="357">
        <v>0</v>
      </c>
      <c r="M124" s="357">
        <v>0</v>
      </c>
      <c r="N124" s="357">
        <v>0</v>
      </c>
      <c r="O124" s="357">
        <v>0</v>
      </c>
      <c r="P124" s="393">
        <f t="shared" si="3"/>
        <v>0</v>
      </c>
      <c r="Q124" s="406">
        <f t="shared" si="5"/>
        <v>124</v>
      </c>
    </row>
    <row r="125" spans="1:17">
      <c r="A125" s="363">
        <f t="shared" si="4"/>
        <v>123</v>
      </c>
      <c r="B125" s="398" t="s">
        <v>4452</v>
      </c>
      <c r="C125" s="402">
        <v>8500000</v>
      </c>
      <c r="D125" s="366">
        <v>650000</v>
      </c>
      <c r="E125" s="357">
        <v>650000</v>
      </c>
      <c r="F125" s="357">
        <v>650000</v>
      </c>
      <c r="G125" s="357">
        <v>650000</v>
      </c>
      <c r="H125" s="357">
        <v>650000</v>
      </c>
      <c r="I125" s="357">
        <v>650000</v>
      </c>
      <c r="J125" s="357">
        <v>650000</v>
      </c>
      <c r="K125" s="357">
        <v>650000</v>
      </c>
      <c r="L125" s="357">
        <v>650000</v>
      </c>
      <c r="M125" s="357">
        <v>650000</v>
      </c>
      <c r="N125" s="357">
        <v>650000</v>
      </c>
      <c r="O125" s="357">
        <v>650000</v>
      </c>
      <c r="P125" s="393">
        <f t="shared" si="3"/>
        <v>7800000</v>
      </c>
      <c r="Q125" s="406">
        <f t="shared" si="5"/>
        <v>125</v>
      </c>
    </row>
    <row r="126" spans="1:17">
      <c r="A126" s="363">
        <f t="shared" si="4"/>
        <v>124</v>
      </c>
      <c r="B126" s="398" t="s">
        <v>4453</v>
      </c>
      <c r="C126" s="402">
        <v>7035000</v>
      </c>
      <c r="D126" s="366">
        <v>505308</v>
      </c>
      <c r="E126" s="357">
        <v>505308</v>
      </c>
      <c r="F126" s="357">
        <v>522371</v>
      </c>
      <c r="G126" s="357">
        <v>522371</v>
      </c>
      <c r="H126" s="357">
        <v>526277</v>
      </c>
      <c r="I126" s="357">
        <v>526278</v>
      </c>
      <c r="J126" s="357">
        <v>526285</v>
      </c>
      <c r="K126" s="357">
        <v>526285</v>
      </c>
      <c r="L126" s="357">
        <v>526285</v>
      </c>
      <c r="M126" s="357">
        <v>526285</v>
      </c>
      <c r="N126" s="357">
        <v>526285</v>
      </c>
      <c r="O126" s="357">
        <v>526285</v>
      </c>
      <c r="P126" s="393">
        <f t="shared" si="3"/>
        <v>6265623</v>
      </c>
      <c r="Q126" s="406">
        <f t="shared" si="5"/>
        <v>126</v>
      </c>
    </row>
    <row r="127" spans="1:17">
      <c r="A127" s="363">
        <f t="shared" si="4"/>
        <v>125</v>
      </c>
      <c r="B127" s="398" t="s">
        <v>4454</v>
      </c>
      <c r="C127" s="402">
        <v>360000000</v>
      </c>
      <c r="D127" s="366">
        <v>26546112</v>
      </c>
      <c r="E127" s="357">
        <v>26550692</v>
      </c>
      <c r="F127" s="357">
        <v>30574489</v>
      </c>
      <c r="G127" s="357">
        <v>31140852</v>
      </c>
      <c r="H127" s="357">
        <v>31146263</v>
      </c>
      <c r="I127" s="357">
        <v>31418591</v>
      </c>
      <c r="J127" s="357">
        <v>31180908</v>
      </c>
      <c r="K127" s="357">
        <v>31034895</v>
      </c>
      <c r="L127" s="357">
        <v>31013978</v>
      </c>
      <c r="M127" s="357">
        <v>31013978</v>
      </c>
      <c r="N127" s="357">
        <v>30924404</v>
      </c>
      <c r="O127" s="357">
        <v>30640287</v>
      </c>
      <c r="P127" s="397">
        <f t="shared" si="3"/>
        <v>363185449</v>
      </c>
      <c r="Q127" s="406">
        <f t="shared" si="5"/>
        <v>127</v>
      </c>
    </row>
    <row r="128" spans="1:17">
      <c r="A128" s="363">
        <f t="shared" si="4"/>
        <v>126</v>
      </c>
      <c r="B128" s="398" t="s">
        <v>686</v>
      </c>
      <c r="C128" s="402">
        <v>141689600</v>
      </c>
      <c r="D128" s="366">
        <v>13239425</v>
      </c>
      <c r="E128" s="357">
        <v>13239425</v>
      </c>
      <c r="F128" s="357">
        <v>14260774</v>
      </c>
      <c r="G128" s="357">
        <v>14295042</v>
      </c>
      <c r="H128" s="357">
        <v>13549413</v>
      </c>
      <c r="I128" s="357">
        <v>13357338</v>
      </c>
      <c r="J128" s="357">
        <v>14419250</v>
      </c>
      <c r="K128" s="357">
        <v>13549913</v>
      </c>
      <c r="L128" s="357">
        <v>13420228</v>
      </c>
      <c r="M128" s="357">
        <v>13341543</v>
      </c>
      <c r="N128" s="357">
        <v>13321143</v>
      </c>
      <c r="O128" s="357">
        <v>13321143</v>
      </c>
      <c r="P128" s="397">
        <f t="shared" si="3"/>
        <v>163314637</v>
      </c>
      <c r="Q128" s="406">
        <f t="shared" si="5"/>
        <v>128</v>
      </c>
    </row>
    <row r="129" spans="1:17">
      <c r="A129" s="363">
        <f t="shared" si="4"/>
        <v>127</v>
      </c>
      <c r="B129" s="398" t="s">
        <v>687</v>
      </c>
      <c r="C129" s="402">
        <v>0</v>
      </c>
      <c r="D129" s="366">
        <v>0</v>
      </c>
      <c r="E129" s="357">
        <v>0</v>
      </c>
      <c r="F129" s="357">
        <v>0</v>
      </c>
      <c r="G129" s="357">
        <v>0</v>
      </c>
      <c r="H129" s="357">
        <v>0</v>
      </c>
      <c r="I129" s="357">
        <v>0</v>
      </c>
      <c r="J129" s="357">
        <v>0</v>
      </c>
      <c r="K129" s="357">
        <v>0</v>
      </c>
      <c r="L129" s="357">
        <v>0</v>
      </c>
      <c r="M129" s="357">
        <v>0</v>
      </c>
      <c r="N129" s="357">
        <v>0</v>
      </c>
      <c r="O129" s="357">
        <v>0</v>
      </c>
      <c r="P129" s="393">
        <f t="shared" si="3"/>
        <v>0</v>
      </c>
      <c r="Q129" s="406">
        <f t="shared" si="5"/>
        <v>129</v>
      </c>
    </row>
    <row r="130" spans="1:17">
      <c r="A130" s="363">
        <f t="shared" si="4"/>
        <v>128</v>
      </c>
      <c r="B130" s="398" t="s">
        <v>4455</v>
      </c>
      <c r="C130" s="402">
        <v>4326400</v>
      </c>
      <c r="D130" s="366">
        <v>0</v>
      </c>
      <c r="E130" s="357">
        <v>0</v>
      </c>
      <c r="F130" s="357">
        <v>0</v>
      </c>
      <c r="G130" s="357">
        <v>0</v>
      </c>
      <c r="H130" s="357">
        <v>0</v>
      </c>
      <c r="I130" s="357">
        <v>0</v>
      </c>
      <c r="J130" s="357">
        <v>0</v>
      </c>
      <c r="K130" s="357">
        <v>0</v>
      </c>
      <c r="L130" s="357">
        <v>0</v>
      </c>
      <c r="M130" s="357">
        <v>0</v>
      </c>
      <c r="N130" s="357">
        <v>0</v>
      </c>
      <c r="O130" s="357">
        <v>0</v>
      </c>
      <c r="P130" s="393">
        <f t="shared" si="3"/>
        <v>0</v>
      </c>
      <c r="Q130" s="406">
        <f t="shared" si="5"/>
        <v>130</v>
      </c>
    </row>
    <row r="131" spans="1:17">
      <c r="A131" s="363">
        <f t="shared" si="4"/>
        <v>129</v>
      </c>
      <c r="B131" s="398" t="s">
        <v>4456</v>
      </c>
      <c r="C131" s="402">
        <v>3244800</v>
      </c>
      <c r="D131" s="366">
        <v>0</v>
      </c>
      <c r="E131" s="357">
        <v>0</v>
      </c>
      <c r="F131" s="357">
        <v>0</v>
      </c>
      <c r="G131" s="357">
        <v>0</v>
      </c>
      <c r="H131" s="357">
        <v>0</v>
      </c>
      <c r="I131" s="357">
        <v>0</v>
      </c>
      <c r="J131" s="357">
        <v>0</v>
      </c>
      <c r="K131" s="357">
        <v>0</v>
      </c>
      <c r="L131" s="357">
        <v>0</v>
      </c>
      <c r="M131" s="357">
        <v>0</v>
      </c>
      <c r="N131" s="357">
        <v>0</v>
      </c>
      <c r="O131" s="357">
        <v>0</v>
      </c>
      <c r="P131" s="393">
        <f t="shared" si="3"/>
        <v>0</v>
      </c>
      <c r="Q131" s="406">
        <f t="shared" si="5"/>
        <v>131</v>
      </c>
    </row>
    <row r="132" spans="1:17">
      <c r="A132" s="363">
        <f t="shared" si="4"/>
        <v>130</v>
      </c>
      <c r="B132" s="398" t="s">
        <v>4457</v>
      </c>
      <c r="C132" s="402">
        <v>2163200</v>
      </c>
      <c r="D132" s="366">
        <v>134192</v>
      </c>
      <c r="E132" s="357">
        <v>134192</v>
      </c>
      <c r="F132" s="357">
        <v>137959</v>
      </c>
      <c r="G132" s="357">
        <v>137958</v>
      </c>
      <c r="H132" s="357">
        <v>137238</v>
      </c>
      <c r="I132" s="357">
        <v>139238</v>
      </c>
      <c r="J132" s="357">
        <v>158621</v>
      </c>
      <c r="K132" s="357">
        <v>158621</v>
      </c>
      <c r="L132" s="357">
        <v>158621</v>
      </c>
      <c r="M132" s="357">
        <v>158621</v>
      </c>
      <c r="N132" s="357">
        <v>158621</v>
      </c>
      <c r="O132" s="357">
        <v>158621</v>
      </c>
      <c r="P132" s="393">
        <f t="shared" ref="P132:P151" si="6">SUM(D132:O132)</f>
        <v>1772503</v>
      </c>
      <c r="Q132" s="406">
        <f t="shared" si="5"/>
        <v>132</v>
      </c>
    </row>
    <row r="133" spans="1:17">
      <c r="A133" s="363">
        <f t="shared" ref="A133:A151" si="7">A132+1</f>
        <v>131</v>
      </c>
      <c r="B133" s="398" t="s">
        <v>4458</v>
      </c>
      <c r="C133" s="402">
        <v>0</v>
      </c>
      <c r="D133" s="366">
        <v>0</v>
      </c>
      <c r="E133" s="357">
        <v>0</v>
      </c>
      <c r="F133" s="357">
        <v>0</v>
      </c>
      <c r="G133" s="357">
        <v>0</v>
      </c>
      <c r="H133" s="357">
        <v>0</v>
      </c>
      <c r="I133" s="357">
        <v>0</v>
      </c>
      <c r="J133" s="357">
        <v>0</v>
      </c>
      <c r="K133" s="357">
        <v>0</v>
      </c>
      <c r="L133" s="357">
        <v>0</v>
      </c>
      <c r="M133" s="357">
        <v>0</v>
      </c>
      <c r="N133" s="357">
        <v>0</v>
      </c>
      <c r="O133" s="357">
        <v>0</v>
      </c>
      <c r="P133" s="393">
        <f t="shared" si="6"/>
        <v>0</v>
      </c>
      <c r="Q133" s="406">
        <f t="shared" ref="Q133:Q150" si="8">Q132+1</f>
        <v>133</v>
      </c>
    </row>
    <row r="134" spans="1:17">
      <c r="A134" s="363">
        <f t="shared" si="7"/>
        <v>132</v>
      </c>
      <c r="B134" s="398" t="s">
        <v>4459</v>
      </c>
      <c r="C134" s="402">
        <v>0</v>
      </c>
      <c r="D134" s="366">
        <v>0</v>
      </c>
      <c r="E134" s="357">
        <v>0</v>
      </c>
      <c r="F134" s="357">
        <v>0</v>
      </c>
      <c r="G134" s="357">
        <v>0</v>
      </c>
      <c r="H134" s="357">
        <v>0</v>
      </c>
      <c r="I134" s="357">
        <v>0</v>
      </c>
      <c r="J134" s="357">
        <v>0</v>
      </c>
      <c r="K134" s="357">
        <v>0</v>
      </c>
      <c r="L134" s="357">
        <v>0</v>
      </c>
      <c r="M134" s="357">
        <v>0</v>
      </c>
      <c r="N134" s="357">
        <v>0</v>
      </c>
      <c r="O134" s="357">
        <v>0</v>
      </c>
      <c r="P134" s="393">
        <f t="shared" si="6"/>
        <v>0</v>
      </c>
      <c r="Q134" s="406">
        <f t="shared" si="8"/>
        <v>134</v>
      </c>
    </row>
    <row r="135" spans="1:17">
      <c r="A135" s="363">
        <f t="shared" si="7"/>
        <v>133</v>
      </c>
      <c r="B135" s="398" t="s">
        <v>4460</v>
      </c>
      <c r="C135" s="402">
        <v>3328000</v>
      </c>
      <c r="D135" s="366">
        <v>243225</v>
      </c>
      <c r="E135" s="357">
        <v>243225</v>
      </c>
      <c r="F135" s="357">
        <v>251132</v>
      </c>
      <c r="G135" s="357">
        <v>251132</v>
      </c>
      <c r="H135" s="357">
        <v>253463</v>
      </c>
      <c r="I135" s="357">
        <v>253463</v>
      </c>
      <c r="J135" s="357">
        <v>253470</v>
      </c>
      <c r="K135" s="357">
        <v>253470</v>
      </c>
      <c r="L135" s="357">
        <v>253470</v>
      </c>
      <c r="M135" s="357">
        <v>253470</v>
      </c>
      <c r="N135" s="357">
        <v>253470</v>
      </c>
      <c r="O135" s="357">
        <v>253470</v>
      </c>
      <c r="P135" s="393">
        <f t="shared" si="6"/>
        <v>3016460</v>
      </c>
      <c r="Q135" s="406">
        <f t="shared" si="8"/>
        <v>135</v>
      </c>
    </row>
    <row r="136" spans="1:17">
      <c r="A136" s="363">
        <f t="shared" si="7"/>
        <v>134</v>
      </c>
      <c r="B136" s="398" t="s">
        <v>4461</v>
      </c>
      <c r="C136" s="402">
        <v>2163200</v>
      </c>
      <c r="D136" s="366">
        <v>0</v>
      </c>
      <c r="E136" s="357">
        <v>0</v>
      </c>
      <c r="F136" s="357">
        <v>0</v>
      </c>
      <c r="G136" s="357">
        <v>0</v>
      </c>
      <c r="H136" s="357">
        <v>0</v>
      </c>
      <c r="I136" s="357">
        <v>0</v>
      </c>
      <c r="J136" s="357">
        <v>0</v>
      </c>
      <c r="K136" s="357">
        <v>0</v>
      </c>
      <c r="L136" s="357">
        <v>0</v>
      </c>
      <c r="M136" s="359">
        <v>0</v>
      </c>
      <c r="N136" s="359">
        <v>0</v>
      </c>
      <c r="O136" s="357">
        <v>0</v>
      </c>
      <c r="P136" s="393">
        <f t="shared" si="6"/>
        <v>0</v>
      </c>
      <c r="Q136" s="406">
        <f t="shared" si="8"/>
        <v>136</v>
      </c>
    </row>
    <row r="137" spans="1:17">
      <c r="A137" s="363">
        <f t="shared" si="7"/>
        <v>135</v>
      </c>
      <c r="B137" s="398" t="s">
        <v>4462</v>
      </c>
      <c r="C137" s="402">
        <v>2163200</v>
      </c>
      <c r="D137" s="366">
        <v>214096</v>
      </c>
      <c r="E137" s="357">
        <v>214096</v>
      </c>
      <c r="F137" s="357">
        <v>220074</v>
      </c>
      <c r="G137" s="357">
        <v>220074</v>
      </c>
      <c r="H137" s="357">
        <v>222307</v>
      </c>
      <c r="I137" s="357">
        <v>202930</v>
      </c>
      <c r="J137" s="357">
        <v>202935</v>
      </c>
      <c r="K137" s="357">
        <v>202935</v>
      </c>
      <c r="L137" s="357">
        <v>202935</v>
      </c>
      <c r="M137" s="357">
        <v>202935</v>
      </c>
      <c r="N137" s="357">
        <v>202935</v>
      </c>
      <c r="O137" s="357">
        <v>202935</v>
      </c>
      <c r="P137" s="397">
        <f t="shared" si="6"/>
        <v>2511187</v>
      </c>
      <c r="Q137" s="406">
        <f t="shared" si="8"/>
        <v>137</v>
      </c>
    </row>
    <row r="138" spans="1:17">
      <c r="A138" s="363">
        <f t="shared" si="7"/>
        <v>136</v>
      </c>
      <c r="B138" s="398" t="s">
        <v>4463</v>
      </c>
      <c r="C138" s="402">
        <v>5200000</v>
      </c>
      <c r="D138" s="366">
        <v>0</v>
      </c>
      <c r="E138" s="357">
        <v>0</v>
      </c>
      <c r="F138" s="357">
        <v>0</v>
      </c>
      <c r="G138" s="357">
        <v>0</v>
      </c>
      <c r="H138" s="357">
        <v>0</v>
      </c>
      <c r="I138" s="357">
        <v>0</v>
      </c>
      <c r="J138" s="357">
        <v>0</v>
      </c>
      <c r="K138" s="357">
        <v>0</v>
      </c>
      <c r="L138" s="357">
        <v>0</v>
      </c>
      <c r="M138" s="359">
        <v>0</v>
      </c>
      <c r="N138" s="359">
        <v>0</v>
      </c>
      <c r="O138" s="357">
        <v>0</v>
      </c>
      <c r="P138" s="393">
        <f t="shared" si="6"/>
        <v>0</v>
      </c>
      <c r="Q138" s="406">
        <f t="shared" si="8"/>
        <v>138</v>
      </c>
    </row>
    <row r="139" spans="1:17">
      <c r="A139" s="363">
        <f t="shared" si="7"/>
        <v>137</v>
      </c>
      <c r="B139" s="398" t="s">
        <v>4464</v>
      </c>
      <c r="C139" s="402">
        <v>0</v>
      </c>
      <c r="D139" s="366">
        <v>0</v>
      </c>
      <c r="E139" s="357">
        <v>0</v>
      </c>
      <c r="F139" s="357">
        <v>0</v>
      </c>
      <c r="G139" s="357">
        <v>0</v>
      </c>
      <c r="H139" s="357">
        <v>0</v>
      </c>
      <c r="I139" s="357">
        <v>0</v>
      </c>
      <c r="J139" s="357">
        <v>0</v>
      </c>
      <c r="K139" s="357">
        <v>0</v>
      </c>
      <c r="L139" s="357">
        <v>0</v>
      </c>
      <c r="M139" s="359">
        <v>0</v>
      </c>
      <c r="N139" s="359">
        <v>0</v>
      </c>
      <c r="O139" s="357">
        <v>0</v>
      </c>
      <c r="P139" s="393">
        <f t="shared" si="6"/>
        <v>0</v>
      </c>
      <c r="Q139" s="406">
        <f t="shared" si="8"/>
        <v>139</v>
      </c>
    </row>
    <row r="140" spans="1:17">
      <c r="A140" s="363">
        <f t="shared" si="7"/>
        <v>138</v>
      </c>
      <c r="B140" s="398" t="s">
        <v>4465</v>
      </c>
      <c r="C140" s="402">
        <v>2163200</v>
      </c>
      <c r="D140" s="366">
        <v>135295</v>
      </c>
      <c r="E140" s="357">
        <v>135295</v>
      </c>
      <c r="F140" s="357">
        <v>140882</v>
      </c>
      <c r="G140" s="357">
        <v>140882</v>
      </c>
      <c r="H140" s="357">
        <v>141714</v>
      </c>
      <c r="I140" s="357">
        <v>141714</v>
      </c>
      <c r="J140" s="357">
        <v>141741</v>
      </c>
      <c r="K140" s="357">
        <v>141719</v>
      </c>
      <c r="L140" s="357">
        <v>141719</v>
      </c>
      <c r="M140" s="357">
        <v>141719</v>
      </c>
      <c r="N140" s="357">
        <v>141719</v>
      </c>
      <c r="O140" s="357">
        <v>141719</v>
      </c>
      <c r="P140" s="393">
        <f t="shared" si="6"/>
        <v>1686118</v>
      </c>
      <c r="Q140" s="406">
        <f t="shared" si="8"/>
        <v>140</v>
      </c>
    </row>
    <row r="141" spans="1:17">
      <c r="A141" s="363">
        <f t="shared" si="7"/>
        <v>139</v>
      </c>
      <c r="B141" s="398" t="s">
        <v>4466</v>
      </c>
      <c r="C141" s="402">
        <v>0</v>
      </c>
      <c r="D141" s="366">
        <v>0</v>
      </c>
      <c r="E141" s="357">
        <v>0</v>
      </c>
      <c r="F141" s="357">
        <v>0</v>
      </c>
      <c r="G141" s="357">
        <v>0</v>
      </c>
      <c r="H141" s="357">
        <v>0</v>
      </c>
      <c r="I141" s="357">
        <v>0</v>
      </c>
      <c r="J141" s="357">
        <v>0</v>
      </c>
      <c r="K141" s="357">
        <v>0</v>
      </c>
      <c r="L141" s="357">
        <v>0</v>
      </c>
      <c r="M141" s="359">
        <v>0</v>
      </c>
      <c r="N141" s="359">
        <v>0</v>
      </c>
      <c r="O141" s="357">
        <v>0</v>
      </c>
      <c r="P141" s="393">
        <f t="shared" si="6"/>
        <v>0</v>
      </c>
      <c r="Q141" s="406">
        <f t="shared" si="8"/>
        <v>141</v>
      </c>
    </row>
    <row r="142" spans="1:17">
      <c r="A142" s="363">
        <f t="shared" si="7"/>
        <v>140</v>
      </c>
      <c r="B142" s="398" t="s">
        <v>4467</v>
      </c>
      <c r="C142" s="402">
        <v>0</v>
      </c>
      <c r="D142" s="366">
        <v>0</v>
      </c>
      <c r="E142" s="357">
        <v>0</v>
      </c>
      <c r="F142" s="357">
        <v>0</v>
      </c>
      <c r="G142" s="357">
        <v>0</v>
      </c>
      <c r="H142" s="357">
        <v>0</v>
      </c>
      <c r="I142" s="357">
        <v>0</v>
      </c>
      <c r="J142" s="357">
        <v>0</v>
      </c>
      <c r="K142" s="357">
        <v>0</v>
      </c>
      <c r="L142" s="357">
        <v>0</v>
      </c>
      <c r="M142" s="359">
        <v>0</v>
      </c>
      <c r="N142" s="359">
        <v>0</v>
      </c>
      <c r="O142" s="357">
        <v>0</v>
      </c>
      <c r="P142" s="393">
        <f t="shared" si="6"/>
        <v>0</v>
      </c>
      <c r="Q142" s="406">
        <f t="shared" si="8"/>
        <v>142</v>
      </c>
    </row>
    <row r="143" spans="1:17">
      <c r="A143" s="363">
        <f t="shared" si="7"/>
        <v>141</v>
      </c>
      <c r="B143" s="398" t="s">
        <v>4468</v>
      </c>
      <c r="C143" s="402">
        <v>31200000</v>
      </c>
      <c r="D143" s="366">
        <v>0</v>
      </c>
      <c r="E143" s="357">
        <v>0</v>
      </c>
      <c r="F143" s="357">
        <v>0</v>
      </c>
      <c r="G143" s="357">
        <v>0</v>
      </c>
      <c r="H143" s="357">
        <v>0</v>
      </c>
      <c r="I143" s="357">
        <v>0</v>
      </c>
      <c r="J143" s="357">
        <v>0</v>
      </c>
      <c r="K143" s="357">
        <v>0</v>
      </c>
      <c r="L143" s="357">
        <v>0</v>
      </c>
      <c r="M143" s="359">
        <v>0</v>
      </c>
      <c r="N143" s="359">
        <v>0</v>
      </c>
      <c r="O143" s="357">
        <v>0</v>
      </c>
      <c r="P143" s="393">
        <f t="shared" si="6"/>
        <v>0</v>
      </c>
      <c r="Q143" s="406">
        <f t="shared" si="8"/>
        <v>143</v>
      </c>
    </row>
    <row r="144" spans="1:17">
      <c r="A144" s="363">
        <f t="shared" si="7"/>
        <v>142</v>
      </c>
      <c r="B144" s="398" t="s">
        <v>4469</v>
      </c>
      <c r="C144" s="402">
        <v>0</v>
      </c>
      <c r="D144" s="366">
        <v>0</v>
      </c>
      <c r="E144" s="357">
        <v>0</v>
      </c>
      <c r="F144" s="357">
        <v>0</v>
      </c>
      <c r="G144" s="357">
        <v>0</v>
      </c>
      <c r="H144" s="357">
        <v>0</v>
      </c>
      <c r="I144" s="366">
        <v>0</v>
      </c>
      <c r="J144" s="366">
        <v>0</v>
      </c>
      <c r="K144" s="366">
        <v>0</v>
      </c>
      <c r="L144" s="366">
        <v>0</v>
      </c>
      <c r="M144" s="367">
        <v>0</v>
      </c>
      <c r="N144" s="367">
        <v>0</v>
      </c>
      <c r="O144" s="366">
        <v>0</v>
      </c>
      <c r="P144" s="393">
        <f t="shared" si="6"/>
        <v>0</v>
      </c>
      <c r="Q144" s="406">
        <f t="shared" si="8"/>
        <v>144</v>
      </c>
    </row>
    <row r="145" spans="1:17">
      <c r="A145" s="363">
        <f t="shared" si="7"/>
        <v>143</v>
      </c>
      <c r="B145" s="398" t="s">
        <v>4470</v>
      </c>
      <c r="C145" s="402">
        <v>0</v>
      </c>
      <c r="D145" s="366">
        <v>0</v>
      </c>
      <c r="E145" s="357">
        <v>0</v>
      </c>
      <c r="F145" s="357">
        <v>0</v>
      </c>
      <c r="G145" s="357">
        <v>0</v>
      </c>
      <c r="H145" s="357">
        <v>0</v>
      </c>
      <c r="I145" s="357">
        <v>0</v>
      </c>
      <c r="J145" s="357">
        <v>0</v>
      </c>
      <c r="K145" s="357">
        <v>0</v>
      </c>
      <c r="L145" s="357">
        <v>0</v>
      </c>
      <c r="M145" s="359">
        <v>0</v>
      </c>
      <c r="N145" s="359">
        <v>0</v>
      </c>
      <c r="O145" s="357">
        <v>0</v>
      </c>
      <c r="P145" s="393">
        <f t="shared" si="6"/>
        <v>0</v>
      </c>
      <c r="Q145" s="406">
        <f t="shared" si="8"/>
        <v>145</v>
      </c>
    </row>
    <row r="146" spans="1:17">
      <c r="A146" s="363">
        <f t="shared" si="7"/>
        <v>144</v>
      </c>
      <c r="B146" s="398" t="s">
        <v>4471</v>
      </c>
      <c r="C146" s="402">
        <v>0</v>
      </c>
      <c r="D146" s="366">
        <v>0</v>
      </c>
      <c r="E146" s="357">
        <v>0</v>
      </c>
      <c r="F146" s="357">
        <v>0</v>
      </c>
      <c r="G146" s="357">
        <v>0</v>
      </c>
      <c r="H146" s="357">
        <v>0</v>
      </c>
      <c r="I146" s="357">
        <v>0</v>
      </c>
      <c r="J146" s="357">
        <v>0</v>
      </c>
      <c r="K146" s="357">
        <v>0</v>
      </c>
      <c r="L146" s="357">
        <v>0</v>
      </c>
      <c r="M146" s="359">
        <v>0</v>
      </c>
      <c r="N146" s="359">
        <v>0</v>
      </c>
      <c r="O146" s="357">
        <v>0</v>
      </c>
      <c r="P146" s="393">
        <f t="shared" si="6"/>
        <v>0</v>
      </c>
      <c r="Q146" s="406">
        <f t="shared" si="8"/>
        <v>146</v>
      </c>
    </row>
    <row r="147" spans="1:17">
      <c r="A147" s="363">
        <f t="shared" si="7"/>
        <v>145</v>
      </c>
      <c r="B147" s="398" t="s">
        <v>4472</v>
      </c>
      <c r="C147" s="402">
        <v>0</v>
      </c>
      <c r="D147" s="366">
        <v>0</v>
      </c>
      <c r="E147" s="357">
        <v>0</v>
      </c>
      <c r="F147" s="357">
        <v>0</v>
      </c>
      <c r="G147" s="357">
        <v>0</v>
      </c>
      <c r="H147" s="357">
        <v>0</v>
      </c>
      <c r="I147" s="357">
        <v>0</v>
      </c>
      <c r="J147" s="357">
        <v>0</v>
      </c>
      <c r="K147" s="357">
        <v>0</v>
      </c>
      <c r="L147" s="357">
        <v>0</v>
      </c>
      <c r="M147" s="359">
        <v>0</v>
      </c>
      <c r="N147" s="359">
        <v>0</v>
      </c>
      <c r="O147" s="357">
        <v>0</v>
      </c>
      <c r="P147" s="393">
        <f t="shared" si="6"/>
        <v>0</v>
      </c>
      <c r="Q147" s="406">
        <f t="shared" si="8"/>
        <v>147</v>
      </c>
    </row>
    <row r="148" spans="1:17">
      <c r="A148" s="363">
        <f t="shared" si="7"/>
        <v>146</v>
      </c>
      <c r="B148" s="398" t="s">
        <v>4473</v>
      </c>
      <c r="C148" s="402">
        <v>0</v>
      </c>
      <c r="D148" s="366">
        <v>0</v>
      </c>
      <c r="E148" s="357">
        <v>0</v>
      </c>
      <c r="F148" s="357">
        <v>0</v>
      </c>
      <c r="G148" s="357">
        <v>0</v>
      </c>
      <c r="H148" s="357">
        <v>0</v>
      </c>
      <c r="I148" s="357">
        <v>0</v>
      </c>
      <c r="J148" s="357">
        <v>0</v>
      </c>
      <c r="K148" s="357">
        <v>0</v>
      </c>
      <c r="L148" s="357">
        <v>0</v>
      </c>
      <c r="M148" s="359">
        <v>0</v>
      </c>
      <c r="N148" s="359">
        <v>0</v>
      </c>
      <c r="O148" s="357">
        <v>0</v>
      </c>
      <c r="P148" s="393">
        <f t="shared" si="6"/>
        <v>0</v>
      </c>
      <c r="Q148" s="406">
        <f t="shared" si="8"/>
        <v>148</v>
      </c>
    </row>
    <row r="149" spans="1:17">
      <c r="A149" s="363">
        <f t="shared" si="7"/>
        <v>147</v>
      </c>
      <c r="B149" s="398" t="s">
        <v>4484</v>
      </c>
      <c r="C149" s="402">
        <v>0</v>
      </c>
      <c r="D149" s="366">
        <v>0</v>
      </c>
      <c r="E149" s="357">
        <v>0</v>
      </c>
      <c r="F149" s="357">
        <v>0</v>
      </c>
      <c r="G149" s="357">
        <v>0</v>
      </c>
      <c r="H149" s="357">
        <v>0</v>
      </c>
      <c r="I149" s="357">
        <v>0</v>
      </c>
      <c r="J149" s="357">
        <v>0</v>
      </c>
      <c r="K149" s="357">
        <v>0</v>
      </c>
      <c r="L149" s="357">
        <v>0</v>
      </c>
      <c r="M149" s="359">
        <v>0</v>
      </c>
      <c r="N149" s="359">
        <v>0</v>
      </c>
      <c r="O149" s="357">
        <v>0</v>
      </c>
      <c r="P149" s="393">
        <f t="shared" si="6"/>
        <v>0</v>
      </c>
      <c r="Q149" s="406">
        <f t="shared" si="8"/>
        <v>149</v>
      </c>
    </row>
    <row r="150" spans="1:17">
      <c r="A150" s="363">
        <f t="shared" si="7"/>
        <v>148</v>
      </c>
      <c r="B150" s="398" t="s">
        <v>4474</v>
      </c>
      <c r="C150" s="402">
        <v>205000000</v>
      </c>
      <c r="D150" s="366">
        <v>15442218</v>
      </c>
      <c r="E150" s="366">
        <v>15442218</v>
      </c>
      <c r="F150" s="357">
        <v>16660964</v>
      </c>
      <c r="G150" s="357">
        <v>17087572</v>
      </c>
      <c r="H150" s="357">
        <v>16947546</v>
      </c>
      <c r="I150" s="357">
        <v>17291533</v>
      </c>
      <c r="J150" s="357">
        <v>17067974</v>
      </c>
      <c r="K150" s="357">
        <v>17576168</v>
      </c>
      <c r="L150" s="357">
        <v>17576168</v>
      </c>
      <c r="M150" s="357">
        <v>18390306</v>
      </c>
      <c r="N150" s="357">
        <v>18296912</v>
      </c>
      <c r="O150" s="357">
        <v>18296912</v>
      </c>
      <c r="P150" s="397">
        <f t="shared" si="6"/>
        <v>206076491</v>
      </c>
      <c r="Q150" s="406">
        <f t="shared" si="8"/>
        <v>150</v>
      </c>
    </row>
    <row r="151" spans="1:17">
      <c r="A151" s="363">
        <f t="shared" si="7"/>
        <v>149</v>
      </c>
      <c r="B151" s="398" t="s">
        <v>4475</v>
      </c>
      <c r="C151" s="402">
        <v>12480000</v>
      </c>
      <c r="D151" s="366">
        <v>544824</v>
      </c>
      <c r="E151" s="366">
        <v>544824</v>
      </c>
      <c r="F151" s="357">
        <v>569653</v>
      </c>
      <c r="G151" s="357">
        <v>574845</v>
      </c>
      <c r="H151" s="357">
        <v>574845</v>
      </c>
      <c r="I151" s="357">
        <v>574845</v>
      </c>
      <c r="J151" s="357">
        <v>574851</v>
      </c>
      <c r="K151" s="357">
        <v>574851</v>
      </c>
      <c r="L151" s="357">
        <v>574851</v>
      </c>
      <c r="M151" s="357">
        <v>574851</v>
      </c>
      <c r="N151" s="357">
        <v>574851</v>
      </c>
      <c r="O151" s="357">
        <v>574851</v>
      </c>
      <c r="P151" s="393">
        <f t="shared" si="6"/>
        <v>6832942</v>
      </c>
    </row>
    <row r="152" spans="1:17">
      <c r="A152" s="363"/>
      <c r="B152" s="398"/>
      <c r="C152" s="402"/>
      <c r="D152" s="366"/>
      <c r="E152" s="366"/>
      <c r="F152" s="357"/>
      <c r="G152" s="357"/>
      <c r="H152" s="357"/>
      <c r="I152" s="357"/>
      <c r="J152" s="357"/>
      <c r="K152" s="359"/>
      <c r="L152" s="364"/>
      <c r="M152" s="359"/>
      <c r="N152" s="359"/>
      <c r="O152" s="357"/>
    </row>
    <row r="153" spans="1:17">
      <c r="A153" s="363"/>
      <c r="B153" s="398"/>
      <c r="C153" s="402"/>
      <c r="D153" s="366">
        <v>0</v>
      </c>
      <c r="E153" s="366">
        <v>0</v>
      </c>
      <c r="F153" s="357">
        <v>0</v>
      </c>
      <c r="G153" s="357"/>
      <c r="H153" s="357"/>
      <c r="I153" s="357"/>
      <c r="J153" s="357"/>
      <c r="K153" s="359"/>
      <c r="L153" s="364"/>
      <c r="M153" s="359"/>
      <c r="N153" s="359"/>
      <c r="O153" s="357"/>
    </row>
    <row r="154" spans="1:17" ht="15.75">
      <c r="A154" s="352"/>
      <c r="B154" s="399" t="s">
        <v>1684</v>
      </c>
      <c r="C154" s="403">
        <f>SUM(C3:C153)</f>
        <v>17812597555</v>
      </c>
      <c r="D154" s="396">
        <f>SUM(D5:D153)</f>
        <v>1223538247</v>
      </c>
      <c r="E154" s="396">
        <f>SUM(E5:E153)</f>
        <v>1223400467</v>
      </c>
      <c r="F154" s="396">
        <f>SUM(F5:F153)</f>
        <v>1305063971</v>
      </c>
      <c r="G154" s="396">
        <f>SUM(G3:G153)</f>
        <v>1361379481</v>
      </c>
      <c r="H154" s="395">
        <f>SUM(H3:H153)</f>
        <v>1372697461</v>
      </c>
      <c r="I154" s="396">
        <f>SUM(I3:I153)</f>
        <v>1489773654</v>
      </c>
      <c r="J154" s="396">
        <f t="shared" ref="J154:O154" si="9">SUM(J3:J153)</f>
        <v>1398044819</v>
      </c>
      <c r="K154" s="365">
        <f t="shared" si="9"/>
        <v>1419565727</v>
      </c>
      <c r="L154" s="365">
        <f t="shared" si="9"/>
        <v>1411325479</v>
      </c>
      <c r="M154" s="365">
        <f t="shared" si="9"/>
        <v>1423747021</v>
      </c>
      <c r="N154" s="365">
        <f t="shared" si="9"/>
        <v>1419629572</v>
      </c>
      <c r="O154" s="365">
        <f t="shared" si="9"/>
        <v>1417645261</v>
      </c>
      <c r="P154" s="394">
        <f>SUM(P3:P153)</f>
        <v>16486245961</v>
      </c>
      <c r="Q154" s="255"/>
    </row>
    <row r="155" spans="1:17">
      <c r="B155" s="392"/>
      <c r="C155" s="404"/>
      <c r="G155" s="368"/>
      <c r="H155" s="357"/>
    </row>
    <row r="156" spans="1:17" ht="15.75">
      <c r="B156" s="392" t="s">
        <v>3922</v>
      </c>
      <c r="C156" s="403">
        <f>SUM(C78:C153)</f>
        <v>7976251709</v>
      </c>
      <c r="P156" s="403">
        <f>SUM(P78:P153)</f>
        <v>8349588805</v>
      </c>
    </row>
    <row r="157" spans="1:17">
      <c r="B157" s="392"/>
      <c r="C157" s="404"/>
    </row>
    <row r="158" spans="1:17">
      <c r="B158" s="392"/>
      <c r="C158" s="404"/>
    </row>
    <row r="159" spans="1:17">
      <c r="C159" s="404"/>
    </row>
    <row r="160" spans="1:17">
      <c r="C160" s="404"/>
    </row>
    <row r="161" spans="3:16">
      <c r="C161" s="405">
        <f>SUM(D154:O154)</f>
        <v>16465811160</v>
      </c>
      <c r="P161" s="255">
        <f>P154-C161</f>
        <v>20434801</v>
      </c>
    </row>
    <row r="162" spans="3:16">
      <c r="C162" s="404"/>
    </row>
    <row r="163" spans="3:16">
      <c r="C163" s="404"/>
    </row>
    <row r="164" spans="3:16">
      <c r="C164" s="404"/>
    </row>
    <row r="165" spans="3:16">
      <c r="C165" s="404"/>
    </row>
    <row r="166" spans="3:16">
      <c r="C166" s="404"/>
    </row>
    <row r="167" spans="3:16">
      <c r="C167" s="404"/>
    </row>
    <row r="168" spans="3:16">
      <c r="C168" s="404"/>
    </row>
    <row r="169" spans="3:16">
      <c r="C169" s="404"/>
    </row>
    <row r="170" spans="3:16">
      <c r="C170" s="404"/>
    </row>
    <row r="171" spans="3:16">
      <c r="C171" s="404"/>
    </row>
  </sheetData>
  <mergeCells count="1">
    <mergeCell ref="B1:G1"/>
  </mergeCells>
  <phoneticPr fontId="37" type="noConversion"/>
  <pageMargins left="0.75000000000000011" right="0.75000000000000011" top="1" bottom="1" header="0.5" footer="0.5"/>
  <pageSetup paperSize="9" scale="85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60"/>
  <sheetViews>
    <sheetView topLeftCell="G134" zoomScale="150" zoomScaleNormal="150" workbookViewId="0">
      <selection activeCell="P160" sqref="P160"/>
    </sheetView>
  </sheetViews>
  <sheetFormatPr defaultColWidth="11.42578125" defaultRowHeight="15"/>
  <cols>
    <col min="1" max="1" width="4" customWidth="1"/>
    <col min="2" max="2" width="19" customWidth="1"/>
    <col min="3" max="3" width="14" customWidth="1"/>
    <col min="4" max="4" width="11" customWidth="1"/>
    <col min="13" max="13" width="13.140625" customWidth="1"/>
    <col min="14" max="14" width="13.140625" bestFit="1" customWidth="1"/>
    <col min="16" max="16" width="14" customWidth="1"/>
  </cols>
  <sheetData>
    <row r="1" spans="1:16" ht="15.75">
      <c r="A1" s="352" t="s">
        <v>4328</v>
      </c>
      <c r="B1" s="352" t="s">
        <v>4329</v>
      </c>
      <c r="C1" s="353" t="s">
        <v>4330</v>
      </c>
      <c r="D1" s="350" t="s">
        <v>4316</v>
      </c>
      <c r="E1" s="350" t="s">
        <v>4317</v>
      </c>
      <c r="F1" s="350" t="s">
        <v>4318</v>
      </c>
      <c r="G1" s="350" t="s">
        <v>4319</v>
      </c>
      <c r="H1" s="350" t="s">
        <v>4320</v>
      </c>
      <c r="I1" s="350" t="s">
        <v>4321</v>
      </c>
      <c r="J1" s="350" t="s">
        <v>4322</v>
      </c>
      <c r="K1" s="350" t="s">
        <v>4323</v>
      </c>
      <c r="L1" s="350" t="s">
        <v>4324</v>
      </c>
      <c r="M1" s="351" t="s">
        <v>4325</v>
      </c>
      <c r="N1" s="351" t="s">
        <v>4326</v>
      </c>
      <c r="O1" s="351" t="s">
        <v>4327</v>
      </c>
    </row>
    <row r="2" spans="1:16">
      <c r="A2" s="354">
        <v>1</v>
      </c>
      <c r="B2" s="354" t="s">
        <v>4331</v>
      </c>
      <c r="C2" s="355">
        <v>621100000</v>
      </c>
      <c r="D2" s="355">
        <v>20000000</v>
      </c>
      <c r="E2" s="355">
        <v>20000000</v>
      </c>
      <c r="F2" s="355">
        <v>25000000</v>
      </c>
      <c r="G2" s="355">
        <v>25000000</v>
      </c>
      <c r="H2" s="355">
        <v>25000000</v>
      </c>
      <c r="I2" s="355">
        <v>25000000</v>
      </c>
      <c r="J2" s="355">
        <v>25000000</v>
      </c>
      <c r="K2" s="355">
        <v>25000000</v>
      </c>
      <c r="L2" s="355">
        <v>25000000</v>
      </c>
      <c r="M2" s="408">
        <v>25000000</v>
      </c>
      <c r="N2" s="408">
        <v>25000000</v>
      </c>
      <c r="O2" s="410">
        <v>0</v>
      </c>
      <c r="P2" s="365">
        <f>SUM(D2:N2)</f>
        <v>265000000</v>
      </c>
    </row>
    <row r="3" spans="1:16">
      <c r="A3" s="354"/>
      <c r="B3" s="354" t="s">
        <v>4332</v>
      </c>
      <c r="C3" s="355">
        <v>248500000</v>
      </c>
      <c r="D3" s="355">
        <v>20000000</v>
      </c>
      <c r="E3" s="355">
        <v>20000000</v>
      </c>
      <c r="F3" s="355">
        <v>20000000</v>
      </c>
      <c r="G3" s="355">
        <v>20000000</v>
      </c>
      <c r="H3" s="355">
        <v>20000000</v>
      </c>
      <c r="I3" s="355">
        <v>20000000</v>
      </c>
      <c r="J3" s="355">
        <v>20000000</v>
      </c>
      <c r="K3" s="355">
        <v>20000000</v>
      </c>
      <c r="L3" s="355">
        <v>20000000</v>
      </c>
      <c r="M3" s="408">
        <v>20000000</v>
      </c>
      <c r="N3" s="408">
        <v>20000000</v>
      </c>
      <c r="O3" s="410">
        <v>0</v>
      </c>
    </row>
    <row r="4" spans="1:16">
      <c r="A4" s="354">
        <v>2</v>
      </c>
      <c r="B4" s="354" t="s">
        <v>4333</v>
      </c>
      <c r="C4" s="355">
        <v>195200000</v>
      </c>
      <c r="D4" s="355">
        <v>20000000</v>
      </c>
      <c r="E4" s="355">
        <v>20000000</v>
      </c>
      <c r="F4" s="355">
        <v>20000000</v>
      </c>
      <c r="G4" s="355">
        <v>20000000</v>
      </c>
      <c r="H4" s="355">
        <v>20000000</v>
      </c>
      <c r="I4" s="355">
        <v>20000000</v>
      </c>
      <c r="J4" s="355">
        <v>20000000</v>
      </c>
      <c r="K4" s="355">
        <v>20000000</v>
      </c>
      <c r="L4" s="355">
        <v>20000000</v>
      </c>
      <c r="M4" s="408">
        <v>20000000</v>
      </c>
      <c r="N4" s="408">
        <v>20000000</v>
      </c>
      <c r="O4" s="410">
        <v>0</v>
      </c>
    </row>
    <row r="5" spans="1:16">
      <c r="A5" s="354">
        <v>3</v>
      </c>
      <c r="B5" s="354" t="s">
        <v>4334</v>
      </c>
      <c r="C5" s="355">
        <v>187200000</v>
      </c>
      <c r="D5" s="355">
        <v>1000000</v>
      </c>
      <c r="E5" s="355">
        <v>1000000</v>
      </c>
      <c r="F5" s="355">
        <v>1000000</v>
      </c>
      <c r="G5" s="355">
        <v>1000000</v>
      </c>
      <c r="H5" s="355">
        <v>1000000</v>
      </c>
      <c r="I5" s="355">
        <v>1000000</v>
      </c>
      <c r="J5" s="355">
        <v>1000000</v>
      </c>
      <c r="K5" s="355">
        <v>1000000</v>
      </c>
      <c r="L5" s="355">
        <v>1000000</v>
      </c>
      <c r="M5" s="408">
        <v>1000000</v>
      </c>
      <c r="N5" s="408">
        <v>1000000</v>
      </c>
      <c r="O5" s="410">
        <v>0</v>
      </c>
    </row>
    <row r="6" spans="1:16">
      <c r="A6" s="354">
        <v>4</v>
      </c>
      <c r="B6" s="354" t="s">
        <v>4335</v>
      </c>
      <c r="C6" s="355">
        <v>11300000</v>
      </c>
      <c r="D6" s="355">
        <v>500000</v>
      </c>
      <c r="E6" s="355">
        <v>500000</v>
      </c>
      <c r="F6" s="355">
        <v>500000</v>
      </c>
      <c r="G6" s="355">
        <v>500000</v>
      </c>
      <c r="H6" s="355">
        <v>500000</v>
      </c>
      <c r="I6" s="355">
        <v>500000</v>
      </c>
      <c r="J6" s="355">
        <v>500000</v>
      </c>
      <c r="K6" s="355">
        <v>500000</v>
      </c>
      <c r="L6" s="355">
        <v>500000</v>
      </c>
      <c r="M6" s="408">
        <v>500000</v>
      </c>
      <c r="N6" s="408">
        <v>500000</v>
      </c>
      <c r="O6" s="410">
        <v>0</v>
      </c>
    </row>
    <row r="7" spans="1:16">
      <c r="A7" s="354">
        <v>5</v>
      </c>
      <c r="B7" s="354" t="s">
        <v>4336</v>
      </c>
      <c r="C7" s="355">
        <v>10000000</v>
      </c>
      <c r="D7" s="355">
        <v>500000</v>
      </c>
      <c r="E7" s="355">
        <v>500000</v>
      </c>
      <c r="F7" s="355">
        <v>500000</v>
      </c>
      <c r="G7" s="355">
        <v>500000</v>
      </c>
      <c r="H7" s="355">
        <v>500000</v>
      </c>
      <c r="I7" s="355">
        <v>500000</v>
      </c>
      <c r="J7" s="355">
        <v>500000</v>
      </c>
      <c r="K7" s="355">
        <v>500000</v>
      </c>
      <c r="L7" s="355">
        <v>500000</v>
      </c>
      <c r="M7" s="408">
        <v>500000</v>
      </c>
      <c r="N7" s="408">
        <v>500000</v>
      </c>
      <c r="O7" s="410">
        <v>0</v>
      </c>
    </row>
    <row r="8" spans="1:16">
      <c r="A8" s="354">
        <v>6</v>
      </c>
      <c r="B8" s="354" t="s">
        <v>4337</v>
      </c>
      <c r="C8" s="355">
        <v>20500000</v>
      </c>
      <c r="D8" s="355">
        <v>1000000</v>
      </c>
      <c r="E8" s="355">
        <v>1000000</v>
      </c>
      <c r="F8" s="355">
        <v>1000000</v>
      </c>
      <c r="G8" s="355">
        <v>1000000</v>
      </c>
      <c r="H8" s="355">
        <v>1000000</v>
      </c>
      <c r="I8" s="355">
        <v>1000000</v>
      </c>
      <c r="J8" s="355">
        <v>1000000</v>
      </c>
      <c r="K8" s="355">
        <v>1000000</v>
      </c>
      <c r="L8" s="355">
        <v>1000000</v>
      </c>
      <c r="M8" s="408">
        <v>1000000</v>
      </c>
      <c r="N8" s="408">
        <v>1000000</v>
      </c>
      <c r="O8" s="410">
        <v>0</v>
      </c>
    </row>
    <row r="9" spans="1:16">
      <c r="A9" s="354">
        <v>7</v>
      </c>
      <c r="B9" s="354" t="s">
        <v>4338</v>
      </c>
      <c r="C9" s="355">
        <v>14200000</v>
      </c>
      <c r="D9" s="355">
        <v>1000000</v>
      </c>
      <c r="E9" s="355">
        <v>1000000</v>
      </c>
      <c r="F9" s="355">
        <v>1000000</v>
      </c>
      <c r="G9" s="355">
        <v>1000000</v>
      </c>
      <c r="H9" s="355">
        <v>1000000</v>
      </c>
      <c r="I9" s="355">
        <v>1000000</v>
      </c>
      <c r="J9" s="355">
        <v>1000000</v>
      </c>
      <c r="K9" s="355">
        <v>1000000</v>
      </c>
      <c r="L9" s="355">
        <v>1000000</v>
      </c>
      <c r="M9" s="408">
        <v>1000000</v>
      </c>
      <c r="N9" s="408">
        <v>1000000</v>
      </c>
      <c r="O9" s="410">
        <v>0</v>
      </c>
    </row>
    <row r="10" spans="1:16">
      <c r="A10" s="354">
        <v>8</v>
      </c>
      <c r="B10" s="354" t="s">
        <v>4339</v>
      </c>
      <c r="C10" s="355">
        <v>2284450000</v>
      </c>
      <c r="D10" s="355">
        <v>1250000</v>
      </c>
      <c r="E10" s="355">
        <v>1250000</v>
      </c>
      <c r="F10" s="355">
        <v>1250000</v>
      </c>
      <c r="G10" s="355">
        <v>1250000</v>
      </c>
      <c r="H10" s="355">
        <v>1250000</v>
      </c>
      <c r="I10" s="355">
        <v>1250000</v>
      </c>
      <c r="J10" s="355">
        <v>1250000</v>
      </c>
      <c r="K10" s="355">
        <v>1250000</v>
      </c>
      <c r="L10" s="355">
        <v>1250000</v>
      </c>
      <c r="M10" s="408">
        <v>1250000</v>
      </c>
      <c r="N10" s="408">
        <v>1250000</v>
      </c>
      <c r="O10" s="410">
        <v>0</v>
      </c>
    </row>
    <row r="11" spans="1:16">
      <c r="A11" s="354">
        <v>9</v>
      </c>
      <c r="B11" s="354" t="s">
        <v>4340</v>
      </c>
      <c r="C11" s="355">
        <v>12600000</v>
      </c>
      <c r="D11" s="355">
        <v>500000</v>
      </c>
      <c r="E11" s="355">
        <v>500000</v>
      </c>
      <c r="F11" s="355">
        <v>500000</v>
      </c>
      <c r="G11" s="355">
        <v>500000</v>
      </c>
      <c r="H11" s="355">
        <v>500000</v>
      </c>
      <c r="I11" s="355">
        <v>500000</v>
      </c>
      <c r="J11" s="355">
        <v>500000</v>
      </c>
      <c r="K11" s="355">
        <v>500000</v>
      </c>
      <c r="L11" s="355">
        <v>500000</v>
      </c>
      <c r="M11" s="408">
        <v>500000</v>
      </c>
      <c r="N11" s="408">
        <v>500000</v>
      </c>
      <c r="O11" s="410">
        <v>0</v>
      </c>
    </row>
    <row r="12" spans="1:16">
      <c r="A12" s="354">
        <v>10</v>
      </c>
      <c r="B12" s="354" t="s">
        <v>4341</v>
      </c>
      <c r="C12" s="355">
        <v>16150000</v>
      </c>
      <c r="D12" s="355">
        <v>500000</v>
      </c>
      <c r="E12" s="355">
        <v>500000</v>
      </c>
      <c r="F12" s="355">
        <v>500000</v>
      </c>
      <c r="G12" s="355">
        <v>500000</v>
      </c>
      <c r="H12" s="355">
        <v>500000</v>
      </c>
      <c r="I12" s="355">
        <v>500000</v>
      </c>
      <c r="J12" s="355">
        <v>500000</v>
      </c>
      <c r="K12" s="355">
        <v>500000</v>
      </c>
      <c r="L12" s="355">
        <v>500000</v>
      </c>
      <c r="M12" s="408">
        <v>500000</v>
      </c>
      <c r="N12" s="408">
        <v>500000</v>
      </c>
      <c r="O12" s="410">
        <v>0</v>
      </c>
    </row>
    <row r="13" spans="1:16">
      <c r="A13" s="354">
        <v>11</v>
      </c>
      <c r="B13" s="354" t="s">
        <v>4342</v>
      </c>
      <c r="C13" s="355">
        <v>17700000</v>
      </c>
      <c r="D13" s="355">
        <v>300000</v>
      </c>
      <c r="E13" s="355">
        <v>300000</v>
      </c>
      <c r="F13" s="355">
        <v>300000</v>
      </c>
      <c r="G13" s="355">
        <v>300000</v>
      </c>
      <c r="H13" s="355">
        <v>300000</v>
      </c>
      <c r="I13" s="355">
        <v>300000</v>
      </c>
      <c r="J13" s="355">
        <v>300000</v>
      </c>
      <c r="K13" s="355">
        <v>300000</v>
      </c>
      <c r="L13" s="355">
        <v>300000</v>
      </c>
      <c r="M13" s="408">
        <v>300000</v>
      </c>
      <c r="N13" s="408">
        <v>300000</v>
      </c>
      <c r="O13" s="410">
        <v>0</v>
      </c>
    </row>
    <row r="14" spans="1:16">
      <c r="A14" s="354">
        <v>12</v>
      </c>
      <c r="B14" s="354" t="s">
        <v>4343</v>
      </c>
      <c r="C14" s="355">
        <v>687800000</v>
      </c>
      <c r="D14" s="355">
        <v>1000000</v>
      </c>
      <c r="E14" s="355">
        <v>1000000</v>
      </c>
      <c r="F14" s="355">
        <v>1000000</v>
      </c>
      <c r="G14" s="355">
        <v>1000000</v>
      </c>
      <c r="H14" s="355">
        <v>1000000</v>
      </c>
      <c r="I14" s="355">
        <v>1000000</v>
      </c>
      <c r="J14" s="355">
        <v>1000000</v>
      </c>
      <c r="K14" s="355">
        <v>1000000</v>
      </c>
      <c r="L14" s="355">
        <v>1000000</v>
      </c>
      <c r="M14" s="408">
        <v>1000000</v>
      </c>
      <c r="N14" s="408">
        <v>1000000</v>
      </c>
      <c r="O14" s="410">
        <v>0</v>
      </c>
    </row>
    <row r="15" spans="1:16">
      <c r="A15" s="354">
        <v>13</v>
      </c>
      <c r="B15" s="354" t="s">
        <v>4344</v>
      </c>
      <c r="C15" s="355">
        <v>20500000</v>
      </c>
      <c r="D15" s="355">
        <v>500000</v>
      </c>
      <c r="E15" s="355">
        <v>500000</v>
      </c>
      <c r="F15" s="355">
        <v>500000</v>
      </c>
      <c r="G15" s="355">
        <v>500000</v>
      </c>
      <c r="H15" s="355">
        <v>500000</v>
      </c>
      <c r="I15" s="355">
        <v>500000</v>
      </c>
      <c r="J15" s="355">
        <v>500000</v>
      </c>
      <c r="K15" s="355">
        <v>500000</v>
      </c>
      <c r="L15" s="355">
        <v>500000</v>
      </c>
      <c r="M15" s="408">
        <v>500000</v>
      </c>
      <c r="N15" s="408">
        <v>500000</v>
      </c>
      <c r="O15" s="410">
        <v>0</v>
      </c>
    </row>
    <row r="16" spans="1:16">
      <c r="A16" s="354">
        <v>14</v>
      </c>
      <c r="B16" s="354" t="s">
        <v>4345</v>
      </c>
      <c r="C16" s="355">
        <v>252000000</v>
      </c>
      <c r="D16" s="355">
        <v>1000000</v>
      </c>
      <c r="E16" s="355">
        <v>1000000</v>
      </c>
      <c r="F16" s="355">
        <v>1000000</v>
      </c>
      <c r="G16" s="355">
        <v>1000000</v>
      </c>
      <c r="H16" s="355">
        <v>1000000</v>
      </c>
      <c r="I16" s="355">
        <v>1000000</v>
      </c>
      <c r="J16" s="355">
        <v>1000000</v>
      </c>
      <c r="K16" s="355">
        <v>1000000</v>
      </c>
      <c r="L16" s="355">
        <v>1000000</v>
      </c>
      <c r="M16" s="408">
        <v>1000000</v>
      </c>
      <c r="N16" s="408">
        <v>1000000</v>
      </c>
      <c r="O16" s="410">
        <v>0</v>
      </c>
    </row>
    <row r="17" spans="1:15">
      <c r="A17" s="354">
        <v>15</v>
      </c>
      <c r="B17" s="354" t="s">
        <v>4346</v>
      </c>
      <c r="C17" s="355">
        <v>15900000</v>
      </c>
      <c r="D17" s="355">
        <v>500000</v>
      </c>
      <c r="E17" s="355">
        <v>500000</v>
      </c>
      <c r="F17" s="355">
        <v>500000</v>
      </c>
      <c r="G17" s="355">
        <v>500000</v>
      </c>
      <c r="H17" s="355">
        <v>500000</v>
      </c>
      <c r="I17" s="355">
        <v>500000</v>
      </c>
      <c r="J17" s="355">
        <v>500000</v>
      </c>
      <c r="K17" s="355">
        <v>500000</v>
      </c>
      <c r="L17" s="355">
        <v>500000</v>
      </c>
      <c r="M17" s="408">
        <v>500000</v>
      </c>
      <c r="N17" s="408">
        <v>500000</v>
      </c>
      <c r="O17" s="410">
        <v>0</v>
      </c>
    </row>
    <row r="18" spans="1:15">
      <c r="A18" s="354">
        <v>16</v>
      </c>
      <c r="B18" s="354" t="s">
        <v>4347</v>
      </c>
      <c r="C18" s="355">
        <v>907050000</v>
      </c>
      <c r="D18" s="355">
        <v>300000</v>
      </c>
      <c r="E18" s="355">
        <v>300000</v>
      </c>
      <c r="F18" s="355">
        <v>300000</v>
      </c>
      <c r="G18" s="355">
        <v>300000</v>
      </c>
      <c r="H18" s="355">
        <v>300000</v>
      </c>
      <c r="I18" s="355">
        <v>300000</v>
      </c>
      <c r="J18" s="355">
        <v>300000</v>
      </c>
      <c r="K18" s="355">
        <v>300000</v>
      </c>
      <c r="L18" s="355">
        <v>300000</v>
      </c>
      <c r="M18" s="408">
        <v>300000</v>
      </c>
      <c r="N18" s="408">
        <v>300000</v>
      </c>
      <c r="O18" s="410">
        <v>0</v>
      </c>
    </row>
    <row r="19" spans="1:15">
      <c r="A19" s="354">
        <v>17</v>
      </c>
      <c r="B19" s="354" t="s">
        <v>4348</v>
      </c>
      <c r="C19" s="355">
        <v>12000000</v>
      </c>
      <c r="D19" s="355">
        <v>0</v>
      </c>
      <c r="E19" s="355">
        <v>0</v>
      </c>
      <c r="F19" s="355">
        <v>0</v>
      </c>
      <c r="G19" s="355">
        <v>0</v>
      </c>
      <c r="H19" s="355">
        <v>0</v>
      </c>
      <c r="I19" s="355">
        <v>0</v>
      </c>
      <c r="J19" s="355">
        <v>0</v>
      </c>
      <c r="K19" s="355">
        <v>0</v>
      </c>
      <c r="L19" s="355">
        <v>0</v>
      </c>
      <c r="M19" s="408">
        <v>0</v>
      </c>
      <c r="N19" s="408">
        <v>0</v>
      </c>
      <c r="O19" s="410">
        <v>0</v>
      </c>
    </row>
    <row r="20" spans="1:15">
      <c r="A20" s="354">
        <v>18</v>
      </c>
      <c r="B20" s="354" t="s">
        <v>4349</v>
      </c>
      <c r="C20" s="355">
        <v>7600000</v>
      </c>
      <c r="D20" s="355">
        <v>300000</v>
      </c>
      <c r="E20" s="355">
        <v>300000</v>
      </c>
      <c r="F20" s="355">
        <v>300000</v>
      </c>
      <c r="G20" s="355">
        <v>300000</v>
      </c>
      <c r="H20" s="355">
        <v>300000</v>
      </c>
      <c r="I20" s="355">
        <v>300000</v>
      </c>
      <c r="J20" s="355">
        <v>300000</v>
      </c>
      <c r="K20" s="355">
        <v>300000</v>
      </c>
      <c r="L20" s="355">
        <v>300000</v>
      </c>
      <c r="M20" s="408">
        <v>300000</v>
      </c>
      <c r="N20" s="408">
        <v>300000</v>
      </c>
      <c r="O20" s="410">
        <v>0</v>
      </c>
    </row>
    <row r="21" spans="1:15">
      <c r="A21" s="354">
        <v>19</v>
      </c>
      <c r="B21" s="354" t="s">
        <v>4350</v>
      </c>
      <c r="C21" s="355">
        <v>11500000</v>
      </c>
      <c r="D21" s="355">
        <v>1000000</v>
      </c>
      <c r="E21" s="355">
        <v>1000000</v>
      </c>
      <c r="F21" s="355">
        <v>1000000</v>
      </c>
      <c r="G21" s="355">
        <v>1000000</v>
      </c>
      <c r="H21" s="355">
        <v>1000000</v>
      </c>
      <c r="I21" s="355">
        <v>1000000</v>
      </c>
      <c r="J21" s="355">
        <v>1000000</v>
      </c>
      <c r="K21" s="355">
        <v>1000000</v>
      </c>
      <c r="L21" s="355">
        <v>1000000</v>
      </c>
      <c r="M21" s="408">
        <v>1000000</v>
      </c>
      <c r="N21" s="408">
        <v>1000000</v>
      </c>
      <c r="O21" s="410">
        <v>0</v>
      </c>
    </row>
    <row r="22" spans="1:15">
      <c r="A22" s="354">
        <v>20</v>
      </c>
      <c r="B22" s="354" t="s">
        <v>4351</v>
      </c>
      <c r="C22" s="355">
        <v>17500000</v>
      </c>
      <c r="D22" s="355">
        <v>1000000</v>
      </c>
      <c r="E22" s="355">
        <v>1000000</v>
      </c>
      <c r="F22" s="355">
        <v>1000000</v>
      </c>
      <c r="G22" s="355">
        <v>1000000</v>
      </c>
      <c r="H22" s="355">
        <v>1000000</v>
      </c>
      <c r="I22" s="355">
        <v>1000000</v>
      </c>
      <c r="J22" s="355">
        <v>1000000</v>
      </c>
      <c r="K22" s="355">
        <v>1000000</v>
      </c>
      <c r="L22" s="355">
        <v>1000000</v>
      </c>
      <c r="M22" s="408">
        <v>1000000</v>
      </c>
      <c r="N22" s="408">
        <v>1000000</v>
      </c>
      <c r="O22" s="410">
        <v>0</v>
      </c>
    </row>
    <row r="23" spans="1:15">
      <c r="A23" s="354">
        <v>21</v>
      </c>
      <c r="B23" s="354" t="s">
        <v>4352</v>
      </c>
      <c r="C23" s="355">
        <v>3000000</v>
      </c>
      <c r="D23" s="355">
        <v>0</v>
      </c>
      <c r="E23" s="355">
        <v>0</v>
      </c>
      <c r="F23" s="355">
        <v>0</v>
      </c>
      <c r="G23" s="355">
        <v>0</v>
      </c>
      <c r="H23" s="355">
        <v>0</v>
      </c>
      <c r="I23" s="355">
        <v>0</v>
      </c>
      <c r="J23" s="355">
        <v>0</v>
      </c>
      <c r="K23" s="355">
        <v>0</v>
      </c>
      <c r="L23" s="355">
        <v>0</v>
      </c>
      <c r="M23" s="408">
        <v>0</v>
      </c>
      <c r="N23" s="408">
        <v>0</v>
      </c>
      <c r="O23" s="410">
        <v>0</v>
      </c>
    </row>
    <row r="24" spans="1:15">
      <c r="A24" s="354">
        <v>22</v>
      </c>
      <c r="B24" s="354" t="s">
        <v>4353</v>
      </c>
      <c r="C24" s="355">
        <v>75600000</v>
      </c>
      <c r="D24" s="355">
        <v>2500000</v>
      </c>
      <c r="E24" s="355">
        <v>2500000</v>
      </c>
      <c r="F24" s="355">
        <v>2500000</v>
      </c>
      <c r="G24" s="355">
        <v>2500000</v>
      </c>
      <c r="H24" s="355">
        <v>2500000</v>
      </c>
      <c r="I24" s="355">
        <v>2500000</v>
      </c>
      <c r="J24" s="355">
        <v>2500000</v>
      </c>
      <c r="K24" s="355">
        <v>2500000</v>
      </c>
      <c r="L24" s="355">
        <v>2500000</v>
      </c>
      <c r="M24" s="408">
        <v>2500000</v>
      </c>
      <c r="N24" s="408">
        <v>2500000</v>
      </c>
      <c r="O24" s="410">
        <v>0</v>
      </c>
    </row>
    <row r="25" spans="1:15">
      <c r="A25" s="354">
        <v>23</v>
      </c>
      <c r="B25" s="354" t="s">
        <v>4354</v>
      </c>
      <c r="C25" s="355">
        <v>1244200000</v>
      </c>
      <c r="D25" s="355">
        <v>500000</v>
      </c>
      <c r="E25" s="355">
        <v>500000</v>
      </c>
      <c r="F25" s="355">
        <v>500000</v>
      </c>
      <c r="G25" s="355">
        <v>500000</v>
      </c>
      <c r="H25" s="355">
        <v>500000</v>
      </c>
      <c r="I25" s="355">
        <v>500000</v>
      </c>
      <c r="J25" s="355">
        <v>500000</v>
      </c>
      <c r="K25" s="355">
        <v>500000</v>
      </c>
      <c r="L25" s="355">
        <v>500000</v>
      </c>
      <c r="M25" s="408">
        <v>500000</v>
      </c>
      <c r="N25" s="408">
        <v>500000</v>
      </c>
      <c r="O25" s="410">
        <v>0</v>
      </c>
    </row>
    <row r="26" spans="1:15">
      <c r="A26" s="354">
        <v>24</v>
      </c>
      <c r="B26" s="354" t="s">
        <v>4355</v>
      </c>
      <c r="C26" s="355">
        <v>11500000</v>
      </c>
      <c r="D26" s="355">
        <v>300000</v>
      </c>
      <c r="E26" s="355">
        <v>300000</v>
      </c>
      <c r="F26" s="355">
        <v>300000</v>
      </c>
      <c r="G26" s="355">
        <v>300000</v>
      </c>
      <c r="H26" s="355">
        <v>300000</v>
      </c>
      <c r="I26" s="355">
        <v>300000</v>
      </c>
      <c r="J26" s="355">
        <v>300000</v>
      </c>
      <c r="K26" s="355">
        <v>300000</v>
      </c>
      <c r="L26" s="355">
        <v>300000</v>
      </c>
      <c r="M26" s="408">
        <v>300000</v>
      </c>
      <c r="N26" s="408">
        <v>300000</v>
      </c>
      <c r="O26" s="410">
        <v>0</v>
      </c>
    </row>
    <row r="27" spans="1:15">
      <c r="A27" s="354">
        <v>25</v>
      </c>
      <c r="B27" s="354" t="s">
        <v>4356</v>
      </c>
      <c r="C27" s="355"/>
      <c r="D27" s="355">
        <v>500000</v>
      </c>
      <c r="E27" s="355">
        <v>500000</v>
      </c>
      <c r="F27" s="355">
        <v>500000</v>
      </c>
      <c r="G27" s="355">
        <v>500000</v>
      </c>
      <c r="H27" s="355">
        <v>500000</v>
      </c>
      <c r="I27" s="355">
        <v>500000</v>
      </c>
      <c r="J27" s="355">
        <v>500000</v>
      </c>
      <c r="K27" s="355">
        <v>500000</v>
      </c>
      <c r="L27" s="355">
        <v>500000</v>
      </c>
      <c r="M27" s="408">
        <v>500000</v>
      </c>
      <c r="N27" s="408">
        <v>500000</v>
      </c>
      <c r="O27" s="410">
        <v>0</v>
      </c>
    </row>
    <row r="28" spans="1:15">
      <c r="A28" s="354">
        <v>26</v>
      </c>
      <c r="B28" s="354" t="s">
        <v>4357</v>
      </c>
      <c r="C28" s="355">
        <v>113150000</v>
      </c>
      <c r="D28" s="355">
        <v>1000000</v>
      </c>
      <c r="E28" s="355">
        <v>1000000</v>
      </c>
      <c r="F28" s="355">
        <v>1000000</v>
      </c>
      <c r="G28" s="355">
        <v>1000000</v>
      </c>
      <c r="H28" s="355">
        <v>1000000</v>
      </c>
      <c r="I28" s="355">
        <v>1000000</v>
      </c>
      <c r="J28" s="355">
        <v>1000000</v>
      </c>
      <c r="K28" s="355">
        <v>1000000</v>
      </c>
      <c r="L28" s="355">
        <v>1000000</v>
      </c>
      <c r="M28" s="408">
        <v>1000000</v>
      </c>
      <c r="N28" s="408">
        <v>1000000</v>
      </c>
      <c r="O28" s="410">
        <v>0</v>
      </c>
    </row>
    <row r="29" spans="1:15">
      <c r="A29" s="354">
        <v>27</v>
      </c>
      <c r="B29" s="354" t="s">
        <v>4358</v>
      </c>
      <c r="C29" s="355">
        <v>22500000</v>
      </c>
      <c r="D29" s="355">
        <v>1000000</v>
      </c>
      <c r="E29" s="355">
        <v>1000000</v>
      </c>
      <c r="F29" s="355">
        <v>1000000</v>
      </c>
      <c r="G29" s="355">
        <v>1000000</v>
      </c>
      <c r="H29" s="355">
        <v>1000000</v>
      </c>
      <c r="I29" s="355">
        <v>1000000</v>
      </c>
      <c r="J29" s="355">
        <v>1000000</v>
      </c>
      <c r="K29" s="355">
        <v>1000000</v>
      </c>
      <c r="L29" s="355">
        <v>1000000</v>
      </c>
      <c r="M29" s="408">
        <v>1000000</v>
      </c>
      <c r="N29" s="408">
        <v>1000000</v>
      </c>
      <c r="O29" s="410">
        <v>0</v>
      </c>
    </row>
    <row r="30" spans="1:15">
      <c r="A30" s="354">
        <v>28</v>
      </c>
      <c r="B30" s="354" t="s">
        <v>4359</v>
      </c>
      <c r="C30" s="355">
        <v>8700000</v>
      </c>
      <c r="D30" s="355">
        <v>300000</v>
      </c>
      <c r="E30" s="355">
        <v>300000</v>
      </c>
      <c r="F30" s="355">
        <v>300000</v>
      </c>
      <c r="G30" s="355">
        <v>300000</v>
      </c>
      <c r="H30" s="355">
        <v>300000</v>
      </c>
      <c r="I30" s="355">
        <v>300000</v>
      </c>
      <c r="J30" s="355">
        <v>300000</v>
      </c>
      <c r="K30" s="355">
        <v>300000</v>
      </c>
      <c r="L30" s="355">
        <v>300000</v>
      </c>
      <c r="M30" s="408">
        <v>300000</v>
      </c>
      <c r="N30" s="408">
        <v>300000</v>
      </c>
      <c r="O30" s="410">
        <v>0</v>
      </c>
    </row>
    <row r="31" spans="1:15">
      <c r="A31" s="354">
        <v>29</v>
      </c>
      <c r="B31" s="354" t="s">
        <v>4360</v>
      </c>
      <c r="C31" s="355">
        <v>22300000</v>
      </c>
      <c r="D31" s="355">
        <v>1000000</v>
      </c>
      <c r="E31" s="355">
        <v>1000000</v>
      </c>
      <c r="F31" s="355">
        <v>1000000</v>
      </c>
      <c r="G31" s="355">
        <v>1000000</v>
      </c>
      <c r="H31" s="355">
        <v>1000000</v>
      </c>
      <c r="I31" s="355">
        <v>1000000</v>
      </c>
      <c r="J31" s="355">
        <v>1000000</v>
      </c>
      <c r="K31" s="355">
        <v>1000000</v>
      </c>
      <c r="L31" s="355">
        <v>1000000</v>
      </c>
      <c r="M31" s="408">
        <v>1000000</v>
      </c>
      <c r="N31" s="408">
        <v>1000000</v>
      </c>
      <c r="O31" s="410">
        <v>0</v>
      </c>
    </row>
    <row r="32" spans="1:15">
      <c r="A32" s="354">
        <v>30</v>
      </c>
      <c r="B32" s="354" t="s">
        <v>4361</v>
      </c>
      <c r="C32" s="355">
        <v>8600000</v>
      </c>
      <c r="D32" s="355">
        <v>500000</v>
      </c>
      <c r="E32" s="355">
        <v>500000</v>
      </c>
      <c r="F32" s="355">
        <v>500000</v>
      </c>
      <c r="G32" s="355">
        <v>500000</v>
      </c>
      <c r="H32" s="355">
        <v>500000</v>
      </c>
      <c r="I32" s="355">
        <v>500000</v>
      </c>
      <c r="J32" s="355">
        <v>500000</v>
      </c>
      <c r="K32" s="355">
        <v>500000</v>
      </c>
      <c r="L32" s="355">
        <v>500000</v>
      </c>
      <c r="M32" s="408">
        <v>500000</v>
      </c>
      <c r="N32" s="408">
        <v>500000</v>
      </c>
      <c r="O32" s="410">
        <v>0</v>
      </c>
    </row>
    <row r="33" spans="1:15">
      <c r="A33" s="354">
        <v>31</v>
      </c>
      <c r="B33" s="354" t="s">
        <v>4362</v>
      </c>
      <c r="C33" s="355">
        <v>908400000</v>
      </c>
      <c r="D33" s="355">
        <v>1000000</v>
      </c>
      <c r="E33" s="355">
        <v>1000000</v>
      </c>
      <c r="F33" s="355">
        <v>1000000</v>
      </c>
      <c r="G33" s="355">
        <v>1000000</v>
      </c>
      <c r="H33" s="355">
        <v>1000000</v>
      </c>
      <c r="I33" s="355">
        <v>1000000</v>
      </c>
      <c r="J33" s="355">
        <v>1000000</v>
      </c>
      <c r="K33" s="355">
        <v>1000000</v>
      </c>
      <c r="L33" s="355">
        <v>1000000</v>
      </c>
      <c r="M33" s="408">
        <v>1000000</v>
      </c>
      <c r="N33" s="408">
        <v>1000000</v>
      </c>
      <c r="O33" s="410">
        <v>0</v>
      </c>
    </row>
    <row r="34" spans="1:15">
      <c r="A34" s="354">
        <v>32</v>
      </c>
      <c r="B34" s="354" t="s">
        <v>4363</v>
      </c>
      <c r="C34" s="355">
        <v>355200000</v>
      </c>
      <c r="D34" s="355">
        <v>1000000</v>
      </c>
      <c r="E34" s="355">
        <v>1000000</v>
      </c>
      <c r="F34" s="355">
        <v>1000000</v>
      </c>
      <c r="G34" s="355">
        <v>1000000</v>
      </c>
      <c r="H34" s="355">
        <v>1000000</v>
      </c>
      <c r="I34" s="355">
        <v>1000000</v>
      </c>
      <c r="J34" s="355">
        <v>1000000</v>
      </c>
      <c r="K34" s="355">
        <v>1000000</v>
      </c>
      <c r="L34" s="355">
        <v>1000000</v>
      </c>
      <c r="M34" s="408">
        <v>1000000</v>
      </c>
      <c r="N34" s="408">
        <v>1000000</v>
      </c>
      <c r="O34" s="410">
        <v>0</v>
      </c>
    </row>
    <row r="35" spans="1:15">
      <c r="A35" s="354">
        <v>33</v>
      </c>
      <c r="B35" s="354" t="s">
        <v>4364</v>
      </c>
      <c r="C35" s="355">
        <v>728750000</v>
      </c>
      <c r="D35" s="355">
        <v>3500000</v>
      </c>
      <c r="E35" s="355">
        <v>3500000</v>
      </c>
      <c r="F35" s="355">
        <v>3500000</v>
      </c>
      <c r="G35" s="355">
        <v>3500000</v>
      </c>
      <c r="H35" s="355">
        <v>3500000</v>
      </c>
      <c r="I35" s="355">
        <v>3500000</v>
      </c>
      <c r="J35" s="355">
        <v>3500000</v>
      </c>
      <c r="K35" s="355">
        <v>3500000</v>
      </c>
      <c r="L35" s="355">
        <v>3500000</v>
      </c>
      <c r="M35" s="408">
        <v>3500000</v>
      </c>
      <c r="N35" s="408">
        <v>3500000</v>
      </c>
      <c r="O35" s="410">
        <v>0</v>
      </c>
    </row>
    <row r="36" spans="1:15">
      <c r="A36" s="354">
        <v>34</v>
      </c>
      <c r="B36" s="354" t="s">
        <v>4365</v>
      </c>
      <c r="C36" s="355">
        <v>307200000</v>
      </c>
      <c r="D36" s="355">
        <v>1000000</v>
      </c>
      <c r="E36" s="355">
        <v>1000000</v>
      </c>
      <c r="F36" s="355">
        <v>1000000</v>
      </c>
      <c r="G36" s="355">
        <v>1000000</v>
      </c>
      <c r="H36" s="355">
        <v>1000000</v>
      </c>
      <c r="I36" s="355">
        <v>1000000</v>
      </c>
      <c r="J36" s="355">
        <v>1000000</v>
      </c>
      <c r="K36" s="355">
        <v>1000000</v>
      </c>
      <c r="L36" s="355">
        <v>1000000</v>
      </c>
      <c r="M36" s="408">
        <v>1000000</v>
      </c>
      <c r="N36" s="408">
        <v>1000000</v>
      </c>
      <c r="O36" s="410">
        <v>0</v>
      </c>
    </row>
    <row r="37" spans="1:15">
      <c r="A37" s="354">
        <v>35</v>
      </c>
      <c r="B37" s="354" t="s">
        <v>4366</v>
      </c>
      <c r="C37" s="355">
        <v>602397000</v>
      </c>
      <c r="D37" s="355">
        <v>1000000</v>
      </c>
      <c r="E37" s="355">
        <v>1000000</v>
      </c>
      <c r="F37" s="355">
        <v>1000000</v>
      </c>
      <c r="G37" s="355">
        <v>1000000</v>
      </c>
      <c r="H37" s="355">
        <v>1000000</v>
      </c>
      <c r="I37" s="355">
        <v>1000000</v>
      </c>
      <c r="J37" s="355">
        <v>1000000</v>
      </c>
      <c r="K37" s="355">
        <v>1000000</v>
      </c>
      <c r="L37" s="355">
        <v>1000000</v>
      </c>
      <c r="M37" s="408">
        <v>1000000</v>
      </c>
      <c r="N37" s="408">
        <v>1000000</v>
      </c>
      <c r="O37" s="410">
        <v>0</v>
      </c>
    </row>
    <row r="38" spans="1:15">
      <c r="A38" s="354">
        <v>36</v>
      </c>
      <c r="B38" s="354" t="s">
        <v>4367</v>
      </c>
      <c r="C38" s="355">
        <v>123676000</v>
      </c>
      <c r="D38" s="355">
        <v>6000000</v>
      </c>
      <c r="E38" s="355">
        <v>6000000</v>
      </c>
      <c r="F38" s="355">
        <v>6000000</v>
      </c>
      <c r="G38" s="355">
        <v>6000000</v>
      </c>
      <c r="H38" s="355">
        <v>6000000</v>
      </c>
      <c r="I38" s="355">
        <v>6000000</v>
      </c>
      <c r="J38" s="355">
        <v>6000000</v>
      </c>
      <c r="K38" s="355">
        <v>6000000</v>
      </c>
      <c r="L38" s="355">
        <v>6000000</v>
      </c>
      <c r="M38" s="408">
        <v>6000000</v>
      </c>
      <c r="N38" s="408">
        <v>6000000</v>
      </c>
      <c r="O38" s="410">
        <v>0</v>
      </c>
    </row>
    <row r="39" spans="1:15">
      <c r="A39" s="354">
        <v>37</v>
      </c>
      <c r="B39" s="354" t="s">
        <v>4368</v>
      </c>
      <c r="C39" s="355">
        <v>27300000</v>
      </c>
      <c r="D39" s="355">
        <v>1200000</v>
      </c>
      <c r="E39" s="355">
        <v>1200000</v>
      </c>
      <c r="F39" s="355">
        <v>1200000</v>
      </c>
      <c r="G39" s="355">
        <v>1200000</v>
      </c>
      <c r="H39" s="355">
        <v>1200000</v>
      </c>
      <c r="I39" s="355">
        <v>1200000</v>
      </c>
      <c r="J39" s="355">
        <v>1200000</v>
      </c>
      <c r="K39" s="355">
        <v>1200000</v>
      </c>
      <c r="L39" s="355">
        <v>1200000</v>
      </c>
      <c r="M39" s="408">
        <v>1200000</v>
      </c>
      <c r="N39" s="408">
        <v>1200000</v>
      </c>
      <c r="O39" s="410">
        <v>0</v>
      </c>
    </row>
    <row r="40" spans="1:15">
      <c r="A40" s="354">
        <v>38</v>
      </c>
      <c r="B40" s="354" t="s">
        <v>4369</v>
      </c>
      <c r="C40" s="355">
        <v>127800000</v>
      </c>
      <c r="D40" s="355">
        <v>1000000</v>
      </c>
      <c r="E40" s="355">
        <v>1000000</v>
      </c>
      <c r="F40" s="355">
        <v>1000000</v>
      </c>
      <c r="G40" s="355">
        <v>1000000</v>
      </c>
      <c r="H40" s="355">
        <v>1000000</v>
      </c>
      <c r="I40" s="355">
        <v>1000000</v>
      </c>
      <c r="J40" s="355">
        <v>1000000</v>
      </c>
      <c r="K40" s="355">
        <v>1000000</v>
      </c>
      <c r="L40" s="355">
        <v>1000000</v>
      </c>
      <c r="M40" s="408">
        <v>1000000</v>
      </c>
      <c r="N40" s="408">
        <v>1000000</v>
      </c>
      <c r="O40" s="410">
        <v>0</v>
      </c>
    </row>
    <row r="41" spans="1:15">
      <c r="A41" s="354">
        <v>39</v>
      </c>
      <c r="B41" s="354" t="s">
        <v>4370</v>
      </c>
      <c r="C41" s="355">
        <v>58300000</v>
      </c>
      <c r="D41" s="355">
        <v>500000</v>
      </c>
      <c r="E41" s="355">
        <v>500000</v>
      </c>
      <c r="F41" s="355">
        <v>500000</v>
      </c>
      <c r="G41" s="355">
        <v>500000</v>
      </c>
      <c r="H41" s="355">
        <v>500000</v>
      </c>
      <c r="I41" s="355">
        <v>500000</v>
      </c>
      <c r="J41" s="355">
        <v>500000</v>
      </c>
      <c r="K41" s="355">
        <v>500000</v>
      </c>
      <c r="L41" s="355">
        <v>500000</v>
      </c>
      <c r="M41" s="408">
        <v>500000</v>
      </c>
      <c r="N41" s="408">
        <v>500000</v>
      </c>
      <c r="O41" s="410">
        <v>0</v>
      </c>
    </row>
    <row r="42" spans="1:15">
      <c r="A42" s="354">
        <v>40</v>
      </c>
      <c r="B42" s="354" t="s">
        <v>4371</v>
      </c>
      <c r="C42" s="355">
        <v>8500000</v>
      </c>
      <c r="D42" s="355">
        <v>500000</v>
      </c>
      <c r="E42" s="355">
        <v>500000</v>
      </c>
      <c r="F42" s="355">
        <v>500000</v>
      </c>
      <c r="G42" s="355">
        <v>500000</v>
      </c>
      <c r="H42" s="355">
        <v>500000</v>
      </c>
      <c r="I42" s="355">
        <v>500000</v>
      </c>
      <c r="J42" s="355">
        <v>500000</v>
      </c>
      <c r="K42" s="355">
        <v>500000</v>
      </c>
      <c r="L42" s="355">
        <v>500000</v>
      </c>
      <c r="M42" s="408">
        <v>500000</v>
      </c>
      <c r="N42" s="408">
        <v>500000</v>
      </c>
      <c r="O42" s="410">
        <v>0</v>
      </c>
    </row>
    <row r="43" spans="1:15">
      <c r="A43" s="354">
        <v>41</v>
      </c>
      <c r="B43" s="354" t="s">
        <v>4372</v>
      </c>
      <c r="C43" s="355">
        <v>222000000</v>
      </c>
      <c r="D43" s="355">
        <v>1000000</v>
      </c>
      <c r="E43" s="355">
        <v>1000000</v>
      </c>
      <c r="F43" s="355">
        <v>1000000</v>
      </c>
      <c r="G43" s="355">
        <v>1000000</v>
      </c>
      <c r="H43" s="355">
        <v>1000000</v>
      </c>
      <c r="I43" s="355">
        <v>1000000</v>
      </c>
      <c r="J43" s="355">
        <v>1000000</v>
      </c>
      <c r="K43" s="355">
        <v>1000000</v>
      </c>
      <c r="L43" s="355">
        <v>1000000</v>
      </c>
      <c r="M43" s="408">
        <v>1000000</v>
      </c>
      <c r="N43" s="408">
        <v>1000000</v>
      </c>
      <c r="O43" s="410">
        <v>0</v>
      </c>
    </row>
    <row r="44" spans="1:15">
      <c r="A44" s="354">
        <v>42</v>
      </c>
      <c r="B44" s="354" t="s">
        <v>4373</v>
      </c>
      <c r="C44" s="355">
        <v>17000000</v>
      </c>
      <c r="D44" s="355">
        <v>1000000</v>
      </c>
      <c r="E44" s="355">
        <v>1000000</v>
      </c>
      <c r="F44" s="355">
        <v>1000000</v>
      </c>
      <c r="G44" s="355">
        <v>1000000</v>
      </c>
      <c r="H44" s="355">
        <v>1000000</v>
      </c>
      <c r="I44" s="355">
        <v>1000000</v>
      </c>
      <c r="J44" s="355">
        <v>1000000</v>
      </c>
      <c r="K44" s="355">
        <v>1000000</v>
      </c>
      <c r="L44" s="355">
        <v>1000000</v>
      </c>
      <c r="M44" s="408">
        <v>1000000</v>
      </c>
      <c r="N44" s="408">
        <v>1000000</v>
      </c>
      <c r="O44" s="410">
        <v>0</v>
      </c>
    </row>
    <row r="45" spans="1:15">
      <c r="A45" s="354">
        <v>43</v>
      </c>
      <c r="B45" s="354" t="s">
        <v>4374</v>
      </c>
      <c r="C45" s="355">
        <v>63500000</v>
      </c>
      <c r="D45" s="355">
        <v>1000000</v>
      </c>
      <c r="E45" s="355">
        <v>1000000</v>
      </c>
      <c r="F45" s="355">
        <v>1000000</v>
      </c>
      <c r="G45" s="355">
        <v>1000000</v>
      </c>
      <c r="H45" s="355">
        <v>1000000</v>
      </c>
      <c r="I45" s="355">
        <v>1000000</v>
      </c>
      <c r="J45" s="355">
        <v>1000000</v>
      </c>
      <c r="K45" s="355">
        <v>1000000</v>
      </c>
      <c r="L45" s="355">
        <v>1000000</v>
      </c>
      <c r="M45" s="408">
        <v>1000000</v>
      </c>
      <c r="N45" s="408">
        <v>1000000</v>
      </c>
      <c r="O45" s="410">
        <v>0</v>
      </c>
    </row>
    <row r="46" spans="1:15">
      <c r="A46" s="354">
        <v>44</v>
      </c>
      <c r="B46" s="354" t="s">
        <v>4375</v>
      </c>
      <c r="C46" s="355">
        <v>8500000</v>
      </c>
      <c r="D46" s="355">
        <v>200000</v>
      </c>
      <c r="E46" s="355">
        <v>200000</v>
      </c>
      <c r="F46" s="355">
        <v>200000</v>
      </c>
      <c r="G46" s="355">
        <v>200000</v>
      </c>
      <c r="H46" s="355">
        <v>200000</v>
      </c>
      <c r="I46" s="355">
        <v>200000</v>
      </c>
      <c r="J46" s="355">
        <v>200000</v>
      </c>
      <c r="K46" s="355">
        <v>200000</v>
      </c>
      <c r="L46" s="355">
        <v>200000</v>
      </c>
      <c r="M46" s="408">
        <v>200000</v>
      </c>
      <c r="N46" s="408">
        <v>200000</v>
      </c>
      <c r="O46" s="410">
        <v>0</v>
      </c>
    </row>
    <row r="47" spans="1:15">
      <c r="A47" s="354">
        <v>45</v>
      </c>
      <c r="B47" s="354" t="s">
        <v>4376</v>
      </c>
      <c r="C47" s="355">
        <v>7400000</v>
      </c>
      <c r="D47" s="355">
        <v>300000</v>
      </c>
      <c r="E47" s="355">
        <v>300000</v>
      </c>
      <c r="F47" s="355">
        <v>300000</v>
      </c>
      <c r="G47" s="355">
        <v>300000</v>
      </c>
      <c r="H47" s="355">
        <v>300000</v>
      </c>
      <c r="I47" s="355">
        <v>300000</v>
      </c>
      <c r="J47" s="355">
        <v>300000</v>
      </c>
      <c r="K47" s="355">
        <v>300000</v>
      </c>
      <c r="L47" s="355">
        <v>300000</v>
      </c>
      <c r="M47" s="408">
        <v>300000</v>
      </c>
      <c r="N47" s="408">
        <v>300000</v>
      </c>
      <c r="O47" s="410">
        <v>0</v>
      </c>
    </row>
    <row r="48" spans="1:15">
      <c r="A48" s="354">
        <v>46</v>
      </c>
      <c r="B48" s="354" t="s">
        <v>4377</v>
      </c>
      <c r="C48" s="355">
        <v>776500000</v>
      </c>
      <c r="D48" s="355">
        <v>60000000</v>
      </c>
      <c r="E48" s="355">
        <v>60000000</v>
      </c>
      <c r="F48" s="355">
        <v>60000000</v>
      </c>
      <c r="G48" s="355">
        <v>60000000</v>
      </c>
      <c r="H48" s="355">
        <v>60000000</v>
      </c>
      <c r="I48" s="355">
        <v>60000000</v>
      </c>
      <c r="J48" s="355">
        <v>60000000</v>
      </c>
      <c r="K48" s="355">
        <v>60000000</v>
      </c>
      <c r="L48" s="355">
        <v>60000000</v>
      </c>
      <c r="M48" s="408">
        <v>60000000</v>
      </c>
      <c r="N48" s="408">
        <v>60000000</v>
      </c>
      <c r="O48" s="410">
        <v>0</v>
      </c>
    </row>
    <row r="49" spans="1:15">
      <c r="A49" s="354">
        <v>47</v>
      </c>
      <c r="B49" s="354" t="s">
        <v>4378</v>
      </c>
      <c r="C49" s="355">
        <v>4800000</v>
      </c>
      <c r="D49" s="355">
        <v>300000</v>
      </c>
      <c r="E49" s="355">
        <v>300000</v>
      </c>
      <c r="F49" s="355">
        <v>300000</v>
      </c>
      <c r="G49" s="355">
        <v>300000</v>
      </c>
      <c r="H49" s="355">
        <v>300000</v>
      </c>
      <c r="I49" s="355">
        <v>300000</v>
      </c>
      <c r="J49" s="355">
        <v>300000</v>
      </c>
      <c r="K49" s="355">
        <v>300000</v>
      </c>
      <c r="L49" s="355">
        <v>300000</v>
      </c>
      <c r="M49" s="408">
        <v>300000</v>
      </c>
      <c r="N49" s="408">
        <v>300000</v>
      </c>
      <c r="O49" s="410">
        <v>0</v>
      </c>
    </row>
    <row r="50" spans="1:15">
      <c r="A50" s="354">
        <v>48</v>
      </c>
      <c r="B50" s="354" t="s">
        <v>4379</v>
      </c>
      <c r="C50" s="355">
        <v>18700000</v>
      </c>
      <c r="D50" s="355">
        <v>1000000</v>
      </c>
      <c r="E50" s="355">
        <v>1000000</v>
      </c>
      <c r="F50" s="355">
        <v>1000000</v>
      </c>
      <c r="G50" s="355">
        <v>1000000</v>
      </c>
      <c r="H50" s="355">
        <v>1000000</v>
      </c>
      <c r="I50" s="355">
        <v>1000000</v>
      </c>
      <c r="J50" s="355">
        <v>1000000</v>
      </c>
      <c r="K50" s="355">
        <v>1000000</v>
      </c>
      <c r="L50" s="355">
        <v>1000000</v>
      </c>
      <c r="M50" s="408">
        <v>1000000</v>
      </c>
      <c r="N50" s="408">
        <v>1000000</v>
      </c>
      <c r="O50" s="410">
        <v>0</v>
      </c>
    </row>
    <row r="51" spans="1:15">
      <c r="A51" s="354">
        <v>49</v>
      </c>
      <c r="B51" s="354" t="s">
        <v>4380</v>
      </c>
      <c r="C51" s="355">
        <v>13800000</v>
      </c>
      <c r="D51" s="355">
        <v>1000000</v>
      </c>
      <c r="E51" s="355">
        <v>1000000</v>
      </c>
      <c r="F51" s="355">
        <v>1000000</v>
      </c>
      <c r="G51" s="355">
        <v>1000000</v>
      </c>
      <c r="H51" s="355">
        <v>1000000</v>
      </c>
      <c r="I51" s="355">
        <v>1000000</v>
      </c>
      <c r="J51" s="355">
        <v>1000000</v>
      </c>
      <c r="K51" s="355">
        <v>1000000</v>
      </c>
      <c r="L51" s="355">
        <v>1000000</v>
      </c>
      <c r="M51" s="408">
        <v>1000000</v>
      </c>
      <c r="N51" s="408">
        <v>1000000</v>
      </c>
      <c r="O51" s="410">
        <v>0</v>
      </c>
    </row>
    <row r="52" spans="1:15">
      <c r="A52" s="354">
        <v>50</v>
      </c>
      <c r="B52" s="354" t="s">
        <v>4381</v>
      </c>
      <c r="C52" s="355">
        <v>12000000</v>
      </c>
      <c r="D52" s="355">
        <v>1000000</v>
      </c>
      <c r="E52" s="355">
        <v>1000000</v>
      </c>
      <c r="F52" s="355">
        <v>1000000</v>
      </c>
      <c r="G52" s="355">
        <v>1000000</v>
      </c>
      <c r="H52" s="355">
        <v>1000000</v>
      </c>
      <c r="I52" s="355">
        <v>1000000</v>
      </c>
      <c r="J52" s="355">
        <v>1000000</v>
      </c>
      <c r="K52" s="355">
        <v>1000000</v>
      </c>
      <c r="L52" s="355">
        <v>1000000</v>
      </c>
      <c r="M52" s="408">
        <v>1000000</v>
      </c>
      <c r="N52" s="408">
        <v>1000000</v>
      </c>
      <c r="O52" s="410">
        <v>0</v>
      </c>
    </row>
    <row r="53" spans="1:15">
      <c r="A53" s="354">
        <v>51</v>
      </c>
      <c r="B53" s="354" t="s">
        <v>4382</v>
      </c>
      <c r="C53" s="355">
        <v>14000000</v>
      </c>
      <c r="D53" s="355">
        <v>1000000</v>
      </c>
      <c r="E53" s="355">
        <v>1000000</v>
      </c>
      <c r="F53" s="355">
        <v>1000000</v>
      </c>
      <c r="G53" s="355">
        <v>1000000</v>
      </c>
      <c r="H53" s="355">
        <v>1000000</v>
      </c>
      <c r="I53" s="355">
        <v>1000000</v>
      </c>
      <c r="J53" s="355">
        <v>1000000</v>
      </c>
      <c r="K53" s="355">
        <v>1000000</v>
      </c>
      <c r="L53" s="355">
        <v>1000000</v>
      </c>
      <c r="M53" s="408">
        <v>1000000</v>
      </c>
      <c r="N53" s="408">
        <v>1000000</v>
      </c>
      <c r="O53" s="410">
        <v>0</v>
      </c>
    </row>
    <row r="54" spans="1:15">
      <c r="A54" s="354">
        <v>52</v>
      </c>
      <c r="B54" s="354" t="s">
        <v>4383</v>
      </c>
      <c r="C54" s="355">
        <v>12500000</v>
      </c>
      <c r="D54" s="355">
        <v>500000</v>
      </c>
      <c r="E54" s="355">
        <v>500000</v>
      </c>
      <c r="F54" s="355">
        <v>500000</v>
      </c>
      <c r="G54" s="355">
        <v>500000</v>
      </c>
      <c r="H54" s="355">
        <v>500000</v>
      </c>
      <c r="I54" s="355">
        <v>500000</v>
      </c>
      <c r="J54" s="355">
        <v>500000</v>
      </c>
      <c r="K54" s="355">
        <v>500000</v>
      </c>
      <c r="L54" s="355">
        <v>500000</v>
      </c>
      <c r="M54" s="408">
        <v>500000</v>
      </c>
      <c r="N54" s="408">
        <v>500000</v>
      </c>
      <c r="O54" s="410">
        <v>0</v>
      </c>
    </row>
    <row r="55" spans="1:15">
      <c r="A55" s="354">
        <v>53</v>
      </c>
      <c r="B55" s="354" t="s">
        <v>4384</v>
      </c>
      <c r="C55" s="355">
        <v>212660000</v>
      </c>
      <c r="D55" s="355">
        <v>500000</v>
      </c>
      <c r="E55" s="355">
        <v>500000</v>
      </c>
      <c r="F55" s="355">
        <v>500000</v>
      </c>
      <c r="G55" s="355">
        <v>500000</v>
      </c>
      <c r="H55" s="355">
        <v>500000</v>
      </c>
      <c r="I55" s="355">
        <v>500000</v>
      </c>
      <c r="J55" s="355">
        <v>500000</v>
      </c>
      <c r="K55" s="355">
        <v>500000</v>
      </c>
      <c r="L55" s="355">
        <v>500000</v>
      </c>
      <c r="M55" s="408">
        <v>500000</v>
      </c>
      <c r="N55" s="408">
        <v>500000</v>
      </c>
      <c r="O55" s="410">
        <v>0</v>
      </c>
    </row>
    <row r="56" spans="1:15">
      <c r="A56" s="354">
        <v>54</v>
      </c>
      <c r="B56" s="354" t="s">
        <v>4385</v>
      </c>
      <c r="C56" s="355">
        <v>44600000</v>
      </c>
      <c r="D56" s="355">
        <v>1000000</v>
      </c>
      <c r="E56" s="355">
        <v>1000000</v>
      </c>
      <c r="F56" s="355">
        <v>1000000</v>
      </c>
      <c r="G56" s="355">
        <v>1000000</v>
      </c>
      <c r="H56" s="355">
        <v>1000000</v>
      </c>
      <c r="I56" s="355">
        <v>1000000</v>
      </c>
      <c r="J56" s="355">
        <v>1000000</v>
      </c>
      <c r="K56" s="355">
        <v>1000000</v>
      </c>
      <c r="L56" s="355">
        <v>1000000</v>
      </c>
      <c r="M56" s="408">
        <v>1000000</v>
      </c>
      <c r="N56" s="408">
        <v>1000000</v>
      </c>
      <c r="O56" s="410">
        <v>0</v>
      </c>
    </row>
    <row r="57" spans="1:15">
      <c r="A57" s="354">
        <v>55</v>
      </c>
      <c r="B57" s="354" t="s">
        <v>4386</v>
      </c>
      <c r="C57" s="355">
        <v>6250000</v>
      </c>
      <c r="D57" s="355">
        <v>300000</v>
      </c>
      <c r="E57" s="355">
        <v>300000</v>
      </c>
      <c r="F57" s="355">
        <v>300000</v>
      </c>
      <c r="G57" s="355">
        <v>300000</v>
      </c>
      <c r="H57" s="355">
        <v>300000</v>
      </c>
      <c r="I57" s="355">
        <v>300000</v>
      </c>
      <c r="J57" s="355">
        <v>300000</v>
      </c>
      <c r="K57" s="355">
        <v>300000</v>
      </c>
      <c r="L57" s="355">
        <v>300000</v>
      </c>
      <c r="M57" s="408">
        <v>300000</v>
      </c>
      <c r="N57" s="408">
        <v>300000</v>
      </c>
      <c r="O57" s="410">
        <v>0</v>
      </c>
    </row>
    <row r="58" spans="1:15">
      <c r="A58" s="354">
        <v>56</v>
      </c>
      <c r="B58" s="354" t="s">
        <v>4387</v>
      </c>
      <c r="C58" s="355">
        <v>222000000</v>
      </c>
      <c r="D58" s="355">
        <v>15500000</v>
      </c>
      <c r="E58" s="355">
        <v>15500000</v>
      </c>
      <c r="F58" s="355">
        <v>15500000</v>
      </c>
      <c r="G58" s="355">
        <v>15500000</v>
      </c>
      <c r="H58" s="355">
        <v>15500000</v>
      </c>
      <c r="I58" s="355">
        <v>15500000</v>
      </c>
      <c r="J58" s="355">
        <v>15500000</v>
      </c>
      <c r="K58" s="355">
        <v>15500000</v>
      </c>
      <c r="L58" s="355">
        <v>15500000</v>
      </c>
      <c r="M58" s="408">
        <v>15500000</v>
      </c>
      <c r="N58" s="408">
        <v>15500000</v>
      </c>
      <c r="O58" s="410">
        <v>0</v>
      </c>
    </row>
    <row r="59" spans="1:15">
      <c r="A59" s="354">
        <v>57</v>
      </c>
      <c r="B59" s="354" t="s">
        <v>4388</v>
      </c>
      <c r="C59" s="355">
        <v>70800000</v>
      </c>
      <c r="D59" s="355">
        <v>1000000</v>
      </c>
      <c r="E59" s="355">
        <v>1000000</v>
      </c>
      <c r="F59" s="355">
        <v>1000000</v>
      </c>
      <c r="G59" s="355">
        <v>1000000</v>
      </c>
      <c r="H59" s="355">
        <v>1000000</v>
      </c>
      <c r="I59" s="355">
        <v>1000000</v>
      </c>
      <c r="J59" s="355">
        <v>1000000</v>
      </c>
      <c r="K59" s="355">
        <v>1000000</v>
      </c>
      <c r="L59" s="355">
        <v>1000000</v>
      </c>
      <c r="M59" s="408">
        <v>1000000</v>
      </c>
      <c r="N59" s="408">
        <v>1000000</v>
      </c>
      <c r="O59" s="410">
        <v>0</v>
      </c>
    </row>
    <row r="60" spans="1:15">
      <c r="A60" s="354">
        <v>58</v>
      </c>
      <c r="B60" s="354" t="s">
        <v>4389</v>
      </c>
      <c r="C60" s="355">
        <v>8600000</v>
      </c>
      <c r="D60" s="358">
        <v>400000</v>
      </c>
      <c r="E60" s="355">
        <v>400000</v>
      </c>
      <c r="F60" s="355">
        <v>400000</v>
      </c>
      <c r="G60" s="355">
        <v>400000</v>
      </c>
      <c r="H60" s="355">
        <v>400000</v>
      </c>
      <c r="I60" s="355">
        <v>400000</v>
      </c>
      <c r="J60" s="355">
        <v>400000</v>
      </c>
      <c r="K60" s="355">
        <v>400000</v>
      </c>
      <c r="L60" s="355">
        <v>400000</v>
      </c>
      <c r="M60" s="408">
        <v>400000</v>
      </c>
      <c r="N60" s="408">
        <v>400000</v>
      </c>
      <c r="O60" s="410">
        <v>0</v>
      </c>
    </row>
    <row r="61" spans="1:15">
      <c r="A61" s="354">
        <v>59</v>
      </c>
      <c r="B61" s="354" t="s">
        <v>4390</v>
      </c>
      <c r="C61" s="355">
        <v>12000000</v>
      </c>
      <c r="D61" s="358">
        <v>0</v>
      </c>
      <c r="E61" s="355">
        <v>0</v>
      </c>
      <c r="F61" s="355">
        <v>0</v>
      </c>
      <c r="G61" s="355">
        <v>0</v>
      </c>
      <c r="H61" s="355">
        <v>0</v>
      </c>
      <c r="I61" s="355">
        <v>0</v>
      </c>
      <c r="J61" s="355">
        <v>0</v>
      </c>
      <c r="K61" s="355">
        <v>0</v>
      </c>
      <c r="L61" s="355">
        <v>0</v>
      </c>
      <c r="M61" s="408">
        <v>0</v>
      </c>
      <c r="N61" s="408">
        <v>0</v>
      </c>
      <c r="O61" s="410">
        <v>0</v>
      </c>
    </row>
    <row r="62" spans="1:15">
      <c r="A62" s="354">
        <v>60</v>
      </c>
      <c r="B62" s="354" t="s">
        <v>4391</v>
      </c>
      <c r="C62" s="355">
        <v>118500000</v>
      </c>
      <c r="D62" s="358">
        <v>500000</v>
      </c>
      <c r="E62" s="355">
        <v>500000</v>
      </c>
      <c r="F62" s="355">
        <v>500000</v>
      </c>
      <c r="G62" s="355">
        <v>500000</v>
      </c>
      <c r="H62" s="355">
        <v>500000</v>
      </c>
      <c r="I62" s="355">
        <v>500000</v>
      </c>
      <c r="J62" s="355">
        <v>500000</v>
      </c>
      <c r="K62" s="355">
        <v>500000</v>
      </c>
      <c r="L62" s="355">
        <v>500000</v>
      </c>
      <c r="M62" s="408">
        <v>500000</v>
      </c>
      <c r="N62" s="408">
        <v>500000</v>
      </c>
      <c r="O62" s="410">
        <v>0</v>
      </c>
    </row>
    <row r="63" spans="1:15">
      <c r="A63" s="354">
        <v>61</v>
      </c>
      <c r="B63" s="354" t="s">
        <v>4392</v>
      </c>
      <c r="C63" s="355">
        <v>7950000</v>
      </c>
      <c r="D63" s="358">
        <v>500000</v>
      </c>
      <c r="E63" s="355">
        <v>500000</v>
      </c>
      <c r="F63" s="355">
        <v>500000</v>
      </c>
      <c r="G63" s="355">
        <v>500000</v>
      </c>
      <c r="H63" s="355">
        <v>500000</v>
      </c>
      <c r="I63" s="355">
        <v>500000</v>
      </c>
      <c r="J63" s="355">
        <v>500000</v>
      </c>
      <c r="K63" s="355">
        <v>500000</v>
      </c>
      <c r="L63" s="355">
        <v>500000</v>
      </c>
      <c r="M63" s="408">
        <v>500000</v>
      </c>
      <c r="N63" s="408">
        <v>500000</v>
      </c>
      <c r="O63" s="410">
        <v>0</v>
      </c>
    </row>
    <row r="64" spans="1:15">
      <c r="A64" s="354">
        <v>62</v>
      </c>
      <c r="B64" s="354" t="s">
        <v>4393</v>
      </c>
      <c r="C64" s="355">
        <v>52100000</v>
      </c>
      <c r="D64" s="358">
        <v>500000</v>
      </c>
      <c r="E64" s="355">
        <v>500000</v>
      </c>
      <c r="F64" s="355">
        <v>500000</v>
      </c>
      <c r="G64" s="355">
        <v>500000</v>
      </c>
      <c r="H64" s="355">
        <v>500000</v>
      </c>
      <c r="I64" s="355">
        <v>500000</v>
      </c>
      <c r="J64" s="355">
        <v>500000</v>
      </c>
      <c r="K64" s="355">
        <v>500000</v>
      </c>
      <c r="L64" s="355">
        <v>500000</v>
      </c>
      <c r="M64" s="408">
        <v>500000</v>
      </c>
      <c r="N64" s="408">
        <v>500000</v>
      </c>
      <c r="O64" s="410">
        <v>0</v>
      </c>
    </row>
    <row r="65" spans="1:15">
      <c r="A65" s="354">
        <v>63</v>
      </c>
      <c r="B65" s="354" t="s">
        <v>4394</v>
      </c>
      <c r="C65" s="355">
        <v>24700000</v>
      </c>
      <c r="D65" s="358">
        <v>1000000</v>
      </c>
      <c r="E65" s="355">
        <v>1000000</v>
      </c>
      <c r="F65" s="355">
        <v>1000000</v>
      </c>
      <c r="G65" s="355">
        <v>1000000</v>
      </c>
      <c r="H65" s="355">
        <v>1000000</v>
      </c>
      <c r="I65" s="355">
        <v>1000000</v>
      </c>
      <c r="J65" s="355">
        <v>1000000</v>
      </c>
      <c r="K65" s="355">
        <v>1000000</v>
      </c>
      <c r="L65" s="355">
        <v>1000000</v>
      </c>
      <c r="M65" s="408">
        <v>1000000</v>
      </c>
      <c r="N65" s="408">
        <v>1000000</v>
      </c>
      <c r="O65" s="410">
        <v>0</v>
      </c>
    </row>
    <row r="66" spans="1:15">
      <c r="A66" s="354">
        <v>64</v>
      </c>
      <c r="B66" s="354" t="s">
        <v>4395</v>
      </c>
      <c r="C66" s="355">
        <v>7400000</v>
      </c>
      <c r="D66" s="358">
        <v>500000</v>
      </c>
      <c r="E66" s="355">
        <v>500000</v>
      </c>
      <c r="F66" s="355">
        <v>500000</v>
      </c>
      <c r="G66" s="355">
        <v>500000</v>
      </c>
      <c r="H66" s="355">
        <v>500000</v>
      </c>
      <c r="I66" s="355">
        <v>500000</v>
      </c>
      <c r="J66" s="355">
        <v>500000</v>
      </c>
      <c r="K66" s="355">
        <v>500000</v>
      </c>
      <c r="L66" s="355">
        <v>500000</v>
      </c>
      <c r="M66" s="408">
        <v>500000</v>
      </c>
      <c r="N66" s="408">
        <v>500000</v>
      </c>
      <c r="O66" s="410">
        <v>0</v>
      </c>
    </row>
    <row r="67" spans="1:15">
      <c r="A67" s="354">
        <v>65</v>
      </c>
      <c r="B67" s="354" t="s">
        <v>4396</v>
      </c>
      <c r="C67" s="355">
        <v>8600000</v>
      </c>
      <c r="D67" s="358">
        <v>200000</v>
      </c>
      <c r="E67" s="355">
        <v>200000</v>
      </c>
      <c r="F67" s="355">
        <v>200000</v>
      </c>
      <c r="G67" s="355">
        <v>200000</v>
      </c>
      <c r="H67" s="355">
        <v>200000</v>
      </c>
      <c r="I67" s="355">
        <v>200000</v>
      </c>
      <c r="J67" s="355">
        <v>200000</v>
      </c>
      <c r="K67" s="355">
        <v>200000</v>
      </c>
      <c r="L67" s="355">
        <v>200000</v>
      </c>
      <c r="M67" s="408">
        <v>200000</v>
      </c>
      <c r="N67" s="408">
        <v>200000</v>
      </c>
      <c r="O67" s="410">
        <v>0</v>
      </c>
    </row>
    <row r="68" spans="1:15">
      <c r="A68" s="354">
        <v>66</v>
      </c>
      <c r="B68" s="354" t="s">
        <v>4397</v>
      </c>
      <c r="C68" s="355">
        <v>211100000</v>
      </c>
      <c r="D68" s="358">
        <v>1000000</v>
      </c>
      <c r="E68" s="355">
        <v>1000000</v>
      </c>
      <c r="F68" s="355">
        <v>1000000</v>
      </c>
      <c r="G68" s="355">
        <v>1000000</v>
      </c>
      <c r="H68" s="355">
        <v>1000000</v>
      </c>
      <c r="I68" s="355">
        <v>1000000</v>
      </c>
      <c r="J68" s="355">
        <v>1000000</v>
      </c>
      <c r="K68" s="355">
        <v>1000000</v>
      </c>
      <c r="L68" s="355">
        <v>1000000</v>
      </c>
      <c r="M68" s="408">
        <v>1000000</v>
      </c>
      <c r="N68" s="408">
        <v>1000000</v>
      </c>
      <c r="O68" s="410">
        <v>0</v>
      </c>
    </row>
    <row r="69" spans="1:15">
      <c r="A69" s="354">
        <v>67</v>
      </c>
      <c r="B69" s="354" t="s">
        <v>4398</v>
      </c>
      <c r="C69" s="355"/>
      <c r="D69" s="358">
        <v>350000</v>
      </c>
      <c r="E69" s="355">
        <v>350000</v>
      </c>
      <c r="F69" s="355">
        <v>350000</v>
      </c>
      <c r="G69" s="355">
        <v>350000</v>
      </c>
      <c r="H69" s="355">
        <v>350000</v>
      </c>
      <c r="I69" s="355">
        <v>350000</v>
      </c>
      <c r="J69" s="355">
        <v>350000</v>
      </c>
      <c r="K69" s="355">
        <v>350000</v>
      </c>
      <c r="L69" s="355">
        <v>350000</v>
      </c>
      <c r="M69" s="408">
        <v>350000</v>
      </c>
      <c r="N69" s="408">
        <v>350000</v>
      </c>
      <c r="O69" s="410">
        <v>0</v>
      </c>
    </row>
    <row r="70" spans="1:15">
      <c r="A70" s="354">
        <v>68</v>
      </c>
      <c r="B70" s="354" t="s">
        <v>4399</v>
      </c>
      <c r="C70" s="355"/>
      <c r="D70" s="358">
        <v>300000</v>
      </c>
      <c r="E70" s="355">
        <v>300000</v>
      </c>
      <c r="F70" s="355">
        <v>300000</v>
      </c>
      <c r="G70" s="355">
        <v>300000</v>
      </c>
      <c r="H70" s="355">
        <v>300000</v>
      </c>
      <c r="I70" s="355">
        <v>300000</v>
      </c>
      <c r="J70" s="355">
        <v>300000</v>
      </c>
      <c r="K70" s="355">
        <v>300000</v>
      </c>
      <c r="L70" s="355">
        <v>300000</v>
      </c>
      <c r="M70" s="408">
        <v>300000</v>
      </c>
      <c r="N70" s="408">
        <v>300000</v>
      </c>
      <c r="O70" s="410">
        <v>0</v>
      </c>
    </row>
    <row r="71" spans="1:15">
      <c r="A71" s="354">
        <v>69</v>
      </c>
      <c r="B71" s="354" t="s">
        <v>4400</v>
      </c>
      <c r="C71" s="355"/>
      <c r="D71" s="358">
        <v>300000</v>
      </c>
      <c r="E71" s="355">
        <v>300000</v>
      </c>
      <c r="F71" s="355">
        <v>300000</v>
      </c>
      <c r="G71" s="355">
        <v>300000</v>
      </c>
      <c r="H71" s="355">
        <v>300000</v>
      </c>
      <c r="I71" s="355">
        <v>300000</v>
      </c>
      <c r="J71" s="355">
        <v>300000</v>
      </c>
      <c r="K71" s="355">
        <v>300000</v>
      </c>
      <c r="L71" s="355">
        <v>300000</v>
      </c>
      <c r="M71" s="408">
        <v>300000</v>
      </c>
      <c r="N71" s="408">
        <v>300000</v>
      </c>
      <c r="O71" s="410">
        <v>0</v>
      </c>
    </row>
    <row r="72" spans="1:15">
      <c r="A72" s="354">
        <v>70</v>
      </c>
      <c r="B72" s="354" t="s">
        <v>4401</v>
      </c>
      <c r="C72" s="355"/>
      <c r="D72" s="358">
        <v>300000</v>
      </c>
      <c r="E72" s="355">
        <v>300000</v>
      </c>
      <c r="F72" s="355">
        <v>300000</v>
      </c>
      <c r="G72" s="355">
        <v>300000</v>
      </c>
      <c r="H72" s="355">
        <v>300000</v>
      </c>
      <c r="I72" s="355">
        <v>300000</v>
      </c>
      <c r="J72" s="355">
        <v>300000</v>
      </c>
      <c r="K72" s="355">
        <v>300000</v>
      </c>
      <c r="L72" s="355">
        <v>300000</v>
      </c>
      <c r="M72" s="408">
        <v>300000</v>
      </c>
      <c r="N72" s="408">
        <v>300000</v>
      </c>
      <c r="O72" s="410">
        <v>0</v>
      </c>
    </row>
    <row r="73" spans="1:15">
      <c r="A73" s="354">
        <v>71</v>
      </c>
      <c r="B73" s="354" t="s">
        <v>4402</v>
      </c>
      <c r="C73" s="358"/>
      <c r="D73" s="358">
        <v>300000</v>
      </c>
      <c r="E73" s="355">
        <v>300000</v>
      </c>
      <c r="F73" s="355">
        <v>300000</v>
      </c>
      <c r="G73" s="355">
        <v>300000</v>
      </c>
      <c r="H73" s="355">
        <v>300000</v>
      </c>
      <c r="I73" s="355">
        <v>300000</v>
      </c>
      <c r="J73" s="355">
        <v>300000</v>
      </c>
      <c r="K73" s="355">
        <v>300000</v>
      </c>
      <c r="L73" s="355">
        <v>300000</v>
      </c>
      <c r="M73" s="408">
        <v>300000</v>
      </c>
      <c r="N73" s="408">
        <v>300000</v>
      </c>
      <c r="O73" s="410">
        <v>0</v>
      </c>
    </row>
    <row r="74" spans="1:15">
      <c r="A74" s="354">
        <v>72</v>
      </c>
      <c r="B74" s="354" t="s">
        <v>4403</v>
      </c>
      <c r="C74" s="355"/>
      <c r="D74" s="358">
        <v>250000</v>
      </c>
      <c r="E74" s="355">
        <v>250000</v>
      </c>
      <c r="F74" s="355">
        <v>250000</v>
      </c>
      <c r="G74" s="355">
        <v>250000</v>
      </c>
      <c r="H74" s="355">
        <v>250000</v>
      </c>
      <c r="I74" s="355">
        <v>250000</v>
      </c>
      <c r="J74" s="355">
        <v>250000</v>
      </c>
      <c r="K74" s="355">
        <v>250000</v>
      </c>
      <c r="L74" s="355">
        <v>250000</v>
      </c>
      <c r="M74" s="408">
        <v>250000</v>
      </c>
      <c r="N74" s="408">
        <v>250000</v>
      </c>
      <c r="O74" s="410">
        <v>0</v>
      </c>
    </row>
    <row r="75" spans="1:15">
      <c r="A75" s="354">
        <v>73</v>
      </c>
      <c r="B75" s="354" t="s">
        <v>4404</v>
      </c>
      <c r="C75" s="355"/>
      <c r="D75" s="358">
        <v>150000</v>
      </c>
      <c r="E75" s="355">
        <v>150000</v>
      </c>
      <c r="F75" s="355">
        <v>150000</v>
      </c>
      <c r="G75" s="355">
        <v>150000</v>
      </c>
      <c r="H75" s="355">
        <v>150000</v>
      </c>
      <c r="I75" s="355">
        <v>150000</v>
      </c>
      <c r="J75" s="355">
        <v>150000</v>
      </c>
      <c r="K75" s="355">
        <v>150000</v>
      </c>
      <c r="L75" s="355">
        <v>150000</v>
      </c>
      <c r="M75" s="408">
        <v>150000</v>
      </c>
      <c r="N75" s="408">
        <v>150000</v>
      </c>
      <c r="O75" s="410">
        <v>0</v>
      </c>
    </row>
    <row r="76" spans="1:15">
      <c r="A76" s="354">
        <v>74</v>
      </c>
      <c r="B76" s="354" t="s">
        <v>4405</v>
      </c>
      <c r="C76" s="355"/>
      <c r="D76" s="358">
        <v>300000</v>
      </c>
      <c r="E76" s="355">
        <v>300000</v>
      </c>
      <c r="F76" s="355">
        <v>300000</v>
      </c>
      <c r="G76" s="355">
        <v>300000</v>
      </c>
      <c r="H76" s="355">
        <v>300000</v>
      </c>
      <c r="I76" s="355">
        <v>300000</v>
      </c>
      <c r="J76" s="355">
        <v>300000</v>
      </c>
      <c r="K76" s="355">
        <v>300000</v>
      </c>
      <c r="L76" s="355">
        <v>300000</v>
      </c>
      <c r="M76" s="408">
        <v>300000</v>
      </c>
      <c r="N76" s="408">
        <v>300000</v>
      </c>
      <c r="O76" s="410">
        <v>0</v>
      </c>
    </row>
    <row r="77" spans="1:15">
      <c r="A77" s="354">
        <v>75</v>
      </c>
      <c r="B77" s="354" t="s">
        <v>4406</v>
      </c>
      <c r="C77" s="355"/>
      <c r="D77" s="358">
        <v>300000</v>
      </c>
      <c r="E77" s="355">
        <v>300000</v>
      </c>
      <c r="F77" s="355">
        <v>300000</v>
      </c>
      <c r="G77" s="355">
        <v>300000</v>
      </c>
      <c r="H77" s="355">
        <v>300000</v>
      </c>
      <c r="I77" s="355">
        <v>300000</v>
      </c>
      <c r="J77" s="355">
        <v>300000</v>
      </c>
      <c r="K77" s="355">
        <v>300000</v>
      </c>
      <c r="L77" s="355">
        <v>300000</v>
      </c>
      <c r="M77" s="408">
        <v>300000</v>
      </c>
      <c r="N77" s="408">
        <v>300000</v>
      </c>
      <c r="O77" s="410">
        <v>0</v>
      </c>
    </row>
    <row r="78" spans="1:15">
      <c r="A78" s="354">
        <v>76</v>
      </c>
      <c r="B78" s="354" t="s">
        <v>4407</v>
      </c>
      <c r="C78" s="355"/>
      <c r="D78" s="358">
        <v>500000</v>
      </c>
      <c r="E78" s="355">
        <v>500000</v>
      </c>
      <c r="F78" s="355">
        <v>500000</v>
      </c>
      <c r="G78" s="355">
        <v>500000</v>
      </c>
      <c r="H78" s="355">
        <v>500000</v>
      </c>
      <c r="I78" s="355">
        <v>500000</v>
      </c>
      <c r="J78" s="355">
        <v>500000</v>
      </c>
      <c r="K78" s="355">
        <v>500000</v>
      </c>
      <c r="L78" s="355">
        <v>500000</v>
      </c>
      <c r="M78" s="408">
        <v>500000</v>
      </c>
      <c r="N78" s="408">
        <v>500000</v>
      </c>
      <c r="O78" s="410">
        <v>0</v>
      </c>
    </row>
    <row r="79" spans="1:15">
      <c r="A79" s="354">
        <v>77</v>
      </c>
      <c r="B79" s="354" t="s">
        <v>4408</v>
      </c>
      <c r="C79" s="355">
        <v>42636000</v>
      </c>
      <c r="D79" s="358">
        <v>1000000</v>
      </c>
      <c r="E79" s="355">
        <v>1000000</v>
      </c>
      <c r="F79" s="355">
        <v>1000000</v>
      </c>
      <c r="G79" s="355">
        <v>1000000</v>
      </c>
      <c r="H79" s="355">
        <v>1000000</v>
      </c>
      <c r="I79" s="355">
        <v>1000000</v>
      </c>
      <c r="J79" s="355">
        <v>1000000</v>
      </c>
      <c r="K79" s="355">
        <v>1000000</v>
      </c>
      <c r="L79" s="355">
        <v>1000000</v>
      </c>
      <c r="M79" s="408">
        <v>1000000</v>
      </c>
      <c r="N79" s="408">
        <v>1000000</v>
      </c>
      <c r="O79" s="410">
        <v>0</v>
      </c>
    </row>
    <row r="80" spans="1:15">
      <c r="A80" s="354">
        <v>78</v>
      </c>
      <c r="B80" s="354" t="s">
        <v>4409</v>
      </c>
      <c r="C80" s="355">
        <v>11440000</v>
      </c>
      <c r="D80" s="358">
        <v>500000</v>
      </c>
      <c r="E80" s="355">
        <v>500000</v>
      </c>
      <c r="F80" s="355">
        <v>500000</v>
      </c>
      <c r="G80" s="355">
        <v>500000</v>
      </c>
      <c r="H80" s="355">
        <v>500000</v>
      </c>
      <c r="I80" s="355">
        <v>500000</v>
      </c>
      <c r="J80" s="355">
        <v>500000</v>
      </c>
      <c r="K80" s="355">
        <v>500000</v>
      </c>
      <c r="L80" s="355">
        <v>500000</v>
      </c>
      <c r="M80" s="408">
        <v>500000</v>
      </c>
      <c r="N80" s="408">
        <v>500000</v>
      </c>
      <c r="O80" s="410">
        <v>0</v>
      </c>
    </row>
    <row r="81" spans="1:15">
      <c r="A81" s="354">
        <v>79</v>
      </c>
      <c r="B81" s="354" t="s">
        <v>4410</v>
      </c>
      <c r="C81" s="355">
        <v>16848000</v>
      </c>
      <c r="D81" s="358">
        <v>600000</v>
      </c>
      <c r="E81" s="355">
        <v>600000</v>
      </c>
      <c r="F81" s="355">
        <v>600000</v>
      </c>
      <c r="G81" s="355">
        <v>600000</v>
      </c>
      <c r="H81" s="355">
        <v>600000</v>
      </c>
      <c r="I81" s="355">
        <v>600000</v>
      </c>
      <c r="J81" s="355">
        <v>600000</v>
      </c>
      <c r="K81" s="355">
        <v>600000</v>
      </c>
      <c r="L81" s="355">
        <v>600000</v>
      </c>
      <c r="M81" s="408">
        <v>600000</v>
      </c>
      <c r="N81" s="408">
        <v>600000</v>
      </c>
      <c r="O81" s="410">
        <v>0</v>
      </c>
    </row>
    <row r="82" spans="1:15">
      <c r="A82" s="354">
        <v>80</v>
      </c>
      <c r="B82" s="354" t="s">
        <v>4411</v>
      </c>
      <c r="C82" s="355">
        <v>33456000</v>
      </c>
      <c r="D82" s="358">
        <v>200000</v>
      </c>
      <c r="E82" s="355">
        <v>200000</v>
      </c>
      <c r="F82" s="355">
        <v>200000</v>
      </c>
      <c r="G82" s="355">
        <v>200000</v>
      </c>
      <c r="H82" s="355">
        <v>200000</v>
      </c>
      <c r="I82" s="355">
        <v>200000</v>
      </c>
      <c r="J82" s="355">
        <v>200000</v>
      </c>
      <c r="K82" s="355">
        <v>200000</v>
      </c>
      <c r="L82" s="355">
        <v>200000</v>
      </c>
      <c r="M82" s="408">
        <v>200000</v>
      </c>
      <c r="N82" s="408">
        <v>200000</v>
      </c>
      <c r="O82" s="410">
        <v>0</v>
      </c>
    </row>
    <row r="83" spans="1:15">
      <c r="A83" s="354">
        <v>81</v>
      </c>
      <c r="B83" s="354" t="s">
        <v>4412</v>
      </c>
      <c r="C83" s="355">
        <v>7280000</v>
      </c>
      <c r="D83" s="358">
        <v>500000</v>
      </c>
      <c r="E83" s="355">
        <v>500000</v>
      </c>
      <c r="F83" s="355">
        <v>500000</v>
      </c>
      <c r="G83" s="355">
        <v>500000</v>
      </c>
      <c r="H83" s="355">
        <v>500000</v>
      </c>
      <c r="I83" s="355">
        <v>500000</v>
      </c>
      <c r="J83" s="355">
        <v>500000</v>
      </c>
      <c r="K83" s="355">
        <v>500000</v>
      </c>
      <c r="L83" s="355">
        <v>500000</v>
      </c>
      <c r="M83" s="408">
        <v>500000</v>
      </c>
      <c r="N83" s="408">
        <v>500000</v>
      </c>
      <c r="O83" s="410">
        <v>0</v>
      </c>
    </row>
    <row r="84" spans="1:15">
      <c r="A84" s="354">
        <v>82</v>
      </c>
      <c r="B84" s="354" t="s">
        <v>4413</v>
      </c>
      <c r="C84" s="355">
        <v>80184000</v>
      </c>
      <c r="D84" s="358">
        <v>2400000</v>
      </c>
      <c r="E84" s="358">
        <v>2400000</v>
      </c>
      <c r="F84" s="358">
        <v>2400000</v>
      </c>
      <c r="G84" s="358">
        <v>2400000</v>
      </c>
      <c r="H84" s="355">
        <v>2400000</v>
      </c>
      <c r="I84" s="355">
        <v>2400000</v>
      </c>
      <c r="J84" s="355">
        <v>2400000</v>
      </c>
      <c r="K84" s="355">
        <v>2400000</v>
      </c>
      <c r="L84" s="355">
        <v>2400000</v>
      </c>
      <c r="M84" s="408">
        <v>2400000</v>
      </c>
      <c r="N84" s="408">
        <v>2400000</v>
      </c>
      <c r="O84" s="410">
        <v>0</v>
      </c>
    </row>
    <row r="85" spans="1:15">
      <c r="A85" s="354">
        <v>83</v>
      </c>
      <c r="B85" s="354" t="s">
        <v>4414</v>
      </c>
      <c r="C85" s="355">
        <v>152880000</v>
      </c>
      <c r="D85" s="358">
        <v>0</v>
      </c>
      <c r="E85" s="355">
        <v>0</v>
      </c>
      <c r="F85" s="355">
        <v>0</v>
      </c>
      <c r="G85" s="355">
        <v>0</v>
      </c>
      <c r="H85" s="355">
        <v>0</v>
      </c>
      <c r="I85" s="355">
        <v>0</v>
      </c>
      <c r="J85" s="355">
        <v>0</v>
      </c>
      <c r="K85" s="355">
        <v>0</v>
      </c>
      <c r="L85" s="355">
        <v>0</v>
      </c>
      <c r="M85" s="408">
        <v>0</v>
      </c>
      <c r="N85" s="408">
        <v>0</v>
      </c>
      <c r="O85" s="410">
        <v>0</v>
      </c>
    </row>
    <row r="86" spans="1:15">
      <c r="A86" s="354">
        <v>84</v>
      </c>
      <c r="B86" s="354" t="s">
        <v>4415</v>
      </c>
      <c r="C86" s="355">
        <v>20384000</v>
      </c>
      <c r="D86" s="358">
        <v>500000</v>
      </c>
      <c r="E86" s="355">
        <v>500000</v>
      </c>
      <c r="F86" s="355">
        <v>500000</v>
      </c>
      <c r="G86" s="355">
        <v>500000</v>
      </c>
      <c r="H86" s="355">
        <v>500000</v>
      </c>
      <c r="I86" s="355">
        <v>500000</v>
      </c>
      <c r="J86" s="355">
        <v>500000</v>
      </c>
      <c r="K86" s="355">
        <v>500000</v>
      </c>
      <c r="L86" s="355">
        <v>500000</v>
      </c>
      <c r="M86" s="408">
        <v>500000</v>
      </c>
      <c r="N86" s="408">
        <v>500000</v>
      </c>
      <c r="O86" s="410">
        <v>0</v>
      </c>
    </row>
    <row r="87" spans="1:15">
      <c r="A87" s="354">
        <v>85</v>
      </c>
      <c r="B87" s="354" t="s">
        <v>4416</v>
      </c>
      <c r="C87" s="355">
        <v>23504000</v>
      </c>
      <c r="D87" s="358">
        <v>0</v>
      </c>
      <c r="E87" s="355">
        <v>0</v>
      </c>
      <c r="F87" s="355">
        <v>0</v>
      </c>
      <c r="G87" s="355">
        <v>0</v>
      </c>
      <c r="H87" s="355">
        <v>0</v>
      </c>
      <c r="I87" s="355">
        <v>0</v>
      </c>
      <c r="J87" s="355">
        <v>0</v>
      </c>
      <c r="K87" s="355">
        <v>0</v>
      </c>
      <c r="L87" s="355">
        <v>0</v>
      </c>
      <c r="M87" s="408">
        <v>0</v>
      </c>
      <c r="N87" s="408">
        <v>0</v>
      </c>
      <c r="O87" s="410">
        <v>0</v>
      </c>
    </row>
    <row r="88" spans="1:15">
      <c r="A88" s="354">
        <v>86</v>
      </c>
      <c r="B88" s="354" t="s">
        <v>4417</v>
      </c>
      <c r="C88" s="355">
        <v>8372000</v>
      </c>
      <c r="D88" s="358">
        <v>300000</v>
      </c>
      <c r="E88" s="355">
        <v>300000</v>
      </c>
      <c r="F88" s="355">
        <v>300000</v>
      </c>
      <c r="G88" s="355">
        <v>300000</v>
      </c>
      <c r="H88" s="355">
        <v>300000</v>
      </c>
      <c r="I88" s="355">
        <v>300000</v>
      </c>
      <c r="J88" s="355">
        <v>300000</v>
      </c>
      <c r="K88" s="355">
        <v>300000</v>
      </c>
      <c r="L88" s="355">
        <v>300000</v>
      </c>
      <c r="M88" s="408">
        <v>300000</v>
      </c>
      <c r="N88" s="408">
        <v>300000</v>
      </c>
      <c r="O88" s="410">
        <v>0</v>
      </c>
    </row>
    <row r="89" spans="1:15">
      <c r="A89" s="354">
        <v>87</v>
      </c>
      <c r="B89" s="354" t="s">
        <v>4418</v>
      </c>
      <c r="C89" s="355">
        <v>5304000</v>
      </c>
      <c r="D89" s="358">
        <v>300000</v>
      </c>
      <c r="E89" s="355">
        <v>300000</v>
      </c>
      <c r="F89" s="355">
        <v>300000</v>
      </c>
      <c r="G89" s="355">
        <v>300000</v>
      </c>
      <c r="H89" s="355">
        <v>300000</v>
      </c>
      <c r="I89" s="355">
        <v>300000</v>
      </c>
      <c r="J89" s="355">
        <v>300000</v>
      </c>
      <c r="K89" s="355">
        <v>300000</v>
      </c>
      <c r="L89" s="355">
        <v>300000</v>
      </c>
      <c r="M89" s="408">
        <v>300000</v>
      </c>
      <c r="N89" s="408">
        <v>300000</v>
      </c>
      <c r="O89" s="410">
        <v>0</v>
      </c>
    </row>
    <row r="90" spans="1:15">
      <c r="A90" s="354">
        <v>88</v>
      </c>
      <c r="B90" s="354" t="s">
        <v>4419</v>
      </c>
      <c r="C90" s="355">
        <v>30028000</v>
      </c>
      <c r="D90" s="358">
        <v>0</v>
      </c>
      <c r="E90" s="355">
        <v>0</v>
      </c>
      <c r="F90" s="355">
        <v>0</v>
      </c>
      <c r="G90" s="355">
        <v>0</v>
      </c>
      <c r="H90" s="355">
        <v>0</v>
      </c>
      <c r="I90" s="355">
        <v>0</v>
      </c>
      <c r="J90" s="355">
        <v>0</v>
      </c>
      <c r="K90" s="355">
        <v>0</v>
      </c>
      <c r="L90" s="355">
        <v>0</v>
      </c>
      <c r="M90" s="408">
        <v>0</v>
      </c>
      <c r="N90" s="408">
        <v>0</v>
      </c>
      <c r="O90" s="410">
        <v>0</v>
      </c>
    </row>
    <row r="91" spans="1:15">
      <c r="A91" s="354">
        <v>89</v>
      </c>
      <c r="B91" s="354" t="s">
        <v>4420</v>
      </c>
      <c r="C91" s="355">
        <v>15184000</v>
      </c>
      <c r="D91" s="358">
        <v>1000000</v>
      </c>
      <c r="E91" s="355">
        <v>1000000</v>
      </c>
      <c r="F91" s="355">
        <v>1000000</v>
      </c>
      <c r="G91" s="355">
        <v>1000000</v>
      </c>
      <c r="H91" s="355">
        <v>1000000</v>
      </c>
      <c r="I91" s="355">
        <v>1000000</v>
      </c>
      <c r="J91" s="355">
        <v>1000000</v>
      </c>
      <c r="K91" s="355">
        <v>1000000</v>
      </c>
      <c r="L91" s="355">
        <v>1000000</v>
      </c>
      <c r="M91" s="408">
        <v>1000000</v>
      </c>
      <c r="N91" s="408">
        <v>1000000</v>
      </c>
      <c r="O91" s="410">
        <v>0</v>
      </c>
    </row>
    <row r="92" spans="1:15">
      <c r="A92" s="354">
        <v>90</v>
      </c>
      <c r="B92" s="354" t="s">
        <v>4421</v>
      </c>
      <c r="C92" s="355">
        <v>37284000</v>
      </c>
      <c r="D92" s="358">
        <v>1000000</v>
      </c>
      <c r="E92" s="355">
        <v>1000000</v>
      </c>
      <c r="F92" s="355">
        <v>1000000</v>
      </c>
      <c r="G92" s="355">
        <v>1000000</v>
      </c>
      <c r="H92" s="355">
        <v>1000000</v>
      </c>
      <c r="I92" s="355">
        <v>1000000</v>
      </c>
      <c r="J92" s="355">
        <v>1000000</v>
      </c>
      <c r="K92" s="355">
        <v>1000000</v>
      </c>
      <c r="L92" s="355">
        <v>1000000</v>
      </c>
      <c r="M92" s="408">
        <v>1000000</v>
      </c>
      <c r="N92" s="408">
        <v>1000000</v>
      </c>
      <c r="O92" s="410">
        <v>0</v>
      </c>
    </row>
    <row r="93" spans="1:15">
      <c r="A93" s="354">
        <v>91</v>
      </c>
      <c r="B93" s="354" t="s">
        <v>4422</v>
      </c>
      <c r="C93" s="355">
        <v>42428000</v>
      </c>
      <c r="D93" s="358">
        <v>500000</v>
      </c>
      <c r="E93" s="355">
        <v>500000</v>
      </c>
      <c r="F93" s="355">
        <v>500000</v>
      </c>
      <c r="G93" s="355">
        <v>500000</v>
      </c>
      <c r="H93" s="355">
        <v>500000</v>
      </c>
      <c r="I93" s="355">
        <v>500000</v>
      </c>
      <c r="J93" s="355">
        <v>500000</v>
      </c>
      <c r="K93" s="355">
        <v>500000</v>
      </c>
      <c r="L93" s="355">
        <v>500000</v>
      </c>
      <c r="M93" s="408">
        <v>500000</v>
      </c>
      <c r="N93" s="408">
        <v>500000</v>
      </c>
      <c r="O93" s="410">
        <v>0</v>
      </c>
    </row>
    <row r="94" spans="1:15">
      <c r="A94" s="354">
        <v>92</v>
      </c>
      <c r="B94" s="354" t="s">
        <v>4423</v>
      </c>
      <c r="C94" s="355">
        <v>66000000</v>
      </c>
      <c r="D94" s="358">
        <v>5500000</v>
      </c>
      <c r="E94" s="355">
        <v>5500000</v>
      </c>
      <c r="F94" s="355">
        <v>5500000</v>
      </c>
      <c r="G94" s="355">
        <v>5500000</v>
      </c>
      <c r="H94" s="355">
        <v>5500000</v>
      </c>
      <c r="I94" s="355">
        <v>5500000</v>
      </c>
      <c r="J94" s="355">
        <v>5500000</v>
      </c>
      <c r="K94" s="355">
        <v>5500000</v>
      </c>
      <c r="L94" s="355">
        <v>5500000</v>
      </c>
      <c r="M94" s="408">
        <v>5500000</v>
      </c>
      <c r="N94" s="408">
        <v>5500000</v>
      </c>
      <c r="O94" s="410">
        <v>0</v>
      </c>
    </row>
    <row r="95" spans="1:15">
      <c r="A95" s="354">
        <v>93</v>
      </c>
      <c r="B95" s="354" t="s">
        <v>4424</v>
      </c>
      <c r="C95" s="355">
        <v>33488000</v>
      </c>
      <c r="D95" s="358">
        <v>1000000</v>
      </c>
      <c r="E95" s="355">
        <v>1000000</v>
      </c>
      <c r="F95" s="355">
        <v>1000000</v>
      </c>
      <c r="G95" s="355">
        <v>1000000</v>
      </c>
      <c r="H95" s="355">
        <v>1000000</v>
      </c>
      <c r="I95" s="355">
        <v>1000000</v>
      </c>
      <c r="J95" s="355">
        <v>1000000</v>
      </c>
      <c r="K95" s="355">
        <v>1000000</v>
      </c>
      <c r="L95" s="355">
        <v>1000000</v>
      </c>
      <c r="M95" s="408">
        <v>1000000</v>
      </c>
      <c r="N95" s="408">
        <v>1000000</v>
      </c>
      <c r="O95" s="410">
        <v>0</v>
      </c>
    </row>
    <row r="96" spans="1:15">
      <c r="A96" s="354">
        <v>94</v>
      </c>
      <c r="B96" s="354" t="s">
        <v>4425</v>
      </c>
      <c r="C96" s="355">
        <v>4888000</v>
      </c>
      <c r="D96" s="358">
        <v>300000</v>
      </c>
      <c r="E96" s="355">
        <v>300000</v>
      </c>
      <c r="F96" s="355">
        <v>300000</v>
      </c>
      <c r="G96" s="355">
        <v>300000</v>
      </c>
      <c r="H96" s="355">
        <v>300000</v>
      </c>
      <c r="I96" s="355">
        <v>300000</v>
      </c>
      <c r="J96" s="355">
        <v>300000</v>
      </c>
      <c r="K96" s="355">
        <v>300000</v>
      </c>
      <c r="L96" s="355">
        <v>300000</v>
      </c>
      <c r="M96" s="408">
        <v>300000</v>
      </c>
      <c r="N96" s="408">
        <v>300000</v>
      </c>
      <c r="O96" s="410">
        <v>0</v>
      </c>
    </row>
    <row r="97" spans="1:15">
      <c r="A97" s="354">
        <v>95</v>
      </c>
      <c r="B97" s="354" t="s">
        <v>4426</v>
      </c>
      <c r="C97" s="355">
        <v>29444000</v>
      </c>
      <c r="D97" s="358">
        <v>500000</v>
      </c>
      <c r="E97" s="355">
        <v>500000</v>
      </c>
      <c r="F97" s="355">
        <v>500000</v>
      </c>
      <c r="G97" s="355">
        <v>500000</v>
      </c>
      <c r="H97" s="355">
        <v>500000</v>
      </c>
      <c r="I97" s="355">
        <v>500000</v>
      </c>
      <c r="J97" s="355">
        <v>500000</v>
      </c>
      <c r="K97" s="355">
        <v>500000</v>
      </c>
      <c r="L97" s="355">
        <v>500000</v>
      </c>
      <c r="M97" s="408">
        <v>500000</v>
      </c>
      <c r="N97" s="408">
        <v>500000</v>
      </c>
      <c r="O97" s="410">
        <v>0</v>
      </c>
    </row>
    <row r="98" spans="1:15">
      <c r="A98" s="354">
        <v>96</v>
      </c>
      <c r="B98" s="354" t="s">
        <v>3707</v>
      </c>
      <c r="C98" s="355">
        <v>4680000</v>
      </c>
      <c r="D98" s="358">
        <v>150000</v>
      </c>
      <c r="E98" s="355">
        <v>150000</v>
      </c>
      <c r="F98" s="355">
        <v>150000</v>
      </c>
      <c r="G98" s="355">
        <v>150000</v>
      </c>
      <c r="H98" s="355">
        <v>150000</v>
      </c>
      <c r="I98" s="355">
        <v>150000</v>
      </c>
      <c r="J98" s="355">
        <v>150000</v>
      </c>
      <c r="K98" s="355">
        <v>150000</v>
      </c>
      <c r="L98" s="355">
        <v>150000</v>
      </c>
      <c r="M98" s="408">
        <v>150000</v>
      </c>
      <c r="N98" s="408">
        <v>150000</v>
      </c>
      <c r="O98" s="410">
        <v>0</v>
      </c>
    </row>
    <row r="99" spans="1:15">
      <c r="A99" s="354">
        <v>97</v>
      </c>
      <c r="B99" s="354" t="s">
        <v>4427</v>
      </c>
      <c r="C99" s="355">
        <v>3536000</v>
      </c>
      <c r="D99" s="358">
        <v>200000</v>
      </c>
      <c r="E99" s="355">
        <v>200000</v>
      </c>
      <c r="F99" s="355">
        <v>200000</v>
      </c>
      <c r="G99" s="355">
        <v>200000</v>
      </c>
      <c r="H99" s="355">
        <v>200000</v>
      </c>
      <c r="I99" s="355">
        <v>200000</v>
      </c>
      <c r="J99" s="355">
        <v>200000</v>
      </c>
      <c r="K99" s="355">
        <v>200000</v>
      </c>
      <c r="L99" s="355">
        <v>200000</v>
      </c>
      <c r="M99" s="408">
        <v>200000</v>
      </c>
      <c r="N99" s="408">
        <v>200000</v>
      </c>
      <c r="O99" s="410">
        <v>0</v>
      </c>
    </row>
    <row r="100" spans="1:15">
      <c r="A100" s="354">
        <v>98</v>
      </c>
      <c r="B100" s="354" t="s">
        <v>4428</v>
      </c>
      <c r="C100" s="355">
        <v>4160000</v>
      </c>
      <c r="D100" s="358">
        <v>100000</v>
      </c>
      <c r="E100" s="355">
        <v>100000</v>
      </c>
      <c r="F100" s="355">
        <v>100000</v>
      </c>
      <c r="G100" s="355">
        <v>100000</v>
      </c>
      <c r="H100" s="355">
        <v>100000</v>
      </c>
      <c r="I100" s="355">
        <v>100000</v>
      </c>
      <c r="J100" s="355">
        <v>100000</v>
      </c>
      <c r="K100" s="355">
        <v>100000</v>
      </c>
      <c r="L100" s="355">
        <v>100000</v>
      </c>
      <c r="M100" s="408">
        <v>100000</v>
      </c>
      <c r="N100" s="408">
        <v>100000</v>
      </c>
      <c r="O100" s="410">
        <v>0</v>
      </c>
    </row>
    <row r="101" spans="1:15">
      <c r="A101" s="354">
        <v>100</v>
      </c>
      <c r="B101" s="354" t="s">
        <v>4429</v>
      </c>
      <c r="C101" s="355">
        <v>7850000</v>
      </c>
      <c r="D101" s="358">
        <v>100000</v>
      </c>
      <c r="E101" s="355">
        <v>100000</v>
      </c>
      <c r="F101" s="355">
        <v>100000</v>
      </c>
      <c r="G101" s="355">
        <v>100000</v>
      </c>
      <c r="H101" s="355">
        <v>100000</v>
      </c>
      <c r="I101" s="355">
        <v>200000</v>
      </c>
      <c r="J101" s="355">
        <v>200000</v>
      </c>
      <c r="K101" s="355">
        <v>200000</v>
      </c>
      <c r="L101" s="355">
        <v>200000</v>
      </c>
      <c r="M101" s="408">
        <v>200000</v>
      </c>
      <c r="N101" s="408">
        <v>200000</v>
      </c>
      <c r="O101" s="410">
        <v>0</v>
      </c>
    </row>
    <row r="102" spans="1:15">
      <c r="A102" s="354">
        <v>101</v>
      </c>
      <c r="B102" s="354" t="s">
        <v>4430</v>
      </c>
      <c r="C102" s="355">
        <v>4472000</v>
      </c>
      <c r="D102" s="358">
        <v>100000</v>
      </c>
      <c r="E102" s="355">
        <v>100000</v>
      </c>
      <c r="F102" s="355">
        <v>100000</v>
      </c>
      <c r="G102" s="355">
        <v>100000</v>
      </c>
      <c r="H102" s="355">
        <v>100000</v>
      </c>
      <c r="I102" s="355">
        <v>100000</v>
      </c>
      <c r="J102" s="355">
        <v>100000</v>
      </c>
      <c r="K102" s="355">
        <v>100000</v>
      </c>
      <c r="L102" s="355">
        <v>100000</v>
      </c>
      <c r="M102" s="408">
        <v>100000</v>
      </c>
      <c r="N102" s="408">
        <v>100000</v>
      </c>
      <c r="O102" s="410">
        <v>0</v>
      </c>
    </row>
    <row r="103" spans="1:15">
      <c r="A103" s="354">
        <v>102</v>
      </c>
      <c r="B103" s="354" t="s">
        <v>4431</v>
      </c>
      <c r="C103" s="355">
        <v>4472000</v>
      </c>
      <c r="D103" s="358">
        <v>200000</v>
      </c>
      <c r="E103" s="355">
        <v>200000</v>
      </c>
      <c r="F103" s="355">
        <v>200000</v>
      </c>
      <c r="G103" s="355">
        <v>200000</v>
      </c>
      <c r="H103" s="355">
        <v>200000</v>
      </c>
      <c r="I103" s="355">
        <v>200000</v>
      </c>
      <c r="J103" s="355">
        <v>200000</v>
      </c>
      <c r="K103" s="355">
        <v>200000</v>
      </c>
      <c r="L103" s="355">
        <v>200000</v>
      </c>
      <c r="M103" s="408">
        <v>200000</v>
      </c>
      <c r="N103" s="408">
        <v>200000</v>
      </c>
      <c r="O103" s="410">
        <v>0</v>
      </c>
    </row>
    <row r="104" spans="1:15">
      <c r="A104" s="354">
        <v>103</v>
      </c>
      <c r="B104" s="354" t="s">
        <v>4432</v>
      </c>
      <c r="C104" s="355">
        <v>10088000</v>
      </c>
      <c r="D104" s="358">
        <v>500000</v>
      </c>
      <c r="E104" s="355">
        <v>500000</v>
      </c>
      <c r="F104" s="355">
        <v>500000</v>
      </c>
      <c r="G104" s="355">
        <v>500000</v>
      </c>
      <c r="H104" s="355">
        <v>500000</v>
      </c>
      <c r="I104" s="355">
        <v>500000</v>
      </c>
      <c r="J104" s="355">
        <v>500000</v>
      </c>
      <c r="K104" s="355">
        <v>500000</v>
      </c>
      <c r="L104" s="355">
        <v>500000</v>
      </c>
      <c r="M104" s="408">
        <v>500000</v>
      </c>
      <c r="N104" s="408">
        <v>500000</v>
      </c>
      <c r="O104" s="410">
        <v>0</v>
      </c>
    </row>
    <row r="105" spans="1:15">
      <c r="A105" s="354">
        <v>104</v>
      </c>
      <c r="B105" s="354" t="s">
        <v>4433</v>
      </c>
      <c r="C105" s="355">
        <v>4160000</v>
      </c>
      <c r="D105" s="358">
        <v>150000</v>
      </c>
      <c r="E105" s="355">
        <v>150000</v>
      </c>
      <c r="F105" s="355">
        <v>150000</v>
      </c>
      <c r="G105" s="355">
        <v>150000</v>
      </c>
      <c r="H105" s="355">
        <v>150000</v>
      </c>
      <c r="I105" s="355">
        <v>150000</v>
      </c>
      <c r="J105" s="355">
        <v>150000</v>
      </c>
      <c r="K105" s="355">
        <v>150000</v>
      </c>
      <c r="L105" s="355">
        <v>150000</v>
      </c>
      <c r="M105" s="408">
        <v>150000</v>
      </c>
      <c r="N105" s="408">
        <v>150000</v>
      </c>
      <c r="O105" s="410">
        <v>0</v>
      </c>
    </row>
    <row r="106" spans="1:15">
      <c r="A106" s="354">
        <v>105</v>
      </c>
      <c r="B106" s="354" t="s">
        <v>4434</v>
      </c>
      <c r="C106" s="355">
        <v>4680000</v>
      </c>
      <c r="D106" s="358">
        <v>200000</v>
      </c>
      <c r="E106" s="355">
        <v>200000</v>
      </c>
      <c r="F106" s="355">
        <v>200000</v>
      </c>
      <c r="G106" s="355">
        <v>200000</v>
      </c>
      <c r="H106" s="355">
        <v>200000</v>
      </c>
      <c r="I106" s="355">
        <v>200000</v>
      </c>
      <c r="J106" s="355">
        <v>200000</v>
      </c>
      <c r="K106" s="355">
        <v>200000</v>
      </c>
      <c r="L106" s="355">
        <v>200000</v>
      </c>
      <c r="M106" s="408">
        <v>200000</v>
      </c>
      <c r="N106" s="408">
        <v>200000</v>
      </c>
      <c r="O106" s="410">
        <v>0</v>
      </c>
    </row>
    <row r="107" spans="1:15">
      <c r="A107" s="354">
        <v>106</v>
      </c>
      <c r="B107" s="354" t="s">
        <v>4435</v>
      </c>
      <c r="C107" s="355">
        <v>3640000</v>
      </c>
      <c r="D107" s="358">
        <v>200000</v>
      </c>
      <c r="E107" s="355">
        <v>200000</v>
      </c>
      <c r="F107" s="355">
        <v>200000</v>
      </c>
      <c r="G107" s="355">
        <v>200000</v>
      </c>
      <c r="H107" s="355">
        <v>200000</v>
      </c>
      <c r="I107" s="355">
        <v>200000</v>
      </c>
      <c r="J107" s="355">
        <v>200000</v>
      </c>
      <c r="K107" s="355">
        <v>200000</v>
      </c>
      <c r="L107" s="355">
        <v>200000</v>
      </c>
      <c r="M107" s="408">
        <v>200000</v>
      </c>
      <c r="N107" s="408">
        <v>200000</v>
      </c>
      <c r="O107" s="410">
        <v>0</v>
      </c>
    </row>
    <row r="108" spans="1:15">
      <c r="A108" s="354">
        <v>107</v>
      </c>
      <c r="B108" s="354" t="s">
        <v>4436</v>
      </c>
      <c r="C108" s="355">
        <v>200000000</v>
      </c>
      <c r="D108" s="358">
        <v>400000</v>
      </c>
      <c r="E108" s="355">
        <v>400000</v>
      </c>
      <c r="F108" s="355">
        <v>400000</v>
      </c>
      <c r="G108" s="355">
        <v>400000</v>
      </c>
      <c r="H108" s="355">
        <v>400000</v>
      </c>
      <c r="I108" s="355">
        <v>400000</v>
      </c>
      <c r="J108" s="355">
        <v>400000</v>
      </c>
      <c r="K108" s="355">
        <v>400000</v>
      </c>
      <c r="L108" s="355">
        <v>400000</v>
      </c>
      <c r="M108" s="408">
        <v>400000</v>
      </c>
      <c r="N108" s="408">
        <v>400000</v>
      </c>
      <c r="O108" s="410">
        <v>0</v>
      </c>
    </row>
    <row r="109" spans="1:15">
      <c r="A109" s="354">
        <v>108</v>
      </c>
      <c r="B109" s="354" t="s">
        <v>4437</v>
      </c>
      <c r="C109" s="355">
        <v>7488000</v>
      </c>
      <c r="D109" s="358">
        <v>500000</v>
      </c>
      <c r="E109" s="355">
        <v>500000</v>
      </c>
      <c r="F109" s="355">
        <v>500000</v>
      </c>
      <c r="G109" s="355">
        <v>500000</v>
      </c>
      <c r="H109" s="355">
        <v>500000</v>
      </c>
      <c r="I109" s="355">
        <v>500000</v>
      </c>
      <c r="J109" s="355">
        <v>500000</v>
      </c>
      <c r="K109" s="355">
        <v>500000</v>
      </c>
      <c r="L109" s="355">
        <v>500000</v>
      </c>
      <c r="M109" s="408">
        <v>500000</v>
      </c>
      <c r="N109" s="408">
        <v>500000</v>
      </c>
      <c r="O109" s="410">
        <v>0</v>
      </c>
    </row>
    <row r="110" spans="1:15">
      <c r="A110" s="354">
        <v>109</v>
      </c>
      <c r="B110" s="354" t="s">
        <v>4438</v>
      </c>
      <c r="C110" s="355">
        <v>7800000</v>
      </c>
      <c r="D110" s="358">
        <v>500000</v>
      </c>
      <c r="E110" s="355">
        <v>500000</v>
      </c>
      <c r="F110" s="355">
        <v>500000</v>
      </c>
      <c r="G110" s="355">
        <v>500000</v>
      </c>
      <c r="H110" s="355">
        <v>500000</v>
      </c>
      <c r="I110" s="355">
        <v>500000</v>
      </c>
      <c r="J110" s="355">
        <v>500000</v>
      </c>
      <c r="K110" s="355">
        <v>500000</v>
      </c>
      <c r="L110" s="355">
        <v>500000</v>
      </c>
      <c r="M110" s="408">
        <v>500000</v>
      </c>
      <c r="N110" s="408">
        <v>500000</v>
      </c>
      <c r="O110" s="410">
        <v>0</v>
      </c>
    </row>
    <row r="111" spans="1:15">
      <c r="A111" s="354">
        <v>110</v>
      </c>
      <c r="B111" s="354" t="s">
        <v>4439</v>
      </c>
      <c r="C111" s="355">
        <v>7328000</v>
      </c>
      <c r="D111" s="358">
        <v>100000</v>
      </c>
      <c r="E111" s="355">
        <v>100000</v>
      </c>
      <c r="F111" s="355">
        <v>100000</v>
      </c>
      <c r="G111" s="355">
        <v>100000</v>
      </c>
      <c r="H111" s="355">
        <v>100000</v>
      </c>
      <c r="I111" s="355">
        <v>100000</v>
      </c>
      <c r="J111" s="355">
        <v>100000</v>
      </c>
      <c r="K111" s="355">
        <v>100000</v>
      </c>
      <c r="L111" s="355">
        <v>100000</v>
      </c>
      <c r="M111" s="408">
        <v>100000</v>
      </c>
      <c r="N111" s="408">
        <v>100000</v>
      </c>
      <c r="O111" s="410">
        <v>0</v>
      </c>
    </row>
    <row r="112" spans="1:15">
      <c r="A112" s="354">
        <v>111</v>
      </c>
      <c r="B112" s="354" t="s">
        <v>4440</v>
      </c>
      <c r="C112" s="355">
        <v>59800000</v>
      </c>
      <c r="D112" s="358">
        <v>4000000</v>
      </c>
      <c r="E112" s="355">
        <v>4000000</v>
      </c>
      <c r="F112" s="355">
        <v>4000000</v>
      </c>
      <c r="G112" s="355">
        <v>4000000</v>
      </c>
      <c r="H112" s="355">
        <v>4000000</v>
      </c>
      <c r="I112" s="355">
        <v>4000000</v>
      </c>
      <c r="J112" s="355">
        <v>4000000</v>
      </c>
      <c r="K112" s="355">
        <v>4000000</v>
      </c>
      <c r="L112" s="355">
        <v>4000000</v>
      </c>
      <c r="M112" s="408">
        <v>4000000</v>
      </c>
      <c r="N112" s="408">
        <v>4000000</v>
      </c>
      <c r="O112" s="410">
        <v>0</v>
      </c>
    </row>
    <row r="113" spans="1:15">
      <c r="A113" s="354">
        <v>112</v>
      </c>
      <c r="B113" s="354" t="s">
        <v>4441</v>
      </c>
      <c r="C113" s="355">
        <v>14560000</v>
      </c>
      <c r="D113" s="358">
        <v>1000000</v>
      </c>
      <c r="E113" s="355">
        <v>1000000</v>
      </c>
      <c r="F113" s="355">
        <v>1000000</v>
      </c>
      <c r="G113" s="355">
        <v>1000000</v>
      </c>
      <c r="H113" s="355">
        <v>1000000</v>
      </c>
      <c r="I113" s="355">
        <v>1000000</v>
      </c>
      <c r="J113" s="355">
        <v>1000000</v>
      </c>
      <c r="K113" s="355">
        <v>1000000</v>
      </c>
      <c r="L113" s="355">
        <v>1000000</v>
      </c>
      <c r="M113" s="408">
        <v>1000000</v>
      </c>
      <c r="N113" s="408">
        <v>1000000</v>
      </c>
      <c r="O113" s="410">
        <v>0</v>
      </c>
    </row>
    <row r="114" spans="1:15">
      <c r="A114" s="354">
        <v>113</v>
      </c>
      <c r="B114" s="354" t="s">
        <v>4442</v>
      </c>
      <c r="C114" s="355">
        <v>6448000</v>
      </c>
      <c r="D114" s="358">
        <v>800000</v>
      </c>
      <c r="E114" s="355">
        <v>800000</v>
      </c>
      <c r="F114" s="355">
        <v>800000</v>
      </c>
      <c r="G114" s="355">
        <v>800000</v>
      </c>
      <c r="H114" s="355">
        <v>800000</v>
      </c>
      <c r="I114" s="355">
        <v>800000</v>
      </c>
      <c r="J114" s="355">
        <v>800000</v>
      </c>
      <c r="K114" s="355">
        <v>800000</v>
      </c>
      <c r="L114" s="355">
        <v>800000</v>
      </c>
      <c r="M114" s="408">
        <v>800000</v>
      </c>
      <c r="N114" s="408">
        <v>800000</v>
      </c>
      <c r="O114" s="410">
        <v>0</v>
      </c>
    </row>
    <row r="115" spans="1:15">
      <c r="A115" s="354">
        <v>114</v>
      </c>
      <c r="B115" s="354" t="s">
        <v>4443</v>
      </c>
      <c r="C115" s="355">
        <v>8840000</v>
      </c>
      <c r="D115" s="358">
        <v>0</v>
      </c>
      <c r="E115" s="355">
        <v>0</v>
      </c>
      <c r="F115" s="355">
        <v>0</v>
      </c>
      <c r="G115" s="355">
        <v>0</v>
      </c>
      <c r="H115" s="355">
        <v>0</v>
      </c>
      <c r="I115" s="355">
        <v>0</v>
      </c>
      <c r="J115" s="355">
        <v>0</v>
      </c>
      <c r="K115" s="355">
        <v>0</v>
      </c>
      <c r="L115" s="355">
        <v>0</v>
      </c>
      <c r="M115" s="409">
        <v>0</v>
      </c>
      <c r="N115" s="409">
        <v>0</v>
      </c>
      <c r="O115" s="410">
        <v>0</v>
      </c>
    </row>
    <row r="116" spans="1:15">
      <c r="A116" s="354">
        <v>115</v>
      </c>
      <c r="B116" s="354" t="s">
        <v>4444</v>
      </c>
      <c r="C116" s="355"/>
      <c r="D116" s="358">
        <v>0</v>
      </c>
      <c r="E116" s="355">
        <v>0</v>
      </c>
      <c r="F116" s="355">
        <v>0</v>
      </c>
      <c r="G116" s="355">
        <v>0</v>
      </c>
      <c r="H116" s="355">
        <v>0</v>
      </c>
      <c r="I116" s="355">
        <v>0</v>
      </c>
      <c r="J116" s="355">
        <v>0</v>
      </c>
      <c r="K116" s="355">
        <v>0</v>
      </c>
      <c r="L116" s="355">
        <v>0</v>
      </c>
      <c r="M116" s="409">
        <v>0</v>
      </c>
      <c r="N116" s="409">
        <v>0</v>
      </c>
      <c r="O116" s="410">
        <v>0</v>
      </c>
    </row>
    <row r="117" spans="1:15">
      <c r="A117" s="354">
        <v>116</v>
      </c>
      <c r="B117" s="354" t="s">
        <v>4020</v>
      </c>
      <c r="C117" s="355">
        <v>9800000</v>
      </c>
      <c r="D117" s="358">
        <v>0</v>
      </c>
      <c r="E117" s="355">
        <v>0</v>
      </c>
      <c r="F117" s="355">
        <v>0</v>
      </c>
      <c r="G117" s="355">
        <v>0</v>
      </c>
      <c r="H117" s="355">
        <v>0</v>
      </c>
      <c r="I117" s="355">
        <v>0</v>
      </c>
      <c r="J117" s="355">
        <v>0</v>
      </c>
      <c r="K117" s="355">
        <v>0</v>
      </c>
      <c r="L117" s="355">
        <v>0</v>
      </c>
      <c r="M117" s="409">
        <v>0</v>
      </c>
      <c r="N117" s="409">
        <v>0</v>
      </c>
      <c r="O117" s="410">
        <v>0</v>
      </c>
    </row>
    <row r="118" spans="1:15">
      <c r="A118" s="354">
        <v>117</v>
      </c>
      <c r="B118" s="354" t="s">
        <v>4445</v>
      </c>
      <c r="C118" s="355">
        <v>19240000</v>
      </c>
      <c r="D118" s="358">
        <v>1000000</v>
      </c>
      <c r="E118" s="355">
        <v>1000000</v>
      </c>
      <c r="F118" s="355">
        <v>1000000</v>
      </c>
      <c r="G118" s="355">
        <v>1000000</v>
      </c>
      <c r="H118" s="355">
        <v>1000000</v>
      </c>
      <c r="I118" s="355">
        <v>1000000</v>
      </c>
      <c r="J118" s="355">
        <v>1000000</v>
      </c>
      <c r="K118" s="355">
        <v>1000000</v>
      </c>
      <c r="L118" s="355">
        <v>1000000</v>
      </c>
      <c r="M118" s="408">
        <v>1000000</v>
      </c>
      <c r="N118" s="408">
        <v>1000000</v>
      </c>
      <c r="O118" s="410">
        <v>0</v>
      </c>
    </row>
    <row r="119" spans="1:15">
      <c r="A119" s="354">
        <v>118</v>
      </c>
      <c r="B119" s="354" t="s">
        <v>4446</v>
      </c>
      <c r="C119" s="355">
        <v>4472000</v>
      </c>
      <c r="D119" s="358">
        <v>150000</v>
      </c>
      <c r="E119" s="355">
        <v>150000</v>
      </c>
      <c r="F119" s="355">
        <v>150000</v>
      </c>
      <c r="G119" s="355">
        <v>150000</v>
      </c>
      <c r="H119" s="355">
        <v>150000</v>
      </c>
      <c r="I119" s="355">
        <v>150000</v>
      </c>
      <c r="J119" s="355">
        <v>150000</v>
      </c>
      <c r="K119" s="355">
        <v>150000</v>
      </c>
      <c r="L119" s="355">
        <v>150000</v>
      </c>
      <c r="M119" s="408">
        <v>150000</v>
      </c>
      <c r="N119" s="408">
        <v>150000</v>
      </c>
      <c r="O119" s="410">
        <v>0</v>
      </c>
    </row>
    <row r="120" spans="1:15">
      <c r="A120" s="354">
        <v>119</v>
      </c>
      <c r="B120" s="354" t="s">
        <v>696</v>
      </c>
      <c r="C120" s="355">
        <v>3284000</v>
      </c>
      <c r="D120" s="358">
        <v>150000</v>
      </c>
      <c r="E120" s="355">
        <v>150000</v>
      </c>
      <c r="F120" s="355">
        <v>150000</v>
      </c>
      <c r="G120" s="355">
        <v>150000</v>
      </c>
      <c r="H120" s="355">
        <v>350000</v>
      </c>
      <c r="I120" s="355">
        <v>350000</v>
      </c>
      <c r="J120" s="355">
        <v>350000</v>
      </c>
      <c r="K120" s="355">
        <v>350000</v>
      </c>
      <c r="L120" s="355">
        <v>350000</v>
      </c>
      <c r="M120" s="408">
        <v>350000</v>
      </c>
      <c r="N120" s="408">
        <v>350000</v>
      </c>
      <c r="O120" s="410">
        <v>0</v>
      </c>
    </row>
    <row r="121" spans="1:15">
      <c r="A121" s="354">
        <v>120</v>
      </c>
      <c r="B121" s="354" t="s">
        <v>4447</v>
      </c>
      <c r="C121" s="355">
        <v>23812000</v>
      </c>
      <c r="D121" s="358">
        <v>200000</v>
      </c>
      <c r="E121" s="355">
        <v>200000</v>
      </c>
      <c r="F121" s="355">
        <v>200000</v>
      </c>
      <c r="G121" s="355">
        <v>200000</v>
      </c>
      <c r="H121" s="355">
        <v>200000</v>
      </c>
      <c r="I121" s="355">
        <v>200000</v>
      </c>
      <c r="J121" s="355">
        <v>200000</v>
      </c>
      <c r="K121" s="355">
        <v>200000</v>
      </c>
      <c r="L121" s="355">
        <v>200000</v>
      </c>
      <c r="M121" s="408">
        <v>200000</v>
      </c>
      <c r="N121" s="408">
        <v>200000</v>
      </c>
      <c r="O121" s="410">
        <v>0</v>
      </c>
    </row>
    <row r="122" spans="1:15">
      <c r="A122" s="354">
        <v>121</v>
      </c>
      <c r="B122" s="354" t="s">
        <v>4448</v>
      </c>
      <c r="C122" s="355">
        <v>47780000</v>
      </c>
      <c r="D122" s="358">
        <v>800000</v>
      </c>
      <c r="E122" s="355">
        <v>800000</v>
      </c>
      <c r="F122" s="355">
        <v>800000</v>
      </c>
      <c r="G122" s="355">
        <v>800000</v>
      </c>
      <c r="H122" s="355">
        <v>800000</v>
      </c>
      <c r="I122" s="355">
        <v>800000</v>
      </c>
      <c r="J122" s="355">
        <v>800000</v>
      </c>
      <c r="K122" s="355">
        <v>800000</v>
      </c>
      <c r="L122" s="355">
        <v>800000</v>
      </c>
      <c r="M122" s="408">
        <v>800000</v>
      </c>
      <c r="N122" s="408">
        <v>800000</v>
      </c>
      <c r="O122" s="410">
        <v>0</v>
      </c>
    </row>
    <row r="123" spans="1:15">
      <c r="A123" s="354">
        <v>122</v>
      </c>
      <c r="B123" s="354" t="s">
        <v>4449</v>
      </c>
      <c r="C123" s="355">
        <v>207900000</v>
      </c>
      <c r="D123" s="358">
        <v>500000</v>
      </c>
      <c r="E123" s="355">
        <v>500000</v>
      </c>
      <c r="F123" s="355">
        <v>500000</v>
      </c>
      <c r="G123" s="355">
        <v>500000</v>
      </c>
      <c r="H123" s="355">
        <v>500000</v>
      </c>
      <c r="I123" s="355">
        <v>500000</v>
      </c>
      <c r="J123" s="355">
        <v>500000</v>
      </c>
      <c r="K123" s="355">
        <v>500000</v>
      </c>
      <c r="L123" s="355">
        <v>500000</v>
      </c>
      <c r="M123" s="408">
        <v>500000</v>
      </c>
      <c r="N123" s="408">
        <v>500000</v>
      </c>
      <c r="O123" s="410">
        <v>0</v>
      </c>
    </row>
    <row r="124" spans="1:15">
      <c r="A124" s="354">
        <v>123</v>
      </c>
      <c r="B124" s="354" t="s">
        <v>4450</v>
      </c>
      <c r="C124" s="355">
        <v>7568000</v>
      </c>
      <c r="D124" s="358">
        <v>100000</v>
      </c>
      <c r="E124" s="355">
        <v>100000</v>
      </c>
      <c r="F124" s="355">
        <v>100000</v>
      </c>
      <c r="G124" s="355">
        <v>100000</v>
      </c>
      <c r="H124" s="355">
        <v>100000</v>
      </c>
      <c r="I124" s="355">
        <v>100000</v>
      </c>
      <c r="J124" s="355">
        <v>200000</v>
      </c>
      <c r="K124" s="355">
        <v>200000</v>
      </c>
      <c r="L124" s="355">
        <v>200000</v>
      </c>
      <c r="M124" s="408">
        <v>200000</v>
      </c>
      <c r="N124" s="408">
        <v>200000</v>
      </c>
      <c r="O124" s="410">
        <v>0</v>
      </c>
    </row>
    <row r="125" spans="1:15">
      <c r="A125" s="354">
        <v>124</v>
      </c>
      <c r="B125" s="354" t="s">
        <v>4451</v>
      </c>
      <c r="C125" s="355">
        <v>25379640</v>
      </c>
      <c r="D125" s="358">
        <v>300000</v>
      </c>
      <c r="E125" s="355">
        <v>300000</v>
      </c>
      <c r="F125" s="355">
        <v>300000</v>
      </c>
      <c r="G125" s="355">
        <v>300000</v>
      </c>
      <c r="H125" s="355">
        <v>300000</v>
      </c>
      <c r="I125" s="355">
        <v>300000</v>
      </c>
      <c r="J125" s="355">
        <v>300000</v>
      </c>
      <c r="K125" s="355">
        <v>300000</v>
      </c>
      <c r="L125" s="355">
        <v>300000</v>
      </c>
      <c r="M125" s="408">
        <v>300000</v>
      </c>
      <c r="N125" s="408">
        <v>300000</v>
      </c>
      <c r="O125" s="410">
        <v>0</v>
      </c>
    </row>
    <row r="126" spans="1:15">
      <c r="A126" s="354">
        <v>125</v>
      </c>
      <c r="B126" s="354" t="s">
        <v>4452</v>
      </c>
      <c r="C126" s="355">
        <v>7159310</v>
      </c>
      <c r="D126" s="358">
        <v>200000</v>
      </c>
      <c r="E126" s="355">
        <v>200000</v>
      </c>
      <c r="F126" s="355">
        <v>200000</v>
      </c>
      <c r="G126" s="355">
        <v>200000</v>
      </c>
      <c r="H126" s="355">
        <v>200000</v>
      </c>
      <c r="I126" s="355">
        <v>200000</v>
      </c>
      <c r="J126" s="355">
        <v>200000</v>
      </c>
      <c r="K126" s="355">
        <v>200000</v>
      </c>
      <c r="L126" s="355">
        <v>200000</v>
      </c>
      <c r="M126" s="408">
        <v>200000</v>
      </c>
      <c r="N126" s="408">
        <v>200000</v>
      </c>
      <c r="O126" s="410">
        <v>0</v>
      </c>
    </row>
    <row r="127" spans="1:15">
      <c r="A127" s="354">
        <v>126</v>
      </c>
      <c r="B127" s="354" t="s">
        <v>4453</v>
      </c>
      <c r="C127" s="355">
        <v>10567960</v>
      </c>
      <c r="D127" s="358">
        <v>0</v>
      </c>
      <c r="E127" s="355">
        <v>0</v>
      </c>
      <c r="F127" s="355">
        <v>0</v>
      </c>
      <c r="G127" s="355">
        <v>0</v>
      </c>
      <c r="H127" s="355">
        <v>0</v>
      </c>
      <c r="I127" s="355">
        <v>0</v>
      </c>
      <c r="J127" s="355">
        <v>0</v>
      </c>
      <c r="K127" s="355">
        <v>0</v>
      </c>
      <c r="L127" s="355">
        <v>0</v>
      </c>
      <c r="M127" s="408">
        <v>0</v>
      </c>
      <c r="N127" s="408">
        <v>0</v>
      </c>
      <c r="O127" s="410">
        <v>0</v>
      </c>
    </row>
    <row r="128" spans="1:15">
      <c r="A128" s="354">
        <v>127</v>
      </c>
      <c r="B128" s="354" t="s">
        <v>4454</v>
      </c>
      <c r="C128" s="355">
        <v>11644000</v>
      </c>
      <c r="D128" s="358">
        <v>400000</v>
      </c>
      <c r="E128" s="355">
        <v>400000</v>
      </c>
      <c r="F128" s="355">
        <v>400000</v>
      </c>
      <c r="G128" s="355">
        <v>400000</v>
      </c>
      <c r="H128" s="355">
        <v>400000</v>
      </c>
      <c r="I128" s="355">
        <v>400000</v>
      </c>
      <c r="J128" s="355">
        <v>400000</v>
      </c>
      <c r="K128" s="355">
        <v>400000</v>
      </c>
      <c r="L128" s="355">
        <v>400000</v>
      </c>
      <c r="M128" s="408">
        <v>400000</v>
      </c>
      <c r="N128" s="408">
        <v>400000</v>
      </c>
      <c r="O128" s="410">
        <v>0</v>
      </c>
    </row>
    <row r="129" spans="1:15">
      <c r="A129" s="354">
        <v>128</v>
      </c>
      <c r="B129" s="354" t="s">
        <v>686</v>
      </c>
      <c r="C129" s="355">
        <v>4980000</v>
      </c>
      <c r="D129" s="358">
        <v>400000</v>
      </c>
      <c r="E129" s="355">
        <v>400000</v>
      </c>
      <c r="F129" s="355">
        <v>400000</v>
      </c>
      <c r="G129" s="355">
        <v>400000</v>
      </c>
      <c r="H129" s="355">
        <v>400000</v>
      </c>
      <c r="I129" s="355">
        <v>400000</v>
      </c>
      <c r="J129" s="355">
        <v>400000</v>
      </c>
      <c r="K129" s="355">
        <v>400000</v>
      </c>
      <c r="L129" s="355">
        <v>400000</v>
      </c>
      <c r="M129" s="408">
        <v>400000</v>
      </c>
      <c r="N129" s="408">
        <v>400000</v>
      </c>
      <c r="O129" s="410">
        <v>0</v>
      </c>
    </row>
    <row r="130" spans="1:15">
      <c r="A130" s="354">
        <v>129</v>
      </c>
      <c r="B130" s="354" t="s">
        <v>687</v>
      </c>
      <c r="C130" s="355">
        <v>12884000</v>
      </c>
      <c r="D130" s="358">
        <v>0</v>
      </c>
      <c r="E130" s="355">
        <v>0</v>
      </c>
      <c r="F130" s="355">
        <v>0</v>
      </c>
      <c r="G130" s="355">
        <v>0</v>
      </c>
      <c r="H130" s="355">
        <v>0</v>
      </c>
      <c r="I130" s="355">
        <v>0</v>
      </c>
      <c r="J130" s="355">
        <v>0</v>
      </c>
      <c r="K130" s="355">
        <v>0</v>
      </c>
      <c r="L130" s="355">
        <v>0</v>
      </c>
      <c r="M130" s="408">
        <v>0</v>
      </c>
      <c r="N130" s="408">
        <v>0</v>
      </c>
      <c r="O130" s="410">
        <v>0</v>
      </c>
    </row>
    <row r="131" spans="1:15">
      <c r="A131" s="354">
        <v>140</v>
      </c>
      <c r="B131" s="354" t="s">
        <v>4455</v>
      </c>
      <c r="C131" s="355">
        <v>2328000</v>
      </c>
      <c r="D131" s="358">
        <v>100000</v>
      </c>
      <c r="E131" s="355">
        <v>100000</v>
      </c>
      <c r="F131" s="355">
        <v>100000</v>
      </c>
      <c r="G131" s="355">
        <v>100000</v>
      </c>
      <c r="H131" s="355">
        <v>100000</v>
      </c>
      <c r="I131" s="355">
        <v>100000</v>
      </c>
      <c r="J131" s="355">
        <v>100000</v>
      </c>
      <c r="K131" s="355">
        <v>100000</v>
      </c>
      <c r="L131" s="355">
        <v>100000</v>
      </c>
      <c r="M131" s="408">
        <v>100000</v>
      </c>
      <c r="N131" s="408">
        <v>100000</v>
      </c>
      <c r="O131" s="410">
        <v>0</v>
      </c>
    </row>
    <row r="132" spans="1:15">
      <c r="A132" s="354">
        <v>141</v>
      </c>
      <c r="B132" s="354" t="s">
        <v>4456</v>
      </c>
      <c r="C132" s="355">
        <v>44824000</v>
      </c>
      <c r="D132" s="358">
        <v>2000000</v>
      </c>
      <c r="E132" s="355">
        <v>2000000</v>
      </c>
      <c r="F132" s="355">
        <v>2000000</v>
      </c>
      <c r="G132" s="355">
        <v>2000000</v>
      </c>
      <c r="H132" s="355">
        <v>2000000</v>
      </c>
      <c r="I132" s="355">
        <v>2000000</v>
      </c>
      <c r="J132" s="355">
        <v>2000000</v>
      </c>
      <c r="K132" s="355">
        <v>2000000</v>
      </c>
      <c r="L132" s="355">
        <v>2000000</v>
      </c>
      <c r="M132" s="408">
        <v>2000000</v>
      </c>
      <c r="N132" s="408">
        <v>2000000</v>
      </c>
      <c r="O132" s="410">
        <v>0</v>
      </c>
    </row>
    <row r="133" spans="1:15">
      <c r="A133" s="354">
        <v>142</v>
      </c>
      <c r="B133" s="354" t="s">
        <v>4457</v>
      </c>
      <c r="C133" s="355">
        <v>7884000</v>
      </c>
      <c r="D133" s="358">
        <v>300000</v>
      </c>
      <c r="E133" s="355">
        <v>300000</v>
      </c>
      <c r="F133" s="355">
        <v>300000</v>
      </c>
      <c r="G133" s="355">
        <v>300000</v>
      </c>
      <c r="H133" s="355">
        <v>300000</v>
      </c>
      <c r="I133" s="355">
        <v>300000</v>
      </c>
      <c r="J133" s="355">
        <v>300000</v>
      </c>
      <c r="K133" s="355">
        <v>300000</v>
      </c>
      <c r="L133" s="355">
        <v>300000</v>
      </c>
      <c r="M133" s="408">
        <v>300000</v>
      </c>
      <c r="N133" s="408">
        <v>300000</v>
      </c>
      <c r="O133" s="410">
        <v>0</v>
      </c>
    </row>
    <row r="134" spans="1:15">
      <c r="A134" s="354">
        <v>143</v>
      </c>
      <c r="B134" s="354" t="s">
        <v>4458</v>
      </c>
      <c r="C134" s="355"/>
      <c r="D134" s="358">
        <v>300000</v>
      </c>
      <c r="E134" s="355">
        <v>300000</v>
      </c>
      <c r="F134" s="355">
        <v>300000</v>
      </c>
      <c r="G134" s="355">
        <v>300000</v>
      </c>
      <c r="H134" s="355"/>
      <c r="I134" s="355"/>
      <c r="J134" s="355"/>
      <c r="K134" s="355"/>
      <c r="L134" s="355"/>
      <c r="M134" s="408"/>
      <c r="N134" s="408"/>
      <c r="O134" s="410">
        <v>0</v>
      </c>
    </row>
    <row r="135" spans="1:15">
      <c r="A135" s="354">
        <v>144</v>
      </c>
      <c r="B135" s="354" t="s">
        <v>4459</v>
      </c>
      <c r="C135" s="355">
        <v>15600000</v>
      </c>
      <c r="D135" s="358">
        <v>300000</v>
      </c>
      <c r="E135" s="355">
        <v>300000</v>
      </c>
      <c r="F135" s="355">
        <v>300000</v>
      </c>
      <c r="G135" s="355">
        <v>30000</v>
      </c>
      <c r="H135" s="355">
        <v>300000</v>
      </c>
      <c r="I135" s="355">
        <v>300000</v>
      </c>
      <c r="J135" s="355">
        <v>300000</v>
      </c>
      <c r="K135" s="355">
        <v>300000</v>
      </c>
      <c r="L135" s="355">
        <v>300000</v>
      </c>
      <c r="M135" s="408">
        <v>300000</v>
      </c>
      <c r="N135" s="408">
        <v>300000</v>
      </c>
      <c r="O135" s="410">
        <v>0</v>
      </c>
    </row>
    <row r="136" spans="1:15">
      <c r="A136" s="354">
        <v>145</v>
      </c>
      <c r="B136" s="354" t="s">
        <v>4460</v>
      </c>
      <c r="C136" s="355">
        <v>7176000</v>
      </c>
      <c r="D136" s="358">
        <v>300000</v>
      </c>
      <c r="E136" s="355">
        <v>700000</v>
      </c>
      <c r="F136" s="355">
        <v>700000</v>
      </c>
      <c r="G136" s="355">
        <v>700000</v>
      </c>
      <c r="H136" s="355">
        <v>700000</v>
      </c>
      <c r="I136" s="355">
        <v>700000</v>
      </c>
      <c r="J136" s="355">
        <v>700000</v>
      </c>
      <c r="K136" s="355">
        <v>700000</v>
      </c>
      <c r="L136" s="355">
        <v>700000</v>
      </c>
      <c r="M136" s="408">
        <v>700000</v>
      </c>
      <c r="N136" s="408">
        <v>700000</v>
      </c>
      <c r="O136" s="410">
        <v>0</v>
      </c>
    </row>
    <row r="137" spans="1:15">
      <c r="A137" s="354">
        <v>146</v>
      </c>
      <c r="B137" s="354" t="s">
        <v>4461</v>
      </c>
      <c r="C137" s="355">
        <v>4044000</v>
      </c>
      <c r="D137" s="358">
        <v>300000</v>
      </c>
      <c r="E137" s="355">
        <v>300000</v>
      </c>
      <c r="F137" s="355">
        <v>300000</v>
      </c>
      <c r="G137" s="355">
        <v>300000</v>
      </c>
      <c r="H137" s="355">
        <v>300000</v>
      </c>
      <c r="I137" s="355">
        <v>300000</v>
      </c>
      <c r="J137" s="355">
        <v>300000</v>
      </c>
      <c r="K137" s="355">
        <v>300000</v>
      </c>
      <c r="L137" s="355">
        <v>300000</v>
      </c>
      <c r="M137" s="408">
        <v>300000</v>
      </c>
      <c r="N137" s="408">
        <v>300000</v>
      </c>
      <c r="O137" s="410">
        <v>0</v>
      </c>
    </row>
    <row r="138" spans="1:15">
      <c r="A138" s="354">
        <v>147</v>
      </c>
      <c r="B138" s="354" t="s">
        <v>4462</v>
      </c>
      <c r="C138" s="355">
        <v>16669640</v>
      </c>
      <c r="D138" s="358">
        <v>300000</v>
      </c>
      <c r="E138" s="355">
        <v>300000</v>
      </c>
      <c r="F138" s="355">
        <v>300000</v>
      </c>
      <c r="G138" s="355">
        <v>300000</v>
      </c>
      <c r="H138" s="355">
        <v>300000</v>
      </c>
      <c r="I138" s="355">
        <v>300000</v>
      </c>
      <c r="J138" s="355">
        <v>300000</v>
      </c>
      <c r="K138" s="355">
        <v>300000</v>
      </c>
      <c r="L138" s="355">
        <v>300000</v>
      </c>
      <c r="M138" s="408">
        <v>300000</v>
      </c>
      <c r="N138" s="408">
        <v>300000</v>
      </c>
      <c r="O138" s="410">
        <v>0</v>
      </c>
    </row>
    <row r="139" spans="1:15">
      <c r="A139" s="354">
        <v>148</v>
      </c>
      <c r="B139" s="354" t="s">
        <v>4463</v>
      </c>
      <c r="C139" s="355">
        <v>5179200</v>
      </c>
      <c r="D139" s="358">
        <v>500000</v>
      </c>
      <c r="E139" s="355">
        <v>500000</v>
      </c>
      <c r="F139" s="355">
        <v>500000</v>
      </c>
      <c r="G139" s="355">
        <v>500000</v>
      </c>
      <c r="H139" s="355">
        <v>500000</v>
      </c>
      <c r="I139" s="355">
        <v>500000</v>
      </c>
      <c r="J139" s="355">
        <v>500000</v>
      </c>
      <c r="K139" s="355">
        <v>500000</v>
      </c>
      <c r="L139" s="355">
        <v>500000</v>
      </c>
      <c r="M139" s="408">
        <v>500000</v>
      </c>
      <c r="N139" s="408">
        <v>500000</v>
      </c>
      <c r="O139" s="410">
        <v>0</v>
      </c>
    </row>
    <row r="140" spans="1:15">
      <c r="A140" s="354">
        <v>149</v>
      </c>
      <c r="B140" s="354" t="s">
        <v>4464</v>
      </c>
      <c r="C140" s="355">
        <v>4108000</v>
      </c>
      <c r="D140" s="358">
        <v>250000</v>
      </c>
      <c r="E140" s="355">
        <v>250000</v>
      </c>
      <c r="F140" s="355">
        <v>250000</v>
      </c>
      <c r="G140" s="355">
        <v>250000</v>
      </c>
      <c r="H140" s="355">
        <v>250000</v>
      </c>
      <c r="I140" s="355">
        <v>250000</v>
      </c>
      <c r="J140" s="355">
        <v>250000</v>
      </c>
      <c r="K140" s="355">
        <v>250000</v>
      </c>
      <c r="L140" s="355">
        <v>250000</v>
      </c>
      <c r="M140" s="408">
        <v>250000</v>
      </c>
      <c r="N140" s="408">
        <v>250000</v>
      </c>
      <c r="O140" s="410">
        <v>0</v>
      </c>
    </row>
    <row r="141" spans="1:15">
      <c r="A141" s="354">
        <v>150</v>
      </c>
      <c r="B141" s="354" t="s">
        <v>4465</v>
      </c>
      <c r="C141" s="355">
        <v>2228000</v>
      </c>
      <c r="D141" s="358">
        <v>300000</v>
      </c>
      <c r="E141" s="355">
        <v>300000</v>
      </c>
      <c r="F141" s="355">
        <v>300000</v>
      </c>
      <c r="G141" s="355">
        <v>300000</v>
      </c>
      <c r="H141" s="355">
        <v>300000</v>
      </c>
      <c r="I141" s="355">
        <v>300000</v>
      </c>
      <c r="J141" s="355">
        <v>300000</v>
      </c>
      <c r="K141" s="355">
        <v>300000</v>
      </c>
      <c r="L141" s="355">
        <v>300000</v>
      </c>
      <c r="M141" s="408">
        <v>300000</v>
      </c>
      <c r="N141" s="408">
        <v>300000</v>
      </c>
      <c r="O141" s="410">
        <v>0</v>
      </c>
    </row>
    <row r="142" spans="1:15">
      <c r="A142" s="354">
        <v>151</v>
      </c>
      <c r="B142" s="354" t="s">
        <v>4466</v>
      </c>
      <c r="C142" s="355">
        <v>1195064000</v>
      </c>
      <c r="D142" s="358">
        <v>1000000</v>
      </c>
      <c r="E142" s="355">
        <v>1000000</v>
      </c>
      <c r="F142" s="355">
        <v>1000000</v>
      </c>
      <c r="G142" s="355">
        <v>1000000</v>
      </c>
      <c r="H142" s="355">
        <v>1000000</v>
      </c>
      <c r="I142" s="355">
        <v>1000000</v>
      </c>
      <c r="J142" s="355">
        <v>1000000</v>
      </c>
      <c r="K142" s="355">
        <v>1000000</v>
      </c>
      <c r="L142" s="355">
        <v>1000000</v>
      </c>
      <c r="M142" s="408">
        <v>1000000</v>
      </c>
      <c r="N142" s="408">
        <v>1000000</v>
      </c>
      <c r="O142" s="410">
        <v>0</v>
      </c>
    </row>
    <row r="143" spans="1:15">
      <c r="A143" s="354">
        <v>152</v>
      </c>
      <c r="B143" s="354" t="s">
        <v>4467</v>
      </c>
      <c r="C143" s="355">
        <v>20280000</v>
      </c>
      <c r="D143" s="358">
        <v>300000</v>
      </c>
      <c r="E143" s="355">
        <v>300000</v>
      </c>
      <c r="F143" s="355">
        <v>300000</v>
      </c>
      <c r="G143" s="355">
        <v>300000</v>
      </c>
      <c r="H143" s="355">
        <v>300000</v>
      </c>
      <c r="I143" s="355">
        <v>300000</v>
      </c>
      <c r="J143" s="355">
        <v>300000</v>
      </c>
      <c r="K143" s="355">
        <v>300000</v>
      </c>
      <c r="L143" s="355">
        <v>300000</v>
      </c>
      <c r="M143" s="408">
        <v>300000</v>
      </c>
      <c r="N143" s="408">
        <v>300000</v>
      </c>
      <c r="O143" s="410">
        <v>0</v>
      </c>
    </row>
    <row r="144" spans="1:15">
      <c r="A144" s="354">
        <v>153</v>
      </c>
      <c r="B144" s="354" t="s">
        <v>4468</v>
      </c>
      <c r="C144" s="355">
        <v>14560000</v>
      </c>
      <c r="D144" s="358"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408">
        <v>0</v>
      </c>
      <c r="N144" s="408">
        <v>0</v>
      </c>
      <c r="O144" s="410">
        <v>0</v>
      </c>
    </row>
    <row r="145" spans="1:19">
      <c r="A145" s="354">
        <v>154</v>
      </c>
      <c r="B145" s="354" t="s">
        <v>4469</v>
      </c>
      <c r="C145" s="355">
        <v>6240000</v>
      </c>
      <c r="D145" s="358">
        <v>500000</v>
      </c>
      <c r="E145" s="355">
        <v>500000</v>
      </c>
      <c r="F145" s="355">
        <v>500000</v>
      </c>
      <c r="G145" s="355">
        <v>500000</v>
      </c>
      <c r="H145" s="355">
        <v>500000</v>
      </c>
      <c r="I145" s="355">
        <v>500000</v>
      </c>
      <c r="J145" s="355">
        <v>500000</v>
      </c>
      <c r="K145" s="355">
        <v>500000</v>
      </c>
      <c r="L145" s="355">
        <v>500000</v>
      </c>
      <c r="M145" s="408">
        <v>500000</v>
      </c>
      <c r="N145" s="408">
        <v>500000</v>
      </c>
      <c r="O145" s="410">
        <v>0</v>
      </c>
    </row>
    <row r="146" spans="1:19">
      <c r="A146" s="354">
        <v>155</v>
      </c>
      <c r="B146" s="354" t="s">
        <v>4470</v>
      </c>
      <c r="C146" s="355">
        <v>46488000</v>
      </c>
      <c r="D146" s="358">
        <v>300000</v>
      </c>
      <c r="E146" s="355">
        <v>300000</v>
      </c>
      <c r="F146" s="355">
        <v>300000</v>
      </c>
      <c r="G146" s="355">
        <v>300000</v>
      </c>
      <c r="H146" s="355">
        <v>300000</v>
      </c>
      <c r="I146" s="355">
        <v>300000</v>
      </c>
      <c r="J146" s="355">
        <v>300000</v>
      </c>
      <c r="K146" s="355">
        <v>300000</v>
      </c>
      <c r="L146" s="355">
        <v>300000</v>
      </c>
      <c r="M146" s="408">
        <v>300000</v>
      </c>
      <c r="N146" s="408">
        <v>300000</v>
      </c>
      <c r="O146" s="410">
        <v>0</v>
      </c>
    </row>
    <row r="147" spans="1:19">
      <c r="A147" s="354">
        <v>156</v>
      </c>
      <c r="B147" s="354" t="s">
        <v>4471</v>
      </c>
      <c r="C147" s="355">
        <v>10000000</v>
      </c>
      <c r="D147" s="358">
        <v>0</v>
      </c>
      <c r="E147" s="355">
        <v>0</v>
      </c>
      <c r="F147" s="355">
        <v>0</v>
      </c>
      <c r="G147" s="355">
        <v>0</v>
      </c>
      <c r="H147" s="355">
        <v>0</v>
      </c>
      <c r="I147" s="355">
        <v>0</v>
      </c>
      <c r="J147" s="355">
        <v>0</v>
      </c>
      <c r="K147" s="355">
        <v>0</v>
      </c>
      <c r="L147" s="355">
        <v>0</v>
      </c>
      <c r="M147" s="408">
        <v>0</v>
      </c>
      <c r="N147" s="408">
        <v>0</v>
      </c>
      <c r="O147" s="410">
        <v>0</v>
      </c>
    </row>
    <row r="148" spans="1:19">
      <c r="A148" s="354">
        <v>157</v>
      </c>
      <c r="B148" s="354" t="s">
        <v>4472</v>
      </c>
      <c r="C148" s="355"/>
      <c r="D148" s="358">
        <v>0</v>
      </c>
      <c r="E148" s="355">
        <v>0</v>
      </c>
      <c r="F148" s="355">
        <v>0</v>
      </c>
      <c r="G148" s="355">
        <v>0</v>
      </c>
      <c r="H148" s="355">
        <v>0</v>
      </c>
      <c r="I148" s="355">
        <v>0</v>
      </c>
      <c r="J148" s="355">
        <v>0</v>
      </c>
      <c r="K148" s="355">
        <v>0</v>
      </c>
      <c r="L148" s="355">
        <v>0</v>
      </c>
      <c r="M148" s="408">
        <v>0</v>
      </c>
      <c r="N148" s="408">
        <v>0</v>
      </c>
      <c r="O148" s="410">
        <v>0</v>
      </c>
    </row>
    <row r="149" spans="1:19">
      <c r="A149" s="354">
        <v>158</v>
      </c>
      <c r="B149" s="354" t="s">
        <v>4473</v>
      </c>
      <c r="C149" s="355">
        <v>24000000</v>
      </c>
      <c r="D149" s="358">
        <v>2000000</v>
      </c>
      <c r="E149" s="355">
        <v>2000000</v>
      </c>
      <c r="F149" s="355">
        <v>2000000</v>
      </c>
      <c r="G149" s="355">
        <v>2000000</v>
      </c>
      <c r="H149" s="355">
        <v>2000000</v>
      </c>
      <c r="I149" s="355">
        <v>2000000</v>
      </c>
      <c r="J149" s="355">
        <v>2000000</v>
      </c>
      <c r="K149" s="355">
        <v>2000000</v>
      </c>
      <c r="L149" s="355">
        <v>2000000</v>
      </c>
      <c r="M149" s="408">
        <v>2000000</v>
      </c>
      <c r="N149" s="408">
        <v>2000000</v>
      </c>
      <c r="O149" s="410">
        <v>0</v>
      </c>
    </row>
    <row r="150" spans="1:19">
      <c r="A150" s="354">
        <v>161</v>
      </c>
      <c r="B150" s="354" t="s">
        <v>4474</v>
      </c>
      <c r="C150" s="355">
        <v>27612000</v>
      </c>
      <c r="D150" s="358">
        <v>700000</v>
      </c>
      <c r="E150" s="358">
        <v>700000</v>
      </c>
      <c r="F150" s="358">
        <v>700000</v>
      </c>
      <c r="G150" s="358">
        <v>700000</v>
      </c>
      <c r="H150" s="355">
        <v>700000</v>
      </c>
      <c r="I150" s="355">
        <v>700000</v>
      </c>
      <c r="J150" s="355">
        <v>700000</v>
      </c>
      <c r="K150" s="355">
        <v>700000</v>
      </c>
      <c r="L150" s="355">
        <v>700000</v>
      </c>
      <c r="M150" s="408">
        <v>700000</v>
      </c>
      <c r="N150" s="408">
        <v>700000</v>
      </c>
      <c r="O150" s="410">
        <v>0</v>
      </c>
    </row>
    <row r="151" spans="1:19">
      <c r="A151" s="354">
        <v>162</v>
      </c>
      <c r="B151" s="354" t="s">
        <v>4475</v>
      </c>
      <c r="C151" s="355">
        <v>3220000</v>
      </c>
      <c r="D151" s="358">
        <v>200000</v>
      </c>
      <c r="E151" s="358">
        <v>200000</v>
      </c>
      <c r="F151" s="358">
        <v>200000</v>
      </c>
      <c r="G151" s="358">
        <v>200000</v>
      </c>
      <c r="H151" s="355">
        <v>200000</v>
      </c>
      <c r="I151" s="355">
        <v>200000</v>
      </c>
      <c r="J151" s="355">
        <v>200000</v>
      </c>
      <c r="K151" s="355">
        <v>200000</v>
      </c>
      <c r="L151" s="355">
        <v>200000</v>
      </c>
      <c r="M151" s="408">
        <v>200000</v>
      </c>
      <c r="N151" s="408">
        <v>200000</v>
      </c>
      <c r="O151" s="410">
        <v>0</v>
      </c>
    </row>
    <row r="152" spans="1:19">
      <c r="A152" s="354">
        <v>163</v>
      </c>
      <c r="B152" s="354" t="s">
        <v>4476</v>
      </c>
      <c r="C152" s="355"/>
      <c r="D152" s="358">
        <v>500000</v>
      </c>
      <c r="E152" s="358">
        <v>500000</v>
      </c>
      <c r="F152" s="358">
        <v>500000</v>
      </c>
      <c r="G152" s="358">
        <v>500000</v>
      </c>
      <c r="H152" s="355">
        <v>500000</v>
      </c>
      <c r="I152" s="355">
        <v>500000</v>
      </c>
      <c r="J152" s="355">
        <v>500000</v>
      </c>
      <c r="K152" s="355">
        <v>500000</v>
      </c>
      <c r="L152" s="355">
        <v>500000</v>
      </c>
      <c r="M152" s="408">
        <v>500000</v>
      </c>
      <c r="N152" s="408">
        <v>500000</v>
      </c>
      <c r="O152" s="410">
        <v>0</v>
      </c>
    </row>
    <row r="153" spans="1:19">
      <c r="A153" s="354">
        <v>164</v>
      </c>
      <c r="B153" s="354" t="s">
        <v>4477</v>
      </c>
      <c r="C153" s="356"/>
      <c r="D153" s="360">
        <v>500000</v>
      </c>
      <c r="E153" s="360">
        <v>500000</v>
      </c>
      <c r="F153" s="360">
        <v>500000</v>
      </c>
      <c r="G153" s="360">
        <v>500000</v>
      </c>
      <c r="H153" s="360">
        <v>500000</v>
      </c>
      <c r="I153" s="360">
        <v>500000</v>
      </c>
      <c r="J153" s="360">
        <v>500000</v>
      </c>
      <c r="K153" s="360">
        <v>500000</v>
      </c>
      <c r="L153" s="360">
        <v>500000</v>
      </c>
      <c r="M153" s="365">
        <v>500000</v>
      </c>
      <c r="N153" s="365">
        <v>500000</v>
      </c>
      <c r="O153" s="410">
        <v>0</v>
      </c>
    </row>
    <row r="154" spans="1:19">
      <c r="A154" s="354">
        <v>165</v>
      </c>
      <c r="B154" s="354" t="s">
        <v>4478</v>
      </c>
      <c r="C154" s="358"/>
      <c r="D154" s="358">
        <v>500000</v>
      </c>
      <c r="E154" s="358">
        <v>500000</v>
      </c>
      <c r="F154" s="358">
        <v>500000</v>
      </c>
      <c r="G154" s="358">
        <v>500000</v>
      </c>
      <c r="H154" s="355">
        <v>500000</v>
      </c>
      <c r="I154" s="355">
        <v>500000</v>
      </c>
      <c r="J154" s="355">
        <v>500000</v>
      </c>
      <c r="K154" s="355">
        <v>500000</v>
      </c>
      <c r="L154" s="355">
        <v>500000</v>
      </c>
      <c r="M154" s="408">
        <v>500000</v>
      </c>
      <c r="N154" s="408">
        <v>500000</v>
      </c>
      <c r="O154" s="410">
        <v>0</v>
      </c>
    </row>
    <row r="155" spans="1:19">
      <c r="A155" s="354">
        <v>165</v>
      </c>
      <c r="B155" s="354" t="s">
        <v>4479</v>
      </c>
      <c r="C155" s="358"/>
      <c r="D155" s="358">
        <v>0</v>
      </c>
      <c r="E155" s="358">
        <v>0</v>
      </c>
      <c r="F155" s="358">
        <v>500000</v>
      </c>
      <c r="G155" s="358">
        <v>500000</v>
      </c>
      <c r="H155" s="355">
        <v>500000</v>
      </c>
      <c r="I155" s="355">
        <v>500000</v>
      </c>
      <c r="J155" s="355">
        <v>500000</v>
      </c>
      <c r="K155" s="355">
        <v>500000</v>
      </c>
      <c r="L155" s="355">
        <v>500000</v>
      </c>
      <c r="M155" s="408">
        <v>500000</v>
      </c>
      <c r="N155" s="408">
        <v>500000</v>
      </c>
      <c r="O155" s="410">
        <v>0</v>
      </c>
    </row>
    <row r="156" spans="1:19">
      <c r="A156" s="354"/>
      <c r="B156" s="401" t="s">
        <v>1684</v>
      </c>
      <c r="C156" s="411">
        <f>SUM(C2:C155)</f>
        <v>15384792750</v>
      </c>
      <c r="D156" s="412">
        <f>SUM(D3:D155)</f>
        <v>211650000</v>
      </c>
      <c r="E156" s="412">
        <f>SUM(E3:E155)</f>
        <v>212050000</v>
      </c>
      <c r="F156" s="412">
        <f>SUM(F3:F155)</f>
        <v>212550000</v>
      </c>
      <c r="G156" s="412">
        <f t="shared" ref="G156:N156" si="0">SUM(G2:G155)</f>
        <v>237280000</v>
      </c>
      <c r="H156" s="412">
        <f t="shared" si="0"/>
        <v>237450000</v>
      </c>
      <c r="I156" s="412">
        <f t="shared" si="0"/>
        <v>237550000</v>
      </c>
      <c r="J156" s="412">
        <f t="shared" si="0"/>
        <v>237650000</v>
      </c>
      <c r="K156" s="412">
        <f t="shared" si="0"/>
        <v>237650000</v>
      </c>
      <c r="L156" s="412">
        <f t="shared" si="0"/>
        <v>237650000</v>
      </c>
      <c r="M156" s="413">
        <f t="shared" si="0"/>
        <v>237650000</v>
      </c>
      <c r="N156" s="413">
        <f t="shared" si="0"/>
        <v>237650000</v>
      </c>
      <c r="O156" s="414"/>
      <c r="P156" s="414"/>
      <c r="Q156" s="414"/>
      <c r="R156" s="414"/>
      <c r="S156" s="414"/>
    </row>
    <row r="157" spans="1:19">
      <c r="A157" s="354"/>
      <c r="B157" s="354"/>
      <c r="C157" s="354"/>
      <c r="D157" s="354"/>
      <c r="E157" s="354"/>
      <c r="F157" s="354"/>
      <c r="G157" s="354"/>
      <c r="H157" s="354"/>
      <c r="I157" s="354"/>
      <c r="J157" s="354"/>
      <c r="K157" s="354"/>
      <c r="L157" s="354"/>
      <c r="M157" s="255"/>
      <c r="N157" s="255"/>
    </row>
    <row r="160" spans="1:19">
      <c r="B160" t="s">
        <v>3922</v>
      </c>
      <c r="C160" s="411">
        <f>SUM(C79:C155)</f>
        <v>2879009750</v>
      </c>
      <c r="D160" s="411">
        <f t="shared" ref="D160:O160" si="1">SUM(D79:D155)</f>
        <v>40950000</v>
      </c>
      <c r="E160" s="411">
        <f t="shared" si="1"/>
        <v>41350000</v>
      </c>
      <c r="F160" s="411">
        <f t="shared" si="1"/>
        <v>41850000</v>
      </c>
      <c r="G160" s="411">
        <f t="shared" si="1"/>
        <v>41580000</v>
      </c>
      <c r="H160" s="411">
        <f t="shared" si="1"/>
        <v>41750000</v>
      </c>
      <c r="I160" s="411">
        <f t="shared" si="1"/>
        <v>41850000</v>
      </c>
      <c r="J160" s="411">
        <f t="shared" si="1"/>
        <v>41950000</v>
      </c>
      <c r="K160" s="411">
        <f t="shared" si="1"/>
        <v>41950000</v>
      </c>
      <c r="L160" s="411">
        <f t="shared" si="1"/>
        <v>41950000</v>
      </c>
      <c r="M160" s="411">
        <f t="shared" si="1"/>
        <v>41950000</v>
      </c>
      <c r="N160" s="411">
        <f t="shared" si="1"/>
        <v>41950000</v>
      </c>
      <c r="O160" s="411">
        <f t="shared" si="1"/>
        <v>0</v>
      </c>
      <c r="P160" s="365">
        <f>SUM(D160:O160)</f>
        <v>459080000</v>
      </c>
    </row>
  </sheetData>
  <pageMargins left="0.75" right="0.75" top="1" bottom="1" header="0.5" footer="0.5"/>
  <pageSetup paperSize="9" orientation="portrait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81"/>
  <sheetViews>
    <sheetView topLeftCell="A61" zoomScale="150" zoomScaleNormal="150" workbookViewId="0">
      <selection sqref="A1:J82"/>
    </sheetView>
  </sheetViews>
  <sheetFormatPr defaultColWidth="11.42578125" defaultRowHeight="15"/>
  <cols>
    <col min="1" max="1" width="8.42578125" customWidth="1"/>
    <col min="2" max="2" width="40.85546875" customWidth="1"/>
    <col min="3" max="9" width="0" hidden="1" customWidth="1"/>
    <col min="10" max="10" width="24.28515625" customWidth="1"/>
  </cols>
  <sheetData>
    <row r="1" spans="1:10" ht="19.5">
      <c r="B1" s="1108" t="s">
        <v>4492</v>
      </c>
      <c r="C1" s="1108"/>
      <c r="D1" s="1108"/>
      <c r="E1" s="1108"/>
      <c r="F1" s="1108"/>
      <c r="G1" s="1108"/>
      <c r="H1" s="1108"/>
      <c r="I1" s="1108"/>
      <c r="J1" s="1108"/>
    </row>
    <row r="2" spans="1:10" ht="18.75">
      <c r="A2" s="10"/>
      <c r="B2" s="340" t="s">
        <v>4257</v>
      </c>
      <c r="C2" s="341"/>
      <c r="D2" s="341"/>
      <c r="E2" s="11"/>
      <c r="F2" s="11"/>
      <c r="G2" s="11"/>
      <c r="H2" s="11"/>
      <c r="I2" s="11"/>
      <c r="J2" s="11"/>
    </row>
    <row r="3" spans="1:10" ht="18">
      <c r="A3" s="10"/>
      <c r="B3" s="342" t="s">
        <v>3957</v>
      </c>
      <c r="C3" s="343"/>
      <c r="D3" s="343"/>
      <c r="E3" s="11"/>
      <c r="F3" s="11"/>
      <c r="G3" s="11"/>
      <c r="H3" s="11"/>
      <c r="I3" s="11"/>
      <c r="J3" s="11"/>
    </row>
    <row r="4" spans="1:10" ht="25.5">
      <c r="A4" s="232" t="s">
        <v>1839</v>
      </c>
      <c r="B4" s="232" t="s">
        <v>1840</v>
      </c>
      <c r="C4" s="233" t="s">
        <v>1841</v>
      </c>
      <c r="D4" s="233" t="s">
        <v>1841</v>
      </c>
      <c r="E4" s="233"/>
      <c r="F4" s="233" t="s">
        <v>3577</v>
      </c>
      <c r="G4" s="233"/>
      <c r="H4" s="233" t="s">
        <v>3577</v>
      </c>
      <c r="I4" s="233"/>
      <c r="J4" s="233"/>
    </row>
    <row r="5" spans="1:10" ht="38.25">
      <c r="A5" s="234" t="s">
        <v>1620</v>
      </c>
      <c r="B5" s="234" t="s">
        <v>1842</v>
      </c>
      <c r="C5" s="235" t="s">
        <v>4175</v>
      </c>
      <c r="D5" s="235" t="s">
        <v>4176</v>
      </c>
      <c r="E5" s="235" t="s">
        <v>1684</v>
      </c>
      <c r="F5" s="235" t="s">
        <v>4237</v>
      </c>
      <c r="G5" s="235"/>
      <c r="H5" s="235" t="s">
        <v>4238</v>
      </c>
      <c r="I5" s="235"/>
      <c r="J5" s="235" t="s">
        <v>1684</v>
      </c>
    </row>
    <row r="6" spans="1:10">
      <c r="A6" s="236"/>
      <c r="B6" s="236"/>
      <c r="C6" s="237" t="s">
        <v>2600</v>
      </c>
      <c r="D6" s="237" t="s">
        <v>2600</v>
      </c>
      <c r="E6" s="237"/>
      <c r="F6" s="237" t="s">
        <v>235</v>
      </c>
      <c r="G6" s="237"/>
      <c r="H6" s="237" t="s">
        <v>235</v>
      </c>
      <c r="I6" s="237"/>
      <c r="J6" s="237"/>
    </row>
    <row r="7" spans="1:10">
      <c r="A7" s="12" t="s">
        <v>1685</v>
      </c>
      <c r="B7" s="13" t="s">
        <v>3592</v>
      </c>
      <c r="C7" s="14">
        <v>88996962.214919999</v>
      </c>
      <c r="D7" s="14">
        <v>621100000</v>
      </c>
      <c r="E7" s="14">
        <f>SUM(C7:D7)</f>
        <v>710096962.21492004</v>
      </c>
      <c r="F7" s="14">
        <f>'Ministries Breakdown'!G110</f>
        <v>121887676.33329131</v>
      </c>
      <c r="G7" s="14">
        <v>91311419</v>
      </c>
      <c r="H7" s="14">
        <f>'Ministries Breakdown'!G111</f>
        <v>2300000000</v>
      </c>
      <c r="I7" s="14">
        <f>'Ministries Breakdown'!I142</f>
        <v>1495232700</v>
      </c>
      <c r="J7" s="14">
        <f>H7+F7</f>
        <v>2421887676.3332915</v>
      </c>
    </row>
    <row r="8" spans="1:10">
      <c r="A8" s="12" t="s">
        <v>2592</v>
      </c>
      <c r="B8" s="13" t="s">
        <v>381</v>
      </c>
      <c r="C8" s="14">
        <v>0</v>
      </c>
      <c r="D8" s="14">
        <v>248500000</v>
      </c>
      <c r="E8" s="14">
        <f t="shared" ref="E8:E75" si="0">SUM(C8:D8)</f>
        <v>248500000</v>
      </c>
      <c r="F8" s="14">
        <v>0</v>
      </c>
      <c r="G8" s="14">
        <v>0</v>
      </c>
      <c r="H8" s="14">
        <f>'Ministries Breakdown'!C171</f>
        <v>247800000</v>
      </c>
      <c r="I8" s="14">
        <f>'Ministries Breakdown'!I171</f>
        <v>287800300</v>
      </c>
      <c r="J8" s="14">
        <f t="shared" ref="J8:J71" si="1">H8+F8</f>
        <v>247800000</v>
      </c>
    </row>
    <row r="9" spans="1:10">
      <c r="A9" s="12" t="s">
        <v>382</v>
      </c>
      <c r="B9" s="13" t="s">
        <v>1961</v>
      </c>
      <c r="C9" s="14">
        <v>23410131</v>
      </c>
      <c r="D9" s="14">
        <v>195200000</v>
      </c>
      <c r="E9" s="14">
        <f t="shared" si="0"/>
        <v>218610131</v>
      </c>
      <c r="F9" s="14">
        <f>'Ministries Breakdown'!G293</f>
        <v>53791922.40623676</v>
      </c>
      <c r="G9" s="349">
        <v>29384537</v>
      </c>
      <c r="H9" s="14">
        <f>'Ministries Breakdown'!G294</f>
        <v>221950000</v>
      </c>
      <c r="I9" s="14">
        <f>'Ministries Breakdown'!I321</f>
        <v>145196248.80000001</v>
      </c>
      <c r="J9" s="14">
        <f t="shared" si="1"/>
        <v>275741922.40623677</v>
      </c>
    </row>
    <row r="10" spans="1:10">
      <c r="A10" s="12" t="s">
        <v>1962</v>
      </c>
      <c r="B10" s="13" t="s">
        <v>1833</v>
      </c>
      <c r="C10" s="14">
        <v>33837219</v>
      </c>
      <c r="D10" s="14">
        <v>187200000</v>
      </c>
      <c r="E10" s="14">
        <f t="shared" si="0"/>
        <v>221037219</v>
      </c>
      <c r="F10" s="14">
        <f>'Ministries Breakdown'!G393</f>
        <v>40818680.745014295</v>
      </c>
      <c r="G10" s="348">
        <v>18406400</v>
      </c>
      <c r="H10" s="14">
        <f>'Ministries Breakdown'!G394</f>
        <v>156250000</v>
      </c>
      <c r="I10" s="14">
        <f>'Ministries Breakdown'!I427</f>
        <v>333179480</v>
      </c>
      <c r="J10" s="14">
        <f t="shared" si="1"/>
        <v>197068680.74501431</v>
      </c>
    </row>
    <row r="11" spans="1:10">
      <c r="A11" s="12" t="s">
        <v>1834</v>
      </c>
      <c r="B11" s="13" t="s">
        <v>2757</v>
      </c>
      <c r="C11" s="14">
        <v>9901144.9618599992</v>
      </c>
      <c r="D11" s="14">
        <v>11300000</v>
      </c>
      <c r="E11" s="14">
        <f t="shared" si="0"/>
        <v>21201144.961860001</v>
      </c>
      <c r="F11" s="14">
        <f>'Ministries Breakdown'!G498</f>
        <v>14097835.092458947</v>
      </c>
      <c r="G11" s="348">
        <v>3324956</v>
      </c>
      <c r="H11" s="14">
        <f>'Ministries Breakdown'!G499</f>
        <v>6700000</v>
      </c>
      <c r="I11" s="14"/>
      <c r="J11" s="14">
        <f t="shared" si="1"/>
        <v>20797835.092458948</v>
      </c>
    </row>
    <row r="12" spans="1:10">
      <c r="A12" s="12" t="s">
        <v>721</v>
      </c>
      <c r="B12" s="15" t="s">
        <v>715</v>
      </c>
      <c r="C12" s="14">
        <v>196590146</v>
      </c>
      <c r="D12" s="14">
        <v>20500000</v>
      </c>
      <c r="E12" s="14">
        <f t="shared" si="0"/>
        <v>217090146</v>
      </c>
      <c r="F12" s="14">
        <f>'Ministries Breakdown'!G581</f>
        <v>258001016.23456416</v>
      </c>
      <c r="G12" s="348">
        <v>134319799</v>
      </c>
      <c r="H12" s="14">
        <f>'Ministries Breakdown'!G582</f>
        <v>13100000</v>
      </c>
      <c r="I12" s="14"/>
      <c r="J12" s="14">
        <f t="shared" si="1"/>
        <v>271101016.23456419</v>
      </c>
    </row>
    <row r="13" spans="1:10" ht="25.5">
      <c r="A13" s="12" t="s">
        <v>2751</v>
      </c>
      <c r="B13" s="13" t="s">
        <v>548</v>
      </c>
      <c r="C13" s="14">
        <v>4508371</v>
      </c>
      <c r="D13" s="14">
        <v>10000000</v>
      </c>
      <c r="E13" s="14">
        <f t="shared" si="0"/>
        <v>14508371</v>
      </c>
      <c r="F13" s="14">
        <f>'Ministries Breakdown'!G694</f>
        <v>8900710.174936818</v>
      </c>
      <c r="H13" s="14">
        <f>'Ministries Breakdown'!G695</f>
        <v>6800000</v>
      </c>
      <c r="I13" s="14">
        <f>'Ministries Breakdown'!I722</f>
        <v>3934750</v>
      </c>
      <c r="J13" s="14">
        <f t="shared" si="1"/>
        <v>15700710.174936818</v>
      </c>
    </row>
    <row r="14" spans="1:10">
      <c r="A14" s="12" t="s">
        <v>714</v>
      </c>
      <c r="B14" s="13" t="s">
        <v>1046</v>
      </c>
      <c r="C14" s="14">
        <v>7933060.4803000018</v>
      </c>
      <c r="D14" s="14">
        <v>14200000</v>
      </c>
      <c r="E14" s="14">
        <f t="shared" si="0"/>
        <v>22133060.480300002</v>
      </c>
      <c r="F14" s="14">
        <f>'Ministries Breakdown'!G817</f>
        <v>7735602.690266218</v>
      </c>
      <c r="G14" s="348">
        <v>5907394</v>
      </c>
      <c r="H14" s="14">
        <f>'Ministries Breakdown'!G818</f>
        <v>12800000</v>
      </c>
      <c r="I14" s="14">
        <f>'Ministries Breakdown'!I859</f>
        <v>7282172.4399999995</v>
      </c>
      <c r="J14" s="14">
        <f t="shared" si="1"/>
        <v>20535602.690266218</v>
      </c>
    </row>
    <row r="15" spans="1:10" ht="25.5">
      <c r="A15" s="12" t="s">
        <v>1047</v>
      </c>
      <c r="B15" s="13" t="s">
        <v>386</v>
      </c>
      <c r="C15" s="14">
        <v>30527570</v>
      </c>
      <c r="D15" s="14">
        <v>2284450000</v>
      </c>
      <c r="E15" s="14">
        <f t="shared" si="0"/>
        <v>2314977570</v>
      </c>
      <c r="F15" s="14">
        <f>'Ministries Breakdown'!G939</f>
        <v>43499178.394296348</v>
      </c>
      <c r="G15" s="348">
        <v>26367727</v>
      </c>
      <c r="H15" s="14">
        <f>'Ministries Breakdown'!G940</f>
        <v>128650000</v>
      </c>
      <c r="I15" s="14"/>
      <c r="J15" s="14">
        <f t="shared" si="1"/>
        <v>172149178.39429635</v>
      </c>
    </row>
    <row r="16" spans="1:10">
      <c r="A16" s="12" t="s">
        <v>3704</v>
      </c>
      <c r="B16" s="13" t="s">
        <v>1015</v>
      </c>
      <c r="C16" s="14">
        <v>0</v>
      </c>
      <c r="D16" s="14">
        <v>0</v>
      </c>
      <c r="E16" s="14">
        <f>SUM(C16:D16)</f>
        <v>0</v>
      </c>
      <c r="F16" s="14">
        <v>0</v>
      </c>
      <c r="H16" s="14">
        <f>'Ministries Breakdown'!C1001</f>
        <v>0</v>
      </c>
      <c r="I16" s="14"/>
      <c r="J16" s="14">
        <f t="shared" si="1"/>
        <v>0</v>
      </c>
    </row>
    <row r="17" spans="1:10">
      <c r="A17" s="12" t="s">
        <v>1048</v>
      </c>
      <c r="B17" s="13" t="s">
        <v>1690</v>
      </c>
      <c r="C17" s="14">
        <v>36071369.485329993</v>
      </c>
      <c r="D17" s="14">
        <v>12600000</v>
      </c>
      <c r="E17" s="14">
        <f t="shared" si="0"/>
        <v>48671369.485329993</v>
      </c>
      <c r="F17" s="14">
        <f>'Ministries Breakdown'!G1046</f>
        <v>45763628.641555995</v>
      </c>
      <c r="G17" s="348">
        <v>10962906</v>
      </c>
      <c r="H17" s="14">
        <f>'Ministries Breakdown'!G1047</f>
        <v>12000000</v>
      </c>
      <c r="I17" s="14">
        <f>'Ministries Breakdown'!I1075</f>
        <v>3873998</v>
      </c>
      <c r="J17" s="14">
        <f t="shared" si="1"/>
        <v>57763628.641555995</v>
      </c>
    </row>
    <row r="18" spans="1:10" ht="25.5">
      <c r="A18" s="12" t="s">
        <v>2467</v>
      </c>
      <c r="B18" s="13" t="s">
        <v>3820</v>
      </c>
      <c r="C18" s="14">
        <v>35350788</v>
      </c>
      <c r="D18" s="14">
        <v>16150000</v>
      </c>
      <c r="E18" s="14">
        <f t="shared" si="0"/>
        <v>51500788</v>
      </c>
      <c r="F18" s="14">
        <f>'Ministries Breakdown'!G1122</f>
        <v>35005210.958502829</v>
      </c>
      <c r="G18" s="348">
        <v>9906582</v>
      </c>
      <c r="H18" s="14">
        <f>'Ministries Breakdown'!G1123</f>
        <v>8000000</v>
      </c>
      <c r="I18" s="14"/>
      <c r="J18" s="14">
        <f t="shared" si="1"/>
        <v>43005210.958502829</v>
      </c>
    </row>
    <row r="19" spans="1:10">
      <c r="A19" s="12" t="s">
        <v>3822</v>
      </c>
      <c r="B19" s="13" t="s">
        <v>3821</v>
      </c>
      <c r="C19" s="14">
        <v>780037</v>
      </c>
      <c r="D19" s="14">
        <v>17700000</v>
      </c>
      <c r="E19" s="14">
        <f t="shared" si="0"/>
        <v>18480037</v>
      </c>
      <c r="F19" s="14">
        <f>'Ministries Breakdown'!G1287</f>
        <v>1508414.8677617519</v>
      </c>
      <c r="G19" s="348" t="e">
        <f>#REF!</f>
        <v>#REF!</v>
      </c>
      <c r="H19" s="14">
        <f>'Ministries Breakdown'!G1288</f>
        <v>12000000</v>
      </c>
      <c r="I19" s="14">
        <f>'Ministries Breakdown'!I1313</f>
        <v>6156324.29</v>
      </c>
      <c r="J19" s="14">
        <f t="shared" si="1"/>
        <v>13508414.867761752</v>
      </c>
    </row>
    <row r="20" spans="1:10" ht="25.5">
      <c r="A20" s="12" t="s">
        <v>2683</v>
      </c>
      <c r="B20" s="13" t="s">
        <v>2973</v>
      </c>
      <c r="C20" s="14">
        <v>16871365.50976</v>
      </c>
      <c r="D20" s="14">
        <v>687800000</v>
      </c>
      <c r="E20" s="14">
        <f t="shared" si="0"/>
        <v>704671365.50976002</v>
      </c>
      <c r="F20" s="14">
        <f>'Ministries Breakdown'!G1382</f>
        <v>6379490.007809693</v>
      </c>
      <c r="G20" s="348" t="e">
        <f>#REF!</f>
        <v>#REF!</v>
      </c>
      <c r="H20" s="14">
        <f>'Ministries Breakdown'!G1383</f>
        <v>530800000</v>
      </c>
      <c r="I20" s="14">
        <f>'Ministries Breakdown'!I1410</f>
        <v>502465613</v>
      </c>
      <c r="J20" s="14">
        <f t="shared" si="1"/>
        <v>537179490.00780964</v>
      </c>
    </row>
    <row r="21" spans="1:10">
      <c r="A21" s="12" t="s">
        <v>2468</v>
      </c>
      <c r="B21" s="13" t="s">
        <v>3823</v>
      </c>
      <c r="C21" s="14">
        <v>830301190</v>
      </c>
      <c r="D21" s="14">
        <v>20500000</v>
      </c>
      <c r="E21" s="14">
        <f t="shared" si="0"/>
        <v>850801190</v>
      </c>
      <c r="F21" s="14">
        <f>'Ministries Breakdown'!G1470</f>
        <v>878157409.01259959</v>
      </c>
      <c r="G21" s="348" t="e">
        <f>#REF!</f>
        <v>#REF!</v>
      </c>
      <c r="H21" s="14">
        <f>'Ministries Breakdown'!G1471</f>
        <v>8500000</v>
      </c>
      <c r="I21" s="14">
        <f>'Ministries Breakdown'!I1498</f>
        <v>37080295.899999999</v>
      </c>
      <c r="J21" s="14">
        <f t="shared" si="1"/>
        <v>886657409.01259959</v>
      </c>
    </row>
    <row r="22" spans="1:10">
      <c r="A22" s="12" t="s">
        <v>1764</v>
      </c>
      <c r="B22" s="13" t="s">
        <v>86</v>
      </c>
      <c r="C22" s="14">
        <v>507616308</v>
      </c>
      <c r="D22" s="14">
        <v>252000000</v>
      </c>
      <c r="E22" s="14">
        <f t="shared" si="0"/>
        <v>759616308</v>
      </c>
      <c r="F22" s="14">
        <f>'Ministries Breakdown'!G1528</f>
        <v>232229948.50560984</v>
      </c>
      <c r="H22" s="14">
        <f>'Ministries Breakdown'!G1529</f>
        <v>222000000</v>
      </c>
      <c r="I22" s="14"/>
      <c r="J22" s="14">
        <f t="shared" si="1"/>
        <v>454229948.50560987</v>
      </c>
    </row>
    <row r="23" spans="1:10">
      <c r="A23" s="12" t="s">
        <v>1496</v>
      </c>
      <c r="B23" s="13" t="s">
        <v>87</v>
      </c>
      <c r="C23" s="14">
        <v>491689664.47728252</v>
      </c>
      <c r="D23" s="14">
        <v>15900000</v>
      </c>
      <c r="E23" s="14">
        <f t="shared" si="0"/>
        <v>507589664.47728252</v>
      </c>
      <c r="F23" s="14">
        <f>'Ministries Breakdown'!G1612</f>
        <v>329407701.35612041</v>
      </c>
      <c r="G23" s="348" t="e">
        <f>#REF!</f>
        <v>#REF!</v>
      </c>
      <c r="H23" s="14">
        <f>'Ministries Breakdown'!G1613</f>
        <v>15000000</v>
      </c>
      <c r="I23" s="14">
        <f>'Ministries Breakdown'!I1639</f>
        <v>1919419</v>
      </c>
      <c r="J23" s="14">
        <f t="shared" si="1"/>
        <v>344407701.35612041</v>
      </c>
    </row>
    <row r="24" spans="1:10" ht="25.5">
      <c r="A24" s="12" t="s">
        <v>1497</v>
      </c>
      <c r="B24" s="13" t="s">
        <v>4111</v>
      </c>
      <c r="C24" s="14">
        <v>9664282.615185</v>
      </c>
      <c r="D24" s="14">
        <v>36750000</v>
      </c>
      <c r="E24" s="14">
        <f t="shared" si="0"/>
        <v>46414282.615185</v>
      </c>
      <c r="F24" s="14">
        <f>'Ministries Breakdown'!G1709</f>
        <v>528000</v>
      </c>
      <c r="G24" s="348">
        <v>0</v>
      </c>
      <c r="H24" s="14">
        <f>'Ministries Breakdown'!G1710</f>
        <v>31750000</v>
      </c>
      <c r="I24" s="14"/>
      <c r="J24" s="14">
        <f t="shared" si="1"/>
        <v>32278000</v>
      </c>
    </row>
    <row r="25" spans="1:10" ht="25.5">
      <c r="A25" s="12" t="s">
        <v>1495</v>
      </c>
      <c r="B25" s="13" t="s">
        <v>568</v>
      </c>
      <c r="C25" s="14">
        <v>14072117</v>
      </c>
      <c r="D25" s="14">
        <v>907050000</v>
      </c>
      <c r="E25" s="14">
        <f t="shared" si="0"/>
        <v>921122117</v>
      </c>
      <c r="F25" s="14">
        <f>'Ministries Breakdown'!G1829</f>
        <v>24733937.812641513</v>
      </c>
      <c r="G25" s="348" t="e">
        <f>#REF!</f>
        <v>#REF!</v>
      </c>
      <c r="H25" s="14">
        <f>'Ministries Breakdown'!G1830</f>
        <v>306700000</v>
      </c>
      <c r="I25" s="14">
        <f>'Ministries Breakdown'!I1863</f>
        <v>397460620</v>
      </c>
      <c r="J25" s="14">
        <f t="shared" si="1"/>
        <v>331433937.8126415</v>
      </c>
    </row>
    <row r="26" spans="1:10">
      <c r="A26" s="12" t="s">
        <v>1498</v>
      </c>
      <c r="B26" s="13" t="s">
        <v>3324</v>
      </c>
      <c r="C26" s="14">
        <v>32824639.667614996</v>
      </c>
      <c r="D26" s="14">
        <v>12000000</v>
      </c>
      <c r="E26" s="14">
        <f t="shared" si="0"/>
        <v>44824639.667614996</v>
      </c>
      <c r="F26" s="14">
        <f>'Ministries Breakdown'!G1973</f>
        <v>36398196.254714467</v>
      </c>
      <c r="G26" s="348" t="e">
        <f>#REF!</f>
        <v>#REF!</v>
      </c>
      <c r="H26" s="14">
        <f>'Ministries Breakdown'!G1974</f>
        <v>12000000</v>
      </c>
      <c r="I26" s="14"/>
      <c r="J26" s="14">
        <f t="shared" si="1"/>
        <v>48398196.254714467</v>
      </c>
    </row>
    <row r="27" spans="1:10" ht="25.5">
      <c r="A27" s="12" t="s">
        <v>1494</v>
      </c>
      <c r="B27" s="13" t="s">
        <v>1944</v>
      </c>
      <c r="C27" s="14">
        <v>12904749.269420002</v>
      </c>
      <c r="D27" s="14">
        <v>7600000</v>
      </c>
      <c r="E27" s="14">
        <f>SUM(C27:D27)</f>
        <v>20504749.269420002</v>
      </c>
      <c r="F27" s="14">
        <f>'Ministries Breakdown'!G2040</f>
        <v>8100870.5896566994</v>
      </c>
      <c r="G27" s="369" t="e">
        <f>#REF!</f>
        <v>#REF!</v>
      </c>
      <c r="H27" s="14">
        <f>'Ministries Breakdown'!G2041</f>
        <v>7300000</v>
      </c>
      <c r="I27" s="14"/>
      <c r="J27" s="14">
        <f t="shared" si="1"/>
        <v>15400870.589656699</v>
      </c>
    </row>
    <row r="28" spans="1:10">
      <c r="A28" s="12" t="s">
        <v>3347</v>
      </c>
      <c r="B28" s="13" t="s">
        <v>3325</v>
      </c>
      <c r="C28" s="14">
        <v>37931246.231600001</v>
      </c>
      <c r="D28" s="14">
        <v>11500000</v>
      </c>
      <c r="E28" s="14">
        <f t="shared" si="0"/>
        <v>49431246.231600001</v>
      </c>
      <c r="F28" s="14">
        <f>'Ministries Breakdown'!G2220</f>
        <v>64217835.008465327</v>
      </c>
      <c r="G28" s="348" t="e">
        <f>#REF!</f>
        <v>#REF!</v>
      </c>
      <c r="H28" s="14">
        <f>'Ministries Breakdown'!G2221</f>
        <v>12000000</v>
      </c>
      <c r="I28" s="14">
        <f>'Ministries Breakdown'!I2250</f>
        <v>7602034</v>
      </c>
      <c r="J28" s="14">
        <f t="shared" si="1"/>
        <v>76217835.00846532</v>
      </c>
    </row>
    <row r="29" spans="1:10" ht="25.5">
      <c r="A29" s="12" t="s">
        <v>3349</v>
      </c>
      <c r="B29" s="13" t="s">
        <v>3348</v>
      </c>
      <c r="C29" s="14">
        <v>15266472.004800003</v>
      </c>
      <c r="D29" s="14">
        <v>17500000</v>
      </c>
      <c r="E29" s="14">
        <f t="shared" si="0"/>
        <v>32766472.004800003</v>
      </c>
      <c r="F29" s="14">
        <f>'Ministries Breakdown'!G2331</f>
        <v>15562406.300911885</v>
      </c>
      <c r="G29" s="348" t="e">
        <f>#REF!</f>
        <v>#REF!</v>
      </c>
      <c r="H29" s="14">
        <f>'Ministries Breakdown'!G2332</f>
        <v>13000000</v>
      </c>
      <c r="I29" s="346">
        <f>'Ministries Breakdown'!I2250</f>
        <v>7602034</v>
      </c>
      <c r="J29" s="14">
        <f t="shared" si="1"/>
        <v>28562406.300911885</v>
      </c>
    </row>
    <row r="30" spans="1:10">
      <c r="A30" s="12" t="s">
        <v>1047</v>
      </c>
      <c r="B30" s="13" t="s">
        <v>3994</v>
      </c>
      <c r="C30" s="14">
        <v>44143088</v>
      </c>
      <c r="D30" s="14">
        <v>3000000</v>
      </c>
      <c r="E30" s="14">
        <f t="shared" si="0"/>
        <v>47143088</v>
      </c>
      <c r="F30" s="14">
        <f>'Ministries Breakdown'!G2409</f>
        <v>53628344.262968764</v>
      </c>
      <c r="G30" s="348" t="e">
        <f>#REF!</f>
        <v>#REF!</v>
      </c>
      <c r="H30" s="14">
        <f>'Ministries Breakdown'!G2410</f>
        <v>3000000</v>
      </c>
      <c r="I30" s="14"/>
      <c r="J30" s="14">
        <f t="shared" si="1"/>
        <v>56628344.262968764</v>
      </c>
    </row>
    <row r="31" spans="1:10">
      <c r="A31" s="12" t="s">
        <v>3704</v>
      </c>
      <c r="B31" s="13" t="s">
        <v>1135</v>
      </c>
      <c r="C31" s="14">
        <v>1730200000</v>
      </c>
      <c r="D31" s="14">
        <v>75600000</v>
      </c>
      <c r="E31" s="14">
        <f t="shared" si="0"/>
        <v>1805800000</v>
      </c>
      <c r="F31" s="14">
        <f>'Ministries Breakdown'!G2471</f>
        <v>478701578.99674666</v>
      </c>
      <c r="G31" s="369" t="e">
        <f>#REF!</f>
        <v>#REF!</v>
      </c>
      <c r="H31" s="14">
        <f>'Ministries Breakdown'!G2472</f>
        <v>67600000</v>
      </c>
      <c r="I31" s="14">
        <f>'Ministries Breakdown'!I2500</f>
        <v>23269400</v>
      </c>
      <c r="J31" s="14">
        <f t="shared" si="1"/>
        <v>546301578.99674666</v>
      </c>
    </row>
    <row r="32" spans="1:10">
      <c r="A32" s="12" t="s">
        <v>1048</v>
      </c>
      <c r="B32" s="13" t="s">
        <v>1136</v>
      </c>
      <c r="C32" s="14">
        <v>0</v>
      </c>
      <c r="D32" s="14">
        <v>1244200000</v>
      </c>
      <c r="E32" s="14">
        <f t="shared" si="0"/>
        <v>1244200000</v>
      </c>
      <c r="F32" s="14">
        <f>'Ministries Breakdown'!G2542</f>
        <v>7945587.4031038238</v>
      </c>
      <c r="G32" s="348" t="e">
        <f>#REF!</f>
        <v>#REF!</v>
      </c>
      <c r="H32" s="14">
        <f>'Ministries Breakdown'!G2543</f>
        <v>1045200000</v>
      </c>
      <c r="I32" s="14"/>
      <c r="J32" s="14">
        <f t="shared" si="1"/>
        <v>1053145587.4031038</v>
      </c>
    </row>
    <row r="33" spans="1:10">
      <c r="A33" s="12" t="s">
        <v>2467</v>
      </c>
      <c r="B33" s="13" t="s">
        <v>739</v>
      </c>
      <c r="C33" s="14">
        <v>1687912.7096000002</v>
      </c>
      <c r="D33" s="14">
        <v>11500000</v>
      </c>
      <c r="E33" s="14">
        <f t="shared" si="0"/>
        <v>13187912.7096</v>
      </c>
      <c r="F33" s="14">
        <f>'Ministries Breakdown'!G2612</f>
        <v>1816255.6511786282</v>
      </c>
      <c r="G33" s="348" t="e">
        <f>#REF!</f>
        <v>#REF!</v>
      </c>
      <c r="H33" s="14">
        <f>'Ministries Breakdown'!G2613</f>
        <v>7000000</v>
      </c>
      <c r="I33" s="14"/>
      <c r="J33" s="14">
        <f t="shared" si="1"/>
        <v>8816255.6511786282</v>
      </c>
    </row>
    <row r="34" spans="1:10">
      <c r="A34" s="12" t="s">
        <v>3822</v>
      </c>
      <c r="B34" s="13" t="s">
        <v>612</v>
      </c>
      <c r="C34" s="14">
        <v>0</v>
      </c>
      <c r="D34" s="14">
        <v>0</v>
      </c>
      <c r="E34" s="14">
        <f t="shared" si="0"/>
        <v>0</v>
      </c>
      <c r="F34" s="14">
        <v>0</v>
      </c>
      <c r="G34" s="348" t="e">
        <f>#REF!</f>
        <v>#REF!</v>
      </c>
      <c r="H34" s="14">
        <v>0</v>
      </c>
      <c r="I34" s="14"/>
      <c r="J34" s="14">
        <f t="shared" si="1"/>
        <v>0</v>
      </c>
    </row>
    <row r="35" spans="1:10">
      <c r="A35" s="12" t="s">
        <v>740</v>
      </c>
      <c r="B35" s="13" t="s">
        <v>882</v>
      </c>
      <c r="C35" s="14">
        <v>75072860</v>
      </c>
      <c r="D35" s="14">
        <v>113150000</v>
      </c>
      <c r="E35" s="14">
        <f t="shared" si="0"/>
        <v>188222860</v>
      </c>
      <c r="F35" s="14">
        <f>'Ministries Breakdown'!G2849</f>
        <v>188249495.81600782</v>
      </c>
      <c r="G35" s="348" t="e">
        <f>#REF!</f>
        <v>#REF!</v>
      </c>
      <c r="H35" s="14">
        <f>'Ministries Breakdown'!G2850</f>
        <v>80450000</v>
      </c>
      <c r="I35" s="14">
        <f>'Ministries Breakdown'!I2885</f>
        <v>13460642.6</v>
      </c>
      <c r="J35" s="14">
        <f t="shared" si="1"/>
        <v>268699495.81600785</v>
      </c>
    </row>
    <row r="36" spans="1:10" ht="25.5">
      <c r="A36" s="12" t="s">
        <v>1324</v>
      </c>
      <c r="B36" s="13" t="s">
        <v>883</v>
      </c>
      <c r="C36" s="14">
        <v>170541525</v>
      </c>
      <c r="D36" s="14">
        <v>22500000</v>
      </c>
      <c r="E36" s="14">
        <f t="shared" si="0"/>
        <v>193041525</v>
      </c>
      <c r="F36" s="14">
        <f>'Ministries Breakdown'!G3010</f>
        <v>114953013.41933551</v>
      </c>
      <c r="G36" s="369" t="e">
        <f>#REF!</f>
        <v>#REF!</v>
      </c>
      <c r="H36" s="14">
        <f>'Ministries Breakdown'!G3011</f>
        <v>21500000</v>
      </c>
      <c r="I36" s="14"/>
      <c r="J36" s="14">
        <f t="shared" si="1"/>
        <v>136453013.41933551</v>
      </c>
    </row>
    <row r="37" spans="1:10" ht="25.5">
      <c r="A37" s="12" t="s">
        <v>886</v>
      </c>
      <c r="B37" s="13" t="s">
        <v>1325</v>
      </c>
      <c r="C37" s="14">
        <v>26478025</v>
      </c>
      <c r="D37" s="16">
        <v>8700000</v>
      </c>
      <c r="E37" s="14">
        <f t="shared" si="0"/>
        <v>35178025</v>
      </c>
      <c r="F37" s="14">
        <f>'Ministries Breakdown'!G3123</f>
        <v>29412449.901263833</v>
      </c>
      <c r="G37" s="348" t="e">
        <f>#REF!</f>
        <v>#REF!</v>
      </c>
      <c r="H37" s="16">
        <f>'Ministries Breakdown'!G3124</f>
        <v>7000000</v>
      </c>
      <c r="I37" s="16">
        <f>'Ministries Breakdown'!I3151</f>
        <v>2569541.98</v>
      </c>
      <c r="J37" s="14">
        <f t="shared" si="1"/>
        <v>36412449.901263833</v>
      </c>
    </row>
    <row r="38" spans="1:10">
      <c r="A38" s="12" t="s">
        <v>1326</v>
      </c>
      <c r="B38" s="13" t="s">
        <v>884</v>
      </c>
      <c r="C38" s="14">
        <v>43667087</v>
      </c>
      <c r="D38" s="14">
        <v>22300000</v>
      </c>
      <c r="E38" s="14">
        <f t="shared" si="0"/>
        <v>65967087</v>
      </c>
      <c r="F38" s="14">
        <f>'Ministries Breakdown'!G3248</f>
        <v>48431346.491523325</v>
      </c>
      <c r="G38" s="348" t="e">
        <f>#REF!</f>
        <v>#REF!</v>
      </c>
      <c r="H38" s="14">
        <f>'Ministries Breakdown'!G3249</f>
        <v>22600000</v>
      </c>
      <c r="I38" s="14">
        <f>'Ministries Breakdown'!I3282</f>
        <v>1583000</v>
      </c>
      <c r="J38" s="14">
        <f t="shared" si="1"/>
        <v>71031346.491523325</v>
      </c>
    </row>
    <row r="39" spans="1:10" ht="25.5">
      <c r="A39" s="12" t="s">
        <v>885</v>
      </c>
      <c r="B39" s="13" t="s">
        <v>1327</v>
      </c>
      <c r="C39" s="14">
        <v>3226726</v>
      </c>
      <c r="D39" s="16">
        <v>8600000</v>
      </c>
      <c r="E39" s="14">
        <f t="shared" si="0"/>
        <v>11826726</v>
      </c>
      <c r="F39" s="14">
        <f>'Ministries Breakdown'!G3331</f>
        <v>2680782.2401955044</v>
      </c>
      <c r="G39" s="348" t="e">
        <f>#REF!</f>
        <v>#REF!</v>
      </c>
      <c r="H39" s="16">
        <f>'Ministries Breakdown'!G3332</f>
        <v>6800000</v>
      </c>
      <c r="I39" s="16"/>
      <c r="J39" s="14">
        <f t="shared" si="1"/>
        <v>9480782.2401955053</v>
      </c>
    </row>
    <row r="40" spans="1:10">
      <c r="A40" s="12" t="s">
        <v>1328</v>
      </c>
      <c r="B40" s="13" t="s">
        <v>1672</v>
      </c>
      <c r="C40" s="14">
        <v>587994589</v>
      </c>
      <c r="D40" s="14">
        <v>908400000</v>
      </c>
      <c r="E40" s="14">
        <f t="shared" si="0"/>
        <v>1496394589</v>
      </c>
      <c r="F40" s="14">
        <f>'Ministries Breakdown'!G3530</f>
        <v>312333733.93134761</v>
      </c>
      <c r="G40" s="369" t="e">
        <f>#REF!</f>
        <v>#REF!</v>
      </c>
      <c r="H40" s="14">
        <f>'Ministries Breakdown'!G3531</f>
        <v>1245900000</v>
      </c>
      <c r="I40" s="14">
        <f>'Ministries Breakdown'!I3581</f>
        <v>197627329</v>
      </c>
      <c r="J40" s="14">
        <f t="shared" si="1"/>
        <v>1558233733.9313476</v>
      </c>
    </row>
    <row r="41" spans="1:10" ht="25.5">
      <c r="A41" s="12" t="s">
        <v>2592</v>
      </c>
      <c r="B41" s="13" t="s">
        <v>576</v>
      </c>
      <c r="C41" s="14">
        <v>68838577</v>
      </c>
      <c r="D41" s="14">
        <v>355200000</v>
      </c>
      <c r="E41" s="14">
        <f t="shared" si="0"/>
        <v>424038577</v>
      </c>
      <c r="F41" s="14">
        <f>'Ministries Breakdown'!G3718</f>
        <v>116397062.97756614</v>
      </c>
      <c r="G41" s="348" t="e">
        <f>#REF!</f>
        <v>#REF!</v>
      </c>
      <c r="H41" s="14">
        <f>'Ministries Breakdown'!G3719</f>
        <v>331200000</v>
      </c>
      <c r="I41" s="14"/>
      <c r="J41" s="14">
        <f t="shared" si="1"/>
        <v>447597062.97756612</v>
      </c>
    </row>
    <row r="42" spans="1:10">
      <c r="A42" s="12" t="s">
        <v>577</v>
      </c>
      <c r="B42" s="13" t="s">
        <v>3006</v>
      </c>
      <c r="C42" s="14">
        <v>1910288480</v>
      </c>
      <c r="D42" s="14">
        <v>728750000</v>
      </c>
      <c r="E42" s="14">
        <f t="shared" si="0"/>
        <v>2639038480</v>
      </c>
      <c r="F42" s="14">
        <f>'Ministries Breakdown'!G3908+'Ministries Breakdown'!G3909</f>
        <v>408477855.32004112</v>
      </c>
      <c r="G42" s="348" t="e">
        <f>#REF!</f>
        <v>#REF!</v>
      </c>
      <c r="H42" s="14">
        <f>'Ministries Breakdown'!G3910</f>
        <v>670200000</v>
      </c>
      <c r="I42" s="14"/>
      <c r="J42" s="14">
        <f t="shared" si="1"/>
        <v>1078677855.3200412</v>
      </c>
    </row>
    <row r="43" spans="1:10" ht="25.5">
      <c r="A43" s="12" t="s">
        <v>2592</v>
      </c>
      <c r="B43" s="13" t="s">
        <v>948</v>
      </c>
      <c r="C43" s="14">
        <v>30030589</v>
      </c>
      <c r="D43" s="14">
        <v>307200000</v>
      </c>
      <c r="E43" s="14">
        <f t="shared" si="0"/>
        <v>337230589</v>
      </c>
      <c r="F43" s="14">
        <f>'Ministries Breakdown'!G4039</f>
        <v>123991579.79779655</v>
      </c>
      <c r="G43" s="348" t="e">
        <f>#REF!</f>
        <v>#REF!</v>
      </c>
      <c r="H43" s="14">
        <f>'Ministries Breakdown'!G4040</f>
        <v>238300000</v>
      </c>
      <c r="I43" s="14"/>
      <c r="J43" s="14">
        <f t="shared" si="1"/>
        <v>362291579.79779655</v>
      </c>
    </row>
    <row r="44" spans="1:10">
      <c r="A44" s="12" t="s">
        <v>382</v>
      </c>
      <c r="B44" s="13" t="s">
        <v>4112</v>
      </c>
      <c r="C44" s="14">
        <v>47839905.802780017</v>
      </c>
      <c r="D44" s="14">
        <v>20200000</v>
      </c>
      <c r="E44" s="14">
        <f t="shared" si="0"/>
        <v>68039905.802780017</v>
      </c>
      <c r="F44" s="14">
        <f>'Ministries Breakdown'!G4153</f>
        <v>11042999.521303067</v>
      </c>
      <c r="G44" s="348">
        <v>0</v>
      </c>
      <c r="H44" s="14">
        <f>'Ministries Breakdown'!G4154</f>
        <v>15200000</v>
      </c>
      <c r="I44" s="14"/>
      <c r="J44" s="14">
        <f t="shared" si="1"/>
        <v>26242999.521303065</v>
      </c>
    </row>
    <row r="45" spans="1:10">
      <c r="A45" s="18" t="s">
        <v>2047</v>
      </c>
      <c r="B45" s="13" t="s">
        <v>3811</v>
      </c>
      <c r="C45" s="14">
        <v>168565745</v>
      </c>
      <c r="D45" s="14">
        <v>602396999.75</v>
      </c>
      <c r="E45" s="14">
        <f t="shared" si="0"/>
        <v>770962744.75</v>
      </c>
      <c r="F45" s="14">
        <f>'Ministries Breakdown'!G4492</f>
        <v>180151538.94995442</v>
      </c>
      <c r="G45" s="369" t="e">
        <f>#REF!</f>
        <v>#REF!</v>
      </c>
      <c r="H45" s="14">
        <f>'Ministries Breakdown'!G4493</f>
        <v>729900000</v>
      </c>
      <c r="I45" s="14"/>
      <c r="J45" s="14">
        <f t="shared" si="1"/>
        <v>910051538.94995439</v>
      </c>
    </row>
    <row r="46" spans="1:10">
      <c r="A46" s="12" t="s">
        <v>1102</v>
      </c>
      <c r="B46" s="13" t="s">
        <v>1261</v>
      </c>
      <c r="C46" s="14">
        <v>17220474.029789999</v>
      </c>
      <c r="D46" s="14">
        <v>27300000</v>
      </c>
      <c r="E46" s="14">
        <f t="shared" si="0"/>
        <v>44520474.029789999</v>
      </c>
      <c r="F46" s="14">
        <f>'Ministries Breakdown'!G4687</f>
        <v>65622655.284584224</v>
      </c>
      <c r="G46" s="348" t="e">
        <f>#REF!</f>
        <v>#REF!</v>
      </c>
      <c r="H46" s="14">
        <f>'Ministries Breakdown'!G4688</f>
        <v>25000000</v>
      </c>
      <c r="I46" s="14"/>
      <c r="J46" s="14">
        <f t="shared" si="1"/>
        <v>90622655.284584224</v>
      </c>
    </row>
    <row r="47" spans="1:10" ht="24">
      <c r="A47" s="12" t="s">
        <v>2592</v>
      </c>
      <c r="B47" s="347" t="s">
        <v>3489</v>
      </c>
      <c r="C47" s="14">
        <v>25048010.575649995</v>
      </c>
      <c r="D47" s="14">
        <v>127800000</v>
      </c>
      <c r="E47" s="14">
        <f t="shared" si="0"/>
        <v>152848010.57565001</v>
      </c>
      <c r="F47" s="14">
        <f>'Ministries Breakdown'!G4836</f>
        <v>35588708.881229624</v>
      </c>
      <c r="G47" s="348" t="e">
        <f>#REF!</f>
        <v>#REF!</v>
      </c>
      <c r="H47" s="14">
        <f>'Ministries Breakdown'!G4837</f>
        <v>124000000</v>
      </c>
      <c r="I47" s="14"/>
      <c r="J47" s="14">
        <f t="shared" si="1"/>
        <v>159588708.88122964</v>
      </c>
    </row>
    <row r="48" spans="1:10">
      <c r="A48" s="12" t="s">
        <v>382</v>
      </c>
      <c r="B48" s="13" t="s">
        <v>347</v>
      </c>
      <c r="C48" s="14">
        <v>63715575</v>
      </c>
      <c r="D48" s="16">
        <v>58300000</v>
      </c>
      <c r="E48" s="14">
        <f t="shared" si="0"/>
        <v>122015575</v>
      </c>
      <c r="F48" s="14">
        <f>'Ministries Breakdown'!G4944</f>
        <v>50925810.058360644</v>
      </c>
      <c r="G48" s="348" t="e">
        <f>#REF!</f>
        <v>#REF!</v>
      </c>
      <c r="H48" s="16">
        <f>'Ministries Breakdown'!G4945</f>
        <v>55000000</v>
      </c>
      <c r="I48" s="16"/>
      <c r="J48" s="14">
        <f t="shared" si="1"/>
        <v>105925810.05836064</v>
      </c>
    </row>
    <row r="49" spans="1:10" ht="25.5">
      <c r="A49" s="12" t="s">
        <v>1962</v>
      </c>
      <c r="B49" s="13" t="s">
        <v>205</v>
      </c>
      <c r="C49" s="14">
        <v>3871313</v>
      </c>
      <c r="D49" s="16">
        <v>8500000</v>
      </c>
      <c r="E49" s="14">
        <f t="shared" si="0"/>
        <v>12371313</v>
      </c>
      <c r="F49" s="14">
        <f>'Ministries Breakdown'!G5056</f>
        <v>31910111.279676151</v>
      </c>
      <c r="G49" s="348" t="e">
        <f>#REF!</f>
        <v>#REF!</v>
      </c>
      <c r="H49" s="16">
        <f>'Ministries Breakdown'!G5057</f>
        <v>5400000</v>
      </c>
      <c r="I49" s="16">
        <f>'Ministries Breakdown'!I5083</f>
        <v>6591039</v>
      </c>
      <c r="J49" s="14">
        <f t="shared" si="1"/>
        <v>37310111.279676154</v>
      </c>
    </row>
    <row r="50" spans="1:10">
      <c r="A50" s="12" t="s">
        <v>4067</v>
      </c>
      <c r="B50" s="13" t="s">
        <v>2776</v>
      </c>
      <c r="C50" s="14">
        <v>112266739</v>
      </c>
      <c r="D50" s="14">
        <v>222000000</v>
      </c>
      <c r="E50" s="14">
        <f t="shared" si="0"/>
        <v>334266739</v>
      </c>
      <c r="F50" s="14">
        <f>'Ministries Breakdown'!G5191</f>
        <v>58192510.780028157</v>
      </c>
      <c r="G50" s="369" t="e">
        <f>#REF!</f>
        <v>#REF!</v>
      </c>
      <c r="H50" s="14">
        <f>'Ministries Breakdown'!G5192</f>
        <v>137000000</v>
      </c>
      <c r="I50" s="14">
        <f>'Ministries Breakdown'!I5228</f>
        <v>10013863</v>
      </c>
      <c r="J50" s="14">
        <f t="shared" si="1"/>
        <v>195192510.78002816</v>
      </c>
    </row>
    <row r="51" spans="1:10">
      <c r="A51" s="12" t="s">
        <v>2592</v>
      </c>
      <c r="B51" s="13" t="s">
        <v>2777</v>
      </c>
      <c r="C51" s="14">
        <v>180203813</v>
      </c>
      <c r="D51" s="14">
        <v>17000000</v>
      </c>
      <c r="E51" s="14">
        <f t="shared" si="0"/>
        <v>197203813</v>
      </c>
      <c r="F51" s="14">
        <f>'Ministries Breakdown'!G5378</f>
        <v>606347564.85113537</v>
      </c>
      <c r="G51" s="348" t="e">
        <f>#REF!</f>
        <v>#REF!</v>
      </c>
      <c r="H51" s="14">
        <f>'Ministries Breakdown'!G5379</f>
        <v>120000000</v>
      </c>
      <c r="I51" s="14"/>
      <c r="J51" s="14">
        <f t="shared" si="1"/>
        <v>726347564.85113537</v>
      </c>
    </row>
    <row r="52" spans="1:10">
      <c r="A52" s="12" t="s">
        <v>382</v>
      </c>
      <c r="B52" s="13" t="s">
        <v>188</v>
      </c>
      <c r="C52" s="14">
        <v>412512566</v>
      </c>
      <c r="D52" s="14">
        <v>63500000</v>
      </c>
      <c r="E52" s="14">
        <f t="shared" si="0"/>
        <v>476012566</v>
      </c>
      <c r="F52" s="14">
        <f>'Ministries Breakdown'!G5590</f>
        <v>1272981117.7726216</v>
      </c>
      <c r="G52" s="348" t="e">
        <f>#REF!</f>
        <v>#REF!</v>
      </c>
      <c r="H52" s="14">
        <f>'Ministries Breakdown'!G5591</f>
        <v>120000000</v>
      </c>
      <c r="I52" s="14">
        <f>'Ministries Breakdown'!I5621</f>
        <v>23722837.25</v>
      </c>
      <c r="J52" s="14">
        <f t="shared" si="1"/>
        <v>1392981117.7726216</v>
      </c>
    </row>
    <row r="53" spans="1:10">
      <c r="A53" s="12" t="s">
        <v>1962</v>
      </c>
      <c r="B53" s="13" t="s">
        <v>189</v>
      </c>
      <c r="C53" s="14">
        <v>37636012</v>
      </c>
      <c r="D53" s="14">
        <v>8500000</v>
      </c>
      <c r="E53" s="14">
        <f t="shared" si="0"/>
        <v>46136012</v>
      </c>
      <c r="F53" s="14">
        <f>'Ministries Breakdown'!G5693</f>
        <v>34317555.710301407</v>
      </c>
      <c r="G53" s="348" t="e">
        <f>#REF!</f>
        <v>#REF!</v>
      </c>
      <c r="H53" s="14">
        <f>'Ministries Breakdown'!G5694</f>
        <v>13700000</v>
      </c>
      <c r="I53" s="14">
        <f>'Ministries Breakdown'!I5726</f>
        <v>1373782.5</v>
      </c>
      <c r="J53" s="14">
        <f t="shared" si="1"/>
        <v>48017555.710301407</v>
      </c>
    </row>
    <row r="54" spans="1:10">
      <c r="A54" s="12" t="s">
        <v>1834</v>
      </c>
      <c r="B54" s="13" t="s">
        <v>3560</v>
      </c>
      <c r="C54" s="14">
        <v>4914312</v>
      </c>
      <c r="D54" s="14">
        <v>7400000</v>
      </c>
      <c r="E54" s="14">
        <f t="shared" si="0"/>
        <v>12314312</v>
      </c>
      <c r="F54" s="14">
        <f>'Ministries Breakdown'!G5759</f>
        <v>14226936.986858774</v>
      </c>
      <c r="G54" s="348" t="e">
        <f>#REF!</f>
        <v>#REF!</v>
      </c>
      <c r="H54" s="14">
        <f>'Ministries Breakdown'!G5760</f>
        <v>6400000</v>
      </c>
      <c r="I54" s="14"/>
      <c r="J54" s="14">
        <f t="shared" si="1"/>
        <v>20626936.986858774</v>
      </c>
    </row>
    <row r="55" spans="1:10">
      <c r="A55" s="12" t="s">
        <v>190</v>
      </c>
      <c r="B55" s="13" t="s">
        <v>2608</v>
      </c>
      <c r="C55" s="14">
        <v>240981122</v>
      </c>
      <c r="D55" s="14">
        <v>776500000</v>
      </c>
      <c r="E55" s="14">
        <f t="shared" si="0"/>
        <v>1017481122</v>
      </c>
      <c r="F55" s="14">
        <f>'Ministries Breakdown'!G6179</f>
        <v>132968661.95824206</v>
      </c>
      <c r="G55" s="369" t="e">
        <f>#REF!</f>
        <v>#REF!</v>
      </c>
      <c r="H55" s="14">
        <f>'Ministries Breakdown'!G6180</f>
        <v>1044600000</v>
      </c>
      <c r="I55" s="14"/>
      <c r="J55" s="14">
        <f t="shared" si="1"/>
        <v>1177568661.9582419</v>
      </c>
    </row>
    <row r="56" spans="1:10">
      <c r="A56" s="12" t="s">
        <v>1499</v>
      </c>
      <c r="B56" s="13" t="s">
        <v>1436</v>
      </c>
      <c r="C56" s="14">
        <v>51033877.288179994</v>
      </c>
      <c r="D56" s="14">
        <v>4800000</v>
      </c>
      <c r="E56" s="14">
        <f t="shared" si="0"/>
        <v>55833877.288179994</v>
      </c>
      <c r="F56" s="14">
        <f>'Ministries Breakdown'!G6260</f>
        <v>3070225.5140550639</v>
      </c>
      <c r="G56" s="348">
        <v>0</v>
      </c>
      <c r="H56" s="14">
        <f>'Ministries Breakdown'!G6261</f>
        <v>4900000</v>
      </c>
      <c r="I56" s="14"/>
      <c r="J56" s="14">
        <f t="shared" si="1"/>
        <v>7970225.5140550639</v>
      </c>
    </row>
    <row r="57" spans="1:10">
      <c r="A57" s="12" t="s">
        <v>1663</v>
      </c>
      <c r="B57" s="13" t="s">
        <v>1419</v>
      </c>
      <c r="C57" s="14">
        <v>46305338</v>
      </c>
      <c r="D57" s="14">
        <v>18700000</v>
      </c>
      <c r="E57" s="14">
        <f t="shared" si="0"/>
        <v>65005338</v>
      </c>
      <c r="F57" s="14">
        <f>'Ministries Breakdown'!G6348</f>
        <v>43309551.46749863</v>
      </c>
      <c r="G57" s="348" t="e">
        <f>#REF!</f>
        <v>#REF!</v>
      </c>
      <c r="H57" s="14">
        <f>'Ministries Breakdown'!G6349</f>
        <v>13000000</v>
      </c>
      <c r="I57" s="14">
        <f>'Ministries Breakdown'!I6376</f>
        <v>7500000</v>
      </c>
      <c r="J57" s="14">
        <f t="shared" si="1"/>
        <v>56309551.46749863</v>
      </c>
    </row>
    <row r="58" spans="1:10">
      <c r="A58" s="12" t="s">
        <v>1437</v>
      </c>
      <c r="B58" s="13" t="s">
        <v>1765</v>
      </c>
      <c r="C58" s="14">
        <v>117343562</v>
      </c>
      <c r="D58" s="14">
        <v>13800000</v>
      </c>
      <c r="E58" s="14">
        <f t="shared" si="0"/>
        <v>131143562</v>
      </c>
      <c r="F58" s="14">
        <f>'Ministries Breakdown'!G6558</f>
        <v>130157567.2512583</v>
      </c>
      <c r="G58" s="348" t="e">
        <f>#REF!</f>
        <v>#REF!</v>
      </c>
      <c r="H58" s="14">
        <f>'Ministries Breakdown'!G6559</f>
        <v>13000000</v>
      </c>
      <c r="I58" s="14">
        <f>'Ministries Breakdown'!G6589</f>
        <v>6679972</v>
      </c>
      <c r="J58" s="14">
        <f t="shared" si="1"/>
        <v>143157567.25125831</v>
      </c>
    </row>
    <row r="59" spans="1:10">
      <c r="A59" s="12" t="s">
        <v>1499</v>
      </c>
      <c r="B59" s="13" t="s">
        <v>1766</v>
      </c>
      <c r="C59" s="14">
        <v>15843425</v>
      </c>
      <c r="D59" s="17">
        <v>12000000</v>
      </c>
      <c r="E59" s="14">
        <f t="shared" si="0"/>
        <v>27843425</v>
      </c>
      <c r="F59" s="14">
        <f>'Ministries Breakdown'!G6674</f>
        <v>82761997.072771102</v>
      </c>
      <c r="G59" s="370" t="e">
        <f>#REF!</f>
        <v>#REF!</v>
      </c>
      <c r="H59" s="17">
        <f>'Ministries Breakdown'!G6675</f>
        <v>12500000</v>
      </c>
      <c r="I59" s="17">
        <f>'Ministries Breakdown'!I6702</f>
        <v>7459636.4000000004</v>
      </c>
      <c r="J59" s="14">
        <f t="shared" si="1"/>
        <v>95261997.072771102</v>
      </c>
    </row>
    <row r="60" spans="1:10">
      <c r="A60" s="12" t="s">
        <v>1663</v>
      </c>
      <c r="B60" s="13" t="s">
        <v>1767</v>
      </c>
      <c r="C60" s="14">
        <v>12398513</v>
      </c>
      <c r="D60" s="17">
        <v>14000000</v>
      </c>
      <c r="E60" s="14">
        <f t="shared" si="0"/>
        <v>26398513</v>
      </c>
      <c r="F60" s="14">
        <f>'Ministries Breakdown'!G6825</f>
        <v>51335478.913115919</v>
      </c>
      <c r="G60" s="348" t="e">
        <f>#REF!</f>
        <v>#REF!</v>
      </c>
      <c r="H60" s="17">
        <f>'Ministries Breakdown'!G6826</f>
        <v>14000000</v>
      </c>
      <c r="I60" s="17"/>
      <c r="J60" s="14">
        <f t="shared" si="1"/>
        <v>65335478.913115919</v>
      </c>
    </row>
    <row r="61" spans="1:10" ht="25.5">
      <c r="A61" s="12" t="s">
        <v>1962</v>
      </c>
      <c r="B61" s="13" t="s">
        <v>3275</v>
      </c>
      <c r="C61" s="14">
        <v>38444263</v>
      </c>
      <c r="D61" s="17">
        <v>12500000</v>
      </c>
      <c r="E61" s="14">
        <f t="shared" si="0"/>
        <v>50944263</v>
      </c>
      <c r="F61" s="14">
        <f>'Ministries Breakdown'!G6930</f>
        <v>56498154.20241531</v>
      </c>
      <c r="G61" s="348" t="e">
        <f>#REF!</f>
        <v>#REF!</v>
      </c>
      <c r="H61" s="17">
        <f>'Ministries Breakdown'!G6931</f>
        <v>7000000</v>
      </c>
      <c r="I61" s="17"/>
      <c r="J61" s="14">
        <f t="shared" si="1"/>
        <v>63498154.20241531</v>
      </c>
    </row>
    <row r="62" spans="1:10">
      <c r="A62" s="12" t="s">
        <v>1941</v>
      </c>
      <c r="B62" s="13" t="s">
        <v>1664</v>
      </c>
      <c r="C62" s="14">
        <v>74489832.909610003</v>
      </c>
      <c r="D62" s="14">
        <v>211100000</v>
      </c>
      <c r="E62" s="14">
        <f t="shared" si="0"/>
        <v>285589832.90961003</v>
      </c>
      <c r="F62" s="14">
        <f>'Ministries Breakdown'!G7087</f>
        <v>48861486.215565033</v>
      </c>
      <c r="G62" s="348" t="e">
        <f>#REF!</f>
        <v>#REF!</v>
      </c>
      <c r="H62" s="14">
        <f>'Ministries Breakdown'!G7088</f>
        <v>192600000</v>
      </c>
      <c r="I62" s="14">
        <f>'Ministries Breakdown'!I7121</f>
        <v>72630575</v>
      </c>
      <c r="J62" s="14">
        <f t="shared" si="1"/>
        <v>241461486.21556503</v>
      </c>
    </row>
    <row r="63" spans="1:10">
      <c r="A63" s="12" t="s">
        <v>2592</v>
      </c>
      <c r="B63" s="13" t="s">
        <v>901</v>
      </c>
      <c r="C63" s="14">
        <v>14210948.789600005</v>
      </c>
      <c r="D63" s="14">
        <v>212660000</v>
      </c>
      <c r="E63" s="14">
        <f t="shared" si="0"/>
        <v>226870948.78960001</v>
      </c>
      <c r="F63" s="14">
        <f>'Ministries Breakdown'!G7180</f>
        <v>20156789.520956326</v>
      </c>
      <c r="G63" s="348" t="e">
        <f>#REF!</f>
        <v>#REF!</v>
      </c>
      <c r="H63" s="14">
        <f>'Ministries Breakdown'!G7181</f>
        <v>18000000</v>
      </c>
      <c r="I63" s="14">
        <f>'Ministries Breakdown'!I7208</f>
        <v>4435000</v>
      </c>
      <c r="J63" s="14">
        <f t="shared" si="1"/>
        <v>38156789.520956323</v>
      </c>
    </row>
    <row r="64" spans="1:10">
      <c r="A64" s="12" t="s">
        <v>3584</v>
      </c>
      <c r="B64" s="18" t="s">
        <v>1942</v>
      </c>
      <c r="C64" s="14">
        <v>35061488</v>
      </c>
      <c r="D64" s="14">
        <v>44600000</v>
      </c>
      <c r="E64" s="14">
        <f t="shared" si="0"/>
        <v>79661488</v>
      </c>
      <c r="F64" s="14">
        <f>'Ministries Breakdown'!G7317</f>
        <v>58213222.860697389</v>
      </c>
      <c r="G64" s="348" t="e">
        <f>#REF!</f>
        <v>#REF!</v>
      </c>
      <c r="H64" s="14">
        <f>'Ministries Breakdown'!G7318</f>
        <v>30200000</v>
      </c>
      <c r="I64" s="14">
        <f>'Ministries Breakdown'!I7344</f>
        <v>6627052</v>
      </c>
      <c r="J64" s="14">
        <f t="shared" si="1"/>
        <v>88413222.860697389</v>
      </c>
    </row>
    <row r="65" spans="1:10">
      <c r="A65" s="12" t="s">
        <v>2592</v>
      </c>
      <c r="B65" s="18" t="s">
        <v>2774</v>
      </c>
      <c r="C65" s="14">
        <v>63866200</v>
      </c>
      <c r="D65" s="14">
        <v>6250000</v>
      </c>
      <c r="E65" s="14">
        <f t="shared" si="0"/>
        <v>70116200</v>
      </c>
      <c r="F65" s="14">
        <f>'Ministries Breakdown'!G7433</f>
        <v>58028268.183282554</v>
      </c>
      <c r="G65" s="348" t="e">
        <f>#REF!</f>
        <v>#REF!</v>
      </c>
      <c r="H65" s="14">
        <f>'Ministries Breakdown'!G7434</f>
        <v>6000000</v>
      </c>
      <c r="I65" s="14">
        <f>'Ministries Breakdown'!H7467</f>
        <v>2268604.2199999997</v>
      </c>
      <c r="J65" s="14">
        <f t="shared" si="1"/>
        <v>64028268.183282554</v>
      </c>
    </row>
    <row r="66" spans="1:10" ht="25.5">
      <c r="A66" s="12" t="s">
        <v>382</v>
      </c>
      <c r="B66" s="18" t="s">
        <v>3723</v>
      </c>
      <c r="C66" s="14">
        <v>140346156.805525</v>
      </c>
      <c r="D66" s="14">
        <v>222000000</v>
      </c>
      <c r="E66" s="14">
        <f t="shared" si="0"/>
        <v>362346156.805525</v>
      </c>
      <c r="F66" s="14">
        <f>'Ministries Breakdown'!G7532</f>
        <v>315338384.39533263</v>
      </c>
      <c r="G66" s="348" t="e">
        <f>#REF!</f>
        <v>#REF!</v>
      </c>
      <c r="H66" s="14">
        <f>'Ministries Breakdown'!G7533</f>
        <v>196000000</v>
      </c>
      <c r="I66" s="14">
        <f>'Ministries Breakdown'!I7561</f>
        <v>182300000</v>
      </c>
      <c r="J66" s="14">
        <f t="shared" si="1"/>
        <v>511338384.39533263</v>
      </c>
    </row>
    <row r="67" spans="1:10" ht="25.5">
      <c r="A67" s="12">
        <v>425</v>
      </c>
      <c r="B67" s="18" t="s">
        <v>2619</v>
      </c>
      <c r="C67" s="14">
        <v>80345111</v>
      </c>
      <c r="D67" s="14">
        <v>70800000</v>
      </c>
      <c r="E67" s="14">
        <f t="shared" si="0"/>
        <v>151145111</v>
      </c>
      <c r="F67" s="14">
        <f>'Ministries Breakdown'!G7680</f>
        <v>95267795.710760951</v>
      </c>
      <c r="G67" s="348" t="e">
        <f>#REF!</f>
        <v>#REF!</v>
      </c>
      <c r="H67" s="14">
        <f>'Ministries Breakdown'!G7681</f>
        <v>59200000</v>
      </c>
      <c r="I67" s="14"/>
      <c r="J67" s="14">
        <f t="shared" si="1"/>
        <v>154467795.71076095</v>
      </c>
    </row>
    <row r="68" spans="1:10">
      <c r="A68" s="12" t="s">
        <v>2620</v>
      </c>
      <c r="B68" s="13" t="s">
        <v>2664</v>
      </c>
      <c r="C68" s="14">
        <v>38454898.265379995</v>
      </c>
      <c r="D68" s="14">
        <v>8600000</v>
      </c>
      <c r="E68" s="14">
        <f t="shared" si="0"/>
        <v>47054898.265379995</v>
      </c>
      <c r="F68" s="14">
        <f>'Ministries Breakdown'!G7783</f>
        <v>63041645.227834277</v>
      </c>
      <c r="G68" s="348" t="e">
        <f>#REF!</f>
        <v>#REF!</v>
      </c>
      <c r="H68" s="14">
        <f>'Ministries Breakdown'!G7784</f>
        <v>8000000</v>
      </c>
      <c r="I68" s="14"/>
      <c r="J68" s="14">
        <f t="shared" si="1"/>
        <v>71041645.227834284</v>
      </c>
    </row>
    <row r="69" spans="1:10">
      <c r="A69" s="12" t="s">
        <v>1234</v>
      </c>
      <c r="B69" s="13" t="s">
        <v>4011</v>
      </c>
      <c r="C69" s="14">
        <v>4244076.6045599999</v>
      </c>
      <c r="D69" s="14">
        <v>12000000</v>
      </c>
      <c r="E69" s="14">
        <f t="shared" si="0"/>
        <v>16244076.604559999</v>
      </c>
      <c r="F69" s="14">
        <f>'Ministries Breakdown'!G7844</f>
        <v>6340323.6057403795</v>
      </c>
      <c r="G69" s="348" t="e">
        <f>#REF!</f>
        <v>#REF!</v>
      </c>
      <c r="H69" s="14">
        <f>'Ministries Breakdown'!G7845</f>
        <v>5000000</v>
      </c>
      <c r="I69" s="14"/>
      <c r="J69" s="14">
        <f t="shared" si="1"/>
        <v>11340323.60574038</v>
      </c>
    </row>
    <row r="70" spans="1:10">
      <c r="A70" s="12" t="s">
        <v>4012</v>
      </c>
      <c r="B70" s="13" t="s">
        <v>1973</v>
      </c>
      <c r="C70" s="14">
        <v>42452815.236599982</v>
      </c>
      <c r="D70" s="14">
        <v>118500000</v>
      </c>
      <c r="E70" s="14">
        <f t="shared" si="0"/>
        <v>160952815.23659998</v>
      </c>
      <c r="F70" s="14">
        <f>'Ministries Breakdown'!G7981</f>
        <v>58953926.115802839</v>
      </c>
      <c r="G70" s="348" t="e">
        <f>#REF!</f>
        <v>#REF!</v>
      </c>
      <c r="H70" s="14">
        <f>'Ministries Breakdown'!G7982</f>
        <v>110000000</v>
      </c>
      <c r="I70" s="14"/>
      <c r="J70" s="14">
        <f t="shared" si="1"/>
        <v>168953926.11580282</v>
      </c>
    </row>
    <row r="71" spans="1:10">
      <c r="A71" s="12" t="s">
        <v>1974</v>
      </c>
      <c r="B71" s="13" t="s">
        <v>1975</v>
      </c>
      <c r="C71" s="14">
        <v>9017629.6619200017</v>
      </c>
      <c r="D71" s="14">
        <v>7950000</v>
      </c>
      <c r="E71" s="14">
        <f t="shared" si="0"/>
        <v>16967629.661920004</v>
      </c>
      <c r="F71" s="14">
        <f>'Ministries Breakdown'!G8064</f>
        <v>8559760.2207002658</v>
      </c>
      <c r="G71" s="348" t="e">
        <f>#REF!</f>
        <v>#REF!</v>
      </c>
      <c r="H71" s="14">
        <f>'Ministries Breakdown'!G8065</f>
        <v>17850000</v>
      </c>
      <c r="I71" s="14"/>
      <c r="J71" s="14">
        <f t="shared" si="1"/>
        <v>26409760.220700264</v>
      </c>
    </row>
    <row r="72" spans="1:10" ht="24">
      <c r="A72" s="12" t="s">
        <v>2592</v>
      </c>
      <c r="B72" s="347" t="s">
        <v>4248</v>
      </c>
      <c r="C72" s="14">
        <v>163382050</v>
      </c>
      <c r="D72" s="14">
        <v>52100000</v>
      </c>
      <c r="E72" s="14">
        <f t="shared" si="0"/>
        <v>215482050</v>
      </c>
      <c r="F72" s="14">
        <f>'Ministries Breakdown'!G8197</f>
        <v>231776058.46198893</v>
      </c>
      <c r="G72" s="348" t="e">
        <f>#REF!</f>
        <v>#REF!</v>
      </c>
      <c r="H72" s="14">
        <f>'Ministries Breakdown'!G8198</f>
        <v>43500000</v>
      </c>
      <c r="I72" s="14"/>
      <c r="J72" s="14">
        <f>H72+F72</f>
        <v>275276058.46198893</v>
      </c>
    </row>
    <row r="73" spans="1:10" ht="25.5">
      <c r="A73" s="12" t="s">
        <v>382</v>
      </c>
      <c r="B73" s="13" t="s">
        <v>965</v>
      </c>
      <c r="C73" s="14">
        <v>22593438.942000009</v>
      </c>
      <c r="D73" s="14">
        <v>24700000</v>
      </c>
      <c r="E73" s="14">
        <f t="shared" si="0"/>
        <v>47293438.942000009</v>
      </c>
      <c r="F73" s="14">
        <f>'Ministries Breakdown'!G8305</f>
        <v>27652721.59526208</v>
      </c>
      <c r="G73" s="348" t="e">
        <f>#REF!</f>
        <v>#REF!</v>
      </c>
      <c r="H73" s="14">
        <f>'Ministries Breakdown'!G8306</f>
        <v>24400000</v>
      </c>
      <c r="I73" s="14">
        <f>'Ministries Breakdown'!I8339</f>
        <v>7340500</v>
      </c>
      <c r="J73" s="14">
        <f>H73+F73</f>
        <v>52052721.59526208</v>
      </c>
    </row>
    <row r="74" spans="1:10" ht="25.5">
      <c r="A74" s="12" t="s">
        <v>1962</v>
      </c>
      <c r="B74" s="13" t="s">
        <v>2408</v>
      </c>
      <c r="C74" s="14">
        <v>6666107</v>
      </c>
      <c r="D74" s="14">
        <v>7400000</v>
      </c>
      <c r="E74" s="14">
        <f>SUM(C74:D74)</f>
        <v>14066107</v>
      </c>
      <c r="F74" s="14">
        <f>'Ministries Breakdown'!G8386</f>
        <v>7794601.0949402647</v>
      </c>
      <c r="G74" s="348" t="e">
        <f>#REF!</f>
        <v>#REF!</v>
      </c>
      <c r="H74" s="14">
        <f>'Ministries Breakdown'!G8387</f>
        <v>8900000</v>
      </c>
      <c r="I74" s="14">
        <f>'Ministries Breakdown'!I8412</f>
        <v>3362344.4</v>
      </c>
      <c r="J74" s="14">
        <f>H74+F74</f>
        <v>16694601.094940264</v>
      </c>
    </row>
    <row r="75" spans="1:10">
      <c r="A75" s="12" t="s">
        <v>1834</v>
      </c>
      <c r="B75" s="13" t="s">
        <v>2591</v>
      </c>
      <c r="C75" s="14">
        <v>3362423.1028</v>
      </c>
      <c r="D75" s="14">
        <v>8600000</v>
      </c>
      <c r="E75" s="14">
        <f t="shared" si="0"/>
        <v>11962423.1028</v>
      </c>
      <c r="F75" s="14">
        <f>'Ministries Breakdown'!G8455</f>
        <v>4428403.837073694</v>
      </c>
      <c r="G75" s="348" t="e">
        <f>#REF!</f>
        <v>#REF!</v>
      </c>
      <c r="H75" s="14">
        <f>'Ministries Breakdown'!G8456</f>
        <v>6500000</v>
      </c>
      <c r="I75" s="14">
        <f>'Ministries Breakdown'!I8480</f>
        <v>2850000</v>
      </c>
      <c r="J75" s="14">
        <f>H75+F75</f>
        <v>10928403.837073695</v>
      </c>
    </row>
    <row r="76" spans="1:10">
      <c r="A76" s="19"/>
      <c r="B76" s="19" t="s">
        <v>2593</v>
      </c>
      <c r="C76" s="314">
        <f t="shared" ref="C76:J76" si="2">SUM(C7:C75)</f>
        <v>9423856034.6420727</v>
      </c>
      <c r="D76" s="314">
        <f t="shared" si="2"/>
        <v>12439056999.75</v>
      </c>
      <c r="E76" s="314">
        <f t="shared" si="2"/>
        <v>21862913034.392067</v>
      </c>
      <c r="F76" s="314">
        <f t="shared" si="2"/>
        <v>7979567291.0978384</v>
      </c>
      <c r="G76" s="314" t="e">
        <f t="shared" si="2"/>
        <v>#REF!</v>
      </c>
      <c r="H76" s="314">
        <f t="shared" si="2"/>
        <v>11218600000</v>
      </c>
      <c r="I76" s="314">
        <f t="shared" si="2"/>
        <v>3820451108.7800002</v>
      </c>
      <c r="J76" s="314">
        <f t="shared" si="2"/>
        <v>19198167291.097839</v>
      </c>
    </row>
    <row r="77" spans="1:10">
      <c r="A77" s="13" t="s">
        <v>2594</v>
      </c>
      <c r="B77" s="13" t="s">
        <v>1959</v>
      </c>
      <c r="C77" s="194"/>
      <c r="D77" s="14">
        <f>CRF!C267</f>
        <v>5304968503.9174995</v>
      </c>
      <c r="E77" s="20">
        <f>SUM(D77+C77)</f>
        <v>5304968503.9174995</v>
      </c>
      <c r="F77" s="14"/>
      <c r="G77" s="14"/>
      <c r="H77" s="20">
        <f>CRF!F267</f>
        <v>3719178844.0775003</v>
      </c>
      <c r="I77" s="20"/>
      <c r="J77" s="310">
        <f>SUM(H77+F77)</f>
        <v>3719178844.0775003</v>
      </c>
    </row>
    <row r="78" spans="1:10">
      <c r="A78" s="13" t="s">
        <v>1960</v>
      </c>
      <c r="B78" s="13" t="s">
        <v>1827</v>
      </c>
      <c r="C78" s="194"/>
      <c r="D78" s="14">
        <f>CRF!C294</f>
        <v>9319004297</v>
      </c>
      <c r="E78" s="20">
        <f>SUM(D78+C78)</f>
        <v>9319004297</v>
      </c>
      <c r="F78" s="14"/>
      <c r="G78" s="14"/>
      <c r="H78" s="20">
        <f>CRF!F294</f>
        <v>4265987590.0999999</v>
      </c>
      <c r="I78" s="20"/>
      <c r="J78" s="310">
        <f>SUM(H78+F78)</f>
        <v>4265987590.0999999</v>
      </c>
    </row>
    <row r="79" spans="1:10">
      <c r="A79" s="13" t="s">
        <v>1828</v>
      </c>
      <c r="B79" s="13" t="s">
        <v>723</v>
      </c>
      <c r="C79" s="194"/>
      <c r="D79" s="14">
        <v>9985867167.9268723</v>
      </c>
      <c r="E79" s="20">
        <f>SUM(D79+C79)</f>
        <v>9985867167.9268723</v>
      </c>
      <c r="F79" s="14"/>
      <c r="G79" s="14"/>
      <c r="H79" s="20">
        <f>DIST!D25</f>
        <v>10968317167.994667</v>
      </c>
      <c r="I79" s="20"/>
      <c r="J79" s="310">
        <f>SUM(H79+F79)</f>
        <v>10968317167.994667</v>
      </c>
    </row>
    <row r="80" spans="1:10">
      <c r="A80" s="13" t="s">
        <v>724</v>
      </c>
      <c r="B80" s="13" t="s">
        <v>898</v>
      </c>
      <c r="C80" s="14">
        <v>8491521709</v>
      </c>
      <c r="D80" s="14">
        <v>3015493750</v>
      </c>
      <c r="E80" s="20">
        <f>SUM(D80+C80)</f>
        <v>11507015459</v>
      </c>
      <c r="F80" s="14">
        <f>Parastatals!D83</f>
        <v>9558417605.670002</v>
      </c>
      <c r="G80" s="14" t="e">
        <f>Parastatals!#REF!</f>
        <v>#REF!</v>
      </c>
      <c r="H80" s="20">
        <f>Parastatals!E83</f>
        <v>2455025509</v>
      </c>
      <c r="I80" s="20"/>
      <c r="J80" s="310">
        <f>SUM(H80+F80)</f>
        <v>12013443114.670002</v>
      </c>
    </row>
    <row r="81" spans="1:10">
      <c r="A81" s="21"/>
      <c r="B81" s="230" t="s">
        <v>1684</v>
      </c>
      <c r="C81" s="231">
        <f>SUM(C77:C80)+C76</f>
        <v>17915377743.642075</v>
      </c>
      <c r="D81" s="231">
        <f>SUM(D77:D80)+D76</f>
        <v>40064390718.594376</v>
      </c>
      <c r="E81" s="231">
        <f>SUM(E77:E80)+E76</f>
        <v>57979768462.236443</v>
      </c>
      <c r="F81" s="231">
        <f>SUM(F76:F80)</f>
        <v>17537984896.767841</v>
      </c>
      <c r="G81" s="231" t="e">
        <f>SUM(G76:G80)</f>
        <v>#REF!</v>
      </c>
      <c r="H81" s="231">
        <f>SUM(H76:H80)</f>
        <v>32627109111.172165</v>
      </c>
      <c r="I81" s="231"/>
      <c r="J81" s="231">
        <f>J76+J77+J78+J79+J80</f>
        <v>50165094007.940002</v>
      </c>
    </row>
  </sheetData>
  <mergeCells count="1">
    <mergeCell ref="B1:J1"/>
  </mergeCells>
  <pageMargins left="0.75" right="0.75" top="1" bottom="1" header="0.5" footer="0.5"/>
  <pageSetup paperSize="9" orientation="portrait" horizontalDpi="4294967292" verticalDpi="4294967292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88"/>
  <sheetViews>
    <sheetView topLeftCell="A65" zoomScale="150" zoomScaleNormal="150" workbookViewId="0">
      <selection activeCell="F90" sqref="F90"/>
    </sheetView>
  </sheetViews>
  <sheetFormatPr defaultColWidth="11.42578125" defaultRowHeight="15"/>
  <cols>
    <col min="1" max="1" width="6.7109375" customWidth="1"/>
    <col min="2" max="2" width="48.140625" customWidth="1"/>
    <col min="3" max="5" width="0" hidden="1" customWidth="1"/>
    <col min="6" max="6" width="18.28515625" customWidth="1"/>
    <col min="7" max="9" width="0" hidden="1" customWidth="1"/>
  </cols>
  <sheetData>
    <row r="1" spans="1:9" ht="19.5">
      <c r="A1" s="1108" t="s">
        <v>5389</v>
      </c>
      <c r="B1" s="1108"/>
      <c r="C1" s="1108"/>
      <c r="D1" s="1108"/>
      <c r="E1" s="1108"/>
      <c r="F1" s="1108"/>
      <c r="G1" s="1108"/>
      <c r="H1" s="1108"/>
      <c r="I1" s="1108"/>
    </row>
    <row r="2" spans="1:9" ht="15.75">
      <c r="A2" s="1086" t="s">
        <v>4207</v>
      </c>
      <c r="B2" s="1086"/>
      <c r="C2" s="1086"/>
      <c r="D2" s="1086"/>
      <c r="E2" s="1086"/>
      <c r="F2" s="1086"/>
      <c r="G2" s="612"/>
      <c r="H2" s="613"/>
      <c r="I2" s="611"/>
    </row>
    <row r="3" spans="1:9" ht="16.5" thickBot="1">
      <c r="A3" s="1085" t="s">
        <v>4493</v>
      </c>
      <c r="B3" s="1085"/>
      <c r="C3" s="1085"/>
      <c r="D3" s="1085"/>
      <c r="E3" s="1085"/>
      <c r="F3" s="1085"/>
      <c r="G3" s="612"/>
      <c r="H3" s="613"/>
      <c r="I3" s="611"/>
    </row>
    <row r="4" spans="1:9" ht="39" thickTop="1">
      <c r="A4" s="614" t="s">
        <v>2601</v>
      </c>
      <c r="B4" s="615" t="s">
        <v>3922</v>
      </c>
      <c r="C4" s="615" t="s">
        <v>1841</v>
      </c>
      <c r="D4" s="615" t="s">
        <v>4204</v>
      </c>
      <c r="E4" s="615" t="s">
        <v>4205</v>
      </c>
      <c r="F4" s="615" t="s">
        <v>2603</v>
      </c>
      <c r="G4" s="615" t="s">
        <v>2602</v>
      </c>
      <c r="H4" s="615" t="s">
        <v>2602</v>
      </c>
      <c r="I4" s="616" t="s">
        <v>2603</v>
      </c>
    </row>
    <row r="5" spans="1:9">
      <c r="A5" s="617"/>
      <c r="B5" s="618"/>
      <c r="C5" s="618">
        <v>2014</v>
      </c>
      <c r="D5" s="618" t="s">
        <v>4203</v>
      </c>
      <c r="E5" s="618" t="s">
        <v>4203</v>
      </c>
      <c r="F5" s="618">
        <v>2015</v>
      </c>
      <c r="G5" s="618">
        <v>2016</v>
      </c>
      <c r="H5" s="618">
        <v>2017</v>
      </c>
      <c r="I5" s="619" t="s">
        <v>4200</v>
      </c>
    </row>
    <row r="6" spans="1:9">
      <c r="A6" s="620">
        <v>1</v>
      </c>
      <c r="B6" s="621" t="s">
        <v>2113</v>
      </c>
      <c r="C6" s="622">
        <f>T6+U6</f>
        <v>0</v>
      </c>
      <c r="D6" s="623">
        <f>'432 Breakdown'!C8</f>
        <v>40000000</v>
      </c>
      <c r="E6" s="623">
        <f>'432 Breakdown'!C31</f>
        <v>22500000</v>
      </c>
      <c r="F6" s="624">
        <f t="shared" ref="F6:F21" si="0">+E6+D6</f>
        <v>62500000</v>
      </c>
      <c r="G6" s="623">
        <f>O6+P6</f>
        <v>0</v>
      </c>
      <c r="H6" s="623">
        <f>Q6+R6</f>
        <v>0</v>
      </c>
      <c r="I6" s="625">
        <f>SUM(F6:H6)</f>
        <v>62500000</v>
      </c>
    </row>
    <row r="7" spans="1:9">
      <c r="A7" s="620">
        <f t="shared" ref="A7:A70" si="1">+A6+1</f>
        <v>2</v>
      </c>
      <c r="B7" s="621" t="s">
        <v>2423</v>
      </c>
      <c r="C7" s="622">
        <f t="shared" ref="C7:C70" si="2">T7+U7</f>
        <v>0</v>
      </c>
      <c r="D7" s="623">
        <f>'432 Breakdown'!C42</f>
        <v>86957287.450000003</v>
      </c>
      <c r="E7" s="623">
        <f>'432 Breakdown'!C63</f>
        <v>14500000</v>
      </c>
      <c r="F7" s="624">
        <f t="shared" si="0"/>
        <v>101457287.45</v>
      </c>
      <c r="G7" s="623">
        <f t="shared" ref="G7:G70" si="3">O7+P7</f>
        <v>0</v>
      </c>
      <c r="H7" s="623">
        <f t="shared" ref="H7:H70" si="4">Q7+R7</f>
        <v>0</v>
      </c>
      <c r="I7" s="625">
        <f t="shared" ref="I7:I70" si="5">SUM(F7:H7)</f>
        <v>101457287.45</v>
      </c>
    </row>
    <row r="8" spans="1:9">
      <c r="A8" s="620">
        <f t="shared" si="1"/>
        <v>3</v>
      </c>
      <c r="B8" s="621" t="s">
        <v>3980</v>
      </c>
      <c r="C8" s="622">
        <f t="shared" si="2"/>
        <v>0</v>
      </c>
      <c r="D8" s="623">
        <f>'432 Breakdown'!C74</f>
        <v>364975683.94999999</v>
      </c>
      <c r="E8" s="623">
        <f>'432 Breakdown'!C103</f>
        <v>15500000</v>
      </c>
      <c r="F8" s="624">
        <f t="shared" si="0"/>
        <v>380475683.94999999</v>
      </c>
      <c r="G8" s="623">
        <f t="shared" si="3"/>
        <v>0</v>
      </c>
      <c r="H8" s="623">
        <f t="shared" si="4"/>
        <v>0</v>
      </c>
      <c r="I8" s="625">
        <f t="shared" si="5"/>
        <v>380475683.94999999</v>
      </c>
    </row>
    <row r="9" spans="1:9">
      <c r="A9" s="620">
        <f t="shared" si="1"/>
        <v>4</v>
      </c>
      <c r="B9" s="621" t="s">
        <v>2630</v>
      </c>
      <c r="C9" s="622">
        <f t="shared" si="2"/>
        <v>0</v>
      </c>
      <c r="D9" s="623">
        <v>3359600</v>
      </c>
      <c r="E9" s="623">
        <f>'432 Breakdown'!C130</f>
        <v>6500000</v>
      </c>
      <c r="F9" s="624">
        <f t="shared" si="0"/>
        <v>9859600</v>
      </c>
      <c r="G9" s="623">
        <f t="shared" si="3"/>
        <v>0</v>
      </c>
      <c r="H9" s="623">
        <f t="shared" si="4"/>
        <v>0</v>
      </c>
      <c r="I9" s="625">
        <f t="shared" si="5"/>
        <v>9859600</v>
      </c>
    </row>
    <row r="10" spans="1:9">
      <c r="A10" s="620">
        <f t="shared" si="1"/>
        <v>5</v>
      </c>
      <c r="B10" s="621" t="s">
        <v>983</v>
      </c>
      <c r="C10" s="622">
        <f t="shared" si="2"/>
        <v>0</v>
      </c>
      <c r="D10" s="623">
        <f>'432 Breakdown'!C141</f>
        <v>7003525.7000000002</v>
      </c>
      <c r="E10" s="623">
        <f>'432 Breakdown'!C157</f>
        <v>6100000</v>
      </c>
      <c r="F10" s="624">
        <f t="shared" si="0"/>
        <v>13103525.699999999</v>
      </c>
      <c r="G10" s="623">
        <f t="shared" si="3"/>
        <v>0</v>
      </c>
      <c r="H10" s="623">
        <f t="shared" si="4"/>
        <v>0</v>
      </c>
      <c r="I10" s="625">
        <f t="shared" si="5"/>
        <v>13103525.699999999</v>
      </c>
    </row>
    <row r="11" spans="1:9">
      <c r="A11" s="620">
        <f t="shared" si="1"/>
        <v>6</v>
      </c>
      <c r="B11" s="621" t="s">
        <v>1283</v>
      </c>
      <c r="C11" s="622">
        <f t="shared" si="2"/>
        <v>0</v>
      </c>
      <c r="D11" s="623">
        <f>'432 Breakdown'!C168</f>
        <v>2800000000</v>
      </c>
      <c r="E11" s="623">
        <f>'432 Breakdown'!C190</f>
        <v>79500000</v>
      </c>
      <c r="F11" s="624">
        <f t="shared" si="0"/>
        <v>2879500000</v>
      </c>
      <c r="G11" s="623">
        <f t="shared" si="3"/>
        <v>0</v>
      </c>
      <c r="H11" s="623">
        <f t="shared" si="4"/>
        <v>0</v>
      </c>
      <c r="I11" s="625">
        <f t="shared" si="5"/>
        <v>2879500000</v>
      </c>
    </row>
    <row r="12" spans="1:9">
      <c r="A12" s="620">
        <f t="shared" si="1"/>
        <v>7</v>
      </c>
      <c r="B12" s="621" t="s">
        <v>1668</v>
      </c>
      <c r="C12" s="622">
        <f t="shared" si="2"/>
        <v>0</v>
      </c>
      <c r="D12" s="623">
        <f>'432 Breakdown'!C202</f>
        <v>99118533.200000003</v>
      </c>
      <c r="E12" s="623">
        <f>'432 Breakdown'!C226</f>
        <v>148200000</v>
      </c>
      <c r="F12" s="624">
        <f t="shared" si="0"/>
        <v>247318533.19999999</v>
      </c>
      <c r="G12" s="623">
        <f t="shared" si="3"/>
        <v>0</v>
      </c>
      <c r="H12" s="623">
        <f t="shared" si="4"/>
        <v>0</v>
      </c>
      <c r="I12" s="625">
        <f t="shared" si="5"/>
        <v>247318533.19999999</v>
      </c>
    </row>
    <row r="13" spans="1:9">
      <c r="A13" s="620">
        <f t="shared" si="1"/>
        <v>8</v>
      </c>
      <c r="B13" s="621" t="s">
        <v>1284</v>
      </c>
      <c r="C13" s="622">
        <f t="shared" si="2"/>
        <v>0</v>
      </c>
      <c r="D13" s="623">
        <f>'432 Breakdown'!C237</f>
        <v>157993618.90000001</v>
      </c>
      <c r="E13" s="623">
        <f>'432 Breakdown'!C259</f>
        <v>21000000</v>
      </c>
      <c r="F13" s="624">
        <f t="shared" si="0"/>
        <v>178993618.90000001</v>
      </c>
      <c r="G13" s="623">
        <f t="shared" si="3"/>
        <v>0</v>
      </c>
      <c r="H13" s="623">
        <f t="shared" si="4"/>
        <v>0</v>
      </c>
      <c r="I13" s="625">
        <f t="shared" si="5"/>
        <v>178993618.90000001</v>
      </c>
    </row>
    <row r="14" spans="1:9">
      <c r="A14" s="620">
        <f t="shared" si="1"/>
        <v>9</v>
      </c>
      <c r="B14" s="621" t="s">
        <v>4117</v>
      </c>
      <c r="C14" s="622">
        <f t="shared" si="2"/>
        <v>0</v>
      </c>
      <c r="D14" s="623">
        <f>'432 Breakdown'!C270</f>
        <v>107000000</v>
      </c>
      <c r="E14" s="623">
        <f>'432 Breakdown'!C287</f>
        <v>23100000</v>
      </c>
      <c r="F14" s="624">
        <f t="shared" si="0"/>
        <v>130100000</v>
      </c>
      <c r="G14" s="623">
        <f t="shared" si="3"/>
        <v>0</v>
      </c>
      <c r="H14" s="623">
        <f t="shared" si="4"/>
        <v>0</v>
      </c>
      <c r="I14" s="625">
        <f t="shared" si="5"/>
        <v>130100000</v>
      </c>
    </row>
    <row r="15" spans="1:9">
      <c r="A15" s="620">
        <f t="shared" si="1"/>
        <v>10</v>
      </c>
      <c r="B15" s="621" t="s">
        <v>1669</v>
      </c>
      <c r="C15" s="622">
        <f t="shared" si="2"/>
        <v>0</v>
      </c>
      <c r="D15" s="623">
        <f>'432 Breakdown'!C298</f>
        <v>85851300.150000006</v>
      </c>
      <c r="E15" s="623">
        <f>'432 Breakdown'!C317</f>
        <v>7500000</v>
      </c>
      <c r="F15" s="624">
        <f t="shared" si="0"/>
        <v>93351300.150000006</v>
      </c>
      <c r="G15" s="623">
        <f t="shared" si="3"/>
        <v>0</v>
      </c>
      <c r="H15" s="623">
        <f t="shared" si="4"/>
        <v>0</v>
      </c>
      <c r="I15" s="625">
        <f t="shared" si="5"/>
        <v>93351300.150000006</v>
      </c>
    </row>
    <row r="16" spans="1:9">
      <c r="A16" s="620">
        <f t="shared" si="1"/>
        <v>11</v>
      </c>
      <c r="B16" s="621" t="s">
        <v>3865</v>
      </c>
      <c r="C16" s="622">
        <f t="shared" si="2"/>
        <v>0</v>
      </c>
      <c r="D16" s="623">
        <f>'432 Breakdown'!C328</f>
        <v>10000000</v>
      </c>
      <c r="E16" s="623">
        <f>'432 Breakdown'!C344</f>
        <v>5500000</v>
      </c>
      <c r="F16" s="624">
        <f t="shared" si="0"/>
        <v>15500000</v>
      </c>
      <c r="G16" s="623">
        <f t="shared" si="3"/>
        <v>0</v>
      </c>
      <c r="H16" s="623">
        <f t="shared" si="4"/>
        <v>0</v>
      </c>
      <c r="I16" s="625">
        <f t="shared" si="5"/>
        <v>15500000</v>
      </c>
    </row>
    <row r="17" spans="1:9">
      <c r="A17" s="620">
        <f t="shared" si="1"/>
        <v>12</v>
      </c>
      <c r="B17" s="621" t="s">
        <v>4216</v>
      </c>
      <c r="C17" s="622">
        <f t="shared" si="2"/>
        <v>0</v>
      </c>
      <c r="D17" s="623">
        <f>'432 Breakdown'!C355</f>
        <v>0</v>
      </c>
      <c r="E17" s="623">
        <f>'432 Breakdown'!C374</f>
        <v>15300000</v>
      </c>
      <c r="F17" s="624">
        <f t="shared" si="0"/>
        <v>15300000</v>
      </c>
      <c r="G17" s="623">
        <f t="shared" si="3"/>
        <v>0</v>
      </c>
      <c r="H17" s="623">
        <f t="shared" si="4"/>
        <v>0</v>
      </c>
      <c r="I17" s="625">
        <f t="shared" si="5"/>
        <v>15300000</v>
      </c>
    </row>
    <row r="18" spans="1:9">
      <c r="A18" s="620">
        <f>+A17+1</f>
        <v>13</v>
      </c>
      <c r="B18" s="621" t="s">
        <v>1666</v>
      </c>
      <c r="C18" s="622">
        <f t="shared" si="2"/>
        <v>0</v>
      </c>
      <c r="D18" s="623">
        <f>'432 Breakdown'!C385</f>
        <v>0</v>
      </c>
      <c r="E18" s="623">
        <f>'432 Breakdown'!C402</f>
        <v>15500000</v>
      </c>
      <c r="F18" s="624">
        <f t="shared" si="0"/>
        <v>15500000</v>
      </c>
      <c r="G18" s="623">
        <f t="shared" si="3"/>
        <v>0</v>
      </c>
      <c r="H18" s="623">
        <f t="shared" si="4"/>
        <v>0</v>
      </c>
      <c r="I18" s="625">
        <f t="shared" si="5"/>
        <v>15500000</v>
      </c>
    </row>
    <row r="19" spans="1:9">
      <c r="A19" s="620">
        <v>14</v>
      </c>
      <c r="B19" s="621" t="s">
        <v>2783</v>
      </c>
      <c r="C19" s="622">
        <f t="shared" si="2"/>
        <v>0</v>
      </c>
      <c r="D19" s="623">
        <f>'432 Breakdown'!C413</f>
        <v>147198673.55000001</v>
      </c>
      <c r="E19" s="623">
        <f>'432 Breakdown'!C435</f>
        <v>24500000</v>
      </c>
      <c r="F19" s="624">
        <f t="shared" si="0"/>
        <v>171698673.55000001</v>
      </c>
      <c r="G19" s="623">
        <f t="shared" si="3"/>
        <v>0</v>
      </c>
      <c r="H19" s="623">
        <f t="shared" si="4"/>
        <v>0</v>
      </c>
      <c r="I19" s="625">
        <f t="shared" si="5"/>
        <v>171698673.55000001</v>
      </c>
    </row>
    <row r="20" spans="1:9">
      <c r="A20" s="620">
        <f t="shared" si="1"/>
        <v>15</v>
      </c>
      <c r="B20" s="621" t="s">
        <v>1670</v>
      </c>
      <c r="C20" s="622">
        <f t="shared" si="2"/>
        <v>0</v>
      </c>
      <c r="D20" s="623">
        <f>'432 Breakdown'!C446</f>
        <v>577324003.25</v>
      </c>
      <c r="E20" s="623">
        <f>'432 Breakdown'!C468</f>
        <v>55000000</v>
      </c>
      <c r="F20" s="624">
        <f t="shared" si="0"/>
        <v>632324003.25</v>
      </c>
      <c r="G20" s="623">
        <f t="shared" si="3"/>
        <v>0</v>
      </c>
      <c r="H20" s="623">
        <f t="shared" si="4"/>
        <v>0</v>
      </c>
      <c r="I20" s="625">
        <f t="shared" si="5"/>
        <v>632324003.25</v>
      </c>
    </row>
    <row r="21" spans="1:9">
      <c r="A21" s="620" t="s">
        <v>4180</v>
      </c>
      <c r="B21" s="621" t="s">
        <v>2424</v>
      </c>
      <c r="C21" s="622">
        <f t="shared" si="2"/>
        <v>0</v>
      </c>
      <c r="D21" s="623">
        <f>'432 Breakdown'!C479</f>
        <v>12273255.699999999</v>
      </c>
      <c r="E21" s="623">
        <f>'432 Breakdown'!C496</f>
        <v>65500000</v>
      </c>
      <c r="F21" s="624">
        <f t="shared" si="0"/>
        <v>77773255.700000003</v>
      </c>
      <c r="G21" s="623">
        <f t="shared" si="3"/>
        <v>0</v>
      </c>
      <c r="H21" s="623">
        <f t="shared" si="4"/>
        <v>0</v>
      </c>
      <c r="I21" s="625">
        <f t="shared" si="5"/>
        <v>77773255.700000003</v>
      </c>
    </row>
    <row r="22" spans="1:9">
      <c r="A22" s="620" t="s">
        <v>4179</v>
      </c>
      <c r="B22" s="621" t="s">
        <v>4181</v>
      </c>
      <c r="C22" s="622">
        <f t="shared" si="2"/>
        <v>0</v>
      </c>
      <c r="D22" s="623">
        <f>'432 Breakdown'!C507</f>
        <v>0</v>
      </c>
      <c r="E22" s="623">
        <f>'432 Breakdown'!C524</f>
        <v>27000000</v>
      </c>
      <c r="F22" s="624"/>
      <c r="G22" s="623">
        <f t="shared" si="3"/>
        <v>0</v>
      </c>
      <c r="H22" s="623">
        <f t="shared" si="4"/>
        <v>0</v>
      </c>
      <c r="I22" s="625">
        <f t="shared" si="5"/>
        <v>0</v>
      </c>
    </row>
    <row r="23" spans="1:9">
      <c r="A23" s="620">
        <v>17</v>
      </c>
      <c r="B23" s="621" t="s">
        <v>3200</v>
      </c>
      <c r="C23" s="622">
        <f t="shared" si="2"/>
        <v>0</v>
      </c>
      <c r="D23" s="623">
        <f>'432 Breakdown'!C535</f>
        <v>35574705</v>
      </c>
      <c r="E23" s="623">
        <f>'432 Breakdown'!C552</f>
        <v>27400000</v>
      </c>
      <c r="F23" s="624">
        <f t="shared" ref="F23:F83" si="6">+E23+D23</f>
        <v>62974705</v>
      </c>
      <c r="G23" s="623">
        <f t="shared" si="3"/>
        <v>0</v>
      </c>
      <c r="H23" s="623">
        <f t="shared" si="4"/>
        <v>0</v>
      </c>
      <c r="I23" s="625">
        <f t="shared" si="5"/>
        <v>62974705</v>
      </c>
    </row>
    <row r="24" spans="1:9">
      <c r="A24" s="620">
        <f t="shared" si="1"/>
        <v>18</v>
      </c>
      <c r="B24" s="621" t="s">
        <v>1671</v>
      </c>
      <c r="C24" s="622">
        <f t="shared" si="2"/>
        <v>0</v>
      </c>
      <c r="D24" s="623">
        <f>'432 Breakdown'!C562</f>
        <v>7125508.9000000004</v>
      </c>
      <c r="E24" s="623">
        <f>'432 Breakdown'!C581</f>
        <v>18751017.899999999</v>
      </c>
      <c r="F24" s="624">
        <f t="shared" si="6"/>
        <v>25876526.799999997</v>
      </c>
      <c r="G24" s="623">
        <f t="shared" si="3"/>
        <v>0</v>
      </c>
      <c r="H24" s="623">
        <f t="shared" si="4"/>
        <v>0</v>
      </c>
      <c r="I24" s="625">
        <f t="shared" si="5"/>
        <v>25876526.799999997</v>
      </c>
    </row>
    <row r="25" spans="1:9">
      <c r="A25" s="620">
        <f t="shared" si="1"/>
        <v>19</v>
      </c>
      <c r="B25" s="621" t="s">
        <v>1648</v>
      </c>
      <c r="C25" s="622">
        <f t="shared" si="2"/>
        <v>0</v>
      </c>
      <c r="D25" s="623">
        <f>'432 Breakdown'!C590</f>
        <v>1349676686</v>
      </c>
      <c r="E25" s="623">
        <f>'432 Breakdown'!C608</f>
        <v>9500000</v>
      </c>
      <c r="F25" s="624">
        <f t="shared" si="6"/>
        <v>1359176686</v>
      </c>
      <c r="G25" s="623">
        <f t="shared" si="3"/>
        <v>0</v>
      </c>
      <c r="H25" s="623">
        <f t="shared" si="4"/>
        <v>0</v>
      </c>
      <c r="I25" s="625">
        <f t="shared" si="5"/>
        <v>1359176686</v>
      </c>
    </row>
    <row r="26" spans="1:9">
      <c r="A26" s="620">
        <f t="shared" si="1"/>
        <v>20</v>
      </c>
      <c r="B26" s="621" t="s">
        <v>3707</v>
      </c>
      <c r="C26" s="622">
        <f t="shared" si="2"/>
        <v>0</v>
      </c>
      <c r="D26" s="623">
        <f>'432 Breakdown'!C619</f>
        <v>6126972.3499999996</v>
      </c>
      <c r="E26" s="623">
        <f>'432 Breakdown'!C635</f>
        <v>6500000</v>
      </c>
      <c r="F26" s="624">
        <f t="shared" si="6"/>
        <v>12626972.35</v>
      </c>
      <c r="G26" s="623">
        <f t="shared" si="3"/>
        <v>0</v>
      </c>
      <c r="H26" s="623">
        <f t="shared" si="4"/>
        <v>0</v>
      </c>
      <c r="I26" s="625">
        <f t="shared" si="5"/>
        <v>12626972.35</v>
      </c>
    </row>
    <row r="27" spans="1:9">
      <c r="A27" s="620">
        <f t="shared" si="1"/>
        <v>21</v>
      </c>
      <c r="B27" s="621" t="s">
        <v>3158</v>
      </c>
      <c r="C27" s="622">
        <f t="shared" si="2"/>
        <v>0</v>
      </c>
      <c r="D27" s="623">
        <f>'432 Breakdown'!C646</f>
        <v>4925576</v>
      </c>
      <c r="E27" s="623">
        <f>'432 Breakdown'!C664</f>
        <v>3000000</v>
      </c>
      <c r="F27" s="624">
        <f t="shared" si="6"/>
        <v>7925576</v>
      </c>
      <c r="G27" s="623">
        <f t="shared" si="3"/>
        <v>0</v>
      </c>
      <c r="H27" s="623">
        <f t="shared" si="4"/>
        <v>0</v>
      </c>
      <c r="I27" s="625">
        <f t="shared" si="5"/>
        <v>7925576</v>
      </c>
    </row>
    <row r="28" spans="1:9">
      <c r="A28" s="620">
        <f t="shared" si="1"/>
        <v>22</v>
      </c>
      <c r="B28" s="621" t="s">
        <v>2235</v>
      </c>
      <c r="C28" s="622">
        <f t="shared" si="2"/>
        <v>0</v>
      </c>
      <c r="D28" s="623">
        <f>'432 Breakdown'!C675</f>
        <v>42779256.5</v>
      </c>
      <c r="E28" s="623">
        <f>'432 Breakdown'!C693</f>
        <v>3600000</v>
      </c>
      <c r="F28" s="624">
        <f t="shared" si="6"/>
        <v>46379256.5</v>
      </c>
      <c r="G28" s="623">
        <f t="shared" si="3"/>
        <v>0</v>
      </c>
      <c r="H28" s="623">
        <f t="shared" si="4"/>
        <v>0</v>
      </c>
      <c r="I28" s="625">
        <f t="shared" si="5"/>
        <v>46379256.5</v>
      </c>
    </row>
    <row r="29" spans="1:9">
      <c r="A29" s="620">
        <f t="shared" si="1"/>
        <v>23</v>
      </c>
      <c r="B29" s="621" t="s">
        <v>2876</v>
      </c>
      <c r="C29" s="622">
        <f t="shared" si="2"/>
        <v>0</v>
      </c>
      <c r="D29" s="623">
        <f>'432 Breakdown'!C704</f>
        <v>5772476.0999999996</v>
      </c>
      <c r="E29" s="623">
        <f>'432 Breakdown'!C722</f>
        <v>5500000</v>
      </c>
      <c r="F29" s="624">
        <f t="shared" si="6"/>
        <v>11272476.1</v>
      </c>
      <c r="G29" s="623">
        <f t="shared" si="3"/>
        <v>0</v>
      </c>
      <c r="H29" s="623">
        <f t="shared" si="4"/>
        <v>0</v>
      </c>
      <c r="I29" s="625">
        <f t="shared" si="5"/>
        <v>11272476.1</v>
      </c>
    </row>
    <row r="30" spans="1:9">
      <c r="A30" s="620">
        <f t="shared" si="1"/>
        <v>24</v>
      </c>
      <c r="B30" s="621" t="s">
        <v>3198</v>
      </c>
      <c r="C30" s="622">
        <f t="shared" si="2"/>
        <v>0</v>
      </c>
      <c r="D30" s="623">
        <f>'432 Breakdown'!C733</f>
        <v>3335013.8</v>
      </c>
      <c r="E30" s="623">
        <f>'432 Breakdown'!C751</f>
        <v>4000000</v>
      </c>
      <c r="F30" s="624">
        <f t="shared" si="6"/>
        <v>7335013.7999999998</v>
      </c>
      <c r="G30" s="623">
        <f t="shared" si="3"/>
        <v>0</v>
      </c>
      <c r="H30" s="623">
        <f t="shared" si="4"/>
        <v>0</v>
      </c>
      <c r="I30" s="625">
        <f t="shared" si="5"/>
        <v>7335013.7999999998</v>
      </c>
    </row>
    <row r="31" spans="1:9">
      <c r="A31" s="620">
        <f t="shared" si="1"/>
        <v>25</v>
      </c>
      <c r="B31" s="621" t="s">
        <v>1652</v>
      </c>
      <c r="C31" s="622">
        <f t="shared" si="2"/>
        <v>0</v>
      </c>
      <c r="D31" s="623">
        <f>'432 Breakdown'!C762</f>
        <v>16919084.600000001</v>
      </c>
      <c r="E31" s="623">
        <f>'432 Breakdown'!C790</f>
        <v>4000000</v>
      </c>
      <c r="F31" s="624">
        <f t="shared" si="6"/>
        <v>20919084.600000001</v>
      </c>
      <c r="G31" s="623">
        <f t="shared" si="3"/>
        <v>0</v>
      </c>
      <c r="H31" s="623">
        <f t="shared" si="4"/>
        <v>0</v>
      </c>
      <c r="I31" s="625">
        <f t="shared" si="5"/>
        <v>20919084.600000001</v>
      </c>
    </row>
    <row r="32" spans="1:9">
      <c r="A32" s="620">
        <f t="shared" si="1"/>
        <v>26</v>
      </c>
      <c r="B32" s="621" t="s">
        <v>1029</v>
      </c>
      <c r="C32" s="622">
        <f t="shared" si="2"/>
        <v>0</v>
      </c>
      <c r="D32" s="623">
        <f>'432 Breakdown'!C800</f>
        <v>210411153.34999999</v>
      </c>
      <c r="E32" s="623">
        <f>'432 Breakdown'!C817</f>
        <v>12000000</v>
      </c>
      <c r="F32" s="624">
        <f t="shared" si="6"/>
        <v>222411153.34999999</v>
      </c>
      <c r="G32" s="623">
        <f t="shared" si="3"/>
        <v>0</v>
      </c>
      <c r="H32" s="623">
        <f t="shared" si="4"/>
        <v>0</v>
      </c>
      <c r="I32" s="625">
        <f t="shared" si="5"/>
        <v>222411153.34999999</v>
      </c>
    </row>
    <row r="33" spans="1:9">
      <c r="A33" s="620">
        <f t="shared" si="1"/>
        <v>27</v>
      </c>
      <c r="B33" s="621" t="s">
        <v>1030</v>
      </c>
      <c r="C33" s="622">
        <f t="shared" si="2"/>
        <v>0</v>
      </c>
      <c r="D33" s="623">
        <f>'432 Breakdown'!C828</f>
        <v>20555596</v>
      </c>
      <c r="E33" s="623">
        <f>'432 Breakdown'!C849</f>
        <v>4000000</v>
      </c>
      <c r="F33" s="624">
        <f t="shared" si="6"/>
        <v>24555596</v>
      </c>
      <c r="G33" s="623">
        <f t="shared" si="3"/>
        <v>0</v>
      </c>
      <c r="H33" s="623">
        <f t="shared" si="4"/>
        <v>0</v>
      </c>
      <c r="I33" s="625">
        <f t="shared" si="5"/>
        <v>24555596</v>
      </c>
    </row>
    <row r="34" spans="1:9">
      <c r="A34" s="620">
        <f t="shared" si="1"/>
        <v>28</v>
      </c>
      <c r="B34" s="621" t="s">
        <v>2080</v>
      </c>
      <c r="C34" s="622">
        <f t="shared" si="2"/>
        <v>0</v>
      </c>
      <c r="D34" s="623">
        <f>'432 Breakdown'!C860</f>
        <v>4934893.25</v>
      </c>
      <c r="E34" s="623">
        <f>'432 Breakdown'!C876</f>
        <v>4300000</v>
      </c>
      <c r="F34" s="624">
        <f t="shared" si="6"/>
        <v>9234893.25</v>
      </c>
      <c r="G34" s="623">
        <f t="shared" si="3"/>
        <v>0</v>
      </c>
      <c r="H34" s="623">
        <f t="shared" si="4"/>
        <v>0</v>
      </c>
      <c r="I34" s="625">
        <f t="shared" si="5"/>
        <v>9234893.25</v>
      </c>
    </row>
    <row r="35" spans="1:9">
      <c r="A35" s="620">
        <f t="shared" si="1"/>
        <v>29</v>
      </c>
      <c r="B35" s="621" t="s">
        <v>1422</v>
      </c>
      <c r="C35" s="622">
        <f t="shared" si="2"/>
        <v>0</v>
      </c>
      <c r="D35" s="623">
        <f>'432 Breakdown'!C887</f>
        <v>9688884.25</v>
      </c>
      <c r="E35" s="623">
        <f>'432 Breakdown'!C903</f>
        <v>4000000</v>
      </c>
      <c r="F35" s="624">
        <f t="shared" si="6"/>
        <v>13688884.25</v>
      </c>
      <c r="G35" s="623">
        <f t="shared" si="3"/>
        <v>0</v>
      </c>
      <c r="H35" s="623">
        <f t="shared" si="4"/>
        <v>0</v>
      </c>
      <c r="I35" s="625">
        <f t="shared" si="5"/>
        <v>13688884.25</v>
      </c>
    </row>
    <row r="36" spans="1:9">
      <c r="A36" s="620">
        <f t="shared" si="1"/>
        <v>30</v>
      </c>
      <c r="B36" s="621" t="s">
        <v>1423</v>
      </c>
      <c r="C36" s="622">
        <f t="shared" si="2"/>
        <v>0</v>
      </c>
      <c r="D36" s="623">
        <f>'432 Breakdown'!C914</f>
        <v>823666019.10000002</v>
      </c>
      <c r="E36" s="623">
        <f>'432 Breakdown'!C937</f>
        <v>130900000</v>
      </c>
      <c r="F36" s="624">
        <f t="shared" si="6"/>
        <v>954566019.10000002</v>
      </c>
      <c r="G36" s="623">
        <f t="shared" si="3"/>
        <v>0</v>
      </c>
      <c r="H36" s="623">
        <f t="shared" si="4"/>
        <v>0</v>
      </c>
      <c r="I36" s="625">
        <f t="shared" si="5"/>
        <v>954566019.10000002</v>
      </c>
    </row>
    <row r="37" spans="1:9">
      <c r="A37" s="620">
        <f t="shared" si="1"/>
        <v>31</v>
      </c>
      <c r="B37" s="621" t="s">
        <v>1424</v>
      </c>
      <c r="C37" s="622">
        <f t="shared" si="2"/>
        <v>0</v>
      </c>
      <c r="D37" s="623">
        <f>'432 Breakdown'!C948</f>
        <v>28132701.449999999</v>
      </c>
      <c r="E37" s="623">
        <f>'432 Breakdown'!C964</f>
        <v>6500000</v>
      </c>
      <c r="F37" s="624">
        <f t="shared" si="6"/>
        <v>34632701.450000003</v>
      </c>
      <c r="G37" s="623">
        <f t="shared" si="3"/>
        <v>0</v>
      </c>
      <c r="H37" s="623">
        <f t="shared" si="4"/>
        <v>0</v>
      </c>
      <c r="I37" s="625">
        <f t="shared" si="5"/>
        <v>34632701.450000003</v>
      </c>
    </row>
    <row r="38" spans="1:9">
      <c r="A38" s="620">
        <f t="shared" si="1"/>
        <v>32</v>
      </c>
      <c r="B38" s="621" t="s">
        <v>3038</v>
      </c>
      <c r="C38" s="622">
        <f t="shared" si="2"/>
        <v>0</v>
      </c>
      <c r="D38" s="623">
        <f>'432 Breakdown'!C975</f>
        <v>22662009.949999999</v>
      </c>
      <c r="E38" s="623">
        <f>'432 Breakdown'!C991</f>
        <v>6500000</v>
      </c>
      <c r="F38" s="624">
        <f t="shared" si="6"/>
        <v>29162009.949999999</v>
      </c>
      <c r="G38" s="623">
        <f t="shared" si="3"/>
        <v>0</v>
      </c>
      <c r="H38" s="623">
        <f t="shared" si="4"/>
        <v>0</v>
      </c>
      <c r="I38" s="625">
        <f t="shared" si="5"/>
        <v>29162009.949999999</v>
      </c>
    </row>
    <row r="39" spans="1:9">
      <c r="A39" s="620">
        <f t="shared" si="1"/>
        <v>33</v>
      </c>
      <c r="B39" s="621" t="s">
        <v>1527</v>
      </c>
      <c r="C39" s="622">
        <f t="shared" si="2"/>
        <v>0</v>
      </c>
      <c r="D39" s="623">
        <f>'432 Breakdown'!C1002</f>
        <v>7949752.4000000004</v>
      </c>
      <c r="E39" s="623">
        <f>'432 Breakdown'!C1021</f>
        <v>4500000</v>
      </c>
      <c r="F39" s="624">
        <f t="shared" si="6"/>
        <v>12449752.4</v>
      </c>
      <c r="G39" s="623">
        <f t="shared" si="3"/>
        <v>0</v>
      </c>
      <c r="H39" s="623">
        <f t="shared" si="4"/>
        <v>0</v>
      </c>
      <c r="I39" s="625">
        <f t="shared" si="5"/>
        <v>12449752.4</v>
      </c>
    </row>
    <row r="40" spans="1:9">
      <c r="A40" s="620">
        <f t="shared" si="1"/>
        <v>34</v>
      </c>
      <c r="B40" s="621" t="s">
        <v>3046</v>
      </c>
      <c r="C40" s="622">
        <f t="shared" si="2"/>
        <v>0</v>
      </c>
      <c r="D40" s="623">
        <f>'432 Breakdown'!C1032</f>
        <v>69998824.400000006</v>
      </c>
      <c r="E40" s="623">
        <f>'432 Breakdown'!C1055</f>
        <v>61000000</v>
      </c>
      <c r="F40" s="624">
        <f t="shared" si="6"/>
        <v>130998824.40000001</v>
      </c>
      <c r="G40" s="623">
        <f t="shared" si="3"/>
        <v>0</v>
      </c>
      <c r="H40" s="623">
        <f t="shared" si="4"/>
        <v>0</v>
      </c>
      <c r="I40" s="625">
        <f t="shared" si="5"/>
        <v>130998824.40000001</v>
      </c>
    </row>
    <row r="41" spans="1:9">
      <c r="A41" s="620">
        <f t="shared" si="1"/>
        <v>35</v>
      </c>
      <c r="B41" s="621" t="s">
        <v>770</v>
      </c>
      <c r="C41" s="622">
        <f t="shared" si="2"/>
        <v>0</v>
      </c>
      <c r="D41" s="623">
        <f>'432 Breakdown'!C1066</f>
        <v>202687704.55000001</v>
      </c>
      <c r="E41" s="623">
        <f>'432 Breakdown'!C1084</f>
        <v>24200000</v>
      </c>
      <c r="F41" s="624">
        <f t="shared" si="6"/>
        <v>226887704.55000001</v>
      </c>
      <c r="G41" s="623">
        <f t="shared" si="3"/>
        <v>0</v>
      </c>
      <c r="H41" s="623">
        <f t="shared" si="4"/>
        <v>0</v>
      </c>
      <c r="I41" s="625">
        <f t="shared" si="5"/>
        <v>226887704.55000001</v>
      </c>
    </row>
    <row r="42" spans="1:9">
      <c r="A42" s="620">
        <f t="shared" si="1"/>
        <v>36</v>
      </c>
      <c r="B42" s="621" t="s">
        <v>4016</v>
      </c>
      <c r="C42" s="622">
        <f t="shared" si="2"/>
        <v>0</v>
      </c>
      <c r="D42" s="623">
        <f>'432 Breakdown'!C1095</f>
        <v>50997706.5</v>
      </c>
      <c r="E42" s="623">
        <f>'432 Breakdown'!C1112</f>
        <v>12000000</v>
      </c>
      <c r="F42" s="624">
        <f t="shared" si="6"/>
        <v>62997706.5</v>
      </c>
      <c r="G42" s="623">
        <f t="shared" si="3"/>
        <v>0</v>
      </c>
      <c r="H42" s="623">
        <f t="shared" si="4"/>
        <v>0</v>
      </c>
      <c r="I42" s="625">
        <f t="shared" si="5"/>
        <v>62997706.5</v>
      </c>
    </row>
    <row r="43" spans="1:9">
      <c r="A43" s="620">
        <f t="shared" si="1"/>
        <v>37</v>
      </c>
      <c r="B43" s="621" t="s">
        <v>4017</v>
      </c>
      <c r="C43" s="622">
        <f t="shared" si="2"/>
        <v>0</v>
      </c>
      <c r="D43" s="623">
        <f>'432 Breakdown'!C1123</f>
        <v>203520277.19999999</v>
      </c>
      <c r="E43" s="623">
        <f>'432 Breakdown'!C1139</f>
        <v>10000000</v>
      </c>
      <c r="F43" s="624">
        <f t="shared" si="6"/>
        <v>213520277.19999999</v>
      </c>
      <c r="G43" s="623">
        <f t="shared" si="3"/>
        <v>0</v>
      </c>
      <c r="H43" s="623">
        <f t="shared" si="4"/>
        <v>0</v>
      </c>
      <c r="I43" s="625">
        <f t="shared" si="5"/>
        <v>213520277.19999999</v>
      </c>
    </row>
    <row r="44" spans="1:9">
      <c r="A44" s="620">
        <f t="shared" si="1"/>
        <v>38</v>
      </c>
      <c r="B44" s="621" t="s">
        <v>4018</v>
      </c>
      <c r="C44" s="622">
        <f t="shared" si="2"/>
        <v>0</v>
      </c>
      <c r="D44" s="623">
        <f>'432 Breakdown'!C1150</f>
        <v>9622626.1999999993</v>
      </c>
      <c r="E44" s="623">
        <f>'432 Breakdown'!C1169</f>
        <v>8000000</v>
      </c>
      <c r="F44" s="624">
        <f t="shared" si="6"/>
        <v>17622626.199999999</v>
      </c>
      <c r="G44" s="623">
        <f t="shared" si="3"/>
        <v>0</v>
      </c>
      <c r="H44" s="623">
        <f t="shared" si="4"/>
        <v>0</v>
      </c>
      <c r="I44" s="625">
        <f t="shared" si="5"/>
        <v>17622626.199999999</v>
      </c>
    </row>
    <row r="45" spans="1:9">
      <c r="A45" s="620">
        <f t="shared" si="1"/>
        <v>39</v>
      </c>
      <c r="B45" s="621" t="s">
        <v>4019</v>
      </c>
      <c r="C45" s="622">
        <f t="shared" si="2"/>
        <v>0</v>
      </c>
      <c r="D45" s="623">
        <f>'432 Breakdown'!C1181</f>
        <v>0</v>
      </c>
      <c r="E45" s="623">
        <f>'432 Breakdown'!C1197</f>
        <v>0</v>
      </c>
      <c r="F45" s="624">
        <f t="shared" si="6"/>
        <v>0</v>
      </c>
      <c r="G45" s="623">
        <f t="shared" si="3"/>
        <v>0</v>
      </c>
      <c r="H45" s="623">
        <f t="shared" si="4"/>
        <v>0</v>
      </c>
      <c r="I45" s="625">
        <f t="shared" si="5"/>
        <v>0</v>
      </c>
    </row>
    <row r="46" spans="1:9">
      <c r="A46" s="620">
        <f t="shared" si="1"/>
        <v>40</v>
      </c>
      <c r="B46" s="621" t="s">
        <v>4020</v>
      </c>
      <c r="C46" s="622">
        <f t="shared" si="2"/>
        <v>0</v>
      </c>
      <c r="D46" s="623">
        <f>'432 Breakdown'!C1209</f>
        <v>63835427.670000002</v>
      </c>
      <c r="E46" s="623">
        <f>'432 Breakdown'!C1227</f>
        <v>6500000</v>
      </c>
      <c r="F46" s="624">
        <f t="shared" si="6"/>
        <v>70335427.670000002</v>
      </c>
      <c r="G46" s="623">
        <f t="shared" si="3"/>
        <v>0</v>
      </c>
      <c r="H46" s="623">
        <f t="shared" si="4"/>
        <v>0</v>
      </c>
      <c r="I46" s="625">
        <f t="shared" si="5"/>
        <v>70335427.670000002</v>
      </c>
    </row>
    <row r="47" spans="1:9">
      <c r="A47" s="620">
        <f t="shared" si="1"/>
        <v>41</v>
      </c>
      <c r="B47" s="621" t="s">
        <v>4054</v>
      </c>
      <c r="C47" s="622">
        <f t="shared" si="2"/>
        <v>0</v>
      </c>
      <c r="D47" s="623">
        <f>'432 Breakdown'!C1238</f>
        <v>398859717.80000001</v>
      </c>
      <c r="E47" s="623">
        <f>'432 Breakdown'!C1259</f>
        <v>19000000</v>
      </c>
      <c r="F47" s="624">
        <f t="shared" si="6"/>
        <v>417859717.80000001</v>
      </c>
      <c r="G47" s="623">
        <f t="shared" si="3"/>
        <v>0</v>
      </c>
      <c r="H47" s="623">
        <f t="shared" si="4"/>
        <v>0</v>
      </c>
      <c r="I47" s="625">
        <f t="shared" si="5"/>
        <v>417859717.80000001</v>
      </c>
    </row>
    <row r="48" spans="1:9">
      <c r="A48" s="620">
        <f t="shared" si="1"/>
        <v>42</v>
      </c>
      <c r="B48" s="621" t="s">
        <v>695</v>
      </c>
      <c r="C48" s="622">
        <f t="shared" si="2"/>
        <v>0</v>
      </c>
      <c r="D48" s="623">
        <f>'432 Breakdown'!C1270</f>
        <v>0</v>
      </c>
      <c r="E48" s="623">
        <f>'432 Breakdown'!C1286</f>
        <v>4000000</v>
      </c>
      <c r="F48" s="624">
        <f t="shared" si="6"/>
        <v>4000000</v>
      </c>
      <c r="G48" s="623">
        <f t="shared" si="3"/>
        <v>0</v>
      </c>
      <c r="H48" s="623">
        <f t="shared" si="4"/>
        <v>0</v>
      </c>
      <c r="I48" s="625">
        <f t="shared" si="5"/>
        <v>4000000</v>
      </c>
    </row>
    <row r="49" spans="1:9">
      <c r="A49" s="620">
        <f t="shared" si="1"/>
        <v>43</v>
      </c>
      <c r="B49" s="621" t="s">
        <v>696</v>
      </c>
      <c r="C49" s="622">
        <f t="shared" si="2"/>
        <v>0</v>
      </c>
      <c r="D49" s="623">
        <f>'432 Breakdown'!C1297</f>
        <v>0</v>
      </c>
      <c r="E49" s="623">
        <f>'432 Breakdown'!C1313</f>
        <v>3000000</v>
      </c>
      <c r="F49" s="624">
        <f t="shared" si="6"/>
        <v>3000000</v>
      </c>
      <c r="G49" s="623">
        <f t="shared" si="3"/>
        <v>0</v>
      </c>
      <c r="H49" s="623">
        <f t="shared" si="4"/>
        <v>0</v>
      </c>
      <c r="I49" s="625">
        <f t="shared" si="5"/>
        <v>3000000</v>
      </c>
    </row>
    <row r="50" spans="1:9">
      <c r="A50" s="620">
        <f t="shared" si="1"/>
        <v>44</v>
      </c>
      <c r="B50" s="621" t="s">
        <v>697</v>
      </c>
      <c r="C50" s="622">
        <f t="shared" si="2"/>
        <v>0</v>
      </c>
      <c r="D50" s="623">
        <f>'432 Breakdown'!C1324</f>
        <v>29307531.850000001</v>
      </c>
      <c r="E50" s="623">
        <f>'432 Breakdown'!C1341</f>
        <v>24400000</v>
      </c>
      <c r="F50" s="624">
        <f t="shared" si="6"/>
        <v>53707531.850000001</v>
      </c>
      <c r="G50" s="623">
        <f t="shared" si="3"/>
        <v>0</v>
      </c>
      <c r="H50" s="623">
        <f t="shared" si="4"/>
        <v>0</v>
      </c>
      <c r="I50" s="625">
        <f t="shared" si="5"/>
        <v>53707531.850000001</v>
      </c>
    </row>
    <row r="51" spans="1:9">
      <c r="A51" s="620">
        <f t="shared" si="1"/>
        <v>45</v>
      </c>
      <c r="B51" s="621" t="s">
        <v>698</v>
      </c>
      <c r="C51" s="622">
        <f t="shared" si="2"/>
        <v>0</v>
      </c>
      <c r="D51" s="623">
        <f>'432 Breakdown'!C1352</f>
        <v>6936863.7999999998</v>
      </c>
      <c r="E51" s="623">
        <f>'432 Breakdown'!C1368</f>
        <v>3100000</v>
      </c>
      <c r="F51" s="624">
        <f t="shared" si="6"/>
        <v>10036863.800000001</v>
      </c>
      <c r="G51" s="623">
        <f t="shared" si="3"/>
        <v>0</v>
      </c>
      <c r="H51" s="623">
        <f t="shared" si="4"/>
        <v>0</v>
      </c>
      <c r="I51" s="625">
        <f t="shared" si="5"/>
        <v>10036863.800000001</v>
      </c>
    </row>
    <row r="52" spans="1:9">
      <c r="A52" s="620">
        <f t="shared" si="1"/>
        <v>46</v>
      </c>
      <c r="B52" s="621" t="s">
        <v>1667</v>
      </c>
      <c r="C52" s="622">
        <f t="shared" si="2"/>
        <v>0</v>
      </c>
      <c r="D52" s="623">
        <f>'432 Breakdown'!C1379</f>
        <v>72271339.599999994</v>
      </c>
      <c r="E52" s="623">
        <f>'432 Breakdown'!C1399</f>
        <v>46700000</v>
      </c>
      <c r="F52" s="624">
        <f t="shared" si="6"/>
        <v>118971339.59999999</v>
      </c>
      <c r="G52" s="623">
        <f t="shared" si="3"/>
        <v>0</v>
      </c>
      <c r="H52" s="623">
        <f t="shared" si="4"/>
        <v>0</v>
      </c>
      <c r="I52" s="625">
        <f t="shared" si="5"/>
        <v>118971339.59999999</v>
      </c>
    </row>
    <row r="53" spans="1:9">
      <c r="A53" s="620">
        <f t="shared" si="1"/>
        <v>47</v>
      </c>
      <c r="B53" s="621" t="s">
        <v>2187</v>
      </c>
      <c r="C53" s="622">
        <f t="shared" si="2"/>
        <v>0</v>
      </c>
      <c r="D53" s="623">
        <f>'432 Breakdown'!C1410</f>
        <v>0</v>
      </c>
      <c r="E53" s="623">
        <f>'432 Breakdown'!C1428</f>
        <v>59000000</v>
      </c>
      <c r="F53" s="624">
        <f t="shared" si="6"/>
        <v>59000000</v>
      </c>
      <c r="G53" s="623">
        <f t="shared" si="3"/>
        <v>0</v>
      </c>
      <c r="H53" s="623">
        <f t="shared" si="4"/>
        <v>0</v>
      </c>
      <c r="I53" s="625">
        <f t="shared" si="5"/>
        <v>59000000</v>
      </c>
    </row>
    <row r="54" spans="1:9">
      <c r="A54" s="620">
        <f t="shared" si="1"/>
        <v>48</v>
      </c>
      <c r="B54" s="621" t="s">
        <v>2188</v>
      </c>
      <c r="C54" s="622">
        <f t="shared" si="2"/>
        <v>0</v>
      </c>
      <c r="D54" s="623">
        <f>'432 Breakdown'!C1439</f>
        <v>0</v>
      </c>
      <c r="E54" s="623">
        <f>'432 Breakdown'!C1455</f>
        <v>5500000</v>
      </c>
      <c r="F54" s="624">
        <f t="shared" si="6"/>
        <v>5500000</v>
      </c>
      <c r="G54" s="623">
        <f t="shared" si="3"/>
        <v>0</v>
      </c>
      <c r="H54" s="623">
        <f t="shared" si="4"/>
        <v>0</v>
      </c>
      <c r="I54" s="625">
        <f t="shared" si="5"/>
        <v>5500000</v>
      </c>
    </row>
    <row r="55" spans="1:9">
      <c r="A55" s="620">
        <f t="shared" si="1"/>
        <v>49</v>
      </c>
      <c r="B55" s="621" t="s">
        <v>2390</v>
      </c>
      <c r="C55" s="622">
        <f t="shared" si="2"/>
        <v>0</v>
      </c>
      <c r="D55" s="623">
        <f>'432 Breakdown'!C1465</f>
        <v>0</v>
      </c>
      <c r="E55" s="623">
        <f>'432 Breakdown'!C1491</f>
        <v>20000000</v>
      </c>
      <c r="F55" s="624">
        <f t="shared" si="6"/>
        <v>20000000</v>
      </c>
      <c r="G55" s="623">
        <f t="shared" si="3"/>
        <v>0</v>
      </c>
      <c r="H55" s="623">
        <f t="shared" si="4"/>
        <v>0</v>
      </c>
      <c r="I55" s="625">
        <f t="shared" si="5"/>
        <v>20000000</v>
      </c>
    </row>
    <row r="56" spans="1:9">
      <c r="A56" s="620">
        <f t="shared" si="1"/>
        <v>50</v>
      </c>
      <c r="B56" s="621" t="s">
        <v>3274</v>
      </c>
      <c r="C56" s="622">
        <f t="shared" si="2"/>
        <v>0</v>
      </c>
      <c r="D56" s="623">
        <f>'432 Breakdown'!C1502</f>
        <v>7000000</v>
      </c>
      <c r="E56" s="623">
        <f>'432 Breakdown'!C1518</f>
        <v>3300000</v>
      </c>
      <c r="F56" s="624">
        <f t="shared" si="6"/>
        <v>10300000</v>
      </c>
      <c r="G56" s="623">
        <f t="shared" si="3"/>
        <v>0</v>
      </c>
      <c r="H56" s="623">
        <f t="shared" si="4"/>
        <v>0</v>
      </c>
      <c r="I56" s="625">
        <f t="shared" si="5"/>
        <v>10300000</v>
      </c>
    </row>
    <row r="57" spans="1:9">
      <c r="A57" s="620">
        <f t="shared" si="1"/>
        <v>51</v>
      </c>
      <c r="B57" s="621" t="s">
        <v>2391</v>
      </c>
      <c r="C57" s="622">
        <f t="shared" si="2"/>
        <v>0</v>
      </c>
      <c r="D57" s="623">
        <f>'432 Breakdown'!C1530</f>
        <v>6371221.6500000004</v>
      </c>
      <c r="E57" s="623">
        <f>'432 Breakdown'!C1547</f>
        <v>4000000</v>
      </c>
      <c r="F57" s="624">
        <f t="shared" si="6"/>
        <v>10371221.65</v>
      </c>
      <c r="G57" s="623">
        <f t="shared" si="3"/>
        <v>0</v>
      </c>
      <c r="H57" s="623">
        <f t="shared" si="4"/>
        <v>0</v>
      </c>
      <c r="I57" s="625">
        <f t="shared" si="5"/>
        <v>10371221.65</v>
      </c>
    </row>
    <row r="58" spans="1:9">
      <c r="A58" s="620">
        <f t="shared" si="1"/>
        <v>52</v>
      </c>
      <c r="B58" s="621" t="s">
        <v>685</v>
      </c>
      <c r="C58" s="622">
        <f t="shared" si="2"/>
        <v>0</v>
      </c>
      <c r="D58" s="623">
        <f>'432 Breakdown'!C1558</f>
        <v>363622847.94999999</v>
      </c>
      <c r="E58" s="623">
        <f>'432 Breakdown'!C1577</f>
        <v>7800000</v>
      </c>
      <c r="F58" s="624">
        <f t="shared" si="6"/>
        <v>371422847.94999999</v>
      </c>
      <c r="G58" s="623">
        <f t="shared" si="3"/>
        <v>0</v>
      </c>
      <c r="H58" s="623">
        <f t="shared" si="4"/>
        <v>0</v>
      </c>
      <c r="I58" s="625">
        <f t="shared" si="5"/>
        <v>371422847.94999999</v>
      </c>
    </row>
    <row r="59" spans="1:9">
      <c r="A59" s="620">
        <f t="shared" si="1"/>
        <v>53</v>
      </c>
      <c r="B59" s="621" t="s">
        <v>686</v>
      </c>
      <c r="C59" s="622">
        <f t="shared" si="2"/>
        <v>0</v>
      </c>
      <c r="D59" s="623">
        <f>'432 Breakdown'!C1588</f>
        <v>167979904.84999999</v>
      </c>
      <c r="E59" s="623">
        <f>'432 Breakdown'!C1604</f>
        <v>5800000</v>
      </c>
      <c r="F59" s="624">
        <f t="shared" si="6"/>
        <v>173779904.84999999</v>
      </c>
      <c r="G59" s="623">
        <f t="shared" si="3"/>
        <v>0</v>
      </c>
      <c r="H59" s="623">
        <f t="shared" si="4"/>
        <v>0</v>
      </c>
      <c r="I59" s="625">
        <f t="shared" si="5"/>
        <v>173779904.84999999</v>
      </c>
    </row>
    <row r="60" spans="1:9">
      <c r="A60" s="620">
        <f t="shared" si="1"/>
        <v>54</v>
      </c>
      <c r="B60" s="621" t="s">
        <v>687</v>
      </c>
      <c r="C60" s="622">
        <f t="shared" si="2"/>
        <v>0</v>
      </c>
      <c r="D60" s="623">
        <f>'432 Breakdown'!C1615</f>
        <v>0</v>
      </c>
      <c r="E60" s="623">
        <f>'432 Breakdown'!C1631</f>
        <v>0</v>
      </c>
      <c r="F60" s="624">
        <f t="shared" si="6"/>
        <v>0</v>
      </c>
      <c r="G60" s="623">
        <f t="shared" si="3"/>
        <v>0</v>
      </c>
      <c r="H60" s="623">
        <f t="shared" si="4"/>
        <v>0</v>
      </c>
      <c r="I60" s="625">
        <f t="shared" si="5"/>
        <v>0</v>
      </c>
    </row>
    <row r="61" spans="1:9">
      <c r="A61" s="620">
        <f t="shared" si="1"/>
        <v>55</v>
      </c>
      <c r="B61" s="621" t="s">
        <v>1932</v>
      </c>
      <c r="C61" s="622">
        <f t="shared" si="2"/>
        <v>0</v>
      </c>
      <c r="D61" s="623">
        <f>'432 Breakdown'!C1642</f>
        <v>0</v>
      </c>
      <c r="E61" s="623">
        <f>'432 Breakdown'!C1658</f>
        <v>2400000</v>
      </c>
      <c r="F61" s="624">
        <f t="shared" si="6"/>
        <v>2400000</v>
      </c>
      <c r="G61" s="623">
        <f t="shared" si="3"/>
        <v>0</v>
      </c>
      <c r="H61" s="623">
        <f t="shared" si="4"/>
        <v>0</v>
      </c>
      <c r="I61" s="625">
        <f t="shared" si="5"/>
        <v>2400000</v>
      </c>
    </row>
    <row r="62" spans="1:9">
      <c r="A62" s="620">
        <f t="shared" si="1"/>
        <v>56</v>
      </c>
      <c r="B62" s="621" t="s">
        <v>1528</v>
      </c>
      <c r="C62" s="622">
        <f t="shared" si="2"/>
        <v>0</v>
      </c>
      <c r="D62" s="623">
        <f>'432 Breakdown'!C1669</f>
        <v>0</v>
      </c>
      <c r="E62" s="623">
        <f>'432 Breakdown'!C1687</f>
        <v>24000000</v>
      </c>
      <c r="F62" s="624">
        <f t="shared" si="6"/>
        <v>24000000</v>
      </c>
      <c r="G62" s="623">
        <f t="shared" si="3"/>
        <v>0</v>
      </c>
      <c r="H62" s="623">
        <f t="shared" si="4"/>
        <v>0</v>
      </c>
      <c r="I62" s="625">
        <f t="shared" si="5"/>
        <v>24000000</v>
      </c>
    </row>
    <row r="63" spans="1:9">
      <c r="A63" s="620">
        <f t="shared" si="1"/>
        <v>57</v>
      </c>
      <c r="B63" s="621" t="s">
        <v>2389</v>
      </c>
      <c r="C63" s="622">
        <f t="shared" si="2"/>
        <v>0</v>
      </c>
      <c r="D63" s="623">
        <f>'432 Breakdown'!C1698</f>
        <v>1682592.85</v>
      </c>
      <c r="E63" s="623">
        <f>'432 Breakdown'!C1717</f>
        <v>7000000</v>
      </c>
      <c r="F63" s="624">
        <f t="shared" si="6"/>
        <v>8682592.8499999996</v>
      </c>
      <c r="G63" s="623">
        <f t="shared" si="3"/>
        <v>0</v>
      </c>
      <c r="H63" s="623">
        <f t="shared" si="4"/>
        <v>0</v>
      </c>
      <c r="I63" s="625">
        <f t="shared" si="5"/>
        <v>8682592.8499999996</v>
      </c>
    </row>
    <row r="64" spans="1:9">
      <c r="A64" s="620">
        <f t="shared" si="1"/>
        <v>58</v>
      </c>
      <c r="B64" s="621" t="s">
        <v>1799</v>
      </c>
      <c r="C64" s="622">
        <f t="shared" si="2"/>
        <v>0</v>
      </c>
      <c r="D64" s="623">
        <f>'432 Breakdown'!C1728</f>
        <v>0</v>
      </c>
      <c r="E64" s="623">
        <f>'432 Breakdown'!C1744</f>
        <v>4000000</v>
      </c>
      <c r="F64" s="624">
        <f t="shared" si="6"/>
        <v>4000000</v>
      </c>
      <c r="G64" s="623">
        <f t="shared" si="3"/>
        <v>0</v>
      </c>
      <c r="H64" s="623">
        <f t="shared" si="4"/>
        <v>0</v>
      </c>
      <c r="I64" s="625">
        <f t="shared" si="5"/>
        <v>4000000</v>
      </c>
    </row>
    <row r="65" spans="1:9">
      <c r="A65" s="620">
        <f t="shared" si="1"/>
        <v>59</v>
      </c>
      <c r="B65" s="621" t="s">
        <v>1801</v>
      </c>
      <c r="C65" s="622">
        <f t="shared" si="2"/>
        <v>0</v>
      </c>
      <c r="D65" s="623">
        <f>'432 Breakdown'!C1755</f>
        <v>0</v>
      </c>
      <c r="E65" s="623">
        <f>'432 Breakdown'!C1773</f>
        <v>14500000</v>
      </c>
      <c r="F65" s="624">
        <f t="shared" si="6"/>
        <v>14500000</v>
      </c>
      <c r="G65" s="623">
        <f t="shared" si="3"/>
        <v>0</v>
      </c>
      <c r="H65" s="623">
        <f t="shared" si="4"/>
        <v>0</v>
      </c>
      <c r="I65" s="625">
        <f t="shared" si="5"/>
        <v>14500000</v>
      </c>
    </row>
    <row r="66" spans="1:9">
      <c r="A66" s="620">
        <f t="shared" si="1"/>
        <v>60</v>
      </c>
      <c r="B66" s="621" t="s">
        <v>341</v>
      </c>
      <c r="C66" s="622">
        <f t="shared" si="2"/>
        <v>0</v>
      </c>
      <c r="D66" s="623">
        <f>'432 Breakdown'!C1784</f>
        <v>3066062</v>
      </c>
      <c r="E66" s="623">
        <f>'432 Breakdown'!C1803</f>
        <v>10000000</v>
      </c>
      <c r="F66" s="624">
        <f t="shared" si="6"/>
        <v>13066062</v>
      </c>
      <c r="G66" s="623">
        <f t="shared" si="3"/>
        <v>0</v>
      </c>
      <c r="H66" s="623">
        <f t="shared" si="4"/>
        <v>0</v>
      </c>
      <c r="I66" s="625">
        <f t="shared" si="5"/>
        <v>13066062</v>
      </c>
    </row>
    <row r="67" spans="1:9">
      <c r="A67" s="620">
        <f t="shared" si="1"/>
        <v>61</v>
      </c>
      <c r="B67" s="621" t="s">
        <v>3706</v>
      </c>
      <c r="C67" s="622">
        <f t="shared" si="2"/>
        <v>0</v>
      </c>
      <c r="D67" s="623">
        <f>'432 Breakdown'!C1814</f>
        <v>0</v>
      </c>
      <c r="E67" s="623">
        <f>'432 Breakdown'!C1830</f>
        <v>3500000</v>
      </c>
      <c r="F67" s="624">
        <f t="shared" si="6"/>
        <v>3500000</v>
      </c>
      <c r="G67" s="623">
        <f t="shared" si="3"/>
        <v>0</v>
      </c>
      <c r="H67" s="623">
        <f t="shared" si="4"/>
        <v>0</v>
      </c>
      <c r="I67" s="625">
        <f t="shared" si="5"/>
        <v>3500000</v>
      </c>
    </row>
    <row r="68" spans="1:9">
      <c r="A68" s="620">
        <f t="shared" si="1"/>
        <v>62</v>
      </c>
      <c r="B68" s="621" t="s">
        <v>380</v>
      </c>
      <c r="C68" s="622">
        <f t="shared" si="2"/>
        <v>0</v>
      </c>
      <c r="D68" s="623">
        <f>'432 Breakdown'!C1841</f>
        <v>2651832.85</v>
      </c>
      <c r="E68" s="623">
        <f>'432 Breakdown'!C1858</f>
        <v>5000000</v>
      </c>
      <c r="F68" s="624">
        <f t="shared" si="6"/>
        <v>7651832.8499999996</v>
      </c>
      <c r="G68" s="623">
        <f t="shared" si="3"/>
        <v>0</v>
      </c>
      <c r="H68" s="623">
        <f t="shared" si="4"/>
        <v>0</v>
      </c>
      <c r="I68" s="625">
        <f t="shared" si="5"/>
        <v>7651832.8499999996</v>
      </c>
    </row>
    <row r="69" spans="1:9">
      <c r="A69" s="620">
        <f t="shared" si="1"/>
        <v>63</v>
      </c>
      <c r="B69" s="621" t="s">
        <v>260</v>
      </c>
      <c r="C69" s="622">
        <f t="shared" si="2"/>
        <v>0</v>
      </c>
      <c r="D69" s="623">
        <f>'432 Breakdown'!C1869</f>
        <v>0</v>
      </c>
      <c r="E69" s="623">
        <f>'432 Breakdown'!C1887</f>
        <v>5500000</v>
      </c>
      <c r="F69" s="624">
        <f t="shared" si="6"/>
        <v>5500000</v>
      </c>
      <c r="G69" s="623">
        <f t="shared" si="3"/>
        <v>0</v>
      </c>
      <c r="H69" s="623">
        <f t="shared" si="4"/>
        <v>0</v>
      </c>
      <c r="I69" s="625">
        <f t="shared" si="5"/>
        <v>5500000</v>
      </c>
    </row>
    <row r="70" spans="1:9">
      <c r="A70" s="620">
        <f t="shared" si="1"/>
        <v>64</v>
      </c>
      <c r="B70" s="621" t="s">
        <v>261</v>
      </c>
      <c r="C70" s="622">
        <f t="shared" si="2"/>
        <v>0</v>
      </c>
      <c r="D70" s="623">
        <f>'432 Breakdown'!C1898</f>
        <v>0</v>
      </c>
      <c r="E70" s="623">
        <f>'432 Breakdown'!C1914</f>
        <v>4000000</v>
      </c>
      <c r="F70" s="624">
        <f t="shared" si="6"/>
        <v>4000000</v>
      </c>
      <c r="G70" s="623">
        <f t="shared" si="3"/>
        <v>0</v>
      </c>
      <c r="H70" s="623">
        <f t="shared" si="4"/>
        <v>0</v>
      </c>
      <c r="I70" s="625">
        <f t="shared" si="5"/>
        <v>4000000</v>
      </c>
    </row>
    <row r="71" spans="1:9">
      <c r="A71" s="620">
        <f t="shared" ref="A71:A83" si="7">+A70+1</f>
        <v>65</v>
      </c>
      <c r="B71" s="621" t="s">
        <v>1348</v>
      </c>
      <c r="C71" s="622">
        <f t="shared" ref="C71:C81" si="8">T71+U71</f>
        <v>0</v>
      </c>
      <c r="D71" s="623">
        <f>'432 Breakdown'!C1925</f>
        <v>1713353.1</v>
      </c>
      <c r="E71" s="623">
        <f>'432 Breakdown'!C1941</f>
        <v>5500000</v>
      </c>
      <c r="F71" s="624">
        <f t="shared" si="6"/>
        <v>7213353.0999999996</v>
      </c>
      <c r="G71" s="623">
        <f t="shared" ref="G71:G83" si="9">O71+P71</f>
        <v>0</v>
      </c>
      <c r="H71" s="623">
        <f t="shared" ref="H71:H83" si="10">Q71+R71</f>
        <v>0</v>
      </c>
      <c r="I71" s="625">
        <f t="shared" ref="I71:I83" si="11">SUM(F71:H71)</f>
        <v>7213353.0999999996</v>
      </c>
    </row>
    <row r="72" spans="1:9">
      <c r="A72" s="620">
        <f t="shared" si="7"/>
        <v>66</v>
      </c>
      <c r="B72" s="621" t="s">
        <v>3392</v>
      </c>
      <c r="C72" s="622">
        <f t="shared" si="8"/>
        <v>0</v>
      </c>
      <c r="D72" s="623">
        <f>'432 Breakdown'!C1952</f>
        <v>0</v>
      </c>
      <c r="E72" s="623">
        <f>'432 Breakdown'!C1971</f>
        <v>807500000</v>
      </c>
      <c r="F72" s="624">
        <f t="shared" si="6"/>
        <v>807500000</v>
      </c>
      <c r="G72" s="623">
        <f t="shared" si="9"/>
        <v>0</v>
      </c>
      <c r="H72" s="623">
        <f t="shared" si="10"/>
        <v>0</v>
      </c>
      <c r="I72" s="625">
        <f t="shared" si="11"/>
        <v>807500000</v>
      </c>
    </row>
    <row r="73" spans="1:9">
      <c r="A73" s="620">
        <f t="shared" si="7"/>
        <v>67</v>
      </c>
      <c r="B73" s="626" t="s">
        <v>4147</v>
      </c>
      <c r="C73" s="622">
        <f t="shared" si="8"/>
        <v>0</v>
      </c>
      <c r="D73" s="627">
        <f>'432 Breakdown'!C1982</f>
        <v>677000000</v>
      </c>
      <c r="E73" s="627">
        <f>'432 Breakdown'!C2011</f>
        <v>114400000</v>
      </c>
      <c r="F73" s="624">
        <f t="shared" si="6"/>
        <v>791400000</v>
      </c>
      <c r="G73" s="623">
        <f t="shared" si="9"/>
        <v>0</v>
      </c>
      <c r="H73" s="623">
        <f t="shared" si="10"/>
        <v>0</v>
      </c>
      <c r="I73" s="625">
        <f t="shared" si="11"/>
        <v>791400000</v>
      </c>
    </row>
    <row r="74" spans="1:9">
      <c r="A74" s="620">
        <f t="shared" si="7"/>
        <v>68</v>
      </c>
      <c r="B74" s="626" t="s">
        <v>4114</v>
      </c>
      <c r="C74" s="622">
        <f t="shared" si="8"/>
        <v>0</v>
      </c>
      <c r="D74" s="627">
        <f>'432 Breakdown'!C2022</f>
        <v>0</v>
      </c>
      <c r="E74" s="627">
        <f>'432 Breakdown'!C2040</f>
        <v>4200000</v>
      </c>
      <c r="F74" s="624">
        <f t="shared" si="6"/>
        <v>4200000</v>
      </c>
      <c r="G74" s="623">
        <f t="shared" si="9"/>
        <v>0</v>
      </c>
      <c r="H74" s="623">
        <f t="shared" si="10"/>
        <v>0</v>
      </c>
      <c r="I74" s="625">
        <f t="shared" si="11"/>
        <v>4200000</v>
      </c>
    </row>
    <row r="75" spans="1:9">
      <c r="A75" s="620">
        <f t="shared" si="7"/>
        <v>69</v>
      </c>
      <c r="B75" s="626" t="s">
        <v>183</v>
      </c>
      <c r="C75" s="622">
        <f t="shared" si="8"/>
        <v>0</v>
      </c>
      <c r="D75" s="627">
        <f>'432 Breakdown'!C2051</f>
        <v>0</v>
      </c>
      <c r="E75" s="627">
        <f>'432 Breakdown'!C2074</f>
        <v>12000000</v>
      </c>
      <c r="F75" s="624">
        <f t="shared" si="6"/>
        <v>12000000</v>
      </c>
      <c r="G75" s="623">
        <f t="shared" si="9"/>
        <v>0</v>
      </c>
      <c r="H75" s="623">
        <f t="shared" si="10"/>
        <v>0</v>
      </c>
      <c r="I75" s="625">
        <f t="shared" si="11"/>
        <v>12000000</v>
      </c>
    </row>
    <row r="76" spans="1:9">
      <c r="A76" s="620">
        <f t="shared" si="7"/>
        <v>70</v>
      </c>
      <c r="B76" s="626" t="s">
        <v>4116</v>
      </c>
      <c r="C76" s="622">
        <f t="shared" si="8"/>
        <v>0</v>
      </c>
      <c r="D76" s="627">
        <f>'432 Breakdown'!C2085</f>
        <v>0</v>
      </c>
      <c r="E76" s="627">
        <f>'432 Breakdown'!C2101</f>
        <v>5600000</v>
      </c>
      <c r="F76" s="624">
        <f t="shared" si="6"/>
        <v>5600000</v>
      </c>
      <c r="G76" s="623">
        <f t="shared" si="9"/>
        <v>0</v>
      </c>
      <c r="H76" s="623">
        <f t="shared" si="10"/>
        <v>0</v>
      </c>
      <c r="I76" s="625">
        <f t="shared" si="11"/>
        <v>5600000</v>
      </c>
    </row>
    <row r="77" spans="1:9">
      <c r="A77" s="620">
        <f t="shared" si="7"/>
        <v>71</v>
      </c>
      <c r="B77" s="626" t="s">
        <v>103</v>
      </c>
      <c r="C77" s="622">
        <f t="shared" si="8"/>
        <v>0</v>
      </c>
      <c r="D77" s="627">
        <f>'432 Breakdown'!C2112</f>
        <v>0</v>
      </c>
      <c r="E77" s="627">
        <f>'432 Breakdown'!C2130</f>
        <v>6100000</v>
      </c>
      <c r="F77" s="624">
        <f t="shared" si="6"/>
        <v>6100000</v>
      </c>
      <c r="G77" s="623">
        <f t="shared" si="9"/>
        <v>0</v>
      </c>
      <c r="H77" s="623">
        <f t="shared" si="10"/>
        <v>0</v>
      </c>
      <c r="I77" s="625">
        <f t="shared" si="11"/>
        <v>6100000</v>
      </c>
    </row>
    <row r="78" spans="1:9">
      <c r="A78" s="620">
        <f t="shared" si="7"/>
        <v>72</v>
      </c>
      <c r="B78" s="626" t="s">
        <v>4115</v>
      </c>
      <c r="C78" s="622">
        <f t="shared" si="8"/>
        <v>0</v>
      </c>
      <c r="D78" s="627">
        <f>'432 Breakdown'!C2140</f>
        <v>0</v>
      </c>
      <c r="E78" s="627">
        <f>'432 Breakdown'!C2157</f>
        <v>0</v>
      </c>
      <c r="F78" s="624">
        <f t="shared" si="6"/>
        <v>0</v>
      </c>
      <c r="G78" s="623">
        <f t="shared" si="9"/>
        <v>0</v>
      </c>
      <c r="H78" s="623">
        <f t="shared" si="10"/>
        <v>0</v>
      </c>
      <c r="I78" s="625">
        <f t="shared" si="11"/>
        <v>0</v>
      </c>
    </row>
    <row r="79" spans="1:9">
      <c r="A79" s="620">
        <f t="shared" si="7"/>
        <v>73</v>
      </c>
      <c r="B79" s="626" t="s">
        <v>4120</v>
      </c>
      <c r="C79" s="622">
        <f t="shared" si="8"/>
        <v>0</v>
      </c>
      <c r="D79" s="627">
        <f>'432 Breakdown'!C2168</f>
        <v>0</v>
      </c>
      <c r="E79" s="627">
        <f>'432 Breakdown'!C2184</f>
        <v>6500000</v>
      </c>
      <c r="F79" s="624">
        <f t="shared" si="6"/>
        <v>6500000</v>
      </c>
      <c r="G79" s="623">
        <f t="shared" si="9"/>
        <v>0</v>
      </c>
      <c r="H79" s="623">
        <f t="shared" si="10"/>
        <v>0</v>
      </c>
      <c r="I79" s="625">
        <f t="shared" si="11"/>
        <v>6500000</v>
      </c>
    </row>
    <row r="80" spans="1:9">
      <c r="A80" s="620">
        <f t="shared" si="7"/>
        <v>74</v>
      </c>
      <c r="B80" s="626" t="s">
        <v>4121</v>
      </c>
      <c r="C80" s="622">
        <f t="shared" si="8"/>
        <v>0</v>
      </c>
      <c r="D80" s="627">
        <f>'432 Breakdown'!C2195</f>
        <v>120000000</v>
      </c>
      <c r="E80" s="627">
        <f>'432 Breakdown'!C2216</f>
        <v>265000000</v>
      </c>
      <c r="F80" s="624">
        <f t="shared" si="6"/>
        <v>385000000</v>
      </c>
      <c r="G80" s="623">
        <f t="shared" si="9"/>
        <v>0</v>
      </c>
      <c r="H80" s="623">
        <f t="shared" si="10"/>
        <v>0</v>
      </c>
      <c r="I80" s="625">
        <f t="shared" si="11"/>
        <v>385000000</v>
      </c>
    </row>
    <row r="81" spans="1:9">
      <c r="A81" s="620">
        <f t="shared" si="7"/>
        <v>75</v>
      </c>
      <c r="B81" s="626" t="s">
        <v>4226</v>
      </c>
      <c r="C81" s="622">
        <f t="shared" si="8"/>
        <v>0</v>
      </c>
      <c r="D81" s="627">
        <f>'432 Breakdown'!C2227</f>
        <v>0</v>
      </c>
      <c r="E81" s="627">
        <f>'432 Breakdown'!C2244</f>
        <v>3500000</v>
      </c>
      <c r="F81" s="624">
        <f t="shared" si="6"/>
        <v>3500000</v>
      </c>
      <c r="G81" s="623">
        <f t="shared" si="9"/>
        <v>0</v>
      </c>
      <c r="H81" s="623">
        <f t="shared" si="10"/>
        <v>0</v>
      </c>
      <c r="I81" s="625">
        <f t="shared" si="11"/>
        <v>3500000</v>
      </c>
    </row>
    <row r="82" spans="1:9">
      <c r="A82" s="620">
        <f t="shared" si="7"/>
        <v>76</v>
      </c>
      <c r="B82" s="626" t="s">
        <v>4217</v>
      </c>
      <c r="C82" s="628"/>
      <c r="D82" s="627">
        <f>'432 Breakdown'!C2255</f>
        <v>0</v>
      </c>
      <c r="E82" s="627">
        <f>'432 Breakdown'!C2272</f>
        <v>7000000</v>
      </c>
      <c r="F82" s="624">
        <f t="shared" si="6"/>
        <v>7000000</v>
      </c>
      <c r="G82" s="623">
        <f t="shared" si="9"/>
        <v>0</v>
      </c>
      <c r="H82" s="623">
        <f t="shared" si="10"/>
        <v>0</v>
      </c>
      <c r="I82" s="625">
        <f t="shared" si="11"/>
        <v>7000000</v>
      </c>
    </row>
    <row r="83" spans="1:9">
      <c r="A83" s="620">
        <f t="shared" si="7"/>
        <v>77</v>
      </c>
      <c r="B83" s="626" t="s">
        <v>4218</v>
      </c>
      <c r="C83" s="628"/>
      <c r="D83" s="627">
        <f>'432 Breakdown'!C2283</f>
        <v>0</v>
      </c>
      <c r="E83" s="627">
        <f>'432 Breakdown'!C2301</f>
        <v>10000000</v>
      </c>
      <c r="F83" s="624">
        <f t="shared" si="6"/>
        <v>10000000</v>
      </c>
      <c r="G83" s="623">
        <f t="shared" si="9"/>
        <v>0</v>
      </c>
      <c r="H83" s="623">
        <f t="shared" si="10"/>
        <v>0</v>
      </c>
      <c r="I83" s="625">
        <f t="shared" si="11"/>
        <v>10000000</v>
      </c>
    </row>
    <row r="84" spans="1:9" ht="15.75" thickBot="1">
      <c r="A84" s="629"/>
      <c r="B84" s="630" t="s">
        <v>1684</v>
      </c>
      <c r="C84" s="631">
        <f t="shared" ref="C84:H84" si="12">SUM(C6:C83)</f>
        <v>0</v>
      </c>
      <c r="D84" s="631">
        <f t="shared" si="12"/>
        <v>9558417605.670002</v>
      </c>
      <c r="E84" s="631">
        <f t="shared" si="12"/>
        <v>2462151017.9000001</v>
      </c>
      <c r="F84" s="631">
        <v>90327731500</v>
      </c>
      <c r="G84" s="631">
        <f t="shared" si="12"/>
        <v>0</v>
      </c>
      <c r="H84" s="631">
        <f t="shared" si="12"/>
        <v>0</v>
      </c>
      <c r="I84" s="631">
        <f>SUM(I6:I80)</f>
        <v>11973068623.570002</v>
      </c>
    </row>
    <row r="85" spans="1:9" ht="15.75" thickTop="1">
      <c r="A85" s="320"/>
      <c r="B85" s="320"/>
      <c r="C85" s="320"/>
      <c r="D85" s="320"/>
      <c r="E85" s="320"/>
      <c r="F85" s="320"/>
      <c r="G85" s="320"/>
      <c r="H85" s="320"/>
      <c r="I85" s="320"/>
    </row>
    <row r="87" spans="1:9">
      <c r="F87" s="610"/>
    </row>
    <row r="88" spans="1:9">
      <c r="F88" s="610"/>
    </row>
  </sheetData>
  <mergeCells count="3">
    <mergeCell ref="A2:F2"/>
    <mergeCell ref="A3:F3"/>
    <mergeCell ref="A1:I1"/>
  </mergeCells>
  <pageMargins left="0.75" right="0.75" top="1" bottom="1" header="0.5" footer="0.5"/>
  <pageSetup paperSize="9" orientation="portrait" horizontalDpi="4294967292" vertic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49"/>
  <sheetViews>
    <sheetView topLeftCell="A37" zoomScale="150" zoomScaleNormal="150" workbookViewId="0">
      <selection sqref="A1:G54"/>
    </sheetView>
  </sheetViews>
  <sheetFormatPr defaultColWidth="11.42578125" defaultRowHeight="15"/>
  <cols>
    <col min="1" max="1" width="7.28515625" customWidth="1"/>
    <col min="2" max="2" width="20.7109375" customWidth="1"/>
    <col min="3" max="3" width="13.85546875" bestFit="1" customWidth="1"/>
    <col min="4" max="4" width="15.140625" customWidth="1"/>
    <col min="5" max="5" width="14" bestFit="1" customWidth="1"/>
    <col min="6" max="6" width="15" bestFit="1" customWidth="1"/>
    <col min="7" max="7" width="19.140625" customWidth="1"/>
    <col min="8" max="10" width="0" hidden="1" customWidth="1"/>
  </cols>
  <sheetData>
    <row r="1" spans="1:10" ht="18.75">
      <c r="A1" s="1110" t="s">
        <v>5425</v>
      </c>
      <c r="B1" s="1110"/>
      <c r="C1" s="1110"/>
      <c r="D1" s="1110"/>
      <c r="E1" s="1110"/>
      <c r="F1" s="1110"/>
      <c r="G1" s="1110"/>
      <c r="H1" s="892"/>
      <c r="I1" s="892"/>
      <c r="J1" s="893"/>
    </row>
    <row r="2" spans="1:10">
      <c r="A2" s="894"/>
      <c r="B2" s="895" t="s">
        <v>5390</v>
      </c>
      <c r="C2" s="896"/>
      <c r="D2" s="896"/>
      <c r="E2" s="896"/>
      <c r="F2" s="896"/>
      <c r="G2" s="896"/>
      <c r="H2" s="896"/>
      <c r="I2" s="896"/>
      <c r="J2" s="897"/>
    </row>
    <row r="3" spans="1:10" ht="15.75">
      <c r="A3" s="898" t="s">
        <v>5391</v>
      </c>
      <c r="C3" s="899"/>
      <c r="D3" s="899"/>
      <c r="E3" s="899"/>
      <c r="F3" s="899"/>
      <c r="G3" s="899"/>
      <c r="H3" s="899"/>
      <c r="I3" s="899"/>
      <c r="J3" s="900"/>
    </row>
    <row r="4" spans="1:10">
      <c r="A4" s="901" t="s">
        <v>1620</v>
      </c>
      <c r="B4" s="901" t="s">
        <v>5392</v>
      </c>
      <c r="C4" s="902" t="s">
        <v>5393</v>
      </c>
      <c r="D4" s="902" t="s">
        <v>1841</v>
      </c>
      <c r="E4" s="902" t="s">
        <v>5394</v>
      </c>
      <c r="F4" s="902" t="s">
        <v>3577</v>
      </c>
      <c r="G4" s="903" t="s">
        <v>5395</v>
      </c>
      <c r="H4" s="904" t="s">
        <v>3577</v>
      </c>
      <c r="I4" s="904" t="s">
        <v>3577</v>
      </c>
      <c r="J4" s="905" t="s">
        <v>1172</v>
      </c>
    </row>
    <row r="5" spans="1:10">
      <c r="A5" s="906"/>
      <c r="B5" s="906"/>
      <c r="C5" s="907" t="s">
        <v>4200</v>
      </c>
      <c r="D5" s="908" t="s">
        <v>4515</v>
      </c>
      <c r="E5" s="909" t="s">
        <v>5396</v>
      </c>
      <c r="F5" s="908" t="s">
        <v>243</v>
      </c>
      <c r="G5" s="910" t="s">
        <v>243</v>
      </c>
      <c r="H5" s="908" t="s">
        <v>5397</v>
      </c>
      <c r="I5" s="908" t="s">
        <v>4515</v>
      </c>
      <c r="J5" s="911"/>
    </row>
    <row r="6" spans="1:10">
      <c r="A6" s="912"/>
      <c r="B6" s="913" t="s">
        <v>5398</v>
      </c>
      <c r="C6" s="914"/>
      <c r="D6" s="915"/>
      <c r="E6" s="915"/>
      <c r="F6" s="915"/>
      <c r="G6" s="915"/>
      <c r="H6" s="915"/>
      <c r="I6" s="915"/>
      <c r="J6" s="916"/>
    </row>
    <row r="7" spans="1:10">
      <c r="A7" s="917">
        <v>450</v>
      </c>
      <c r="B7" s="918" t="s">
        <v>5399</v>
      </c>
      <c r="C7" s="919">
        <f>[6]CAPITAL!C60</f>
        <v>14548787500</v>
      </c>
      <c r="D7" s="920">
        <f>[6]CAPITAL!D60</f>
        <v>8712000000</v>
      </c>
      <c r="E7" s="920">
        <f>[6]CAPITAL!E60</f>
        <v>1583072727</v>
      </c>
      <c r="F7" s="920">
        <f>[6]CAPITAL!F60</f>
        <v>6745000000</v>
      </c>
      <c r="G7" s="920" t="e">
        <f>CAPITAL!#REF!</f>
        <v>#REF!</v>
      </c>
      <c r="H7" s="919">
        <f>+[6]CAPITAL!H60</f>
        <v>4845750000</v>
      </c>
      <c r="I7" s="919">
        <f>+[6]CAPITAL!I60</f>
        <v>5088037500</v>
      </c>
      <c r="J7" s="921" t="e">
        <f>G7/G49</f>
        <v>#REF!</v>
      </c>
    </row>
    <row r="8" spans="1:10">
      <c r="A8" s="912"/>
      <c r="B8" s="912"/>
      <c r="C8" s="919"/>
      <c r="D8" s="920"/>
      <c r="E8" s="920"/>
      <c r="F8" s="920"/>
      <c r="G8" s="920"/>
      <c r="H8" s="919"/>
      <c r="I8" s="919"/>
      <c r="J8" s="921"/>
    </row>
    <row r="9" spans="1:10">
      <c r="A9" s="917">
        <v>451</v>
      </c>
      <c r="B9" s="918" t="s">
        <v>5400</v>
      </c>
      <c r="C9" s="919">
        <f>[6]CAPITAL!C98</f>
        <v>962460000</v>
      </c>
      <c r="D9" s="920">
        <f>[6]CAPITAL!D98</f>
        <v>394000000</v>
      </c>
      <c r="E9" s="920">
        <f>[6]CAPITAL!E98</f>
        <v>0</v>
      </c>
      <c r="F9" s="920">
        <f>[6]CAPITAL!F98</f>
        <v>304000000</v>
      </c>
      <c r="G9" s="920">
        <f>[6]CAPITAL!G98</f>
        <v>304000000</v>
      </c>
      <c r="H9" s="919">
        <f>+[6]CAPITAL!H98</f>
        <v>321200000</v>
      </c>
      <c r="I9" s="919">
        <f>+[6]CAPITAL!I98</f>
        <v>337260000</v>
      </c>
      <c r="J9" s="922" t="e">
        <f>G9/G49</f>
        <v>#REF!</v>
      </c>
    </row>
    <row r="10" spans="1:10">
      <c r="A10" s="912"/>
      <c r="B10" s="912"/>
      <c r="C10" s="919"/>
      <c r="D10" s="920"/>
      <c r="E10" s="920"/>
      <c r="F10" s="920"/>
      <c r="G10" s="920"/>
      <c r="H10" s="919"/>
      <c r="I10" s="919"/>
      <c r="J10" s="921"/>
    </row>
    <row r="11" spans="1:10">
      <c r="A11" s="917">
        <v>452</v>
      </c>
      <c r="B11" s="918" t="s">
        <v>5401</v>
      </c>
      <c r="C11" s="919">
        <f>[6]CAPITAL!C121</f>
        <v>309892500</v>
      </c>
      <c r="D11" s="920">
        <f>[6]CAPITAL!D121</f>
        <v>104000000</v>
      </c>
      <c r="E11" s="920">
        <f>[6]CAPITAL!E121</f>
        <v>0</v>
      </c>
      <c r="F11" s="920">
        <f>[6]CAPITAL!F121</f>
        <v>0</v>
      </c>
      <c r="G11" s="920">
        <f>[6]CAPITAL!G121</f>
        <v>97000000</v>
      </c>
      <c r="H11" s="919">
        <f>+[6]CAPITAL!H121</f>
        <v>103850000</v>
      </c>
      <c r="I11" s="919">
        <f>+[6]CAPITAL!I121</f>
        <v>109042500</v>
      </c>
      <c r="J11" s="921" t="e">
        <f>G11/G49</f>
        <v>#REF!</v>
      </c>
    </row>
    <row r="12" spans="1:10">
      <c r="A12" s="912"/>
      <c r="B12" s="912"/>
      <c r="C12" s="919"/>
      <c r="D12" s="920"/>
      <c r="E12" s="920"/>
      <c r="F12" s="920"/>
      <c r="G12" s="920"/>
      <c r="H12" s="919"/>
      <c r="I12" s="919"/>
      <c r="J12" s="921"/>
    </row>
    <row r="13" spans="1:10">
      <c r="A13" s="917">
        <v>453</v>
      </c>
      <c r="B13" s="918" t="s">
        <v>5402</v>
      </c>
      <c r="C13" s="919">
        <f>[6]CAPITAL!C134</f>
        <v>82812500</v>
      </c>
      <c r="D13" s="920">
        <f>[6]CAPITAL!D134</f>
        <v>25000000</v>
      </c>
      <c r="E13" s="920">
        <f>[6]CAPITAL!E134</f>
        <v>0</v>
      </c>
      <c r="F13" s="920">
        <f>[6]CAPITAL!F134</f>
        <v>25000000</v>
      </c>
      <c r="G13" s="920">
        <f>[6]CAPITAL!G134</f>
        <v>25000000</v>
      </c>
      <c r="H13" s="919">
        <f>+[6]CAPITAL!H134</f>
        <v>28250000</v>
      </c>
      <c r="I13" s="919">
        <f>+[6]CAPITAL!I134</f>
        <v>29562500</v>
      </c>
      <c r="J13" s="921" t="e">
        <f>G13/G49</f>
        <v>#REF!</v>
      </c>
    </row>
    <row r="14" spans="1:10">
      <c r="A14" s="912"/>
      <c r="B14" s="912"/>
      <c r="C14" s="919"/>
      <c r="D14" s="920"/>
      <c r="E14" s="920"/>
      <c r="F14" s="920"/>
      <c r="G14" s="920"/>
      <c r="H14" s="919"/>
      <c r="I14" s="919"/>
      <c r="J14" s="921"/>
    </row>
    <row r="15" spans="1:10">
      <c r="A15" s="917">
        <v>454</v>
      </c>
      <c r="B15" s="918" t="s">
        <v>5403</v>
      </c>
      <c r="C15" s="919">
        <f>[6]CAPITAL!C160</f>
        <v>126100000</v>
      </c>
      <c r="D15" s="920">
        <f>[6]CAPITAL!D160</f>
        <v>550000000</v>
      </c>
      <c r="E15" s="920">
        <f>[6]CAPITAL!E160</f>
        <v>0</v>
      </c>
      <c r="F15" s="920">
        <f>[6]CAPITAL!F160</f>
        <v>620000000</v>
      </c>
      <c r="G15" s="920" t="e">
        <f>CAPITAL!#REF!</f>
        <v>#REF!</v>
      </c>
      <c r="H15" s="919">
        <f>+[6]CAPITAL!H160</f>
        <v>94500000</v>
      </c>
      <c r="I15" s="919">
        <f>+[6]CAPITAL!I160</f>
        <v>99225000</v>
      </c>
      <c r="J15" s="921" t="e">
        <f>G15/G49</f>
        <v>#REF!</v>
      </c>
    </row>
    <row r="16" spans="1:10">
      <c r="A16" s="912"/>
      <c r="B16" s="912"/>
      <c r="C16" s="919"/>
      <c r="D16" s="920"/>
      <c r="E16" s="920"/>
      <c r="F16" s="920"/>
      <c r="G16" s="920"/>
      <c r="H16" s="919"/>
      <c r="I16" s="919"/>
      <c r="J16" s="921"/>
    </row>
    <row r="17" spans="1:10">
      <c r="A17" s="917">
        <v>455</v>
      </c>
      <c r="B17" s="918" t="s">
        <v>5404</v>
      </c>
      <c r="C17" s="919">
        <f>+[6]CAPITAL!C187</f>
        <v>9935375000</v>
      </c>
      <c r="D17" s="920">
        <f>[6]CAPITAL!D187</f>
        <v>4155000000</v>
      </c>
      <c r="E17" s="920">
        <f>[6]CAPITAL!E187</f>
        <v>1379499165</v>
      </c>
      <c r="F17" s="920">
        <f>[6]CAPITAL!F187</f>
        <v>0</v>
      </c>
      <c r="G17" s="920">
        <f>[6]CAPITAL!G187</f>
        <v>3155000000</v>
      </c>
      <c r="H17" s="919">
        <f>+[6]CAPITAL!H187</f>
        <v>3307500000</v>
      </c>
      <c r="I17" s="919">
        <f>+[6]CAPITAL!I187</f>
        <v>3472875000</v>
      </c>
      <c r="J17" s="921" t="e">
        <f>G17/G49</f>
        <v>#REF!</v>
      </c>
    </row>
    <row r="18" spans="1:10">
      <c r="A18" s="923"/>
      <c r="B18" s="924"/>
      <c r="C18" s="919"/>
      <c r="D18" s="920"/>
      <c r="E18" s="920"/>
      <c r="F18" s="920"/>
      <c r="G18" s="920"/>
      <c r="H18" s="919"/>
      <c r="I18" s="919"/>
      <c r="J18" s="921"/>
    </row>
    <row r="19" spans="1:10" ht="26.25">
      <c r="A19" s="923">
        <v>456</v>
      </c>
      <c r="B19" s="924" t="s">
        <v>5405</v>
      </c>
      <c r="C19" s="919">
        <f>+[6]CAPITAL!C212</f>
        <v>409825000</v>
      </c>
      <c r="D19" s="920">
        <f>[6]CAPITAL!D212</f>
        <v>150000000</v>
      </c>
      <c r="E19" s="920">
        <f>[6]CAPITAL!E212</f>
        <v>0</v>
      </c>
      <c r="F19" s="920">
        <f>[6]CAPITAL!F212</f>
        <v>230000000</v>
      </c>
      <c r="G19" s="920" t="e">
        <f>CAPITAL!#REF!</f>
        <v>#REF!</v>
      </c>
      <c r="H19" s="919">
        <f>+[6]CAPITAL!H212</f>
        <v>147000000</v>
      </c>
      <c r="I19" s="919">
        <f>+[6]CAPITAL!I212</f>
        <v>154350000</v>
      </c>
      <c r="J19" s="921" t="e">
        <f>G19/G49</f>
        <v>#REF!</v>
      </c>
    </row>
    <row r="20" spans="1:10">
      <c r="A20" s="912"/>
      <c r="B20" s="912"/>
      <c r="C20" s="919"/>
      <c r="D20" s="920"/>
      <c r="E20" s="920"/>
      <c r="F20" s="920"/>
      <c r="G20" s="920"/>
      <c r="H20" s="919"/>
      <c r="I20" s="919"/>
      <c r="J20" s="921"/>
    </row>
    <row r="21" spans="1:10">
      <c r="A21" s="917">
        <v>457</v>
      </c>
      <c r="B21" s="918" t="s">
        <v>5406</v>
      </c>
      <c r="C21" s="919">
        <f>+[6]CAPITAL!C262</f>
        <v>40628683125</v>
      </c>
      <c r="D21" s="920">
        <f>[6]CAPITAL!D262</f>
        <v>19179500000</v>
      </c>
      <c r="E21" s="920">
        <f>[6]CAPITAL!E262</f>
        <v>5767501155</v>
      </c>
      <c r="F21" s="920">
        <f>[6]CAPITAL!F262</f>
        <v>65678000000</v>
      </c>
      <c r="G21" s="920">
        <f>[6]CAPITAL!G262</f>
        <v>12998250000</v>
      </c>
      <c r="H21" s="919">
        <f>+[6]CAPITAL!H262</f>
        <v>13522162500</v>
      </c>
      <c r="I21" s="919">
        <f>+[6]CAPITAL!I262</f>
        <v>14198270625</v>
      </c>
      <c r="J21" s="921" t="e">
        <f>G21/G49</f>
        <v>#REF!</v>
      </c>
    </row>
    <row r="22" spans="1:10">
      <c r="A22" s="925"/>
      <c r="B22" s="926" t="s">
        <v>5407</v>
      </c>
      <c r="C22" s="927">
        <f t="shared" ref="C22:J22" si="0">SUM(C7:C21)</f>
        <v>67003935625</v>
      </c>
      <c r="D22" s="927">
        <f t="shared" si="0"/>
        <v>33269500000</v>
      </c>
      <c r="E22" s="928">
        <f>SUM(E7:E21)</f>
        <v>8730073047</v>
      </c>
      <c r="F22" s="928">
        <f t="shared" si="0"/>
        <v>73602000000</v>
      </c>
      <c r="G22" s="928" t="e">
        <f>SUM(G7:G21)</f>
        <v>#REF!</v>
      </c>
      <c r="H22" s="927">
        <f t="shared" si="0"/>
        <v>22370212500</v>
      </c>
      <c r="I22" s="927">
        <f t="shared" si="0"/>
        <v>23488623125</v>
      </c>
      <c r="J22" s="929" t="e">
        <f t="shared" si="0"/>
        <v>#REF!</v>
      </c>
    </row>
    <row r="23" spans="1:10">
      <c r="A23" s="912"/>
      <c r="B23" s="895" t="s">
        <v>5408</v>
      </c>
      <c r="C23" s="919" t="s">
        <v>1840</v>
      </c>
      <c r="D23" s="920" t="s">
        <v>1840</v>
      </c>
      <c r="E23" s="920" t="s">
        <v>1840</v>
      </c>
      <c r="F23" s="920" t="s">
        <v>1840</v>
      </c>
      <c r="G23" s="920" t="s">
        <v>1840</v>
      </c>
      <c r="H23" s="919" t="s">
        <v>1840</v>
      </c>
      <c r="I23" s="919" t="s">
        <v>1840</v>
      </c>
      <c r="J23" s="921" t="s">
        <v>1840</v>
      </c>
    </row>
    <row r="24" spans="1:10">
      <c r="A24" s="917">
        <v>458</v>
      </c>
      <c r="B24" s="930" t="s">
        <v>5409</v>
      </c>
      <c r="C24" s="919">
        <f>+[6]CAPITAL!C322</f>
        <v>20083001250</v>
      </c>
      <c r="D24" s="920">
        <f>[6]CAPITAL!D322</f>
        <v>7076000000</v>
      </c>
      <c r="E24" s="920">
        <f>[6]CAPITAL!E322</f>
        <v>171642983</v>
      </c>
      <c r="F24" s="920">
        <f>[6]CAPITAL!F322</f>
        <v>4252000000</v>
      </c>
      <c r="G24" s="920">
        <f>[6]CAPITAL!G322</f>
        <v>7124500000</v>
      </c>
      <c r="H24" s="919">
        <f>+[6]CAPITAL!H322</f>
        <v>7480725000</v>
      </c>
      <c r="I24" s="919">
        <f>+[6]CAPITAL!I322</f>
        <v>7854761250</v>
      </c>
      <c r="J24" s="921" t="e">
        <f>G24/G49</f>
        <v>#REF!</v>
      </c>
    </row>
    <row r="25" spans="1:10">
      <c r="A25" s="912"/>
      <c r="B25" s="912"/>
      <c r="C25" s="919"/>
      <c r="D25" s="920"/>
      <c r="E25" s="920"/>
      <c r="F25" s="920"/>
      <c r="G25" s="920"/>
      <c r="H25" s="919"/>
      <c r="I25" s="919"/>
      <c r="J25" s="921"/>
    </row>
    <row r="26" spans="1:10">
      <c r="A26" s="917">
        <v>459</v>
      </c>
      <c r="B26" s="918" t="s">
        <v>5410</v>
      </c>
      <c r="C26" s="919">
        <f>[6]CAPITAL!C361</f>
        <v>11443575000</v>
      </c>
      <c r="D26" s="920">
        <f>[6]CAPITAL!D361</f>
        <v>5045000000</v>
      </c>
      <c r="E26" s="920">
        <f>[6]CAPITAL!E361</f>
        <v>31923291</v>
      </c>
      <c r="F26" s="920">
        <f>[6]CAPITAL!F361</f>
        <v>7729000000</v>
      </c>
      <c r="G26" s="920">
        <f>[6]CAPITAL!G361</f>
        <v>6229000000</v>
      </c>
      <c r="H26" s="919">
        <f>+[6]CAPITAL!H361</f>
        <v>6540450000</v>
      </c>
      <c r="I26" s="919">
        <f>+[6]CAPITAL!I361</f>
        <v>6867472500</v>
      </c>
      <c r="J26" s="921" t="e">
        <f>G26/G49</f>
        <v>#REF!</v>
      </c>
    </row>
    <row r="27" spans="1:10">
      <c r="A27" s="912"/>
      <c r="B27" s="912"/>
      <c r="C27" s="919"/>
      <c r="D27" s="920"/>
      <c r="E27" s="920"/>
      <c r="F27" s="920"/>
      <c r="G27" s="920"/>
      <c r="H27" s="919"/>
      <c r="I27" s="919"/>
      <c r="J27" s="921"/>
    </row>
    <row r="28" spans="1:10">
      <c r="A28" s="931">
        <v>460</v>
      </c>
      <c r="B28" s="918" t="s">
        <v>5411</v>
      </c>
      <c r="C28" s="919">
        <f>+[6]CAPITAL!C429</f>
        <v>4604922500</v>
      </c>
      <c r="D28" s="920">
        <f>[6]CAPITAL!D429</f>
        <v>1351000000</v>
      </c>
      <c r="E28" s="920">
        <f>[6]CAPITAL!E429</f>
        <v>163063850</v>
      </c>
      <c r="F28" s="920">
        <f>[6]CAPITAL!F429</f>
        <v>3954000000</v>
      </c>
      <c r="G28" s="920">
        <f>[6]CAPITAL!G429</f>
        <v>1579000000</v>
      </c>
      <c r="H28" s="919">
        <f>+[6]CAPITAL!H429</f>
        <v>1500450000</v>
      </c>
      <c r="I28" s="919">
        <f>+[6]CAPITAL!I429</f>
        <v>1575472500</v>
      </c>
      <c r="J28" s="921" t="e">
        <f>G28/G49</f>
        <v>#REF!</v>
      </c>
    </row>
    <row r="29" spans="1:10">
      <c r="A29" s="917"/>
      <c r="B29" s="918"/>
      <c r="C29" s="919"/>
      <c r="D29" s="920"/>
      <c r="E29" s="920"/>
      <c r="F29" s="920"/>
      <c r="G29" s="920"/>
      <c r="H29" s="919"/>
      <c r="I29" s="919"/>
      <c r="J29" s="921"/>
    </row>
    <row r="30" spans="1:10">
      <c r="A30" s="931" t="s">
        <v>5412</v>
      </c>
      <c r="B30" s="918" t="s">
        <v>5413</v>
      </c>
      <c r="C30" s="919">
        <f>+[6]CAPITAL!C451</f>
        <v>849650000</v>
      </c>
      <c r="D30" s="920">
        <f>[6]CAPITAL!D451</f>
        <v>240000000</v>
      </c>
      <c r="E30" s="920">
        <f>[6]CAPITAL!E451</f>
        <v>20000000</v>
      </c>
      <c r="F30" s="920">
        <f>[6]CAPITAL!F451</f>
        <v>415000000</v>
      </c>
      <c r="G30" s="920" t="e">
        <f>CAPITAL!#REF!</f>
        <v>#REF!</v>
      </c>
      <c r="H30" s="919">
        <f>+[6]CAPITAL!H451</f>
        <v>273000000</v>
      </c>
      <c r="I30" s="919">
        <f>+[6]CAPITAL!I451</f>
        <v>286650000</v>
      </c>
      <c r="J30" s="922" t="e">
        <f>G30/G49</f>
        <v>#REF!</v>
      </c>
    </row>
    <row r="31" spans="1:10">
      <c r="A31" s="912"/>
      <c r="B31" s="912"/>
      <c r="C31" s="919"/>
      <c r="D31" s="920"/>
      <c r="E31" s="920"/>
      <c r="F31" s="920"/>
      <c r="G31" s="920"/>
      <c r="H31" s="919"/>
      <c r="I31" s="919"/>
      <c r="J31" s="921"/>
    </row>
    <row r="32" spans="1:10">
      <c r="A32" s="917">
        <v>461</v>
      </c>
      <c r="B32" s="918" t="s">
        <v>5414</v>
      </c>
      <c r="C32" s="919">
        <f>+[6]CAPITAL!C497</f>
        <v>2049685000</v>
      </c>
      <c r="D32" s="920">
        <f>[6]CAPITAL!D497</f>
        <v>1261800000</v>
      </c>
      <c r="E32" s="920">
        <f>[6]CAPITAL!E497</f>
        <v>50000000</v>
      </c>
      <c r="F32" s="920">
        <f>[6]CAPITAL!F497</f>
        <v>545000000</v>
      </c>
      <c r="G32" s="920">
        <f>[6]CAPITAL!G497</f>
        <v>685000000</v>
      </c>
      <c r="H32" s="919">
        <f>+[6]CAPITAL!H497</f>
        <v>665700000</v>
      </c>
      <c r="I32" s="919">
        <f>+[6]CAPITAL!I497</f>
        <v>698985000</v>
      </c>
      <c r="J32" s="921" t="e">
        <f>G32/G49</f>
        <v>#REF!</v>
      </c>
    </row>
    <row r="33" spans="1:10" ht="15.75">
      <c r="A33" s="925"/>
      <c r="B33" s="926" t="s">
        <v>2593</v>
      </c>
      <c r="C33" s="927">
        <f t="shared" ref="C33:J33" si="1">SUM(C24:C32)</f>
        <v>39030833750</v>
      </c>
      <c r="D33" s="927">
        <f t="shared" si="1"/>
        <v>14973800000</v>
      </c>
      <c r="E33" s="462">
        <f>SUM(E24:E32)</f>
        <v>436630124</v>
      </c>
      <c r="F33" s="462">
        <f>SUM(F24:F32)</f>
        <v>16895000000</v>
      </c>
      <c r="G33" s="462" t="e">
        <f>SUM(G24:G32)</f>
        <v>#REF!</v>
      </c>
      <c r="H33" s="927">
        <f t="shared" si="1"/>
        <v>16460325000</v>
      </c>
      <c r="I33" s="927">
        <f t="shared" si="1"/>
        <v>17283341250</v>
      </c>
      <c r="J33" s="929" t="e">
        <f t="shared" si="1"/>
        <v>#REF!</v>
      </c>
    </row>
    <row r="34" spans="1:10">
      <c r="A34" s="932"/>
      <c r="B34" s="895" t="s">
        <v>5415</v>
      </c>
      <c r="C34" s="919"/>
      <c r="D34" s="919"/>
      <c r="E34" s="920" t="s">
        <v>5416</v>
      </c>
      <c r="F34" s="920" t="s">
        <v>5416</v>
      </c>
      <c r="G34" s="920" t="s">
        <v>5416</v>
      </c>
      <c r="H34" s="919" t="s">
        <v>5416</v>
      </c>
      <c r="I34" s="919" t="s">
        <v>5416</v>
      </c>
      <c r="J34" s="921" t="s">
        <v>5416</v>
      </c>
    </row>
    <row r="35" spans="1:10">
      <c r="A35" s="919"/>
      <c r="B35" s="919"/>
      <c r="C35" s="919"/>
      <c r="D35" s="920"/>
      <c r="E35" s="920"/>
      <c r="F35" s="920"/>
      <c r="G35" s="920"/>
      <c r="H35" s="919"/>
      <c r="I35" s="919"/>
      <c r="J35" s="921"/>
    </row>
    <row r="36" spans="1:10">
      <c r="A36" s="917">
        <v>462</v>
      </c>
      <c r="B36" s="918" t="s">
        <v>5417</v>
      </c>
      <c r="C36" s="919">
        <f>+[6]CAPITAL!C541</f>
        <v>7566000000</v>
      </c>
      <c r="D36" s="920">
        <f>[6]CAPITAL!D541</f>
        <v>3076000000</v>
      </c>
      <c r="E36" s="920">
        <f>[6]CAPITAL!E541</f>
        <v>297334429</v>
      </c>
      <c r="F36" s="920">
        <f>[6]CAPITAL!F541</f>
        <v>500000000</v>
      </c>
      <c r="G36" s="920">
        <f>[6]CAPITAL!G541</f>
        <v>2400000000</v>
      </c>
      <c r="H36" s="919">
        <f>+[6]CAPITAL!H541</f>
        <v>2520000000</v>
      </c>
      <c r="I36" s="919">
        <f>+[6]CAPITAL!I541</f>
        <v>2646000000</v>
      </c>
      <c r="J36" s="921" t="e">
        <f>G36/G49</f>
        <v>#REF!</v>
      </c>
    </row>
    <row r="37" spans="1:10">
      <c r="A37" s="912"/>
      <c r="B37" s="912"/>
      <c r="C37" s="919"/>
      <c r="D37" s="920"/>
      <c r="E37" s="920"/>
      <c r="F37" s="920"/>
      <c r="G37" s="920"/>
      <c r="H37" s="919"/>
      <c r="I37" s="919"/>
      <c r="J37" s="921"/>
    </row>
    <row r="38" spans="1:10">
      <c r="A38" s="917">
        <v>463</v>
      </c>
      <c r="B38" s="918" t="s">
        <v>5418</v>
      </c>
      <c r="C38" s="919">
        <f>+[6]CAPITAL!C563</f>
        <v>709312500</v>
      </c>
      <c r="D38" s="920">
        <f>[6]CAPITAL!D563</f>
        <v>570000000</v>
      </c>
      <c r="E38" s="920">
        <f>[6]CAPITAL!E563</f>
        <v>65202577</v>
      </c>
      <c r="F38" s="920">
        <f>[6]CAPITAL!F563</f>
        <v>471300000</v>
      </c>
      <c r="G38" s="920">
        <f>[6]CAPITAL!G563</f>
        <v>225000000</v>
      </c>
      <c r="H38" s="919">
        <f>+[6]CAPITAL!H563</f>
        <v>236250000</v>
      </c>
      <c r="I38" s="919">
        <f>+[6]CAPITAL!I563</f>
        <v>248062500</v>
      </c>
      <c r="J38" s="921" t="e">
        <f>G38/G49</f>
        <v>#REF!</v>
      </c>
    </row>
    <row r="39" spans="1:10">
      <c r="A39" s="912"/>
      <c r="B39" s="912"/>
      <c r="C39" s="919"/>
      <c r="D39" s="920"/>
      <c r="E39" s="920"/>
      <c r="F39" s="920"/>
      <c r="G39" s="920"/>
      <c r="H39" s="919"/>
      <c r="I39" s="919"/>
      <c r="J39" s="921"/>
    </row>
    <row r="40" spans="1:10">
      <c r="A40" s="917">
        <v>464</v>
      </c>
      <c r="B40" s="918" t="s">
        <v>5419</v>
      </c>
      <c r="C40" s="919">
        <f>+[6]CAPITAL!C585</f>
        <v>1261000000</v>
      </c>
      <c r="D40" s="920">
        <f>[6]CAPITAL!D585</f>
        <v>750000000</v>
      </c>
      <c r="E40" s="920">
        <f>[6]CAPITAL!E585</f>
        <v>68242099</v>
      </c>
      <c r="F40" s="920">
        <f>[6]CAPITAL!F585</f>
        <v>600000000</v>
      </c>
      <c r="G40" s="920">
        <f>[6]CAPITAL!G585</f>
        <v>400000000</v>
      </c>
      <c r="H40" s="919">
        <f>+[6]CAPITAL!H585</f>
        <v>420000000</v>
      </c>
      <c r="I40" s="919">
        <f>+[6]CAPITAL!I585</f>
        <v>441000000</v>
      </c>
      <c r="J40" s="921" t="e">
        <f>G40/G49</f>
        <v>#REF!</v>
      </c>
    </row>
    <row r="41" spans="1:10">
      <c r="A41" s="912"/>
      <c r="B41" s="912"/>
      <c r="C41" s="919"/>
      <c r="D41" s="920"/>
      <c r="E41" s="920"/>
      <c r="F41" s="920"/>
      <c r="G41" s="920"/>
      <c r="H41" s="919"/>
      <c r="I41" s="919"/>
      <c r="J41" s="921"/>
    </row>
    <row r="42" spans="1:10">
      <c r="A42" s="917">
        <v>465</v>
      </c>
      <c r="B42" s="918" t="s">
        <v>5420</v>
      </c>
      <c r="C42" s="919">
        <f>+[6]CAPITAL!C613</f>
        <v>17276212500</v>
      </c>
      <c r="D42" s="920">
        <f>[6]CAPITAL!D613</f>
        <v>5265000000</v>
      </c>
      <c r="E42" s="920">
        <f>[6]CAPITAL!E613</f>
        <v>1773397729</v>
      </c>
      <c r="F42" s="920">
        <f>[6]CAPITAL!F613</f>
        <v>7766750000</v>
      </c>
      <c r="G42" s="920" t="e">
        <f>CAPITAL!#REF!</f>
        <v>#REF!</v>
      </c>
      <c r="H42" s="919">
        <f>+[6]CAPITAL!H613</f>
        <v>5654250000</v>
      </c>
      <c r="I42" s="919">
        <f>+[6]CAPITAL!I613</f>
        <v>5936962500</v>
      </c>
      <c r="J42" s="921" t="e">
        <f>G42/G49</f>
        <v>#REF!</v>
      </c>
    </row>
    <row r="43" spans="1:10">
      <c r="A43" s="912"/>
      <c r="B43" s="912"/>
      <c r="C43" s="919"/>
      <c r="D43" s="920"/>
      <c r="E43" s="920"/>
      <c r="F43" s="920"/>
      <c r="G43" s="920"/>
      <c r="H43" s="919"/>
      <c r="I43" s="919"/>
      <c r="J43" s="921"/>
    </row>
    <row r="44" spans="1:10">
      <c r="A44" s="917">
        <v>466</v>
      </c>
      <c r="B44" s="918" t="s">
        <v>5421</v>
      </c>
      <c r="C44" s="919">
        <f>+[6]CAPITAL!C641</f>
        <v>214217500</v>
      </c>
      <c r="D44" s="920">
        <f>[6]CAPITAL!D641</f>
        <v>35000000</v>
      </c>
      <c r="E44" s="920">
        <f>[6]CAPITAL!E641</f>
        <v>0</v>
      </c>
      <c r="F44" s="920">
        <f>[6]CAPITAL!F641</f>
        <v>70000000</v>
      </c>
      <c r="G44" s="920">
        <f>[6]CAPITAL!G641</f>
        <v>70000000</v>
      </c>
      <c r="H44" s="919">
        <f>+[6]CAPITAL!H641</f>
        <v>70350000</v>
      </c>
      <c r="I44" s="919">
        <f>+[6]CAPITAL!I641</f>
        <v>73867500</v>
      </c>
      <c r="J44" s="921" t="e">
        <f>G44/G49</f>
        <v>#REF!</v>
      </c>
    </row>
    <row r="45" spans="1:10">
      <c r="A45" s="925"/>
      <c r="B45" s="926" t="s">
        <v>2593</v>
      </c>
      <c r="C45" s="927">
        <f>SUM(C36:C44)</f>
        <v>27026742500</v>
      </c>
      <c r="D45" s="927">
        <f t="shared" ref="D45:I45" si="2">SUM(D36:D44)</f>
        <v>9696000000</v>
      </c>
      <c r="E45" s="928">
        <f>SUM(E36:E44)</f>
        <v>2204176834</v>
      </c>
      <c r="F45" s="928">
        <f t="shared" si="2"/>
        <v>9408050000</v>
      </c>
      <c r="G45" s="928" t="e">
        <f>SUM(G36:G44)</f>
        <v>#REF!</v>
      </c>
      <c r="H45" s="927">
        <f t="shared" si="2"/>
        <v>8900850000</v>
      </c>
      <c r="I45" s="927">
        <f t="shared" si="2"/>
        <v>9345892500</v>
      </c>
      <c r="J45" s="929" t="e">
        <f>SUM(J36:J44)</f>
        <v>#REF!</v>
      </c>
    </row>
    <row r="46" spans="1:10">
      <c r="A46" s="912"/>
      <c r="B46" s="933" t="s">
        <v>5422</v>
      </c>
      <c r="C46" s="919"/>
      <c r="D46" s="919" t="s">
        <v>1840</v>
      </c>
      <c r="E46" s="920" t="s">
        <v>1840</v>
      </c>
      <c r="F46" s="920" t="s">
        <v>1840</v>
      </c>
      <c r="G46" s="920" t="s">
        <v>1840</v>
      </c>
      <c r="H46" s="919" t="s">
        <v>1840</v>
      </c>
      <c r="I46" s="919" t="s">
        <v>1840</v>
      </c>
      <c r="J46" s="921" t="s">
        <v>1840</v>
      </c>
    </row>
    <row r="47" spans="1:10">
      <c r="A47" s="917">
        <v>467</v>
      </c>
      <c r="B47" s="918" t="s">
        <v>5423</v>
      </c>
      <c r="C47" s="919">
        <f>+[6]CAPITAL!C838</f>
        <v>22690685625</v>
      </c>
      <c r="D47" s="920">
        <f>[6]CAPITAL!D838</f>
        <v>8870250000</v>
      </c>
      <c r="E47" s="920">
        <f>[6]CAPITAL!E838</f>
        <v>1274683257</v>
      </c>
      <c r="F47" s="920">
        <f>[6]CAPITAL!F838</f>
        <v>5378250000</v>
      </c>
      <c r="G47" s="920" t="e">
        <f>CAPITAL!#REF!</f>
        <v>#REF!</v>
      </c>
      <c r="H47" s="919">
        <f>+[6]CAPITAL!H838</f>
        <v>7619062500</v>
      </c>
      <c r="I47" s="919">
        <f>+[6]CAPITAL!I838</f>
        <v>7988623125</v>
      </c>
      <c r="J47" s="921" t="e">
        <f>G47/G49</f>
        <v>#REF!</v>
      </c>
    </row>
    <row r="48" spans="1:10">
      <c r="A48" s="912"/>
      <c r="B48" s="918"/>
      <c r="C48" s="919" t="s">
        <v>1840</v>
      </c>
      <c r="D48" s="920" t="s">
        <v>1840</v>
      </c>
      <c r="E48" s="920" t="s">
        <v>1840</v>
      </c>
      <c r="F48" s="920" t="s">
        <v>1840</v>
      </c>
      <c r="G48" s="920" t="s">
        <v>1840</v>
      </c>
      <c r="H48" s="919" t="s">
        <v>1840</v>
      </c>
      <c r="I48" s="919" t="s">
        <v>1840</v>
      </c>
      <c r="J48" s="921" t="s">
        <v>1840</v>
      </c>
    </row>
    <row r="49" spans="1:10" ht="15.75">
      <c r="A49" s="925"/>
      <c r="B49" s="934" t="s">
        <v>5424</v>
      </c>
      <c r="C49" s="927">
        <f>C22+C33+C45+C47</f>
        <v>155752197500</v>
      </c>
      <c r="D49" s="927">
        <f t="shared" ref="D49:I49" si="3">D22+D33+D45+D47</f>
        <v>66809550000</v>
      </c>
      <c r="E49" s="928">
        <f t="shared" si="3"/>
        <v>12645563262</v>
      </c>
      <c r="F49" s="928">
        <f t="shared" si="3"/>
        <v>105283300000</v>
      </c>
      <c r="G49" s="928" t="e">
        <f t="shared" si="3"/>
        <v>#REF!</v>
      </c>
      <c r="H49" s="927">
        <f t="shared" si="3"/>
        <v>55350450000</v>
      </c>
      <c r="I49" s="927">
        <f t="shared" si="3"/>
        <v>58106480000</v>
      </c>
      <c r="J49" s="935" t="e">
        <f>J47+J45+J33+J22</f>
        <v>#REF!</v>
      </c>
    </row>
  </sheetData>
  <mergeCells count="1">
    <mergeCell ref="A1:G1"/>
  </mergeCells>
  <pageMargins left="0.75" right="0.75" top="1" bottom="1" header="0.5" footer="0.5"/>
  <pageSetup paperSize="9" orientation="portrait" horizontalDpi="4294967292" verticalDpi="4294967292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50"/>
  <sheetViews>
    <sheetView topLeftCell="A15" workbookViewId="0">
      <selection activeCell="G47" sqref="G47"/>
    </sheetView>
  </sheetViews>
  <sheetFormatPr defaultColWidth="11.42578125" defaultRowHeight="15"/>
  <cols>
    <col min="1" max="1" width="7.85546875" customWidth="1"/>
    <col min="2" max="2" width="33.28515625" customWidth="1"/>
    <col min="3" max="3" width="14.28515625" customWidth="1"/>
    <col min="4" max="4" width="16.140625" customWidth="1"/>
    <col min="5" max="6" width="15.7109375" customWidth="1"/>
    <col min="7" max="7" width="16.28515625" customWidth="1"/>
    <col min="8" max="10" width="10.85546875" hidden="1" customWidth="1"/>
  </cols>
  <sheetData>
    <row r="1" spans="1:10" ht="19.5">
      <c r="A1" s="1108" t="s">
        <v>5425</v>
      </c>
      <c r="B1" s="1108"/>
      <c r="C1" s="1108"/>
      <c r="D1" s="1108"/>
      <c r="E1" s="1108"/>
      <c r="F1" s="1108"/>
      <c r="G1" s="1108"/>
      <c r="H1" s="1108"/>
      <c r="I1" s="1108"/>
      <c r="J1" s="893"/>
    </row>
    <row r="2" spans="1:10">
      <c r="A2" s="894"/>
      <c r="B2" s="895" t="s">
        <v>5390</v>
      </c>
      <c r="C2" s="896"/>
      <c r="D2" s="896"/>
      <c r="E2" s="896"/>
      <c r="F2" s="896"/>
      <c r="G2" s="896"/>
      <c r="H2" s="896"/>
      <c r="I2" s="896"/>
      <c r="J2" s="897"/>
    </row>
    <row r="3" spans="1:10" ht="15.75">
      <c r="A3" s="898" t="s">
        <v>5391</v>
      </c>
      <c r="C3" s="899"/>
      <c r="D3" s="899"/>
      <c r="E3" s="899"/>
      <c r="F3" s="899"/>
      <c r="G3" s="899"/>
      <c r="H3" s="899"/>
      <c r="I3" s="899"/>
      <c r="J3" s="900"/>
    </row>
    <row r="4" spans="1:10">
      <c r="A4" s="901" t="s">
        <v>1620</v>
      </c>
      <c r="B4" s="901" t="s">
        <v>5392</v>
      </c>
      <c r="C4" s="902" t="s">
        <v>5393</v>
      </c>
      <c r="D4" s="902" t="s">
        <v>1841</v>
      </c>
      <c r="E4" s="902" t="s">
        <v>5394</v>
      </c>
      <c r="F4" s="902" t="s">
        <v>3577</v>
      </c>
      <c r="G4" s="903" t="s">
        <v>5395</v>
      </c>
      <c r="H4" s="904" t="s">
        <v>3577</v>
      </c>
      <c r="I4" s="904" t="s">
        <v>3577</v>
      </c>
      <c r="J4" s="905" t="s">
        <v>1172</v>
      </c>
    </row>
    <row r="5" spans="1:10">
      <c r="A5" s="906"/>
      <c r="B5" s="906"/>
      <c r="C5" s="907" t="s">
        <v>4200</v>
      </c>
      <c r="D5" s="908" t="s">
        <v>4515</v>
      </c>
      <c r="E5" s="909" t="s">
        <v>5396</v>
      </c>
      <c r="F5" s="908" t="s">
        <v>243</v>
      </c>
      <c r="G5" s="910" t="s">
        <v>243</v>
      </c>
      <c r="H5" s="908" t="s">
        <v>5397</v>
      </c>
      <c r="I5" s="908" t="s">
        <v>4515</v>
      </c>
      <c r="J5" s="911"/>
    </row>
    <row r="6" spans="1:10">
      <c r="A6" s="912"/>
      <c r="B6" s="913" t="s">
        <v>5398</v>
      </c>
      <c r="C6" s="914"/>
      <c r="D6" s="915"/>
      <c r="E6" s="915"/>
      <c r="F6" s="915"/>
      <c r="G6" s="915"/>
      <c r="H6" s="915"/>
      <c r="I6" s="915"/>
      <c r="J6" s="916"/>
    </row>
    <row r="7" spans="1:10">
      <c r="A7" s="917">
        <v>450</v>
      </c>
      <c r="B7" s="918" t="s">
        <v>5399</v>
      </c>
      <c r="C7" s="919">
        <f>[6]CAPITAL!C60</f>
        <v>14548787500</v>
      </c>
      <c r="D7" s="920">
        <f>[6]CAPITAL!D60</f>
        <v>8712000000</v>
      </c>
      <c r="E7" s="920">
        <f>[6]CAPITAL!E60</f>
        <v>1583072727</v>
      </c>
      <c r="F7" s="920">
        <f>[6]CAPITAL!F60</f>
        <v>6745000000</v>
      </c>
      <c r="G7" s="920">
        <f>[6]CAPITAL!G60</f>
        <v>4620000000</v>
      </c>
      <c r="H7" s="919">
        <f>+[6]CAPITAL!H60</f>
        <v>4845750000</v>
      </c>
      <c r="I7" s="919">
        <f>+[6]CAPITAL!I60</f>
        <v>5088037500</v>
      </c>
      <c r="J7" s="921">
        <f>G7/G49</f>
        <v>8.6282566065925853E-2</v>
      </c>
    </row>
    <row r="8" spans="1:10">
      <c r="A8" s="912"/>
      <c r="B8" s="912"/>
      <c r="C8" s="919"/>
      <c r="D8" s="920"/>
      <c r="E8" s="920"/>
      <c r="F8" s="920"/>
      <c r="G8" s="920"/>
      <c r="H8" s="919"/>
      <c r="I8" s="919"/>
      <c r="J8" s="921"/>
    </row>
    <row r="9" spans="1:10">
      <c r="A9" s="917">
        <v>451</v>
      </c>
      <c r="B9" s="918" t="s">
        <v>5400</v>
      </c>
      <c r="C9" s="919">
        <f>[6]CAPITAL!C98</f>
        <v>962460000</v>
      </c>
      <c r="D9" s="920">
        <f>[6]CAPITAL!D98</f>
        <v>394000000</v>
      </c>
      <c r="E9" s="920">
        <f>[6]CAPITAL!E98</f>
        <v>0</v>
      </c>
      <c r="F9" s="920">
        <f>[6]CAPITAL!F98</f>
        <v>304000000</v>
      </c>
      <c r="G9" s="920">
        <f>[6]CAPITAL!G98</f>
        <v>304000000</v>
      </c>
      <c r="H9" s="919">
        <f>+[6]CAPITAL!H98</f>
        <v>321200000</v>
      </c>
      <c r="I9" s="919">
        <f>+[6]CAPITAL!I98</f>
        <v>337260000</v>
      </c>
      <c r="J9" s="922">
        <f>G9/G49</f>
        <v>5.6774675506583248E-3</v>
      </c>
    </row>
    <row r="10" spans="1:10">
      <c r="A10" s="912"/>
      <c r="B10" s="912"/>
      <c r="C10" s="919"/>
      <c r="D10" s="920"/>
      <c r="E10" s="920"/>
      <c r="F10" s="920"/>
      <c r="G10" s="920"/>
      <c r="H10" s="919"/>
      <c r="I10" s="919"/>
      <c r="J10" s="921"/>
    </row>
    <row r="11" spans="1:10">
      <c r="A11" s="917">
        <v>452</v>
      </c>
      <c r="B11" s="918" t="s">
        <v>5401</v>
      </c>
      <c r="C11" s="919">
        <f>[6]CAPITAL!C121</f>
        <v>309892500</v>
      </c>
      <c r="D11" s="920">
        <f>[6]CAPITAL!D121</f>
        <v>104000000</v>
      </c>
      <c r="E11" s="920">
        <f>[6]CAPITAL!E121</f>
        <v>0</v>
      </c>
      <c r="F11" s="920">
        <f>[6]CAPITAL!F121</f>
        <v>0</v>
      </c>
      <c r="G11" s="920">
        <f>[6]CAPITAL!G121</f>
        <v>97000000</v>
      </c>
      <c r="H11" s="919">
        <f>+[6]CAPITAL!H121</f>
        <v>103850000</v>
      </c>
      <c r="I11" s="919">
        <f>+[6]CAPITAL!I121</f>
        <v>109042500</v>
      </c>
      <c r="J11" s="921">
        <f>G11/G49</f>
        <v>1.8115603697824261E-3</v>
      </c>
    </row>
    <row r="12" spans="1:10">
      <c r="A12" s="912"/>
      <c r="B12" s="912"/>
      <c r="C12" s="919"/>
      <c r="D12" s="920"/>
      <c r="E12" s="920"/>
      <c r="F12" s="920"/>
      <c r="G12" s="920"/>
      <c r="H12" s="919"/>
      <c r="I12" s="919"/>
      <c r="J12" s="921"/>
    </row>
    <row r="13" spans="1:10">
      <c r="A13" s="917">
        <v>453</v>
      </c>
      <c r="B13" s="918" t="s">
        <v>5402</v>
      </c>
      <c r="C13" s="919">
        <f>[6]CAPITAL!C134</f>
        <v>82812500</v>
      </c>
      <c r="D13" s="920">
        <f>[6]CAPITAL!D134</f>
        <v>25000000</v>
      </c>
      <c r="E13" s="920">
        <f>[6]CAPITAL!E134</f>
        <v>0</v>
      </c>
      <c r="F13" s="920">
        <f>[6]CAPITAL!F134</f>
        <v>25000000</v>
      </c>
      <c r="G13" s="920">
        <f>[6]CAPITAL!G134</f>
        <v>25000000</v>
      </c>
      <c r="H13" s="919">
        <f>+[6]CAPITAL!H134</f>
        <v>28250000</v>
      </c>
      <c r="I13" s="919">
        <f>+[6]CAPITAL!I134</f>
        <v>29562500</v>
      </c>
      <c r="J13" s="921">
        <f>G13/G49</f>
        <v>4.6689700252124382E-4</v>
      </c>
    </row>
    <row r="14" spans="1:10">
      <c r="A14" s="912"/>
      <c r="B14" s="912"/>
      <c r="C14" s="919"/>
      <c r="D14" s="920"/>
      <c r="E14" s="920"/>
      <c r="F14" s="920"/>
      <c r="G14" s="920"/>
      <c r="H14" s="919"/>
      <c r="I14" s="919"/>
      <c r="J14" s="921"/>
    </row>
    <row r="15" spans="1:10">
      <c r="A15" s="917">
        <v>454</v>
      </c>
      <c r="B15" s="918" t="s">
        <v>5403</v>
      </c>
      <c r="C15" s="919">
        <f>[6]CAPITAL!C160</f>
        <v>126100000</v>
      </c>
      <c r="D15" s="920">
        <f>[6]CAPITAL!D160</f>
        <v>550000000</v>
      </c>
      <c r="E15" s="920">
        <f>[6]CAPITAL!E160</f>
        <v>0</v>
      </c>
      <c r="F15" s="920">
        <f>[6]CAPITAL!F160</f>
        <v>620000000</v>
      </c>
      <c r="G15" s="920">
        <f>[6]CAPITAL!G160</f>
        <v>90000000</v>
      </c>
      <c r="H15" s="919">
        <f>+[6]CAPITAL!H160</f>
        <v>94500000</v>
      </c>
      <c r="I15" s="919">
        <f>+[6]CAPITAL!I160</f>
        <v>99225000</v>
      </c>
      <c r="J15" s="921">
        <f>G15/G49</f>
        <v>1.6808292090764777E-3</v>
      </c>
    </row>
    <row r="16" spans="1:10">
      <c r="A16" s="912"/>
      <c r="B16" s="912"/>
      <c r="C16" s="919"/>
      <c r="D16" s="920"/>
      <c r="E16" s="920"/>
      <c r="F16" s="920"/>
      <c r="G16" s="920"/>
      <c r="H16" s="919"/>
      <c r="I16" s="919"/>
      <c r="J16" s="921"/>
    </row>
    <row r="17" spans="1:10">
      <c r="A17" s="917">
        <v>455</v>
      </c>
      <c r="B17" s="918" t="s">
        <v>5404</v>
      </c>
      <c r="C17" s="919">
        <f>+[6]CAPITAL!C187</f>
        <v>9935375000</v>
      </c>
      <c r="D17" s="920">
        <f>[6]CAPITAL!D187</f>
        <v>4155000000</v>
      </c>
      <c r="E17" s="920">
        <f>[6]CAPITAL!E187</f>
        <v>1379499165</v>
      </c>
      <c r="F17" s="920">
        <f>[6]CAPITAL!F187</f>
        <v>0</v>
      </c>
      <c r="G17" s="920">
        <f>[6]CAPITAL!G187</f>
        <v>3155000000</v>
      </c>
      <c r="H17" s="919">
        <f>+[6]CAPITAL!H187</f>
        <v>3307500000</v>
      </c>
      <c r="I17" s="919">
        <f>+[6]CAPITAL!I187</f>
        <v>3472875000</v>
      </c>
      <c r="J17" s="921">
        <f>G17/G49</f>
        <v>5.8922401718180972E-2</v>
      </c>
    </row>
    <row r="18" spans="1:10">
      <c r="A18" s="923"/>
      <c r="B18" s="924"/>
      <c r="C18" s="919"/>
      <c r="D18" s="920"/>
      <c r="E18" s="920"/>
      <c r="F18" s="920"/>
      <c r="G18" s="920"/>
      <c r="H18" s="919"/>
      <c r="I18" s="919"/>
      <c r="J18" s="921"/>
    </row>
    <row r="19" spans="1:10">
      <c r="A19" s="923">
        <v>456</v>
      </c>
      <c r="B19" s="924" t="s">
        <v>5405</v>
      </c>
      <c r="C19" s="919">
        <f>+[6]CAPITAL!C212</f>
        <v>409825000</v>
      </c>
      <c r="D19" s="920">
        <f>[6]CAPITAL!D212</f>
        <v>150000000</v>
      </c>
      <c r="E19" s="920">
        <f>[6]CAPITAL!E212</f>
        <v>0</v>
      </c>
      <c r="F19" s="920">
        <f>[6]CAPITAL!F212</f>
        <v>230000000</v>
      </c>
      <c r="G19" s="920">
        <f>[6]CAPITAL!G212</f>
        <v>140000000</v>
      </c>
      <c r="H19" s="919">
        <f>+[6]CAPITAL!H212</f>
        <v>147000000</v>
      </c>
      <c r="I19" s="919">
        <f>+[6]CAPITAL!I212</f>
        <v>154350000</v>
      </c>
      <c r="J19" s="921">
        <f>G19/G49</f>
        <v>2.6146232141189656E-3</v>
      </c>
    </row>
    <row r="20" spans="1:10">
      <c r="A20" s="912"/>
      <c r="B20" s="912"/>
      <c r="C20" s="919"/>
      <c r="D20" s="920"/>
      <c r="E20" s="920"/>
      <c r="F20" s="920"/>
      <c r="G20" s="920"/>
      <c r="H20" s="919"/>
      <c r="I20" s="919"/>
      <c r="J20" s="921"/>
    </row>
    <row r="21" spans="1:10">
      <c r="A21" s="917">
        <v>457</v>
      </c>
      <c r="B21" s="918" t="s">
        <v>5406</v>
      </c>
      <c r="C21" s="919">
        <f>+[6]CAPITAL!C262</f>
        <v>40628683125</v>
      </c>
      <c r="D21" s="920">
        <f>[6]CAPITAL!D262</f>
        <v>19179500000</v>
      </c>
      <c r="E21" s="920">
        <f>[6]CAPITAL!E262</f>
        <v>5767501155</v>
      </c>
      <c r="F21" s="920">
        <f>[6]CAPITAL!F262</f>
        <v>65678000000</v>
      </c>
      <c r="G21" s="920">
        <f>[6]CAPITAL!G262</f>
        <v>12998250000</v>
      </c>
      <c r="H21" s="919">
        <f>+[6]CAPITAL!H262</f>
        <v>13522162500</v>
      </c>
      <c r="I21" s="919">
        <f>+[6]CAPITAL!I262</f>
        <v>14198270625</v>
      </c>
      <c r="J21" s="921">
        <f>G21/G49</f>
        <v>0.24275375852087031</v>
      </c>
    </row>
    <row r="22" spans="1:10">
      <c r="A22" s="925"/>
      <c r="B22" s="926" t="s">
        <v>5407</v>
      </c>
      <c r="C22" s="927">
        <f t="shared" ref="C22:J22" si="0">SUM(C7:C21)</f>
        <v>67003935625</v>
      </c>
      <c r="D22" s="927">
        <f t="shared" si="0"/>
        <v>33269500000</v>
      </c>
      <c r="E22" s="928">
        <f>SUM(E7:E21)</f>
        <v>8730073047</v>
      </c>
      <c r="F22" s="928">
        <f t="shared" si="0"/>
        <v>73602000000</v>
      </c>
      <c r="G22" s="928">
        <f>SUM(G7:G21)</f>
        <v>21429250000</v>
      </c>
      <c r="H22" s="927">
        <f t="shared" si="0"/>
        <v>22370212500</v>
      </c>
      <c r="I22" s="927">
        <f t="shared" si="0"/>
        <v>23488623125</v>
      </c>
      <c r="J22" s="929">
        <f t="shared" si="0"/>
        <v>0.40021010365113457</v>
      </c>
    </row>
    <row r="23" spans="1:10">
      <c r="A23" s="912"/>
      <c r="B23" s="895" t="s">
        <v>5408</v>
      </c>
      <c r="C23" s="919" t="s">
        <v>1840</v>
      </c>
      <c r="D23" s="920" t="s">
        <v>1840</v>
      </c>
      <c r="E23" s="920" t="s">
        <v>1840</v>
      </c>
      <c r="F23" s="920" t="s">
        <v>1840</v>
      </c>
      <c r="G23" s="920" t="s">
        <v>1840</v>
      </c>
      <c r="H23" s="919" t="s">
        <v>1840</v>
      </c>
      <c r="I23" s="919" t="s">
        <v>1840</v>
      </c>
      <c r="J23" s="921" t="s">
        <v>1840</v>
      </c>
    </row>
    <row r="24" spans="1:10">
      <c r="A24" s="917">
        <v>458</v>
      </c>
      <c r="B24" s="930" t="s">
        <v>5409</v>
      </c>
      <c r="C24" s="919">
        <f>+[6]CAPITAL!C322</f>
        <v>20083001250</v>
      </c>
      <c r="D24" s="920">
        <f>[6]CAPITAL!D322</f>
        <v>7076000000</v>
      </c>
      <c r="E24" s="920">
        <f>[6]CAPITAL!E322</f>
        <v>171642983</v>
      </c>
      <c r="F24" s="920">
        <f>[6]CAPITAL!F322</f>
        <v>4252000000</v>
      </c>
      <c r="G24" s="920">
        <f>[6]CAPITAL!G322</f>
        <v>7124500000</v>
      </c>
      <c r="H24" s="919">
        <f>+[6]CAPITAL!H322</f>
        <v>7480725000</v>
      </c>
      <c r="I24" s="919">
        <f>+[6]CAPITAL!I322</f>
        <v>7854761250</v>
      </c>
      <c r="J24" s="921">
        <f>G24/G49</f>
        <v>0.13305630777850405</v>
      </c>
    </row>
    <row r="25" spans="1:10">
      <c r="A25" s="912"/>
      <c r="B25" s="912"/>
      <c r="C25" s="919"/>
      <c r="D25" s="920"/>
      <c r="E25" s="920"/>
      <c r="F25" s="920"/>
      <c r="G25" s="920"/>
      <c r="H25" s="919"/>
      <c r="I25" s="919"/>
      <c r="J25" s="921"/>
    </row>
    <row r="26" spans="1:10">
      <c r="A26" s="917">
        <v>459</v>
      </c>
      <c r="B26" s="918" t="s">
        <v>5410</v>
      </c>
      <c r="C26" s="919">
        <f>[6]CAPITAL!C361</f>
        <v>11443575000</v>
      </c>
      <c r="D26" s="920">
        <f>[6]CAPITAL!D361</f>
        <v>5045000000</v>
      </c>
      <c r="E26" s="920">
        <f>[6]CAPITAL!E361</f>
        <v>31923291</v>
      </c>
      <c r="F26" s="920">
        <f>[6]CAPITAL!F361</f>
        <v>7729000000</v>
      </c>
      <c r="G26" s="920">
        <f>[6]CAPITAL!G361</f>
        <v>6229000000</v>
      </c>
      <c r="H26" s="919">
        <f>+[6]CAPITAL!H361</f>
        <v>6540450000</v>
      </c>
      <c r="I26" s="919">
        <f>+[6]CAPITAL!I361</f>
        <v>6867472500</v>
      </c>
      <c r="J26" s="921">
        <f>G26/G49</f>
        <v>0.11633205714819311</v>
      </c>
    </row>
    <row r="27" spans="1:10">
      <c r="A27" s="912"/>
      <c r="B27" s="912"/>
      <c r="C27" s="919"/>
      <c r="D27" s="920"/>
      <c r="E27" s="920"/>
      <c r="F27" s="920"/>
      <c r="G27" s="920"/>
      <c r="H27" s="919"/>
      <c r="I27" s="919"/>
      <c r="J27" s="921"/>
    </row>
    <row r="28" spans="1:10">
      <c r="A28" s="931">
        <v>460</v>
      </c>
      <c r="B28" s="918" t="s">
        <v>5411</v>
      </c>
      <c r="C28" s="919">
        <f>+[6]CAPITAL!C429</f>
        <v>4604922500</v>
      </c>
      <c r="D28" s="920">
        <f>[6]CAPITAL!D429</f>
        <v>1351000000</v>
      </c>
      <c r="E28" s="920">
        <f>[6]CAPITAL!E429</f>
        <v>163063850</v>
      </c>
      <c r="F28" s="920">
        <f>[6]CAPITAL!F429</f>
        <v>3954000000</v>
      </c>
      <c r="G28" s="920">
        <f>[6]CAPITAL!G429</f>
        <v>1579000000</v>
      </c>
      <c r="H28" s="919">
        <f>+[6]CAPITAL!H429</f>
        <v>1500450000</v>
      </c>
      <c r="I28" s="919">
        <f>+[6]CAPITAL!I429</f>
        <v>1575472500</v>
      </c>
      <c r="J28" s="921">
        <f>G28/G49</f>
        <v>2.948921467924176E-2</v>
      </c>
    </row>
    <row r="29" spans="1:10">
      <c r="A29" s="917"/>
      <c r="B29" s="918"/>
      <c r="C29" s="919"/>
      <c r="D29" s="920"/>
      <c r="E29" s="920"/>
      <c r="F29" s="920"/>
      <c r="G29" s="920"/>
      <c r="H29" s="919"/>
      <c r="I29" s="919"/>
      <c r="J29" s="921"/>
    </row>
    <row r="30" spans="1:10">
      <c r="A30" s="931" t="s">
        <v>5412</v>
      </c>
      <c r="B30" s="918" t="s">
        <v>5413</v>
      </c>
      <c r="C30" s="919">
        <f>+[6]CAPITAL!C451</f>
        <v>849650000</v>
      </c>
      <c r="D30" s="920">
        <f>[6]CAPITAL!D451</f>
        <v>240000000</v>
      </c>
      <c r="E30" s="920">
        <f>[6]CAPITAL!E451</f>
        <v>20000000</v>
      </c>
      <c r="F30" s="920">
        <f>[6]CAPITAL!F451</f>
        <v>415000000</v>
      </c>
      <c r="G30" s="920">
        <f>[6]CAPITAL!G451</f>
        <v>290000000</v>
      </c>
      <c r="H30" s="919">
        <f>+[6]CAPITAL!H451</f>
        <v>273000000</v>
      </c>
      <c r="I30" s="919">
        <f>+[6]CAPITAL!I451</f>
        <v>286650000</v>
      </c>
      <c r="J30" s="922">
        <f>G30/G49</f>
        <v>5.416005229246428E-3</v>
      </c>
    </row>
    <row r="31" spans="1:10">
      <c r="A31" s="912"/>
      <c r="B31" s="912"/>
      <c r="C31" s="919"/>
      <c r="D31" s="920"/>
      <c r="E31" s="920"/>
      <c r="F31" s="920"/>
      <c r="G31" s="920"/>
      <c r="H31" s="919"/>
      <c r="I31" s="919"/>
      <c r="J31" s="921"/>
    </row>
    <row r="32" spans="1:10">
      <c r="A32" s="917">
        <v>461</v>
      </c>
      <c r="B32" s="918" t="s">
        <v>5414</v>
      </c>
      <c r="C32" s="919">
        <f>+[6]CAPITAL!C497</f>
        <v>2049685000</v>
      </c>
      <c r="D32" s="920">
        <f>[6]CAPITAL!D497</f>
        <v>1261800000</v>
      </c>
      <c r="E32" s="920">
        <f>[6]CAPITAL!E497</f>
        <v>50000000</v>
      </c>
      <c r="F32" s="920">
        <f>[6]CAPITAL!F497</f>
        <v>545000000</v>
      </c>
      <c r="G32" s="920">
        <f>[6]CAPITAL!G497</f>
        <v>685000000</v>
      </c>
      <c r="H32" s="919">
        <f>+[6]CAPITAL!H497</f>
        <v>665700000</v>
      </c>
      <c r="I32" s="919">
        <f>+[6]CAPITAL!I497</f>
        <v>698985000</v>
      </c>
      <c r="J32" s="921">
        <f>G32/G49</f>
        <v>1.2792977869082081E-2</v>
      </c>
    </row>
    <row r="33" spans="1:10" ht="15.75">
      <c r="A33" s="925"/>
      <c r="B33" s="926" t="s">
        <v>2593</v>
      </c>
      <c r="C33" s="927">
        <f t="shared" ref="C33:J33" si="1">SUM(C24:C32)</f>
        <v>39030833750</v>
      </c>
      <c r="D33" s="927">
        <f t="shared" si="1"/>
        <v>14973800000</v>
      </c>
      <c r="E33" s="462">
        <f>SUM(E24:E32)</f>
        <v>436630124</v>
      </c>
      <c r="F33" s="462">
        <f>SUM(F24:F32)</f>
        <v>16895000000</v>
      </c>
      <c r="G33" s="462">
        <f>SUM(G24:G32)</f>
        <v>15907500000</v>
      </c>
      <c r="H33" s="927">
        <f t="shared" si="1"/>
        <v>16460325000</v>
      </c>
      <c r="I33" s="927">
        <f t="shared" si="1"/>
        <v>17283341250</v>
      </c>
      <c r="J33" s="929">
        <f t="shared" si="1"/>
        <v>0.29708656270426742</v>
      </c>
    </row>
    <row r="34" spans="1:10">
      <c r="A34" s="932"/>
      <c r="B34" s="895" t="s">
        <v>5415</v>
      </c>
      <c r="C34" s="919"/>
      <c r="D34" s="919"/>
      <c r="E34" s="920" t="s">
        <v>5416</v>
      </c>
      <c r="F34" s="920" t="s">
        <v>5416</v>
      </c>
      <c r="G34" s="920" t="s">
        <v>5416</v>
      </c>
      <c r="H34" s="919" t="s">
        <v>5416</v>
      </c>
      <c r="I34" s="919" t="s">
        <v>5416</v>
      </c>
      <c r="J34" s="921" t="s">
        <v>5416</v>
      </c>
    </row>
    <row r="35" spans="1:10">
      <c r="A35" s="919"/>
      <c r="B35" s="919"/>
      <c r="C35" s="919"/>
      <c r="D35" s="920"/>
      <c r="E35" s="920"/>
      <c r="F35" s="920"/>
      <c r="G35" s="920"/>
      <c r="H35" s="919"/>
      <c r="I35" s="919"/>
      <c r="J35" s="921"/>
    </row>
    <row r="36" spans="1:10">
      <c r="A36" s="917">
        <v>462</v>
      </c>
      <c r="B36" s="918" t="s">
        <v>5417</v>
      </c>
      <c r="C36" s="919">
        <f>+[6]CAPITAL!C541</f>
        <v>7566000000</v>
      </c>
      <c r="D36" s="920">
        <f>[6]CAPITAL!D541</f>
        <v>3076000000</v>
      </c>
      <c r="E36" s="920">
        <f>[6]CAPITAL!E541</f>
        <v>297334429</v>
      </c>
      <c r="F36" s="920">
        <f>[6]CAPITAL!F541</f>
        <v>500000000</v>
      </c>
      <c r="G36" s="920">
        <f>[6]CAPITAL!G541</f>
        <v>2400000000</v>
      </c>
      <c r="H36" s="919">
        <f>+[6]CAPITAL!H541</f>
        <v>2520000000</v>
      </c>
      <c r="I36" s="919">
        <f>+[6]CAPITAL!I541</f>
        <v>2646000000</v>
      </c>
      <c r="J36" s="921">
        <f>G36/G49</f>
        <v>4.4822112242039407E-2</v>
      </c>
    </row>
    <row r="37" spans="1:10">
      <c r="A37" s="912"/>
      <c r="B37" s="912"/>
      <c r="C37" s="919"/>
      <c r="D37" s="920"/>
      <c r="E37" s="920"/>
      <c r="F37" s="920"/>
      <c r="G37" s="920"/>
      <c r="H37" s="919"/>
      <c r="I37" s="919"/>
      <c r="J37" s="921"/>
    </row>
    <row r="38" spans="1:10">
      <c r="A38" s="917">
        <v>463</v>
      </c>
      <c r="B38" s="918" t="s">
        <v>5418</v>
      </c>
      <c r="C38" s="919">
        <f>+[6]CAPITAL!C563</f>
        <v>709312500</v>
      </c>
      <c r="D38" s="920">
        <f>[6]CAPITAL!D563</f>
        <v>570000000</v>
      </c>
      <c r="E38" s="920">
        <f>[6]CAPITAL!E563</f>
        <v>65202577</v>
      </c>
      <c r="F38" s="920">
        <f>[6]CAPITAL!F563</f>
        <v>471300000</v>
      </c>
      <c r="G38" s="920">
        <f>[6]CAPITAL!G563</f>
        <v>225000000</v>
      </c>
      <c r="H38" s="919">
        <f>+[6]CAPITAL!H563</f>
        <v>236250000</v>
      </c>
      <c r="I38" s="919">
        <f>+[6]CAPITAL!I563</f>
        <v>248062500</v>
      </c>
      <c r="J38" s="921">
        <f>G38/G49</f>
        <v>4.2020730226911942E-3</v>
      </c>
    </row>
    <row r="39" spans="1:10">
      <c r="A39" s="912"/>
      <c r="B39" s="912"/>
      <c r="C39" s="919"/>
      <c r="D39" s="920"/>
      <c r="E39" s="920"/>
      <c r="F39" s="920"/>
      <c r="G39" s="920"/>
      <c r="H39" s="919"/>
      <c r="I39" s="919"/>
      <c r="J39" s="921"/>
    </row>
    <row r="40" spans="1:10">
      <c r="A40" s="917">
        <v>464</v>
      </c>
      <c r="B40" s="918" t="s">
        <v>5419</v>
      </c>
      <c r="C40" s="919">
        <f>+[6]CAPITAL!C585</f>
        <v>1261000000</v>
      </c>
      <c r="D40" s="920">
        <f>[6]CAPITAL!D585</f>
        <v>750000000</v>
      </c>
      <c r="E40" s="920">
        <f>[6]CAPITAL!E585</f>
        <v>68242099</v>
      </c>
      <c r="F40" s="920">
        <f>[6]CAPITAL!F585</f>
        <v>600000000</v>
      </c>
      <c r="G40" s="920">
        <f>[6]CAPITAL!G585</f>
        <v>400000000</v>
      </c>
      <c r="H40" s="919">
        <f>+[6]CAPITAL!H585</f>
        <v>420000000</v>
      </c>
      <c r="I40" s="919">
        <f>+[6]CAPITAL!I585</f>
        <v>441000000</v>
      </c>
      <c r="J40" s="921">
        <f>G40/G49</f>
        <v>7.4703520403399011E-3</v>
      </c>
    </row>
    <row r="41" spans="1:10">
      <c r="A41" s="912"/>
      <c r="B41" s="912"/>
      <c r="C41" s="919"/>
      <c r="D41" s="920"/>
      <c r="E41" s="920"/>
      <c r="F41" s="920"/>
      <c r="G41" s="920"/>
      <c r="H41" s="919"/>
      <c r="I41" s="919"/>
      <c r="J41" s="921"/>
    </row>
    <row r="42" spans="1:10">
      <c r="A42" s="917">
        <v>465</v>
      </c>
      <c r="B42" s="918" t="s">
        <v>5420</v>
      </c>
      <c r="C42" s="919">
        <f>+[6]CAPITAL!C613</f>
        <v>17276212500</v>
      </c>
      <c r="D42" s="920">
        <f>[6]CAPITAL!D613</f>
        <v>5265000000</v>
      </c>
      <c r="E42" s="920">
        <f>[6]CAPITAL!E613</f>
        <v>1773397729</v>
      </c>
      <c r="F42" s="920">
        <f>[6]CAPITAL!F613</f>
        <v>7766750000</v>
      </c>
      <c r="G42" s="920">
        <f>[6]CAPITAL!G613</f>
        <v>5685000000</v>
      </c>
      <c r="H42" s="919">
        <f>+[6]CAPITAL!H613</f>
        <v>5654250000</v>
      </c>
      <c r="I42" s="919">
        <f>+[6]CAPITAL!I613</f>
        <v>5936962500</v>
      </c>
      <c r="J42" s="921">
        <f>G42/G49</f>
        <v>0.10617237837333085</v>
      </c>
    </row>
    <row r="43" spans="1:10">
      <c r="A43" s="912"/>
      <c r="B43" s="912"/>
      <c r="C43" s="919"/>
      <c r="D43" s="920"/>
      <c r="E43" s="920"/>
      <c r="F43" s="920"/>
      <c r="G43" s="920"/>
      <c r="H43" s="919"/>
      <c r="I43" s="919"/>
      <c r="J43" s="921"/>
    </row>
    <row r="44" spans="1:10">
      <c r="A44" s="917">
        <v>466</v>
      </c>
      <c r="B44" s="918" t="s">
        <v>5421</v>
      </c>
      <c r="C44" s="919">
        <f>+[6]CAPITAL!C641</f>
        <v>214217500</v>
      </c>
      <c r="D44" s="920">
        <f>[6]CAPITAL!D641</f>
        <v>35000000</v>
      </c>
      <c r="E44" s="920">
        <f>[6]CAPITAL!E641</f>
        <v>0</v>
      </c>
      <c r="F44" s="920">
        <f>[6]CAPITAL!F641</f>
        <v>70000000</v>
      </c>
      <c r="G44" s="920">
        <f>[6]CAPITAL!G641</f>
        <v>70000000</v>
      </c>
      <c r="H44" s="919">
        <f>+[6]CAPITAL!H641</f>
        <v>70350000</v>
      </c>
      <c r="I44" s="919">
        <f>+[6]CAPITAL!I641</f>
        <v>73867500</v>
      </c>
      <c r="J44" s="921">
        <f>G44/G49</f>
        <v>1.3073116070594828E-3</v>
      </c>
    </row>
    <row r="45" spans="1:10">
      <c r="A45" s="925"/>
      <c r="B45" s="926" t="s">
        <v>2593</v>
      </c>
      <c r="C45" s="927">
        <f>SUM(C36:C44)</f>
        <v>27026742500</v>
      </c>
      <c r="D45" s="927">
        <f t="shared" ref="D45:I45" si="2">SUM(D36:D44)</f>
        <v>9696000000</v>
      </c>
      <c r="E45" s="928">
        <f>SUM(E36:E44)</f>
        <v>2204176834</v>
      </c>
      <c r="F45" s="928">
        <f t="shared" si="2"/>
        <v>9408050000</v>
      </c>
      <c r="G45" s="928">
        <f>SUM(G36:G44)</f>
        <v>8780000000</v>
      </c>
      <c r="H45" s="927">
        <f t="shared" si="2"/>
        <v>8900850000</v>
      </c>
      <c r="I45" s="927">
        <f t="shared" si="2"/>
        <v>9345892500</v>
      </c>
      <c r="J45" s="929">
        <f>SUM(J36:J44)</f>
        <v>0.16397422728546085</v>
      </c>
    </row>
    <row r="46" spans="1:10">
      <c r="A46" s="912"/>
      <c r="B46" s="933" t="s">
        <v>5422</v>
      </c>
      <c r="C46" s="919"/>
      <c r="D46" s="919" t="s">
        <v>1840</v>
      </c>
      <c r="E46" s="920" t="s">
        <v>1840</v>
      </c>
      <c r="F46" s="920" t="s">
        <v>1840</v>
      </c>
      <c r="G46" s="920" t="s">
        <v>1840</v>
      </c>
      <c r="H46" s="919" t="s">
        <v>1840</v>
      </c>
      <c r="I46" s="919" t="s">
        <v>1840</v>
      </c>
      <c r="J46" s="921" t="s">
        <v>1840</v>
      </c>
    </row>
    <row r="47" spans="1:10">
      <c r="A47" s="917">
        <v>467</v>
      </c>
      <c r="B47" s="918" t="s">
        <v>5423</v>
      </c>
      <c r="C47" s="919">
        <f>+[6]CAPITAL!C838</f>
        <v>22690685625</v>
      </c>
      <c r="D47" s="920">
        <f>[6]CAPITAL!D838</f>
        <v>8870250000</v>
      </c>
      <c r="E47" s="920">
        <f>[6]CAPITAL!E838</f>
        <v>1274683257</v>
      </c>
      <c r="F47" s="920">
        <f>[6]CAPITAL!F838</f>
        <v>5378250000</v>
      </c>
      <c r="G47" s="920">
        <f>[6]CAPITAL!G838</f>
        <v>7428250000</v>
      </c>
      <c r="H47" s="919">
        <f>+[6]CAPITAL!H838</f>
        <v>7619062500</v>
      </c>
      <c r="I47" s="919">
        <f>+[6]CAPITAL!I838</f>
        <v>7988623125</v>
      </c>
      <c r="J47" s="921">
        <f>G47/G49</f>
        <v>0.13872910635913718</v>
      </c>
    </row>
    <row r="48" spans="1:10">
      <c r="A48" s="912"/>
      <c r="B48" s="918"/>
      <c r="C48" s="919" t="s">
        <v>1840</v>
      </c>
      <c r="D48" s="920" t="s">
        <v>1840</v>
      </c>
      <c r="E48" s="920" t="s">
        <v>1840</v>
      </c>
      <c r="F48" s="920" t="s">
        <v>1840</v>
      </c>
      <c r="G48" s="920" t="s">
        <v>1840</v>
      </c>
      <c r="H48" s="919" t="s">
        <v>1840</v>
      </c>
      <c r="I48" s="919" t="s">
        <v>1840</v>
      </c>
      <c r="J48" s="921" t="s">
        <v>1840</v>
      </c>
    </row>
    <row r="49" spans="1:10" ht="15.75">
      <c r="A49" s="925"/>
      <c r="B49" s="934" t="s">
        <v>5424</v>
      </c>
      <c r="C49" s="927">
        <f>C22+C33+C45+C47</f>
        <v>155752197500</v>
      </c>
      <c r="D49" s="927">
        <f t="shared" ref="D49:I49" si="3">D22+D33+D45+D47</f>
        <v>66809550000</v>
      </c>
      <c r="E49" s="928">
        <f t="shared" si="3"/>
        <v>12645563262</v>
      </c>
      <c r="F49" s="928">
        <f t="shared" si="3"/>
        <v>105283300000</v>
      </c>
      <c r="G49" s="928">
        <f t="shared" si="3"/>
        <v>53545000000</v>
      </c>
      <c r="H49" s="927">
        <f t="shared" si="3"/>
        <v>55350450000</v>
      </c>
      <c r="I49" s="927">
        <f t="shared" si="3"/>
        <v>58106480000</v>
      </c>
      <c r="J49" s="935">
        <f>J47+J45+J33+J22</f>
        <v>1</v>
      </c>
    </row>
    <row r="50" spans="1:10">
      <c r="C50" s="936"/>
      <c r="D50" s="936"/>
      <c r="E50" s="937"/>
      <c r="F50" s="937"/>
      <c r="G50" s="937"/>
      <c r="H50" s="936"/>
      <c r="I50" s="936"/>
      <c r="J50" s="938"/>
    </row>
  </sheetData>
  <mergeCells count="1">
    <mergeCell ref="A1:I1"/>
  </mergeCells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89"/>
  <sheetViews>
    <sheetView zoomScale="140" zoomScaleNormal="140" workbookViewId="0"/>
  </sheetViews>
  <sheetFormatPr defaultColWidth="11.42578125" defaultRowHeight="15"/>
  <cols>
    <col min="1" max="1" width="6.28515625" style="584" customWidth="1"/>
    <col min="2" max="2" width="28.85546875" style="584" customWidth="1"/>
    <col min="3" max="3" width="16.42578125" style="584" customWidth="1"/>
    <col min="4" max="4" width="16.42578125" style="584" hidden="1" customWidth="1"/>
    <col min="5" max="5" width="16.42578125" style="584" customWidth="1"/>
    <col min="6" max="6" width="16.42578125" style="584" hidden="1" customWidth="1"/>
    <col min="7" max="7" width="16.140625" style="584" customWidth="1"/>
    <col min="8" max="8" width="16.85546875" style="584" customWidth="1"/>
    <col min="9" max="9" width="16.42578125" style="584" customWidth="1"/>
    <col min="10" max="10" width="17.5703125" style="584" customWidth="1"/>
    <col min="11" max="16384" width="11.42578125" style="584"/>
  </cols>
  <sheetData>
    <row r="1" spans="1:10" ht="18.75">
      <c r="A1" s="581"/>
      <c r="B1" s="582" t="s">
        <v>4257</v>
      </c>
      <c r="C1" s="341"/>
      <c r="D1" s="341"/>
      <c r="E1" s="341"/>
      <c r="F1" s="341"/>
      <c r="G1" s="583"/>
      <c r="H1" s="583"/>
      <c r="I1" s="583"/>
      <c r="J1" s="583"/>
    </row>
    <row r="2" spans="1:10" ht="18">
      <c r="A2" s="1034" t="s">
        <v>3957</v>
      </c>
      <c r="B2" s="1034"/>
      <c r="C2" s="1034"/>
      <c r="D2" s="1034"/>
      <c r="E2" s="1034"/>
      <c r="F2" s="1034"/>
      <c r="G2" s="1034"/>
      <c r="H2" s="1034"/>
      <c r="I2" s="1034"/>
      <c r="J2" s="1034"/>
    </row>
    <row r="3" spans="1:10" ht="51">
      <c r="A3" s="585" t="s">
        <v>4504</v>
      </c>
      <c r="B3" s="586" t="s">
        <v>1842</v>
      </c>
      <c r="C3" s="587" t="s">
        <v>4503</v>
      </c>
      <c r="D3" s="588" t="s">
        <v>4502</v>
      </c>
      <c r="E3" s="587" t="s">
        <v>4505</v>
      </c>
      <c r="F3" s="588" t="s">
        <v>4506</v>
      </c>
      <c r="G3" s="588" t="s">
        <v>1684</v>
      </c>
      <c r="H3" s="587" t="s">
        <v>5431</v>
      </c>
      <c r="I3" s="587" t="s">
        <v>5432</v>
      </c>
      <c r="J3" s="588" t="s">
        <v>1684</v>
      </c>
    </row>
    <row r="4" spans="1:10">
      <c r="A4" s="589" t="s">
        <v>1685</v>
      </c>
      <c r="B4" s="590" t="s">
        <v>3592</v>
      </c>
      <c r="C4" s="591">
        <v>88996962.214919999</v>
      </c>
      <c r="D4" s="592">
        <f>SALARIES!P3</f>
        <v>101259235</v>
      </c>
      <c r="E4" s="591">
        <v>621100000</v>
      </c>
      <c r="F4" s="591">
        <f>'Ministries Breakdown'!I142</f>
        <v>1495232700</v>
      </c>
      <c r="G4" s="591">
        <f>E4+C4</f>
        <v>710096962.21492004</v>
      </c>
      <c r="H4" s="591">
        <f>'Ministries Breakdown'!G110</f>
        <v>121887676.33329131</v>
      </c>
      <c r="I4" s="591">
        <f>'Ministries Breakdown'!G111</f>
        <v>2300000000</v>
      </c>
      <c r="J4" s="593">
        <f t="shared" ref="J4:J35" si="0">I4+H4</f>
        <v>2421887676.3332915</v>
      </c>
    </row>
    <row r="5" spans="1:10" ht="25.5">
      <c r="A5" s="589" t="s">
        <v>2592</v>
      </c>
      <c r="B5" s="590" t="s">
        <v>381</v>
      </c>
      <c r="C5" s="591">
        <v>0</v>
      </c>
      <c r="D5" s="592">
        <f>SALARIES!P4</f>
        <v>0</v>
      </c>
      <c r="E5" s="591">
        <v>248500000</v>
      </c>
      <c r="F5" s="591">
        <f>'Ministries Breakdown'!I171</f>
        <v>287800300</v>
      </c>
      <c r="G5" s="591">
        <f t="shared" ref="G5:G68" si="1">E5+C5</f>
        <v>248500000</v>
      </c>
      <c r="H5" s="591">
        <v>0</v>
      </c>
      <c r="I5" s="591">
        <f>'Ministries Breakdown'!C171</f>
        <v>247800000</v>
      </c>
      <c r="J5" s="593">
        <f t="shared" si="0"/>
        <v>247800000</v>
      </c>
    </row>
    <row r="6" spans="1:10" ht="25.5">
      <c r="A6" s="589" t="s">
        <v>382</v>
      </c>
      <c r="B6" s="590" t="s">
        <v>1961</v>
      </c>
      <c r="C6" s="591">
        <v>23410131</v>
      </c>
      <c r="D6" s="592">
        <f>SALARIES!P5</f>
        <v>20365680</v>
      </c>
      <c r="E6" s="591">
        <v>195200000</v>
      </c>
      <c r="F6" s="591">
        <f>'Ministries Breakdown'!I321</f>
        <v>145196248.80000001</v>
      </c>
      <c r="G6" s="591">
        <f t="shared" si="1"/>
        <v>218610131</v>
      </c>
      <c r="H6" s="591">
        <f>'Ministries Breakdown'!G293</f>
        <v>53791922.40623676</v>
      </c>
      <c r="I6" s="591">
        <f>'Ministries Breakdown'!G294</f>
        <v>221950000</v>
      </c>
      <c r="J6" s="593">
        <f t="shared" si="0"/>
        <v>275741922.40623677</v>
      </c>
    </row>
    <row r="7" spans="1:10" ht="25.5">
      <c r="A7" s="589" t="s">
        <v>1962</v>
      </c>
      <c r="B7" s="590" t="s">
        <v>1833</v>
      </c>
      <c r="C7" s="591">
        <v>33837219</v>
      </c>
      <c r="D7" s="592">
        <f>SALARIES!P6</f>
        <v>31805077</v>
      </c>
      <c r="E7" s="591">
        <v>187200000</v>
      </c>
      <c r="F7" s="591">
        <f>'Ministries Breakdown'!I427</f>
        <v>333179480</v>
      </c>
      <c r="G7" s="591">
        <f t="shared" si="1"/>
        <v>221037219</v>
      </c>
      <c r="H7" s="591">
        <f>'Ministries Breakdown'!G393</f>
        <v>40818680.745014295</v>
      </c>
      <c r="I7" s="591">
        <f>'Ministries Breakdown'!G394</f>
        <v>156250000</v>
      </c>
      <c r="J7" s="593">
        <f t="shared" si="0"/>
        <v>197068680.74501431</v>
      </c>
    </row>
    <row r="8" spans="1:10" ht="25.5">
      <c r="A8" s="589" t="s">
        <v>1834</v>
      </c>
      <c r="B8" s="590" t="s">
        <v>2757</v>
      </c>
      <c r="C8" s="591">
        <v>9901144.9618599992</v>
      </c>
      <c r="D8" s="592">
        <f>SALARIES!P7</f>
        <v>19154341</v>
      </c>
      <c r="E8" s="591">
        <v>11300000</v>
      </c>
      <c r="F8" s="591"/>
      <c r="G8" s="591">
        <f t="shared" si="1"/>
        <v>21201144.961860001</v>
      </c>
      <c r="H8" s="591">
        <f>'Ministries Breakdown'!G498</f>
        <v>14097835.092458947</v>
      </c>
      <c r="I8" s="591">
        <f>'Ministries Breakdown'!G499</f>
        <v>6700000</v>
      </c>
      <c r="J8" s="593">
        <f t="shared" si="0"/>
        <v>20797835.092458948</v>
      </c>
    </row>
    <row r="9" spans="1:10">
      <c r="A9" s="589" t="s">
        <v>721</v>
      </c>
      <c r="B9" s="563" t="s">
        <v>715</v>
      </c>
      <c r="C9" s="591">
        <v>196590146</v>
      </c>
      <c r="D9" s="592">
        <f>SALARIES!P9</f>
        <v>146081554</v>
      </c>
      <c r="E9" s="591">
        <v>20500000</v>
      </c>
      <c r="F9" s="591"/>
      <c r="G9" s="591">
        <f t="shared" si="1"/>
        <v>217090146</v>
      </c>
      <c r="H9" s="591">
        <f>'Ministries Breakdown'!G581</f>
        <v>258001016.23456416</v>
      </c>
      <c r="I9" s="591">
        <f>'Ministries Breakdown'!G582</f>
        <v>13100000</v>
      </c>
      <c r="J9" s="593">
        <f t="shared" si="0"/>
        <v>271101016.23456419</v>
      </c>
    </row>
    <row r="10" spans="1:10" ht="38.25">
      <c r="A10" s="589" t="s">
        <v>2751</v>
      </c>
      <c r="B10" s="590" t="s">
        <v>548</v>
      </c>
      <c r="C10" s="591">
        <v>4508371</v>
      </c>
      <c r="D10" s="592">
        <f>SALARIES!P8</f>
        <v>3630182</v>
      </c>
      <c r="E10" s="591">
        <v>10000000</v>
      </c>
      <c r="F10" s="591">
        <f>'Ministries Breakdown'!I722</f>
        <v>3934750</v>
      </c>
      <c r="G10" s="591">
        <f t="shared" si="1"/>
        <v>14508371</v>
      </c>
      <c r="H10" s="591">
        <f>'Ministries Breakdown'!G694</f>
        <v>8900710.174936818</v>
      </c>
      <c r="I10" s="591">
        <f>'Ministries Breakdown'!G695</f>
        <v>6800000</v>
      </c>
      <c r="J10" s="593">
        <f t="shared" si="0"/>
        <v>15700710.174936818</v>
      </c>
    </row>
    <row r="11" spans="1:10" ht="25.5">
      <c r="A11" s="589" t="s">
        <v>714</v>
      </c>
      <c r="B11" s="590" t="s">
        <v>1046</v>
      </c>
      <c r="C11" s="591">
        <v>7933060.4803000018</v>
      </c>
      <c r="D11" s="592">
        <f>SALARIES!P10</f>
        <v>6458710</v>
      </c>
      <c r="E11" s="591">
        <v>14200000</v>
      </c>
      <c r="F11" s="591">
        <f>'Ministries Breakdown'!I859</f>
        <v>7282172.4399999995</v>
      </c>
      <c r="G11" s="591">
        <f t="shared" si="1"/>
        <v>22133060.480300002</v>
      </c>
      <c r="H11" s="591">
        <f>'Ministries Breakdown'!G817</f>
        <v>7735602.690266218</v>
      </c>
      <c r="I11" s="591">
        <f>'Ministries Breakdown'!G818</f>
        <v>12800000</v>
      </c>
      <c r="J11" s="593">
        <f t="shared" si="0"/>
        <v>20535602.690266218</v>
      </c>
    </row>
    <row r="12" spans="1:10" ht="25.5">
      <c r="A12" s="589" t="s">
        <v>1047</v>
      </c>
      <c r="B12" s="590" t="s">
        <v>386</v>
      </c>
      <c r="C12" s="591">
        <v>30527570</v>
      </c>
      <c r="D12" s="592">
        <f>SALARIES!P11</f>
        <v>28840553</v>
      </c>
      <c r="E12" s="591">
        <v>2284450000</v>
      </c>
      <c r="F12" s="591"/>
      <c r="G12" s="591">
        <f t="shared" si="1"/>
        <v>2314977570</v>
      </c>
      <c r="H12" s="591">
        <f>'Ministries Breakdown'!G939</f>
        <v>43499178.394296348</v>
      </c>
      <c r="I12" s="591">
        <f>'Ministries Breakdown'!G940</f>
        <v>128650000</v>
      </c>
      <c r="J12" s="593">
        <f t="shared" si="0"/>
        <v>172149178.39429635</v>
      </c>
    </row>
    <row r="13" spans="1:10" ht="25.5">
      <c r="A13" s="589" t="s">
        <v>3704</v>
      </c>
      <c r="B13" s="590" t="s">
        <v>1015</v>
      </c>
      <c r="C13" s="591">
        <v>0</v>
      </c>
      <c r="D13" s="592">
        <v>0</v>
      </c>
      <c r="E13" s="591">
        <v>0</v>
      </c>
      <c r="F13" s="591"/>
      <c r="G13" s="591">
        <f t="shared" si="1"/>
        <v>0</v>
      </c>
      <c r="H13" s="591">
        <v>0</v>
      </c>
      <c r="I13" s="591">
        <f>'Ministries Breakdown'!C1001</f>
        <v>0</v>
      </c>
      <c r="J13" s="593">
        <f t="shared" si="0"/>
        <v>0</v>
      </c>
    </row>
    <row r="14" spans="1:10" ht="25.5">
      <c r="A14" s="589" t="s">
        <v>1048</v>
      </c>
      <c r="B14" s="590" t="s">
        <v>1690</v>
      </c>
      <c r="C14" s="591">
        <v>36071369.485329993</v>
      </c>
      <c r="D14" s="592">
        <f>SALARIES!P12</f>
        <v>11258286</v>
      </c>
      <c r="E14" s="591">
        <v>12600000</v>
      </c>
      <c r="F14" s="591">
        <f>'Ministries Breakdown'!I1075</f>
        <v>3873998</v>
      </c>
      <c r="G14" s="591">
        <f t="shared" si="1"/>
        <v>48671369.485329993</v>
      </c>
      <c r="H14" s="591">
        <f>'Ministries Breakdown'!G1046</f>
        <v>45763628.641555995</v>
      </c>
      <c r="I14" s="591">
        <f>'Ministries Breakdown'!G1047</f>
        <v>12000000</v>
      </c>
      <c r="J14" s="593">
        <f t="shared" si="0"/>
        <v>57763628.641555995</v>
      </c>
    </row>
    <row r="15" spans="1:10" ht="25.5">
      <c r="A15" s="589" t="s">
        <v>2467</v>
      </c>
      <c r="B15" s="590" t="s">
        <v>3820</v>
      </c>
      <c r="C15" s="591">
        <v>35350788</v>
      </c>
      <c r="D15" s="592">
        <f>SALARIES!P13</f>
        <v>10438831</v>
      </c>
      <c r="E15" s="591">
        <v>16150000</v>
      </c>
      <c r="F15" s="591"/>
      <c r="G15" s="591">
        <f t="shared" si="1"/>
        <v>51500788</v>
      </c>
      <c r="H15" s="591">
        <f>'Ministries Breakdown'!G1122</f>
        <v>35005210.958502829</v>
      </c>
      <c r="I15" s="591">
        <f>'Ministries Breakdown'!G1123</f>
        <v>8000000</v>
      </c>
      <c r="J15" s="593">
        <f t="shared" si="0"/>
        <v>43005210.958502829</v>
      </c>
    </row>
    <row r="16" spans="1:10" ht="25.5">
      <c r="A16" s="589" t="s">
        <v>3822</v>
      </c>
      <c r="B16" s="590" t="s">
        <v>3821</v>
      </c>
      <c r="C16" s="591">
        <v>780037</v>
      </c>
      <c r="D16" s="592">
        <f>SALARIES!P14</f>
        <v>0</v>
      </c>
      <c r="E16" s="591">
        <v>17700000</v>
      </c>
      <c r="F16" s="591">
        <f>'Ministries Breakdown'!I1313</f>
        <v>6156324.29</v>
      </c>
      <c r="G16" s="591">
        <f t="shared" si="1"/>
        <v>18480037</v>
      </c>
      <c r="H16" s="591">
        <f>'Ministries Breakdown'!G1287</f>
        <v>1508414.8677617519</v>
      </c>
      <c r="I16" s="591">
        <f>'Ministries Breakdown'!G1288</f>
        <v>12000000</v>
      </c>
      <c r="J16" s="593">
        <f t="shared" si="0"/>
        <v>13508414.867761752</v>
      </c>
    </row>
    <row r="17" spans="1:10" ht="38.25">
      <c r="A17" s="589" t="s">
        <v>2683</v>
      </c>
      <c r="B17" s="590" t="s">
        <v>2973</v>
      </c>
      <c r="C17" s="591">
        <v>16871365.50976</v>
      </c>
      <c r="D17" s="592">
        <f>SALARIES!P15</f>
        <v>17129608</v>
      </c>
      <c r="E17" s="591">
        <v>687800000</v>
      </c>
      <c r="F17" s="591">
        <f>'Ministries Breakdown'!I1410</f>
        <v>502465613</v>
      </c>
      <c r="G17" s="591">
        <f t="shared" si="1"/>
        <v>704671365.50976002</v>
      </c>
      <c r="H17" s="591">
        <f>'Ministries Breakdown'!G1382</f>
        <v>6379490.007809693</v>
      </c>
      <c r="I17" s="591">
        <f>'Ministries Breakdown'!G1383</f>
        <v>530800000</v>
      </c>
      <c r="J17" s="593">
        <f t="shared" si="0"/>
        <v>537179490.00780964</v>
      </c>
    </row>
    <row r="18" spans="1:10" ht="25.5">
      <c r="A18" s="589" t="s">
        <v>2468</v>
      </c>
      <c r="B18" s="590" t="s">
        <v>3823</v>
      </c>
      <c r="C18" s="591">
        <v>830301190</v>
      </c>
      <c r="D18" s="592">
        <f>SALARIES!P16</f>
        <v>807018695</v>
      </c>
      <c r="E18" s="591">
        <v>20500000</v>
      </c>
      <c r="F18" s="591">
        <f>'Ministries Breakdown'!I1498</f>
        <v>37080295.899999999</v>
      </c>
      <c r="G18" s="591">
        <f t="shared" si="1"/>
        <v>850801190</v>
      </c>
      <c r="H18" s="591">
        <f>'Ministries Breakdown'!G1470</f>
        <v>878157409.01259959</v>
      </c>
      <c r="I18" s="591">
        <f>'Ministries Breakdown'!G1471</f>
        <v>8500000</v>
      </c>
      <c r="J18" s="593">
        <f t="shared" si="0"/>
        <v>886657409.01259959</v>
      </c>
    </row>
    <row r="19" spans="1:10" ht="25.5">
      <c r="A19" s="589" t="s">
        <v>1764</v>
      </c>
      <c r="B19" s="590" t="s">
        <v>86</v>
      </c>
      <c r="C19" s="591">
        <v>507616308</v>
      </c>
      <c r="D19" s="592">
        <v>0</v>
      </c>
      <c r="E19" s="591">
        <v>252000000</v>
      </c>
      <c r="F19" s="591"/>
      <c r="G19" s="591">
        <f t="shared" si="1"/>
        <v>759616308</v>
      </c>
      <c r="H19" s="591">
        <f>'Ministries Breakdown'!G1528</f>
        <v>232229948.50560984</v>
      </c>
      <c r="I19" s="591">
        <f>'Ministries Breakdown'!G1529</f>
        <v>222000000</v>
      </c>
      <c r="J19" s="593">
        <f t="shared" si="0"/>
        <v>454229948.50560987</v>
      </c>
    </row>
    <row r="20" spans="1:10" ht="25.5">
      <c r="A20" s="589" t="s">
        <v>1496</v>
      </c>
      <c r="B20" s="590" t="s">
        <v>87</v>
      </c>
      <c r="C20" s="591">
        <v>491689664.47728252</v>
      </c>
      <c r="D20" s="592">
        <f>SALARIES!P17</f>
        <v>516216455</v>
      </c>
      <c r="E20" s="591">
        <v>15900000</v>
      </c>
      <c r="F20" s="591">
        <f>'Ministries Breakdown'!I1639</f>
        <v>1919419</v>
      </c>
      <c r="G20" s="591">
        <f t="shared" si="1"/>
        <v>507589664.47728252</v>
      </c>
      <c r="H20" s="591">
        <f>'Ministries Breakdown'!G1612</f>
        <v>329407701.35612041</v>
      </c>
      <c r="I20" s="591">
        <f>'Ministries Breakdown'!G1613</f>
        <v>15000000</v>
      </c>
      <c r="J20" s="593">
        <f t="shared" si="0"/>
        <v>344407701.35612041</v>
      </c>
    </row>
    <row r="21" spans="1:10" ht="25.5">
      <c r="A21" s="589" t="s">
        <v>1497</v>
      </c>
      <c r="B21" s="590" t="s">
        <v>4111</v>
      </c>
      <c r="C21" s="591">
        <v>9664282.615185</v>
      </c>
      <c r="D21" s="592">
        <v>0</v>
      </c>
      <c r="E21" s="591">
        <v>36750000</v>
      </c>
      <c r="F21" s="591"/>
      <c r="G21" s="591">
        <f t="shared" si="1"/>
        <v>46414282.615185</v>
      </c>
      <c r="H21" s="591">
        <f>'Ministries Breakdown'!G1709</f>
        <v>528000</v>
      </c>
      <c r="I21" s="591">
        <f>'Ministries Breakdown'!G1710</f>
        <v>31750000</v>
      </c>
      <c r="J21" s="593">
        <f t="shared" si="0"/>
        <v>32278000</v>
      </c>
    </row>
    <row r="22" spans="1:10" ht="25.5">
      <c r="A22" s="589" t="s">
        <v>1495</v>
      </c>
      <c r="B22" s="590" t="s">
        <v>568</v>
      </c>
      <c r="C22" s="591">
        <v>14072117</v>
      </c>
      <c r="D22" s="592">
        <f>SALARIES!P18</f>
        <v>14533953</v>
      </c>
      <c r="E22" s="591">
        <v>907050000</v>
      </c>
      <c r="F22" s="591">
        <f>'Ministries Breakdown'!I1863</f>
        <v>397460620</v>
      </c>
      <c r="G22" s="591">
        <f t="shared" si="1"/>
        <v>921122117</v>
      </c>
      <c r="H22" s="591">
        <f>'Ministries Breakdown'!G1829</f>
        <v>24733937.812641513</v>
      </c>
      <c r="I22" s="591">
        <f>'Ministries Breakdown'!G1830</f>
        <v>306700000</v>
      </c>
      <c r="J22" s="593">
        <f t="shared" si="0"/>
        <v>331433937.8126415</v>
      </c>
    </row>
    <row r="23" spans="1:10">
      <c r="A23" s="589" t="s">
        <v>1498</v>
      </c>
      <c r="B23" s="590" t="s">
        <v>3324</v>
      </c>
      <c r="C23" s="591">
        <v>32824639.667614996</v>
      </c>
      <c r="D23" s="592">
        <f>SALARIES!P19</f>
        <v>35065314</v>
      </c>
      <c r="E23" s="591">
        <v>12000000</v>
      </c>
      <c r="F23" s="591"/>
      <c r="G23" s="591">
        <f t="shared" si="1"/>
        <v>44824639.667614996</v>
      </c>
      <c r="H23" s="591">
        <f>'Ministries Breakdown'!G1973</f>
        <v>36398196.254714467</v>
      </c>
      <c r="I23" s="591">
        <f>'Ministries Breakdown'!G1974</f>
        <v>12000000</v>
      </c>
      <c r="J23" s="593">
        <f t="shared" si="0"/>
        <v>48398196.254714467</v>
      </c>
    </row>
    <row r="24" spans="1:10" ht="25.5">
      <c r="A24" s="589" t="s">
        <v>1494</v>
      </c>
      <c r="B24" s="590" t="s">
        <v>1944</v>
      </c>
      <c r="C24" s="591">
        <v>12904749.269420002</v>
      </c>
      <c r="D24" s="592">
        <f>SALARIES!P20</f>
        <v>11498470</v>
      </c>
      <c r="E24" s="591">
        <v>7600000</v>
      </c>
      <c r="F24" s="591"/>
      <c r="G24" s="591">
        <f t="shared" si="1"/>
        <v>20504749.269420002</v>
      </c>
      <c r="H24" s="591">
        <f>'Ministries Breakdown'!G2040</f>
        <v>8100870.5896566994</v>
      </c>
      <c r="I24" s="591">
        <f>'Ministries Breakdown'!G2041</f>
        <v>7300000</v>
      </c>
      <c r="J24" s="593">
        <f t="shared" si="0"/>
        <v>15400870.589656699</v>
      </c>
    </row>
    <row r="25" spans="1:10" ht="25.5">
      <c r="A25" s="589" t="s">
        <v>3347</v>
      </c>
      <c r="B25" s="590" t="s">
        <v>3325</v>
      </c>
      <c r="C25" s="591">
        <v>37931246.231600001</v>
      </c>
      <c r="D25" s="592">
        <f>SALARIES!P21</f>
        <v>33722937</v>
      </c>
      <c r="E25" s="591">
        <v>11500000</v>
      </c>
      <c r="F25" s="591">
        <f>'Ministries Breakdown'!I2250</f>
        <v>7602034</v>
      </c>
      <c r="G25" s="591">
        <f t="shared" si="1"/>
        <v>49431246.231600001</v>
      </c>
      <c r="H25" s="591">
        <f>'Ministries Breakdown'!G2220</f>
        <v>64217835.008465327</v>
      </c>
      <c r="I25" s="591">
        <f>'Ministries Breakdown'!G2221</f>
        <v>12000000</v>
      </c>
      <c r="J25" s="593">
        <f t="shared" si="0"/>
        <v>76217835.00846532</v>
      </c>
    </row>
    <row r="26" spans="1:10" ht="25.5">
      <c r="A26" s="589" t="s">
        <v>3349</v>
      </c>
      <c r="B26" s="590" t="s">
        <v>3348</v>
      </c>
      <c r="C26" s="591">
        <v>15266472.004800003</v>
      </c>
      <c r="D26" s="592">
        <f>SALARIES!P22</f>
        <v>14473623</v>
      </c>
      <c r="E26" s="591">
        <v>17500000</v>
      </c>
      <c r="F26" s="591">
        <f>'Ministries Breakdown'!I2250</f>
        <v>7602034</v>
      </c>
      <c r="G26" s="591">
        <f t="shared" si="1"/>
        <v>32766472.004800003</v>
      </c>
      <c r="H26" s="591">
        <f>'Ministries Breakdown'!G2331</f>
        <v>15562406.300911885</v>
      </c>
      <c r="I26" s="591">
        <f>'Ministries Breakdown'!G2332</f>
        <v>13000000</v>
      </c>
      <c r="J26" s="593">
        <f t="shared" si="0"/>
        <v>28562406.300911885</v>
      </c>
    </row>
    <row r="27" spans="1:10">
      <c r="A27" s="589" t="s">
        <v>1047</v>
      </c>
      <c r="B27" s="590" t="s">
        <v>3994</v>
      </c>
      <c r="C27" s="591">
        <v>44143088</v>
      </c>
      <c r="D27" s="592">
        <f>SALARIES!P23</f>
        <v>39191671</v>
      </c>
      <c r="E27" s="591">
        <v>3000000</v>
      </c>
      <c r="F27" s="591"/>
      <c r="G27" s="591">
        <f t="shared" si="1"/>
        <v>47143088</v>
      </c>
      <c r="H27" s="591">
        <f>'Ministries Breakdown'!G2409</f>
        <v>53628344.262968764</v>
      </c>
      <c r="I27" s="591">
        <f>'Ministries Breakdown'!G2410</f>
        <v>3000000</v>
      </c>
      <c r="J27" s="593">
        <f t="shared" si="0"/>
        <v>56628344.262968764</v>
      </c>
    </row>
    <row r="28" spans="1:10">
      <c r="A28" s="589" t="s">
        <v>3704</v>
      </c>
      <c r="B28" s="590" t="s">
        <v>1135</v>
      </c>
      <c r="C28" s="591">
        <v>1730200000</v>
      </c>
      <c r="D28" s="592">
        <f>SALARIES!P24</f>
        <v>1953672253</v>
      </c>
      <c r="E28" s="591">
        <v>75600000</v>
      </c>
      <c r="F28" s="591">
        <f>'Ministries Breakdown'!I2500</f>
        <v>23269400</v>
      </c>
      <c r="G28" s="591">
        <f t="shared" si="1"/>
        <v>1805800000</v>
      </c>
      <c r="H28" s="591">
        <f>'Ministries Breakdown'!G2471</f>
        <v>478701578.99674666</v>
      </c>
      <c r="I28" s="591">
        <f>'Ministries Breakdown'!G2472</f>
        <v>67600000</v>
      </c>
      <c r="J28" s="593">
        <f t="shared" si="0"/>
        <v>546301578.99674666</v>
      </c>
    </row>
    <row r="29" spans="1:10">
      <c r="A29" s="589" t="s">
        <v>1048</v>
      </c>
      <c r="B29" s="590" t="s">
        <v>1136</v>
      </c>
      <c r="C29" s="591">
        <v>0</v>
      </c>
      <c r="D29" s="592">
        <v>0</v>
      </c>
      <c r="E29" s="591">
        <v>1244200000</v>
      </c>
      <c r="F29" s="591"/>
      <c r="G29" s="591">
        <f t="shared" si="1"/>
        <v>1244200000</v>
      </c>
      <c r="H29" s="591">
        <f>'Ministries Breakdown'!G2542</f>
        <v>7945587.4031038238</v>
      </c>
      <c r="I29" s="591">
        <f>'Ministries Breakdown'!G2543</f>
        <v>1045200000</v>
      </c>
      <c r="J29" s="593">
        <f t="shared" si="0"/>
        <v>1053145587.4031038</v>
      </c>
    </row>
    <row r="30" spans="1:10" ht="25.5">
      <c r="A30" s="589" t="s">
        <v>2467</v>
      </c>
      <c r="B30" s="590" t="s">
        <v>739</v>
      </c>
      <c r="C30" s="591">
        <v>1687912.7096000002</v>
      </c>
      <c r="D30" s="592">
        <f>SALARIES!P26</f>
        <v>1219231</v>
      </c>
      <c r="E30" s="591">
        <v>11500000</v>
      </c>
      <c r="F30" s="591"/>
      <c r="G30" s="591">
        <f t="shared" si="1"/>
        <v>13187912.7096</v>
      </c>
      <c r="H30" s="591">
        <f>'Ministries Breakdown'!G2612</f>
        <v>1816255.6511786282</v>
      </c>
      <c r="I30" s="591">
        <f>'Ministries Breakdown'!G2613</f>
        <v>7000000</v>
      </c>
      <c r="J30" s="593">
        <f t="shared" si="0"/>
        <v>8816255.6511786282</v>
      </c>
    </row>
    <row r="31" spans="1:10" ht="25.5">
      <c r="A31" s="589" t="s">
        <v>3822</v>
      </c>
      <c r="B31" s="590" t="s">
        <v>612</v>
      </c>
      <c r="C31" s="591">
        <v>0</v>
      </c>
      <c r="D31" s="592">
        <v>0</v>
      </c>
      <c r="E31" s="591">
        <v>0</v>
      </c>
      <c r="F31" s="591"/>
      <c r="G31" s="591">
        <f t="shared" si="1"/>
        <v>0</v>
      </c>
      <c r="H31" s="591">
        <v>0</v>
      </c>
      <c r="I31" s="591">
        <v>0</v>
      </c>
      <c r="J31" s="593">
        <f t="shared" si="0"/>
        <v>0</v>
      </c>
    </row>
    <row r="32" spans="1:10" ht="25.5">
      <c r="A32" s="589" t="s">
        <v>740</v>
      </c>
      <c r="B32" s="590" t="s">
        <v>882</v>
      </c>
      <c r="C32" s="591">
        <v>75072860</v>
      </c>
      <c r="D32" s="592">
        <f>SALARIES!P28</f>
        <v>71359872</v>
      </c>
      <c r="E32" s="591">
        <v>113150000</v>
      </c>
      <c r="F32" s="591">
        <f>'Ministries Breakdown'!I2885</f>
        <v>13460642.6</v>
      </c>
      <c r="G32" s="591">
        <f t="shared" si="1"/>
        <v>188222860</v>
      </c>
      <c r="H32" s="591">
        <f>'Ministries Breakdown'!G2849</f>
        <v>188249495.81600782</v>
      </c>
      <c r="I32" s="591">
        <f>'Ministries Breakdown'!G2850</f>
        <v>80450000</v>
      </c>
      <c r="J32" s="593">
        <f t="shared" si="0"/>
        <v>268699495.81600785</v>
      </c>
    </row>
    <row r="33" spans="1:10" ht="25.5">
      <c r="A33" s="589" t="s">
        <v>1324</v>
      </c>
      <c r="B33" s="590" t="s">
        <v>5433</v>
      </c>
      <c r="C33" s="591">
        <v>170541525</v>
      </c>
      <c r="D33" s="592">
        <f>SALARIES!P29</f>
        <v>226813290</v>
      </c>
      <c r="E33" s="591">
        <v>22500000</v>
      </c>
      <c r="F33" s="591"/>
      <c r="G33" s="591">
        <f t="shared" si="1"/>
        <v>193041525</v>
      </c>
      <c r="H33" s="591">
        <f>'Ministries Breakdown'!G3010</f>
        <v>114953013.41933551</v>
      </c>
      <c r="I33" s="591">
        <f>'Ministries Breakdown'!G3011</f>
        <v>21500000</v>
      </c>
      <c r="J33" s="593">
        <f t="shared" si="0"/>
        <v>136453013.41933551</v>
      </c>
    </row>
    <row r="34" spans="1:10" ht="38.25">
      <c r="A34" s="589" t="s">
        <v>886</v>
      </c>
      <c r="B34" s="590" t="s">
        <v>1325</v>
      </c>
      <c r="C34" s="591">
        <v>26478025</v>
      </c>
      <c r="D34" s="592">
        <f>SALARIES!P30</f>
        <v>25124709</v>
      </c>
      <c r="E34" s="594">
        <v>8700000</v>
      </c>
      <c r="F34" s="594">
        <f>'Ministries Breakdown'!I3151</f>
        <v>2569541.98</v>
      </c>
      <c r="G34" s="591">
        <f t="shared" si="1"/>
        <v>35178025</v>
      </c>
      <c r="H34" s="591">
        <f>'Ministries Breakdown'!G3123</f>
        <v>29412449.901263833</v>
      </c>
      <c r="I34" s="594">
        <f>'Ministries Breakdown'!G3124</f>
        <v>7000000</v>
      </c>
      <c r="J34" s="593">
        <f t="shared" si="0"/>
        <v>36412449.901263833</v>
      </c>
    </row>
    <row r="35" spans="1:10" ht="25.5">
      <c r="A35" s="589" t="s">
        <v>1326</v>
      </c>
      <c r="B35" s="590" t="s">
        <v>884</v>
      </c>
      <c r="C35" s="591">
        <v>43667087</v>
      </c>
      <c r="D35" s="592">
        <f>SALARIES!P31</f>
        <v>40837500</v>
      </c>
      <c r="E35" s="591">
        <v>22300000</v>
      </c>
      <c r="F35" s="591">
        <f>'Ministries Breakdown'!I3282</f>
        <v>1583000</v>
      </c>
      <c r="G35" s="591">
        <f t="shared" si="1"/>
        <v>65967087</v>
      </c>
      <c r="H35" s="591">
        <f>'Ministries Breakdown'!G3248</f>
        <v>48431346.491523325</v>
      </c>
      <c r="I35" s="591">
        <f>'Ministries Breakdown'!G3249</f>
        <v>22600000</v>
      </c>
      <c r="J35" s="593">
        <f t="shared" si="0"/>
        <v>71031346.491523325</v>
      </c>
    </row>
    <row r="36" spans="1:10" ht="38.25">
      <c r="A36" s="589" t="s">
        <v>885</v>
      </c>
      <c r="B36" s="590" t="s">
        <v>1327</v>
      </c>
      <c r="C36" s="591">
        <v>3226726</v>
      </c>
      <c r="D36" s="592">
        <f>SALARIES!P32</f>
        <v>2805530</v>
      </c>
      <c r="E36" s="594">
        <v>8600000</v>
      </c>
      <c r="F36" s="594"/>
      <c r="G36" s="591">
        <f t="shared" si="1"/>
        <v>11826726</v>
      </c>
      <c r="H36" s="591">
        <f>'Ministries Breakdown'!G3331</f>
        <v>2680782.2401955044</v>
      </c>
      <c r="I36" s="594">
        <f>'Ministries Breakdown'!G3332</f>
        <v>6800000</v>
      </c>
      <c r="J36" s="593">
        <f t="shared" ref="J36:J67" si="2">I36+H36</f>
        <v>9480782.2401955053</v>
      </c>
    </row>
    <row r="37" spans="1:10">
      <c r="A37" s="589" t="s">
        <v>1328</v>
      </c>
      <c r="B37" s="590" t="s">
        <v>1672</v>
      </c>
      <c r="C37" s="591">
        <v>587994589</v>
      </c>
      <c r="D37" s="592">
        <f>SALARIES!P33</f>
        <v>554246829</v>
      </c>
      <c r="E37" s="591">
        <v>908400000</v>
      </c>
      <c r="F37" s="591">
        <f>'Ministries Breakdown'!I3581</f>
        <v>197627329</v>
      </c>
      <c r="G37" s="591">
        <f t="shared" si="1"/>
        <v>1496394589</v>
      </c>
      <c r="H37" s="591">
        <f>'Ministries Breakdown'!G3530</f>
        <v>312333733.93134761</v>
      </c>
      <c r="I37" s="591">
        <f>'Ministries Breakdown'!G3531</f>
        <v>1245900000</v>
      </c>
      <c r="J37" s="593">
        <f t="shared" si="2"/>
        <v>1558233733.9313476</v>
      </c>
    </row>
    <row r="38" spans="1:10" ht="25.5">
      <c r="A38" s="589" t="s">
        <v>2592</v>
      </c>
      <c r="B38" s="590" t="s">
        <v>576</v>
      </c>
      <c r="C38" s="591">
        <v>68838577</v>
      </c>
      <c r="D38" s="592">
        <f>SALARIES!P34</f>
        <v>63741839</v>
      </c>
      <c r="E38" s="591">
        <v>355200000</v>
      </c>
      <c r="F38" s="591"/>
      <c r="G38" s="591">
        <f t="shared" si="1"/>
        <v>424038577</v>
      </c>
      <c r="H38" s="591">
        <f>'Ministries Breakdown'!G3718</f>
        <v>116397062.97756614</v>
      </c>
      <c r="I38" s="591">
        <f>'Ministries Breakdown'!G3719</f>
        <v>331200000</v>
      </c>
      <c r="J38" s="593">
        <f t="shared" si="2"/>
        <v>447597062.97756612</v>
      </c>
    </row>
    <row r="39" spans="1:10">
      <c r="A39" s="589" t="s">
        <v>577</v>
      </c>
      <c r="B39" s="590" t="s">
        <v>3006</v>
      </c>
      <c r="C39" s="591">
        <v>1910288480</v>
      </c>
      <c r="D39" s="592">
        <f>SALARIES!P35</f>
        <v>375345496</v>
      </c>
      <c r="E39" s="591">
        <v>728750000</v>
      </c>
      <c r="F39" s="591"/>
      <c r="G39" s="591">
        <f t="shared" si="1"/>
        <v>2639038480</v>
      </c>
      <c r="H39" s="591">
        <f>'Ministries Breakdown'!G3908+'Ministries Breakdown'!G3909</f>
        <v>408477855.32004112</v>
      </c>
      <c r="I39" s="591">
        <f>'Ministries Breakdown'!G3910</f>
        <v>670200000</v>
      </c>
      <c r="J39" s="593">
        <f t="shared" si="2"/>
        <v>1078677855.3200412</v>
      </c>
    </row>
    <row r="40" spans="1:10" ht="25.5">
      <c r="A40" s="589" t="s">
        <v>2592</v>
      </c>
      <c r="B40" s="590" t="s">
        <v>948</v>
      </c>
      <c r="C40" s="591">
        <v>30030589</v>
      </c>
      <c r="D40" s="592">
        <f>SALARIES!P36</f>
        <v>25631151</v>
      </c>
      <c r="E40" s="591">
        <v>307200000</v>
      </c>
      <c r="F40" s="591"/>
      <c r="G40" s="591">
        <f t="shared" si="1"/>
        <v>337230589</v>
      </c>
      <c r="H40" s="591">
        <f>'Ministries Breakdown'!G4039</f>
        <v>123991579.79779655</v>
      </c>
      <c r="I40" s="591">
        <f>'Ministries Breakdown'!G4040</f>
        <v>238300000</v>
      </c>
      <c r="J40" s="593">
        <f t="shared" si="2"/>
        <v>362291579.79779655</v>
      </c>
    </row>
    <row r="41" spans="1:10" ht="25.5">
      <c r="A41" s="589" t="s">
        <v>382</v>
      </c>
      <c r="B41" s="590" t="s">
        <v>4112</v>
      </c>
      <c r="C41" s="591">
        <v>47839905.802780017</v>
      </c>
      <c r="D41" s="592">
        <v>0</v>
      </c>
      <c r="E41" s="591">
        <v>20200000</v>
      </c>
      <c r="F41" s="591"/>
      <c r="G41" s="591">
        <f t="shared" si="1"/>
        <v>68039905.802780017</v>
      </c>
      <c r="H41" s="591">
        <f>'Ministries Breakdown'!G4153</f>
        <v>11042999.521303067</v>
      </c>
      <c r="I41" s="591">
        <f>'Ministries Breakdown'!G4154</f>
        <v>15200000</v>
      </c>
      <c r="J41" s="593">
        <f t="shared" si="2"/>
        <v>26242999.521303065</v>
      </c>
    </row>
    <row r="42" spans="1:10">
      <c r="A42" s="595" t="s">
        <v>2047</v>
      </c>
      <c r="B42" s="590" t="s">
        <v>3811</v>
      </c>
      <c r="C42" s="591">
        <v>168565745</v>
      </c>
      <c r="D42" s="592">
        <f>SALARIES!P37</f>
        <v>227252286</v>
      </c>
      <c r="E42" s="591">
        <v>602396999.75</v>
      </c>
      <c r="F42" s="591"/>
      <c r="G42" s="591">
        <f t="shared" si="1"/>
        <v>770962744.75</v>
      </c>
      <c r="H42" s="591">
        <f>'Ministries Breakdown'!G4492</f>
        <v>180151538.94995442</v>
      </c>
      <c r="I42" s="591">
        <f>'Ministries Breakdown'!G4493</f>
        <v>729900000</v>
      </c>
      <c r="J42" s="593">
        <f t="shared" si="2"/>
        <v>910051538.94995439</v>
      </c>
    </row>
    <row r="43" spans="1:10">
      <c r="A43" s="589" t="s">
        <v>1102</v>
      </c>
      <c r="B43" s="590" t="s">
        <v>1261</v>
      </c>
      <c r="C43" s="591">
        <v>17220474.029789999</v>
      </c>
      <c r="D43" s="592">
        <f>SALARIES!P39</f>
        <v>14880671</v>
      </c>
      <c r="E43" s="591">
        <v>27300000</v>
      </c>
      <c r="F43" s="591"/>
      <c r="G43" s="591">
        <f t="shared" si="1"/>
        <v>44520474.029789999</v>
      </c>
      <c r="H43" s="591">
        <f>'Ministries Breakdown'!G4687</f>
        <v>65622655.284584224</v>
      </c>
      <c r="I43" s="591">
        <f>'Ministries Breakdown'!G4688</f>
        <v>25000000</v>
      </c>
      <c r="J43" s="593">
        <f t="shared" si="2"/>
        <v>90622655.284584224</v>
      </c>
    </row>
    <row r="44" spans="1:10" ht="48">
      <c r="A44" s="589" t="s">
        <v>2592</v>
      </c>
      <c r="B44" s="596" t="s">
        <v>3489</v>
      </c>
      <c r="C44" s="591">
        <v>25048010.575649995</v>
      </c>
      <c r="D44" s="592">
        <f>SALARIES!P40</f>
        <v>22443885</v>
      </c>
      <c r="E44" s="591">
        <v>127800000</v>
      </c>
      <c r="F44" s="591"/>
      <c r="G44" s="591">
        <f t="shared" si="1"/>
        <v>152848010.57565001</v>
      </c>
      <c r="H44" s="591">
        <f>'Ministries Breakdown'!G4836</f>
        <v>35588708.881229624</v>
      </c>
      <c r="I44" s="591">
        <f>'Ministries Breakdown'!G4837</f>
        <v>124000000</v>
      </c>
      <c r="J44" s="593">
        <f t="shared" si="2"/>
        <v>159588708.88122964</v>
      </c>
    </row>
    <row r="45" spans="1:10" ht="25.5">
      <c r="A45" s="589" t="s">
        <v>382</v>
      </c>
      <c r="B45" s="590" t="s">
        <v>347</v>
      </c>
      <c r="C45" s="591">
        <v>63715575</v>
      </c>
      <c r="D45" s="592">
        <f>SALARIES!P41</f>
        <v>47333930</v>
      </c>
      <c r="E45" s="594">
        <v>58300000</v>
      </c>
      <c r="F45" s="594"/>
      <c r="G45" s="591">
        <f t="shared" si="1"/>
        <v>122015575</v>
      </c>
      <c r="H45" s="591">
        <f>'Ministries Breakdown'!G4944</f>
        <v>50925810.058360644</v>
      </c>
      <c r="I45" s="594">
        <f>'Ministries Breakdown'!G4945</f>
        <v>55000000</v>
      </c>
      <c r="J45" s="593">
        <f t="shared" si="2"/>
        <v>105925810.05836064</v>
      </c>
    </row>
    <row r="46" spans="1:10" ht="38.25">
      <c r="A46" s="589" t="s">
        <v>1962</v>
      </c>
      <c r="B46" s="590" t="s">
        <v>205</v>
      </c>
      <c r="C46" s="591">
        <v>3871313</v>
      </c>
      <c r="D46" s="592">
        <f>SALARIES!P42</f>
        <v>2904930</v>
      </c>
      <c r="E46" s="594">
        <v>8500000</v>
      </c>
      <c r="F46" s="594">
        <f>'Ministries Breakdown'!I5083</f>
        <v>6591039</v>
      </c>
      <c r="G46" s="591">
        <f t="shared" si="1"/>
        <v>12371313</v>
      </c>
      <c r="H46" s="591">
        <f>'Ministries Breakdown'!G5056</f>
        <v>31910111.279676151</v>
      </c>
      <c r="I46" s="594">
        <f>'Ministries Breakdown'!G5057</f>
        <v>5400000</v>
      </c>
      <c r="J46" s="593">
        <f t="shared" si="2"/>
        <v>37310111.279676154</v>
      </c>
    </row>
    <row r="47" spans="1:10">
      <c r="A47" s="589" t="s">
        <v>4067</v>
      </c>
      <c r="B47" s="590" t="s">
        <v>2776</v>
      </c>
      <c r="C47" s="591">
        <v>112266739</v>
      </c>
      <c r="D47" s="592">
        <f>SALARIES!P43</f>
        <v>111387297</v>
      </c>
      <c r="E47" s="591">
        <v>222000000</v>
      </c>
      <c r="F47" s="591">
        <f>'Ministries Breakdown'!I5228</f>
        <v>10013863</v>
      </c>
      <c r="G47" s="591">
        <f t="shared" si="1"/>
        <v>334266739</v>
      </c>
      <c r="H47" s="591">
        <f>'Ministries Breakdown'!G5191</f>
        <v>58192510.780028157</v>
      </c>
      <c r="I47" s="591">
        <f>'Ministries Breakdown'!G5192</f>
        <v>137000000</v>
      </c>
      <c r="J47" s="593">
        <f t="shared" si="2"/>
        <v>195192510.78002816</v>
      </c>
    </row>
    <row r="48" spans="1:10">
      <c r="A48" s="589" t="s">
        <v>2592</v>
      </c>
      <c r="B48" s="590" t="s">
        <v>2777</v>
      </c>
      <c r="C48" s="591">
        <v>180203813</v>
      </c>
      <c r="D48" s="592">
        <f>SALARIES!P44</f>
        <v>246195774</v>
      </c>
      <c r="E48" s="591">
        <v>17000000</v>
      </c>
      <c r="F48" s="591"/>
      <c r="G48" s="591">
        <f t="shared" si="1"/>
        <v>197203813</v>
      </c>
      <c r="H48" s="591">
        <f>'Ministries Breakdown'!G5378</f>
        <v>606347564.85113537</v>
      </c>
      <c r="I48" s="591">
        <f>'Ministries Breakdown'!G5379</f>
        <v>120000000</v>
      </c>
      <c r="J48" s="593">
        <f t="shared" si="2"/>
        <v>726347564.85113537</v>
      </c>
    </row>
    <row r="49" spans="1:10">
      <c r="A49" s="589" t="s">
        <v>382</v>
      </c>
      <c r="B49" s="590" t="s">
        <v>188</v>
      </c>
      <c r="C49" s="591">
        <v>412512566</v>
      </c>
      <c r="D49" s="592">
        <f>SALARIES!P45</f>
        <v>466309282</v>
      </c>
      <c r="E49" s="591">
        <v>63500000</v>
      </c>
      <c r="F49" s="591">
        <f>'Ministries Breakdown'!I5621</f>
        <v>23722837.25</v>
      </c>
      <c r="G49" s="591">
        <f t="shared" si="1"/>
        <v>476012566</v>
      </c>
      <c r="H49" s="591">
        <f>'Ministries Breakdown'!G5590</f>
        <v>1272981117.7726216</v>
      </c>
      <c r="I49" s="591">
        <f>'Ministries Breakdown'!G5591</f>
        <v>120000000</v>
      </c>
      <c r="J49" s="593">
        <f t="shared" si="2"/>
        <v>1392981117.7726216</v>
      </c>
    </row>
    <row r="50" spans="1:10" ht="25.5">
      <c r="A50" s="589" t="s">
        <v>1962</v>
      </c>
      <c r="B50" s="590" t="s">
        <v>189</v>
      </c>
      <c r="C50" s="591">
        <v>37636012</v>
      </c>
      <c r="D50" s="592">
        <f>SALARIES!P46</f>
        <v>13165451</v>
      </c>
      <c r="E50" s="591">
        <v>8500000</v>
      </c>
      <c r="F50" s="591">
        <f>'Ministries Breakdown'!I5726</f>
        <v>1373782.5</v>
      </c>
      <c r="G50" s="591">
        <f t="shared" si="1"/>
        <v>46136012</v>
      </c>
      <c r="H50" s="591">
        <f>'Ministries Breakdown'!G5693</f>
        <v>34317555.710301407</v>
      </c>
      <c r="I50" s="591">
        <f>'Ministries Breakdown'!G5694</f>
        <v>13700000</v>
      </c>
      <c r="J50" s="593">
        <f t="shared" si="2"/>
        <v>48017555.710301407</v>
      </c>
    </row>
    <row r="51" spans="1:10">
      <c r="A51" s="589" t="s">
        <v>1834</v>
      </c>
      <c r="B51" s="590" t="s">
        <v>3560</v>
      </c>
      <c r="C51" s="591">
        <v>4914312</v>
      </c>
      <c r="D51" s="592">
        <f>SALARIES!P47</f>
        <v>4146632</v>
      </c>
      <c r="E51" s="591">
        <v>7400000</v>
      </c>
      <c r="F51" s="591"/>
      <c r="G51" s="591">
        <f t="shared" si="1"/>
        <v>12314312</v>
      </c>
      <c r="H51" s="591">
        <f>'Ministries Breakdown'!G5759</f>
        <v>14226936.986858774</v>
      </c>
      <c r="I51" s="591">
        <f>'Ministries Breakdown'!G5760</f>
        <v>6400000</v>
      </c>
      <c r="J51" s="593">
        <f t="shared" si="2"/>
        <v>20626936.986858774</v>
      </c>
    </row>
    <row r="52" spans="1:10">
      <c r="A52" s="589" t="s">
        <v>190</v>
      </c>
      <c r="B52" s="590" t="s">
        <v>2608</v>
      </c>
      <c r="C52" s="591">
        <v>240981122</v>
      </c>
      <c r="D52" s="592">
        <f>SALARIES!P48</f>
        <v>233348629</v>
      </c>
      <c r="E52" s="591">
        <v>776500000</v>
      </c>
      <c r="F52" s="591"/>
      <c r="G52" s="591">
        <f t="shared" si="1"/>
        <v>1017481122</v>
      </c>
      <c r="H52" s="591">
        <f>'Ministries Breakdown'!G6179</f>
        <v>132968661.95824206</v>
      </c>
      <c r="I52" s="591">
        <f>'Ministries Breakdown'!G6180</f>
        <v>1044600000</v>
      </c>
      <c r="J52" s="593">
        <f t="shared" si="2"/>
        <v>1177568661.9582419</v>
      </c>
    </row>
    <row r="53" spans="1:10" ht="25.5">
      <c r="A53" s="589" t="s">
        <v>1499</v>
      </c>
      <c r="B53" s="590" t="s">
        <v>1436</v>
      </c>
      <c r="C53" s="591">
        <v>51033877.288179994</v>
      </c>
      <c r="D53" s="592">
        <v>0</v>
      </c>
      <c r="E53" s="591">
        <v>4800000</v>
      </c>
      <c r="F53" s="591"/>
      <c r="G53" s="591">
        <f t="shared" si="1"/>
        <v>55833877.288179994</v>
      </c>
      <c r="H53" s="591">
        <f>'Ministries Breakdown'!G6260</f>
        <v>3070225.5140550639</v>
      </c>
      <c r="I53" s="591">
        <f>'Ministries Breakdown'!G6261</f>
        <v>4900000</v>
      </c>
      <c r="J53" s="593">
        <f t="shared" si="2"/>
        <v>7970225.5140550639</v>
      </c>
    </row>
    <row r="54" spans="1:10" ht="25.5">
      <c r="A54" s="589" t="s">
        <v>1663</v>
      </c>
      <c r="B54" s="590" t="s">
        <v>1419</v>
      </c>
      <c r="C54" s="591">
        <v>46305338</v>
      </c>
      <c r="D54" s="592">
        <f>SALARIES!P50</f>
        <v>8066401</v>
      </c>
      <c r="E54" s="591">
        <v>18700000</v>
      </c>
      <c r="F54" s="591">
        <f>'Ministries Breakdown'!I6376</f>
        <v>7500000</v>
      </c>
      <c r="G54" s="591">
        <f t="shared" si="1"/>
        <v>65005338</v>
      </c>
      <c r="H54" s="591">
        <f>'Ministries Breakdown'!G6348</f>
        <v>43309551.46749863</v>
      </c>
      <c r="I54" s="591">
        <f>'Ministries Breakdown'!G6349</f>
        <v>13000000</v>
      </c>
      <c r="J54" s="593">
        <f t="shared" si="2"/>
        <v>56309551.46749863</v>
      </c>
    </row>
    <row r="55" spans="1:10">
      <c r="A55" s="589" t="s">
        <v>1437</v>
      </c>
      <c r="B55" s="590" t="s">
        <v>1765</v>
      </c>
      <c r="C55" s="591">
        <v>117343562</v>
      </c>
      <c r="D55" s="592">
        <f>SALARIES!P51</f>
        <v>115170986</v>
      </c>
      <c r="E55" s="591">
        <v>13800000</v>
      </c>
      <c r="F55" s="591">
        <f>'Ministries Breakdown'!G6589</f>
        <v>6679972</v>
      </c>
      <c r="G55" s="591">
        <f t="shared" si="1"/>
        <v>131143562</v>
      </c>
      <c r="H55" s="591">
        <f>'Ministries Breakdown'!G6558</f>
        <v>130157567.2512583</v>
      </c>
      <c r="I55" s="591">
        <f>'Ministries Breakdown'!G6559</f>
        <v>13000000</v>
      </c>
      <c r="J55" s="593">
        <f t="shared" si="2"/>
        <v>143157567.25125831</v>
      </c>
    </row>
    <row r="56" spans="1:10">
      <c r="A56" s="589" t="s">
        <v>1499</v>
      </c>
      <c r="B56" s="590" t="s">
        <v>1766</v>
      </c>
      <c r="C56" s="591">
        <v>15843425</v>
      </c>
      <c r="D56" s="592">
        <f>SALARIES!P52</f>
        <v>16320423</v>
      </c>
      <c r="E56" s="597">
        <v>12000000</v>
      </c>
      <c r="F56" s="597">
        <f>'Ministries Breakdown'!I6702</f>
        <v>7459636.4000000004</v>
      </c>
      <c r="G56" s="591">
        <f t="shared" si="1"/>
        <v>27843425</v>
      </c>
      <c r="H56" s="591">
        <f>'Ministries Breakdown'!G6674</f>
        <v>82761997.072771102</v>
      </c>
      <c r="I56" s="597">
        <f>'Ministries Breakdown'!G6675</f>
        <v>12500000</v>
      </c>
      <c r="J56" s="593">
        <f t="shared" si="2"/>
        <v>95261997.072771102</v>
      </c>
    </row>
    <row r="57" spans="1:10">
      <c r="A57" s="589" t="s">
        <v>1663</v>
      </c>
      <c r="B57" s="590" t="s">
        <v>1767</v>
      </c>
      <c r="C57" s="591">
        <v>12398513</v>
      </c>
      <c r="D57" s="592">
        <f>SALARIES!P53</f>
        <v>10635496</v>
      </c>
      <c r="E57" s="597">
        <v>14000000</v>
      </c>
      <c r="F57" s="597"/>
      <c r="G57" s="591">
        <f t="shared" si="1"/>
        <v>26398513</v>
      </c>
      <c r="H57" s="591">
        <f>'Ministries Breakdown'!G6825</f>
        <v>51335478.913115919</v>
      </c>
      <c r="I57" s="597">
        <f>'Ministries Breakdown'!G6826</f>
        <v>14000000</v>
      </c>
      <c r="J57" s="593">
        <f t="shared" si="2"/>
        <v>65335478.913115919</v>
      </c>
    </row>
    <row r="58" spans="1:10" ht="25.5">
      <c r="A58" s="589" t="s">
        <v>1962</v>
      </c>
      <c r="B58" s="590" t="s">
        <v>3275</v>
      </c>
      <c r="C58" s="591">
        <v>38444263</v>
      </c>
      <c r="D58" s="592">
        <f>SALARIES!P54</f>
        <v>36324764</v>
      </c>
      <c r="E58" s="597">
        <v>12500000</v>
      </c>
      <c r="F58" s="597"/>
      <c r="G58" s="591">
        <f t="shared" si="1"/>
        <v>50944263</v>
      </c>
      <c r="H58" s="591">
        <f>'Ministries Breakdown'!G6930</f>
        <v>56498154.20241531</v>
      </c>
      <c r="I58" s="597">
        <f>'Ministries Breakdown'!G6931</f>
        <v>7000000</v>
      </c>
      <c r="J58" s="593">
        <f t="shared" si="2"/>
        <v>63498154.20241531</v>
      </c>
    </row>
    <row r="59" spans="1:10">
      <c r="A59" s="589" t="s">
        <v>1941</v>
      </c>
      <c r="B59" s="590" t="s">
        <v>1664</v>
      </c>
      <c r="C59" s="591">
        <v>74489832.909610003</v>
      </c>
      <c r="D59" s="592">
        <f>SALARIES!P55</f>
        <v>48350964</v>
      </c>
      <c r="E59" s="591">
        <v>211100000</v>
      </c>
      <c r="F59" s="591">
        <f>'Ministries Breakdown'!I7121</f>
        <v>72630575</v>
      </c>
      <c r="G59" s="591">
        <f t="shared" si="1"/>
        <v>285589832.90961003</v>
      </c>
      <c r="H59" s="591">
        <f>'Ministries Breakdown'!G7087</f>
        <v>48861486.215565033</v>
      </c>
      <c r="I59" s="591">
        <f>'Ministries Breakdown'!G7088</f>
        <v>192600000</v>
      </c>
      <c r="J59" s="593">
        <f t="shared" si="2"/>
        <v>241461486.21556503</v>
      </c>
    </row>
    <row r="60" spans="1:10" ht="25.5">
      <c r="A60" s="589" t="s">
        <v>2592</v>
      </c>
      <c r="B60" s="590" t="s">
        <v>901</v>
      </c>
      <c r="C60" s="591">
        <v>14210948.789600005</v>
      </c>
      <c r="D60" s="592">
        <f>SALARIES!P56</f>
        <v>15956247</v>
      </c>
      <c r="E60" s="591">
        <v>212660000</v>
      </c>
      <c r="F60" s="591">
        <f>'Ministries Breakdown'!I7208</f>
        <v>4435000</v>
      </c>
      <c r="G60" s="591">
        <f t="shared" si="1"/>
        <v>226870948.78960001</v>
      </c>
      <c r="H60" s="591">
        <f>'Ministries Breakdown'!G7180</f>
        <v>20156789.520956326</v>
      </c>
      <c r="I60" s="591">
        <f>'Ministries Breakdown'!G7181</f>
        <v>18000000</v>
      </c>
      <c r="J60" s="593">
        <f t="shared" si="2"/>
        <v>38156789.520956323</v>
      </c>
    </row>
    <row r="61" spans="1:10">
      <c r="A61" s="589" t="s">
        <v>3584</v>
      </c>
      <c r="B61" s="595" t="s">
        <v>1942</v>
      </c>
      <c r="C61" s="591">
        <v>35061488</v>
      </c>
      <c r="D61" s="592">
        <f>SALARIES!P57</f>
        <v>34560297</v>
      </c>
      <c r="E61" s="591">
        <v>44600000</v>
      </c>
      <c r="F61" s="591">
        <f>'Ministries Breakdown'!I7344</f>
        <v>6627052</v>
      </c>
      <c r="G61" s="591">
        <f t="shared" si="1"/>
        <v>79661488</v>
      </c>
      <c r="H61" s="591">
        <f>'Ministries Breakdown'!G7317</f>
        <v>58213222.860697389</v>
      </c>
      <c r="I61" s="591">
        <f>'Ministries Breakdown'!G7318</f>
        <v>30200000</v>
      </c>
      <c r="J61" s="593">
        <f t="shared" si="2"/>
        <v>88413222.860697389</v>
      </c>
    </row>
    <row r="62" spans="1:10" ht="25.5">
      <c r="A62" s="589" t="s">
        <v>2592</v>
      </c>
      <c r="B62" s="595" t="s">
        <v>2774</v>
      </c>
      <c r="C62" s="591">
        <v>63866200</v>
      </c>
      <c r="D62" s="592">
        <f>SALARIES!P58</f>
        <v>58401054</v>
      </c>
      <c r="E62" s="591">
        <v>6250000</v>
      </c>
      <c r="F62" s="591">
        <f>'Ministries Breakdown'!H7467</f>
        <v>2268604.2199999997</v>
      </c>
      <c r="G62" s="591">
        <f t="shared" si="1"/>
        <v>70116200</v>
      </c>
      <c r="H62" s="591">
        <f>'Ministries Breakdown'!G7433</f>
        <v>58028268.183282554</v>
      </c>
      <c r="I62" s="591">
        <f>'Ministries Breakdown'!G7434</f>
        <v>6000000</v>
      </c>
      <c r="J62" s="593">
        <f t="shared" si="2"/>
        <v>64028268.183282554</v>
      </c>
    </row>
    <row r="63" spans="1:10" ht="38.25">
      <c r="A63" s="589" t="s">
        <v>382</v>
      </c>
      <c r="B63" s="595" t="s">
        <v>3723</v>
      </c>
      <c r="C63" s="591">
        <v>140346156.805525</v>
      </c>
      <c r="D63" s="592">
        <f>SALARIES!P59</f>
        <v>269203969</v>
      </c>
      <c r="E63" s="591">
        <v>222000000</v>
      </c>
      <c r="F63" s="591">
        <f>'Ministries Breakdown'!I7561</f>
        <v>182300000</v>
      </c>
      <c r="G63" s="591">
        <f t="shared" si="1"/>
        <v>362346156.805525</v>
      </c>
      <c r="H63" s="591">
        <f>'Ministries Breakdown'!G7532</f>
        <v>315338384.39533263</v>
      </c>
      <c r="I63" s="591">
        <f>'Ministries Breakdown'!G7533</f>
        <v>196000000</v>
      </c>
      <c r="J63" s="593">
        <f t="shared" si="2"/>
        <v>511338384.39533263</v>
      </c>
    </row>
    <row r="64" spans="1:10" ht="25.5">
      <c r="A64" s="589">
        <v>425</v>
      </c>
      <c r="B64" s="595" t="s">
        <v>2619</v>
      </c>
      <c r="C64" s="591">
        <v>80345111</v>
      </c>
      <c r="D64" s="592">
        <f>SALARIES!P60</f>
        <v>77091177</v>
      </c>
      <c r="E64" s="591">
        <v>70800000</v>
      </c>
      <c r="F64" s="591"/>
      <c r="G64" s="591">
        <f t="shared" si="1"/>
        <v>151145111</v>
      </c>
      <c r="H64" s="591">
        <f>'Ministries Breakdown'!G7680</f>
        <v>95267795.710760951</v>
      </c>
      <c r="I64" s="591">
        <f>'Ministries Breakdown'!G7681</f>
        <v>59200000</v>
      </c>
      <c r="J64" s="593">
        <f t="shared" si="2"/>
        <v>154467795.71076095</v>
      </c>
    </row>
    <row r="65" spans="1:10">
      <c r="A65" s="589" t="s">
        <v>2620</v>
      </c>
      <c r="B65" s="590" t="s">
        <v>2664</v>
      </c>
      <c r="C65" s="591">
        <v>38454898.265379995</v>
      </c>
      <c r="D65" s="592">
        <f>SALARIES!P61</f>
        <v>38163708</v>
      </c>
      <c r="E65" s="591">
        <v>8600000</v>
      </c>
      <c r="F65" s="591"/>
      <c r="G65" s="591">
        <f t="shared" si="1"/>
        <v>47054898.265379995</v>
      </c>
      <c r="H65" s="591">
        <f>'Ministries Breakdown'!G7783</f>
        <v>63041645.227834277</v>
      </c>
      <c r="I65" s="591">
        <f>'Ministries Breakdown'!G7784</f>
        <v>8000000</v>
      </c>
      <c r="J65" s="593">
        <f t="shared" si="2"/>
        <v>71041645.227834284</v>
      </c>
    </row>
    <row r="66" spans="1:10" ht="25.5">
      <c r="A66" s="589" t="s">
        <v>1234</v>
      </c>
      <c r="B66" s="590" t="s">
        <v>4011</v>
      </c>
      <c r="C66" s="591">
        <v>4244076.6045599999</v>
      </c>
      <c r="D66" s="592">
        <f>SALARIES!P62</f>
        <v>9625134</v>
      </c>
      <c r="E66" s="591">
        <v>12000000</v>
      </c>
      <c r="F66" s="591"/>
      <c r="G66" s="591">
        <f t="shared" si="1"/>
        <v>16244076.604559999</v>
      </c>
      <c r="H66" s="591">
        <f>'Ministries Breakdown'!G7844</f>
        <v>6340323.6057403795</v>
      </c>
      <c r="I66" s="591">
        <f>'Ministries Breakdown'!G7845</f>
        <v>5000000</v>
      </c>
      <c r="J66" s="593">
        <f t="shared" si="2"/>
        <v>11340323.60574038</v>
      </c>
    </row>
    <row r="67" spans="1:10" ht="25.5">
      <c r="A67" s="589" t="s">
        <v>4012</v>
      </c>
      <c r="B67" s="590" t="s">
        <v>1973</v>
      </c>
      <c r="C67" s="591">
        <v>42452815.236599982</v>
      </c>
      <c r="D67" s="592">
        <f>SALARIES!P63</f>
        <v>50690710</v>
      </c>
      <c r="E67" s="591">
        <v>118500000</v>
      </c>
      <c r="F67" s="591"/>
      <c r="G67" s="591">
        <f t="shared" si="1"/>
        <v>160952815.23659998</v>
      </c>
      <c r="H67" s="591">
        <f>'Ministries Breakdown'!G7981</f>
        <v>58953926.115802839</v>
      </c>
      <c r="I67" s="591">
        <f>'Ministries Breakdown'!G7982</f>
        <v>110000000</v>
      </c>
      <c r="J67" s="593">
        <f t="shared" si="2"/>
        <v>168953926.11580282</v>
      </c>
    </row>
    <row r="68" spans="1:10">
      <c r="A68" s="589" t="s">
        <v>1974</v>
      </c>
      <c r="B68" s="590" t="s">
        <v>1975</v>
      </c>
      <c r="C68" s="591">
        <v>9017629.6619200017</v>
      </c>
      <c r="D68" s="592">
        <f>SALARIES!P64</f>
        <v>13129829</v>
      </c>
      <c r="E68" s="591">
        <v>7950000</v>
      </c>
      <c r="F68" s="591"/>
      <c r="G68" s="591">
        <f t="shared" si="1"/>
        <v>16967629.661920004</v>
      </c>
      <c r="H68" s="591">
        <f>'Ministries Breakdown'!G8064</f>
        <v>8559760.2207002658</v>
      </c>
      <c r="I68" s="591">
        <f>'Ministries Breakdown'!G8065</f>
        <v>17850000</v>
      </c>
      <c r="J68" s="593">
        <f>I68+H68</f>
        <v>26409760.220700264</v>
      </c>
    </row>
    <row r="69" spans="1:10" ht="36">
      <c r="A69" s="589" t="s">
        <v>2592</v>
      </c>
      <c r="B69" s="596" t="s">
        <v>4248</v>
      </c>
      <c r="C69" s="591">
        <v>163382050</v>
      </c>
      <c r="D69" s="592">
        <f>SALARIES!P65</f>
        <v>162091369</v>
      </c>
      <c r="E69" s="591">
        <v>52100000</v>
      </c>
      <c r="F69" s="591"/>
      <c r="G69" s="591">
        <f t="shared" ref="G69:G77" si="3">E69+C69</f>
        <v>215482050</v>
      </c>
      <c r="H69" s="591">
        <f>'Ministries Breakdown'!G8197</f>
        <v>231776058.46198893</v>
      </c>
      <c r="I69" s="591">
        <f>'Ministries Breakdown'!G8198</f>
        <v>43500000</v>
      </c>
      <c r="J69" s="593">
        <f>I69+H69</f>
        <v>275276058.46198893</v>
      </c>
    </row>
    <row r="70" spans="1:10" ht="25.5">
      <c r="A70" s="589" t="s">
        <v>382</v>
      </c>
      <c r="B70" s="590" t="s">
        <v>965</v>
      </c>
      <c r="C70" s="591">
        <v>22593438.942000009</v>
      </c>
      <c r="D70" s="592">
        <f>SALARIES!P66</f>
        <v>33431168</v>
      </c>
      <c r="E70" s="591">
        <v>24700000</v>
      </c>
      <c r="F70" s="591">
        <f>'Ministries Breakdown'!I8339</f>
        <v>7340500</v>
      </c>
      <c r="G70" s="591">
        <f t="shared" si="3"/>
        <v>47293438.942000009</v>
      </c>
      <c r="H70" s="591">
        <f>'Ministries Breakdown'!G8305</f>
        <v>27652721.59526208</v>
      </c>
      <c r="I70" s="591">
        <f>'Ministries Breakdown'!G8306</f>
        <v>24400000</v>
      </c>
      <c r="J70" s="593">
        <f>I70+H70</f>
        <v>52052721.59526208</v>
      </c>
    </row>
    <row r="71" spans="1:10" ht="25.5">
      <c r="A71" s="589" t="s">
        <v>1962</v>
      </c>
      <c r="B71" s="590" t="s">
        <v>2408</v>
      </c>
      <c r="C71" s="591">
        <v>6666107</v>
      </c>
      <c r="D71" s="592">
        <f>SALARIES!P67</f>
        <v>6383007</v>
      </c>
      <c r="E71" s="591">
        <v>7400000</v>
      </c>
      <c r="F71" s="591">
        <f>'Ministries Breakdown'!I8412</f>
        <v>3362344.4</v>
      </c>
      <c r="G71" s="591">
        <f t="shared" si="3"/>
        <v>14066107</v>
      </c>
      <c r="H71" s="591">
        <f>'Ministries Breakdown'!G8386</f>
        <v>7794601.0949402647</v>
      </c>
      <c r="I71" s="591">
        <f>'Ministries Breakdown'!G8387</f>
        <v>8900000</v>
      </c>
      <c r="J71" s="593">
        <f>I71+H71</f>
        <v>16694601.094940264</v>
      </c>
    </row>
    <row r="72" spans="1:10">
      <c r="A72" s="589" t="s">
        <v>1834</v>
      </c>
      <c r="B72" s="590" t="s">
        <v>2591</v>
      </c>
      <c r="C72" s="591">
        <v>3362423.1028</v>
      </c>
      <c r="D72" s="592">
        <f>SALARIES!P68</f>
        <v>3547909</v>
      </c>
      <c r="E72" s="591">
        <v>8600000</v>
      </c>
      <c r="F72" s="591">
        <f>'Ministries Breakdown'!I8480</f>
        <v>2850000</v>
      </c>
      <c r="G72" s="591">
        <f t="shared" si="3"/>
        <v>11962423.1028</v>
      </c>
      <c r="H72" s="591">
        <f>'Ministries Breakdown'!G8455</f>
        <v>4428403.837073694</v>
      </c>
      <c r="I72" s="591">
        <f>'Ministries Breakdown'!G8456</f>
        <v>6500000</v>
      </c>
      <c r="J72" s="593">
        <f>I72+H72</f>
        <v>10928403.837073695</v>
      </c>
    </row>
    <row r="73" spans="1:10">
      <c r="A73" s="598"/>
      <c r="B73" s="598" t="s">
        <v>2593</v>
      </c>
      <c r="C73" s="314">
        <f t="shared" ref="C73:J73" si="4">SUM(C4:C72)</f>
        <v>9423856034.6420727</v>
      </c>
      <c r="D73" s="314">
        <f t="shared" si="4"/>
        <v>7605454254</v>
      </c>
      <c r="E73" s="314">
        <f t="shared" si="4"/>
        <v>12439056999.75</v>
      </c>
      <c r="F73" s="314">
        <f t="shared" si="4"/>
        <v>3820451108.7800002</v>
      </c>
      <c r="G73" s="314">
        <f t="shared" si="4"/>
        <v>21862913034.392067</v>
      </c>
      <c r="H73" s="314">
        <f t="shared" si="4"/>
        <v>7979567291.0978384</v>
      </c>
      <c r="I73" s="314">
        <f t="shared" si="4"/>
        <v>11218600000</v>
      </c>
      <c r="J73" s="599">
        <f t="shared" si="4"/>
        <v>19198167291.097839</v>
      </c>
    </row>
    <row r="74" spans="1:10" ht="25.5">
      <c r="A74" s="590" t="s">
        <v>2594</v>
      </c>
      <c r="B74" s="590" t="s">
        <v>1959</v>
      </c>
      <c r="C74" s="600"/>
      <c r="D74" s="600"/>
      <c r="E74" s="591">
        <f>CRF!C267</f>
        <v>5304968503.9174995</v>
      </c>
      <c r="F74" s="591"/>
      <c r="G74" s="591">
        <f t="shared" si="3"/>
        <v>5304968503.9174995</v>
      </c>
      <c r="H74" s="591"/>
      <c r="I74" s="310">
        <f>CRF!F267</f>
        <v>3719178844.0775003</v>
      </c>
      <c r="J74" s="601">
        <f>SUM(I74+H74)</f>
        <v>3719178844.0775003</v>
      </c>
    </row>
    <row r="75" spans="1:10" ht="25.5">
      <c r="A75" s="590" t="s">
        <v>1960</v>
      </c>
      <c r="B75" s="590" t="s">
        <v>1827</v>
      </c>
      <c r="C75" s="600"/>
      <c r="D75" s="600"/>
      <c r="E75" s="591">
        <f>CRF!C294</f>
        <v>9319004297</v>
      </c>
      <c r="F75" s="591">
        <f>CRF!G278</f>
        <v>21300000000</v>
      </c>
      <c r="G75" s="591">
        <f t="shared" si="3"/>
        <v>9319004297</v>
      </c>
      <c r="H75" s="591"/>
      <c r="I75" s="310">
        <f>CRF!F294</f>
        <v>4265987590.0999999</v>
      </c>
      <c r="J75" s="601">
        <f>SUM(I75+H75)</f>
        <v>4265987590.0999999</v>
      </c>
    </row>
    <row r="76" spans="1:10" ht="25.5">
      <c r="A76" s="590" t="s">
        <v>1828</v>
      </c>
      <c r="B76" s="590" t="s">
        <v>723</v>
      </c>
      <c r="C76" s="600"/>
      <c r="D76" s="600"/>
      <c r="E76" s="591">
        <v>9985867167.9268723</v>
      </c>
      <c r="F76" s="591"/>
      <c r="G76" s="591">
        <f t="shared" si="3"/>
        <v>9985867167.9268723</v>
      </c>
      <c r="H76" s="591"/>
      <c r="I76" s="310">
        <f>DIST!D25</f>
        <v>10968317167.994667</v>
      </c>
      <c r="J76" s="601">
        <f>SUM(I76+H76)</f>
        <v>10968317167.994667</v>
      </c>
    </row>
    <row r="77" spans="1:10" ht="25.5">
      <c r="A77" s="590" t="s">
        <v>724</v>
      </c>
      <c r="B77" s="590" t="s">
        <v>898</v>
      </c>
      <c r="C77" s="591">
        <v>8491521709</v>
      </c>
      <c r="D77" s="591">
        <v>8349588805</v>
      </c>
      <c r="E77" s="591">
        <v>3015493750</v>
      </c>
      <c r="F77" s="591">
        <f>OVHC!P160</f>
        <v>459080000</v>
      </c>
      <c r="G77" s="591">
        <f t="shared" si="3"/>
        <v>11507015459</v>
      </c>
      <c r="H77" s="591">
        <f>Parastatals!D83</f>
        <v>9558417605.670002</v>
      </c>
      <c r="I77" s="310">
        <f>Parastatals!E83</f>
        <v>2455025509</v>
      </c>
      <c r="J77" s="601">
        <f>SUM(I77+H77)</f>
        <v>12013443114.670002</v>
      </c>
    </row>
    <row r="78" spans="1:10">
      <c r="A78" s="602"/>
      <c r="B78" s="603" t="s">
        <v>1684</v>
      </c>
      <c r="C78" s="604">
        <f>SUM(C74:C77)+C73</f>
        <v>17915377743.642075</v>
      </c>
      <c r="D78" s="604">
        <f>SUM(D74:D77)+D73</f>
        <v>15955043059</v>
      </c>
      <c r="E78" s="604">
        <f>SUM(E74:E77)+E73</f>
        <v>40064390718.594376</v>
      </c>
      <c r="F78" s="604">
        <f>SUM(F74:F77)+F73</f>
        <v>25579531108.779999</v>
      </c>
      <c r="G78" s="604">
        <f>SUM(G74:G77)+G73+1000000</f>
        <v>57980768462.236443</v>
      </c>
      <c r="H78" s="604">
        <f>SUM(H73:H77)</f>
        <v>17537984896.767841</v>
      </c>
      <c r="I78" s="604">
        <f>SUM(I73:I77)</f>
        <v>32627109111.172165</v>
      </c>
      <c r="J78" s="605">
        <f>J73+J74+J75+J76+J77</f>
        <v>50165094007.940002</v>
      </c>
    </row>
    <row r="80" spans="1:10">
      <c r="C80" s="584">
        <v>9423856035</v>
      </c>
      <c r="G80" s="584">
        <v>57980768462</v>
      </c>
      <c r="I80" s="606"/>
      <c r="J80" s="607"/>
    </row>
    <row r="81" spans="3:10">
      <c r="C81" s="608">
        <f>C80-C73</f>
        <v>0.35792732238769531</v>
      </c>
      <c r="D81" s="608"/>
      <c r="I81" s="609">
        <f>I77+I73</f>
        <v>13673625509</v>
      </c>
      <c r="J81" s="608"/>
    </row>
    <row r="82" spans="3:10">
      <c r="G82" s="608">
        <f>G80-G78</f>
        <v>-0.23644256591796875</v>
      </c>
      <c r="J82" s="610"/>
    </row>
    <row r="83" spans="3:10">
      <c r="J83" s="608"/>
    </row>
    <row r="84" spans="3:10">
      <c r="J84" s="608"/>
    </row>
    <row r="87" spans="3:10">
      <c r="J87" s="608"/>
    </row>
    <row r="89" spans="3:10">
      <c r="J89" s="608"/>
    </row>
  </sheetData>
  <mergeCells count="1">
    <mergeCell ref="A2:J2"/>
  </mergeCells>
  <phoneticPr fontId="22" type="noConversion"/>
  <pageMargins left="0.35433070866141736" right="0.19685039370078741" top="0.31496062992125984" bottom="0.59055118110236227" header="0.31496062992125984" footer="0.31496062992125984"/>
  <pageSetup paperSize="9" scale="105" firstPageNumber="18" orientation="landscape" useFirstPageNumber="1" r:id="rId1"/>
  <headerFooter alignWithMargins="0">
    <oddFooter>&amp;C&amp;P</oddFooter>
  </headerFooter>
  <ignoredErrors>
    <ignoredError sqref="A65:A67 A76:A7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V8480"/>
  <sheetViews>
    <sheetView tabSelected="1" zoomScaleNormal="100" zoomScaleSheetLayoutView="100" workbookViewId="0">
      <selection activeCell="F1" sqref="F1"/>
    </sheetView>
  </sheetViews>
  <sheetFormatPr defaultColWidth="8.42578125" defaultRowHeight="12.75"/>
  <cols>
    <col min="1" max="1" width="5.85546875" style="62" customWidth="1"/>
    <col min="2" max="2" width="29.5703125" style="62" customWidth="1"/>
    <col min="3" max="3" width="14.28515625" style="62" customWidth="1"/>
    <col min="4" max="6" width="14.28515625" style="76" customWidth="1"/>
    <col min="7" max="9" width="14.42578125" style="76" customWidth="1"/>
    <col min="10" max="10" width="14.42578125" style="62" customWidth="1"/>
    <col min="11" max="11" width="14.7109375" style="62" customWidth="1"/>
    <col min="12" max="12" width="13.85546875" style="62" customWidth="1"/>
    <col min="13" max="13" width="11.28515625" style="62" customWidth="1"/>
    <col min="14" max="14" width="11.42578125" style="62" bestFit="1" customWidth="1"/>
    <col min="15" max="15" width="12" style="62" bestFit="1" customWidth="1"/>
    <col min="16" max="16" width="8.42578125" style="62"/>
    <col min="17" max="17" width="13.42578125" style="62" bestFit="1" customWidth="1"/>
    <col min="18" max="16384" width="8.42578125" style="62"/>
  </cols>
  <sheetData>
    <row r="1" spans="1:13">
      <c r="A1" s="60"/>
      <c r="B1" s="60"/>
      <c r="C1" s="242"/>
      <c r="D1" s="9" t="s">
        <v>5434</v>
      </c>
      <c r="E1" s="9"/>
      <c r="F1" s="61"/>
      <c r="G1" s="61"/>
      <c r="H1" s="61"/>
      <c r="I1" s="61"/>
      <c r="J1" s="61"/>
      <c r="K1" s="61"/>
    </row>
    <row r="2" spans="1:13">
      <c r="A2" s="60"/>
      <c r="B2" s="60"/>
      <c r="C2" s="242"/>
      <c r="D2" s="9" t="s">
        <v>2773</v>
      </c>
      <c r="E2" s="9"/>
      <c r="F2" s="61"/>
      <c r="G2" s="61"/>
      <c r="H2" s="61"/>
      <c r="I2" s="61"/>
      <c r="J2" s="61"/>
      <c r="K2" s="61"/>
    </row>
    <row r="3" spans="1:13">
      <c r="A3" s="60"/>
      <c r="B3" s="60"/>
      <c r="C3" s="243" t="s">
        <v>717</v>
      </c>
      <c r="D3" s="9" t="s">
        <v>3592</v>
      </c>
      <c r="E3" s="9"/>
      <c r="F3" s="61"/>
      <c r="G3" s="61"/>
      <c r="H3" s="61"/>
      <c r="I3" s="61"/>
      <c r="J3" s="61"/>
      <c r="K3" s="61"/>
    </row>
    <row r="4" spans="1:13" ht="13.5" thickBot="1">
      <c r="A4" s="60"/>
      <c r="B4" s="60"/>
      <c r="C4" s="243" t="s">
        <v>718</v>
      </c>
      <c r="D4" s="9" t="s">
        <v>719</v>
      </c>
      <c r="E4" s="9"/>
      <c r="F4" s="61"/>
      <c r="G4" s="61"/>
      <c r="H4" s="61"/>
      <c r="I4" s="61"/>
      <c r="J4" s="61"/>
      <c r="K4" s="61"/>
    </row>
    <row r="5" spans="1:13" ht="15.75" customHeight="1" thickTop="1">
      <c r="A5" s="1047" t="s">
        <v>2791</v>
      </c>
      <c r="B5" s="1049" t="s">
        <v>4126</v>
      </c>
      <c r="C5" s="1049" t="s">
        <v>854</v>
      </c>
      <c r="D5" s="1040" t="s">
        <v>4127</v>
      </c>
      <c r="E5" s="1041"/>
      <c r="F5" s="1041"/>
      <c r="G5" s="1040" t="s">
        <v>904</v>
      </c>
      <c r="H5" s="1041"/>
      <c r="I5" s="1042"/>
      <c r="J5" s="1035" t="s">
        <v>855</v>
      </c>
      <c r="K5" s="389" t="s">
        <v>4495</v>
      </c>
      <c r="L5" s="62" t="s">
        <v>4496</v>
      </c>
    </row>
    <row r="6" spans="1:13" ht="26.25" thickBot="1">
      <c r="A6" s="1048"/>
      <c r="B6" s="1050"/>
      <c r="C6" s="1050"/>
      <c r="D6" s="285" t="s">
        <v>5505</v>
      </c>
      <c r="E6" s="285" t="s">
        <v>4485</v>
      </c>
      <c r="F6" s="285" t="s">
        <v>4486</v>
      </c>
      <c r="G6" s="300" t="s">
        <v>4487</v>
      </c>
      <c r="H6" s="299" t="s">
        <v>4488</v>
      </c>
      <c r="I6" s="300" t="s">
        <v>4489</v>
      </c>
      <c r="J6" s="1036"/>
      <c r="K6" s="709">
        <f>100000000+71000000+24238237+413334700</f>
        <v>608572937</v>
      </c>
      <c r="L6" s="78">
        <f>13000000+8000000+19729500+3055000+3500000+1164000+4244000+64788090+17875000+18827000+5191220+1554600+3477500+4500000+17248000+1500000+35563000</f>
        <v>223216910</v>
      </c>
      <c r="M6" s="76"/>
    </row>
    <row r="7" spans="1:13" ht="13.5" thickTop="1">
      <c r="A7" s="63"/>
      <c r="B7" s="64" t="s">
        <v>1893</v>
      </c>
      <c r="C7" s="65"/>
      <c r="D7" s="66"/>
      <c r="E7" s="66"/>
      <c r="F7" s="66"/>
      <c r="G7" s="66"/>
      <c r="H7" s="66"/>
      <c r="I7" s="66"/>
      <c r="J7" s="298"/>
      <c r="K7" s="239"/>
    </row>
    <row r="8" spans="1:13">
      <c r="A8" s="63">
        <v>1</v>
      </c>
      <c r="B8" s="65" t="s">
        <v>859</v>
      </c>
      <c r="C8" s="65">
        <v>6</v>
      </c>
      <c r="D8" s="66">
        <v>10</v>
      </c>
      <c r="E8" s="66">
        <v>10</v>
      </c>
      <c r="F8" s="66">
        <v>10</v>
      </c>
      <c r="G8" s="66">
        <v>7</v>
      </c>
      <c r="H8" s="66">
        <v>10</v>
      </c>
      <c r="I8" s="66">
        <v>7</v>
      </c>
      <c r="J8" s="710">
        <f>(VLOOKUP($C8,[2]Sheet1!$A$2:$P$18,$M8+1)/12)*12*D8</f>
        <v>2380993.7893036497</v>
      </c>
      <c r="K8" s="711"/>
      <c r="M8" s="62">
        <f>IF(C8&gt;6,3,5)</f>
        <v>5</v>
      </c>
    </row>
    <row r="9" spans="1:13">
      <c r="A9" s="63">
        <f t="shared" ref="A9:A63" si="0">+A8+1</f>
        <v>2</v>
      </c>
      <c r="B9" s="65" t="s">
        <v>1880</v>
      </c>
      <c r="C9" s="65">
        <v>5</v>
      </c>
      <c r="D9" s="66">
        <v>5</v>
      </c>
      <c r="E9" s="66">
        <v>5</v>
      </c>
      <c r="F9" s="66">
        <v>5</v>
      </c>
      <c r="G9" s="66">
        <v>5</v>
      </c>
      <c r="H9" s="66">
        <v>5</v>
      </c>
      <c r="I9" s="66">
        <v>5</v>
      </c>
      <c r="J9" s="710">
        <f>(VLOOKUP($C9,[2]Sheet1!$A$2:$P$18,$M9+1)/12)*12*D9</f>
        <v>1147848.8946518251</v>
      </c>
      <c r="K9" s="711"/>
      <c r="M9" s="62">
        <f t="shared" ref="M9:M73" si="1">IF(C9&gt;6,3,5)</f>
        <v>5</v>
      </c>
    </row>
    <row r="10" spans="1:13">
      <c r="A10" s="63">
        <f t="shared" si="0"/>
        <v>3</v>
      </c>
      <c r="B10" s="65" t="s">
        <v>1881</v>
      </c>
      <c r="C10" s="65">
        <v>4</v>
      </c>
      <c r="D10" s="66">
        <v>10</v>
      </c>
      <c r="E10" s="66">
        <v>10</v>
      </c>
      <c r="F10" s="66">
        <v>10</v>
      </c>
      <c r="G10" s="66">
        <v>8</v>
      </c>
      <c r="H10" s="66">
        <v>10</v>
      </c>
      <c r="I10" s="66">
        <v>8</v>
      </c>
      <c r="J10" s="710">
        <f>(VLOOKUP($C10,[2]Sheet1!$A$2:$P$18,$M10+1)/12)*12*D10</f>
        <v>2245429.7893036501</v>
      </c>
      <c r="K10" s="711"/>
      <c r="M10" s="62">
        <f t="shared" si="1"/>
        <v>5</v>
      </c>
    </row>
    <row r="11" spans="1:13">
      <c r="A11" s="63">
        <f t="shared" si="0"/>
        <v>4</v>
      </c>
      <c r="B11" s="65" t="s">
        <v>2920</v>
      </c>
      <c r="C11" s="65">
        <v>7</v>
      </c>
      <c r="D11" s="66">
        <v>1</v>
      </c>
      <c r="E11" s="66">
        <v>1</v>
      </c>
      <c r="F11" s="66">
        <v>1</v>
      </c>
      <c r="G11" s="66">
        <v>1</v>
      </c>
      <c r="H11" s="66">
        <v>1</v>
      </c>
      <c r="I11" s="66">
        <v>1</v>
      </c>
      <c r="J11" s="710">
        <f>(VLOOKUP($C11,[2]Sheet1!$A$2:$P$18,$M11+1)/12)*12*D11</f>
        <v>307706.70240000007</v>
      </c>
      <c r="K11" s="711"/>
      <c r="M11" s="62">
        <f t="shared" si="1"/>
        <v>3</v>
      </c>
    </row>
    <row r="12" spans="1:13">
      <c r="A12" s="63">
        <f t="shared" si="0"/>
        <v>5</v>
      </c>
      <c r="B12" s="65" t="s">
        <v>505</v>
      </c>
      <c r="C12" s="65">
        <v>4</v>
      </c>
      <c r="D12" s="66">
        <v>2</v>
      </c>
      <c r="E12" s="66">
        <v>2</v>
      </c>
      <c r="F12" s="66">
        <v>2</v>
      </c>
      <c r="G12" s="66">
        <v>2</v>
      </c>
      <c r="H12" s="66">
        <v>2</v>
      </c>
      <c r="I12" s="66">
        <v>2</v>
      </c>
      <c r="J12" s="710">
        <f>(VLOOKUP($C12,[2]Sheet1!$A$2:$P$18,$M12+1)/12)*12*D12</f>
        <v>449085.95786073001</v>
      </c>
      <c r="K12" s="711"/>
      <c r="M12" s="62">
        <f t="shared" si="1"/>
        <v>5</v>
      </c>
    </row>
    <row r="13" spans="1:13">
      <c r="A13" s="63">
        <f t="shared" si="0"/>
        <v>6</v>
      </c>
      <c r="B13" s="65" t="s">
        <v>2185</v>
      </c>
      <c r="C13" s="65">
        <v>3</v>
      </c>
      <c r="D13" s="66">
        <v>1</v>
      </c>
      <c r="E13" s="66">
        <v>1</v>
      </c>
      <c r="F13" s="66">
        <v>1</v>
      </c>
      <c r="G13" s="66">
        <v>1</v>
      </c>
      <c r="H13" s="66">
        <v>1</v>
      </c>
      <c r="I13" s="66">
        <v>1</v>
      </c>
      <c r="J13" s="710">
        <f>(VLOOKUP($C13,[2]Sheet1!$A$2:$P$18,$M13+1)/12)*12*D13</f>
        <v>219336.17893036499</v>
      </c>
      <c r="K13" s="711"/>
      <c r="M13" s="62">
        <f t="shared" si="1"/>
        <v>5</v>
      </c>
    </row>
    <row r="14" spans="1:13">
      <c r="A14" s="63">
        <f t="shared" si="0"/>
        <v>7</v>
      </c>
      <c r="B14" s="65" t="s">
        <v>2186</v>
      </c>
      <c r="C14" s="65">
        <v>3</v>
      </c>
      <c r="D14" s="66">
        <v>1</v>
      </c>
      <c r="E14" s="66">
        <v>1</v>
      </c>
      <c r="F14" s="66">
        <v>1</v>
      </c>
      <c r="G14" s="66">
        <v>1</v>
      </c>
      <c r="H14" s="66">
        <v>1</v>
      </c>
      <c r="I14" s="66">
        <v>1</v>
      </c>
      <c r="J14" s="710">
        <f>(VLOOKUP($C14,[2]Sheet1!$A$2:$P$18,$M14+1)/12)*12*D14</f>
        <v>219336.17893036499</v>
      </c>
      <c r="K14" s="711"/>
      <c r="M14" s="62">
        <f t="shared" si="1"/>
        <v>5</v>
      </c>
    </row>
    <row r="15" spans="1:13">
      <c r="A15" s="63">
        <f t="shared" si="0"/>
        <v>8</v>
      </c>
      <c r="B15" s="65" t="s">
        <v>2179</v>
      </c>
      <c r="C15" s="65">
        <v>5</v>
      </c>
      <c r="D15" s="66">
        <v>1</v>
      </c>
      <c r="E15" s="66">
        <v>1</v>
      </c>
      <c r="F15" s="66">
        <v>1</v>
      </c>
      <c r="G15" s="66">
        <v>1</v>
      </c>
      <c r="H15" s="66">
        <v>1</v>
      </c>
      <c r="I15" s="66">
        <v>1</v>
      </c>
      <c r="J15" s="710">
        <f>(VLOOKUP($C15,[2]Sheet1!$A$2:$P$18,$M15+1)/12)*12*D15</f>
        <v>229569.77893036499</v>
      </c>
      <c r="K15" s="711"/>
      <c r="M15" s="62">
        <f t="shared" si="1"/>
        <v>5</v>
      </c>
    </row>
    <row r="16" spans="1:13">
      <c r="A16" s="63">
        <f t="shared" si="0"/>
        <v>9</v>
      </c>
      <c r="B16" s="65" t="s">
        <v>2542</v>
      </c>
      <c r="C16" s="65">
        <v>4</v>
      </c>
      <c r="D16" s="66">
        <v>8</v>
      </c>
      <c r="E16" s="66">
        <v>8</v>
      </c>
      <c r="F16" s="66">
        <v>8</v>
      </c>
      <c r="G16" s="66">
        <v>1</v>
      </c>
      <c r="H16" s="66">
        <v>8</v>
      </c>
      <c r="I16" s="66">
        <v>1</v>
      </c>
      <c r="J16" s="710">
        <f>(VLOOKUP($C16,[2]Sheet1!$A$2:$P$18,$M16+1)/12)*12*D16</f>
        <v>1796343.83144292</v>
      </c>
      <c r="K16" s="711"/>
      <c r="M16" s="62">
        <f t="shared" si="1"/>
        <v>5</v>
      </c>
    </row>
    <row r="17" spans="1:13">
      <c r="A17" s="63">
        <f t="shared" si="0"/>
        <v>10</v>
      </c>
      <c r="B17" s="65" t="s">
        <v>2543</v>
      </c>
      <c r="C17" s="65">
        <v>3</v>
      </c>
      <c r="D17" s="66">
        <v>12</v>
      </c>
      <c r="E17" s="66">
        <v>12</v>
      </c>
      <c r="F17" s="66">
        <v>12</v>
      </c>
      <c r="G17" s="66">
        <v>8</v>
      </c>
      <c r="H17" s="66">
        <v>12</v>
      </c>
      <c r="I17" s="66">
        <v>8</v>
      </c>
      <c r="J17" s="710">
        <f>(VLOOKUP($C17,[2]Sheet1!$A$2:$P$18,$M17+1)/12)*12*D17</f>
        <v>2632034.1471643797</v>
      </c>
      <c r="K17" s="711"/>
      <c r="M17" s="62">
        <f t="shared" si="1"/>
        <v>5</v>
      </c>
    </row>
    <row r="18" spans="1:13">
      <c r="A18" s="63">
        <f t="shared" si="0"/>
        <v>11</v>
      </c>
      <c r="B18" s="65" t="s">
        <v>2543</v>
      </c>
      <c r="C18" s="65">
        <v>2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710">
        <f>(VLOOKUP($C18,[2]Sheet1!$A$2:$P$18,$M18+1)/12)*12*D18</f>
        <v>0</v>
      </c>
      <c r="K18" s="711"/>
      <c r="M18" s="62">
        <f t="shared" si="1"/>
        <v>5</v>
      </c>
    </row>
    <row r="19" spans="1:13">
      <c r="A19" s="63">
        <f t="shared" si="0"/>
        <v>12</v>
      </c>
      <c r="B19" s="65" t="s">
        <v>2544</v>
      </c>
      <c r="C19" s="65">
        <v>4</v>
      </c>
      <c r="D19" s="66">
        <v>1</v>
      </c>
      <c r="E19" s="66">
        <v>1</v>
      </c>
      <c r="F19" s="66">
        <v>1</v>
      </c>
      <c r="G19" s="66">
        <v>1</v>
      </c>
      <c r="H19" s="66">
        <v>1</v>
      </c>
      <c r="I19" s="66">
        <v>1</v>
      </c>
      <c r="J19" s="710">
        <f>(VLOOKUP($C19,[2]Sheet1!$A$2:$P$18,$M19+1)/12)*12*D19</f>
        <v>224542.978930365</v>
      </c>
      <c r="K19" s="711"/>
      <c r="M19" s="62">
        <f t="shared" si="1"/>
        <v>5</v>
      </c>
    </row>
    <row r="20" spans="1:13">
      <c r="A20" s="63">
        <f t="shared" si="0"/>
        <v>13</v>
      </c>
      <c r="B20" s="65" t="s">
        <v>2181</v>
      </c>
      <c r="C20" s="65">
        <v>3</v>
      </c>
      <c r="D20" s="66">
        <v>25</v>
      </c>
      <c r="E20" s="66">
        <v>25</v>
      </c>
      <c r="F20" s="66">
        <v>25</v>
      </c>
      <c r="G20" s="66">
        <v>19</v>
      </c>
      <c r="H20" s="66">
        <v>25</v>
      </c>
      <c r="I20" s="66">
        <v>19</v>
      </c>
      <c r="J20" s="710">
        <f>(VLOOKUP($C20,[2]Sheet1!$A$2:$P$18,$M20+1)/12)*12*D20</f>
        <v>5483404.4732591249</v>
      </c>
      <c r="K20" s="711"/>
      <c r="M20" s="62">
        <f t="shared" si="1"/>
        <v>5</v>
      </c>
    </row>
    <row r="21" spans="1:13">
      <c r="A21" s="63">
        <f t="shared" si="0"/>
        <v>14</v>
      </c>
      <c r="B21" s="65" t="s">
        <v>3672</v>
      </c>
      <c r="C21" s="65">
        <v>2</v>
      </c>
      <c r="D21" s="66">
        <v>20</v>
      </c>
      <c r="E21" s="66">
        <v>20</v>
      </c>
      <c r="F21" s="66">
        <v>20</v>
      </c>
      <c r="G21" s="66">
        <v>20</v>
      </c>
      <c r="H21" s="66">
        <v>20</v>
      </c>
      <c r="I21" s="66">
        <v>20</v>
      </c>
      <c r="J21" s="710">
        <f>(VLOOKUP($C21,[2]Sheet1!$A$2:$P$18,$M21+1)/12)*12*D21</f>
        <v>4293147.5786073003</v>
      </c>
      <c r="K21" s="711"/>
      <c r="M21" s="62">
        <f t="shared" si="1"/>
        <v>5</v>
      </c>
    </row>
    <row r="22" spans="1:13">
      <c r="A22" s="63">
        <f t="shared" si="0"/>
        <v>15</v>
      </c>
      <c r="B22" s="65" t="s">
        <v>3673</v>
      </c>
      <c r="C22" s="65">
        <v>1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710">
        <f>(VLOOKUP($C22,[2]Sheet1!$A$2:$P$18,$M22+1)/12)*12*D22</f>
        <v>0</v>
      </c>
      <c r="K22" s="711"/>
      <c r="M22" s="62">
        <f t="shared" si="1"/>
        <v>5</v>
      </c>
    </row>
    <row r="23" spans="1:13">
      <c r="A23" s="63">
        <f t="shared" si="0"/>
        <v>16</v>
      </c>
      <c r="B23" s="65" t="s">
        <v>3674</v>
      </c>
      <c r="C23" s="65">
        <v>2</v>
      </c>
      <c r="D23" s="66">
        <v>32</v>
      </c>
      <c r="E23" s="66">
        <v>32</v>
      </c>
      <c r="F23" s="66">
        <v>32</v>
      </c>
      <c r="G23" s="66">
        <v>30</v>
      </c>
      <c r="H23" s="66">
        <v>32</v>
      </c>
      <c r="I23" s="66">
        <v>30</v>
      </c>
      <c r="J23" s="710">
        <f>(VLOOKUP($C23,[2]Sheet1!$A$2:$P$18,$M23+1)/12)*12*D23</f>
        <v>6869036.1257716808</v>
      </c>
      <c r="K23" s="711"/>
      <c r="M23" s="62">
        <f t="shared" si="1"/>
        <v>5</v>
      </c>
    </row>
    <row r="24" spans="1:13">
      <c r="A24" s="63">
        <f t="shared" si="0"/>
        <v>17</v>
      </c>
      <c r="B24" s="65" t="s">
        <v>3675</v>
      </c>
      <c r="C24" s="65">
        <v>1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710">
        <f>(VLOOKUP($C24,[2]Sheet1!$A$2:$P$18,$M24+1)/12)*12*D24</f>
        <v>0</v>
      </c>
      <c r="K24" s="711"/>
      <c r="M24" s="62">
        <f t="shared" si="1"/>
        <v>5</v>
      </c>
    </row>
    <row r="25" spans="1:13" ht="15">
      <c r="A25" s="63">
        <f t="shared" si="0"/>
        <v>18</v>
      </c>
      <c r="B25" s="65" t="s">
        <v>2171</v>
      </c>
      <c r="C25" s="65">
        <v>2</v>
      </c>
      <c r="D25" s="66">
        <v>6</v>
      </c>
      <c r="E25" s="66">
        <v>6</v>
      </c>
      <c r="F25" s="66">
        <v>6</v>
      </c>
      <c r="G25" s="66">
        <v>2</v>
      </c>
      <c r="H25" s="66">
        <v>6</v>
      </c>
      <c r="I25" s="66">
        <v>2</v>
      </c>
      <c r="J25" s="710">
        <f>(VLOOKUP($C25,[2]Sheet1!$A$2:$P$18,$M25+1)/12)*12*D25</f>
        <v>1287944.2735821903</v>
      </c>
      <c r="K25" s="711"/>
      <c r="L25" s="608"/>
      <c r="M25" s="62">
        <f t="shared" si="1"/>
        <v>5</v>
      </c>
    </row>
    <row r="26" spans="1:13">
      <c r="A26" s="63">
        <f t="shared" si="0"/>
        <v>19</v>
      </c>
      <c r="B26" s="65" t="s">
        <v>2172</v>
      </c>
      <c r="C26" s="65">
        <v>1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710">
        <f>(VLOOKUP($C26,[2]Sheet1!$A$2:$P$18,$M26+1)/12)*12*D26</f>
        <v>0</v>
      </c>
      <c r="K26" s="711"/>
      <c r="M26" s="62">
        <f t="shared" si="1"/>
        <v>5</v>
      </c>
    </row>
    <row r="27" spans="1:13">
      <c r="A27" s="63">
        <f t="shared" si="0"/>
        <v>20</v>
      </c>
      <c r="B27" s="65" t="s">
        <v>2693</v>
      </c>
      <c r="C27" s="65">
        <v>4</v>
      </c>
      <c r="D27" s="66">
        <v>2</v>
      </c>
      <c r="E27" s="66">
        <v>2</v>
      </c>
      <c r="F27" s="66">
        <v>2</v>
      </c>
      <c r="G27" s="66">
        <v>2</v>
      </c>
      <c r="H27" s="66">
        <v>2</v>
      </c>
      <c r="I27" s="66">
        <v>2</v>
      </c>
      <c r="J27" s="710">
        <f>(VLOOKUP($C27,[2]Sheet1!$A$2:$P$18,$M27+1)/12)*12*D27</f>
        <v>449085.95786073001</v>
      </c>
      <c r="K27" s="711"/>
      <c r="M27" s="62">
        <f t="shared" si="1"/>
        <v>5</v>
      </c>
    </row>
    <row r="28" spans="1:13">
      <c r="A28" s="63">
        <f t="shared" si="0"/>
        <v>21</v>
      </c>
      <c r="B28" s="65" t="s">
        <v>2694</v>
      </c>
      <c r="C28" s="65">
        <v>3</v>
      </c>
      <c r="D28" s="66">
        <v>4</v>
      </c>
      <c r="E28" s="66">
        <v>4</v>
      </c>
      <c r="F28" s="66">
        <v>4</v>
      </c>
      <c r="G28" s="66">
        <v>4</v>
      </c>
      <c r="H28" s="66">
        <v>4</v>
      </c>
      <c r="I28" s="66">
        <v>4</v>
      </c>
      <c r="J28" s="710">
        <f>(VLOOKUP($C28,[2]Sheet1!$A$2:$P$18,$M28+1)/12)*12*D28</f>
        <v>877344.71572145994</v>
      </c>
      <c r="K28" s="711"/>
      <c r="M28" s="62">
        <f t="shared" si="1"/>
        <v>5</v>
      </c>
    </row>
    <row r="29" spans="1:13">
      <c r="A29" s="63">
        <f t="shared" si="0"/>
        <v>22</v>
      </c>
      <c r="B29" s="65" t="s">
        <v>2563</v>
      </c>
      <c r="C29" s="65">
        <v>7</v>
      </c>
      <c r="D29" s="66">
        <v>8</v>
      </c>
      <c r="E29" s="66">
        <v>8</v>
      </c>
      <c r="F29" s="66">
        <v>8</v>
      </c>
      <c r="G29" s="66">
        <v>6</v>
      </c>
      <c r="H29" s="66">
        <v>8</v>
      </c>
      <c r="I29" s="66">
        <v>6</v>
      </c>
      <c r="J29" s="710">
        <f>(VLOOKUP($C29,[2]Sheet1!$A$2:$P$18,$M29+1)/12)*12*D29</f>
        <v>2461653.6192000005</v>
      </c>
      <c r="K29" s="711"/>
      <c r="M29" s="62">
        <f t="shared" si="1"/>
        <v>3</v>
      </c>
    </row>
    <row r="30" spans="1:13">
      <c r="A30" s="63">
        <f t="shared" si="0"/>
        <v>23</v>
      </c>
      <c r="B30" s="65" t="s">
        <v>2540</v>
      </c>
      <c r="C30" s="65">
        <v>6</v>
      </c>
      <c r="D30" s="66">
        <v>6</v>
      </c>
      <c r="E30" s="66">
        <v>6</v>
      </c>
      <c r="F30" s="66">
        <v>6</v>
      </c>
      <c r="G30" s="66">
        <v>6</v>
      </c>
      <c r="H30" s="66">
        <v>6</v>
      </c>
      <c r="I30" s="66">
        <v>6</v>
      </c>
      <c r="J30" s="710">
        <f>(VLOOKUP($C30,[2]Sheet1!$A$2:$P$18,$M30+1)/12)*12*D30</f>
        <v>1428596.2735821898</v>
      </c>
      <c r="K30" s="711"/>
      <c r="M30" s="62">
        <f t="shared" si="1"/>
        <v>5</v>
      </c>
    </row>
    <row r="31" spans="1:13">
      <c r="A31" s="63">
        <f t="shared" si="0"/>
        <v>24</v>
      </c>
      <c r="B31" s="65" t="s">
        <v>2541</v>
      </c>
      <c r="C31" s="65">
        <v>5</v>
      </c>
      <c r="D31" s="66">
        <v>20</v>
      </c>
      <c r="E31" s="66">
        <v>20</v>
      </c>
      <c r="F31" s="66">
        <v>20</v>
      </c>
      <c r="G31" s="66">
        <v>15</v>
      </c>
      <c r="H31" s="66">
        <v>20</v>
      </c>
      <c r="I31" s="66">
        <v>15</v>
      </c>
      <c r="J31" s="710">
        <f>(VLOOKUP($C31,[2]Sheet1!$A$2:$P$18,$M31+1)/12)*12*D31</f>
        <v>4591395.5786073003</v>
      </c>
      <c r="K31" s="711"/>
      <c r="M31" s="62">
        <f t="shared" si="1"/>
        <v>5</v>
      </c>
    </row>
    <row r="32" spans="1:13">
      <c r="A32" s="63">
        <f t="shared" si="0"/>
        <v>25</v>
      </c>
      <c r="B32" s="65" t="s">
        <v>4028</v>
      </c>
      <c r="C32" s="65">
        <v>4</v>
      </c>
      <c r="D32" s="66">
        <v>40</v>
      </c>
      <c r="E32" s="66">
        <v>40</v>
      </c>
      <c r="F32" s="66">
        <v>40</v>
      </c>
      <c r="G32" s="66">
        <v>40</v>
      </c>
      <c r="H32" s="66">
        <v>40</v>
      </c>
      <c r="I32" s="66">
        <v>40</v>
      </c>
      <c r="J32" s="710">
        <f>(VLOOKUP($C32,[2]Sheet1!$A$2:$P$18,$M32+1)/12)*12*D32</f>
        <v>8981719.1572146006</v>
      </c>
      <c r="K32" s="711"/>
      <c r="M32" s="62">
        <f t="shared" si="1"/>
        <v>5</v>
      </c>
    </row>
    <row r="33" spans="1:13">
      <c r="A33" s="63">
        <f t="shared" si="0"/>
        <v>26</v>
      </c>
      <c r="B33" s="65" t="s">
        <v>4029</v>
      </c>
      <c r="C33" s="65">
        <v>3</v>
      </c>
      <c r="D33" s="66">
        <v>42</v>
      </c>
      <c r="E33" s="66">
        <v>42</v>
      </c>
      <c r="F33" s="66">
        <v>42</v>
      </c>
      <c r="G33" s="66">
        <v>44</v>
      </c>
      <c r="H33" s="66">
        <v>42</v>
      </c>
      <c r="I33" s="66">
        <v>44</v>
      </c>
      <c r="J33" s="710">
        <f>(VLOOKUP($C33,[2]Sheet1!$A$2:$P$18,$M33+1)/12)*12*D33</f>
        <v>9212119.5150753297</v>
      </c>
      <c r="K33" s="711"/>
      <c r="M33" s="62">
        <f t="shared" si="1"/>
        <v>5</v>
      </c>
    </row>
    <row r="34" spans="1:13">
      <c r="A34" s="63">
        <f t="shared" si="0"/>
        <v>27</v>
      </c>
      <c r="B34" s="65" t="s">
        <v>4030</v>
      </c>
      <c r="C34" s="65">
        <v>3</v>
      </c>
      <c r="D34" s="66">
        <v>12</v>
      </c>
      <c r="E34" s="66">
        <v>12</v>
      </c>
      <c r="F34" s="66">
        <v>12</v>
      </c>
      <c r="G34" s="66">
        <v>12</v>
      </c>
      <c r="H34" s="66">
        <v>12</v>
      </c>
      <c r="I34" s="66">
        <v>12</v>
      </c>
      <c r="J34" s="710">
        <f>(VLOOKUP($C34,[2]Sheet1!$A$2:$P$18,$M34+1)/12)*12*D34</f>
        <v>2632034.1471643797</v>
      </c>
      <c r="K34" s="711"/>
      <c r="M34" s="62">
        <f t="shared" si="1"/>
        <v>5</v>
      </c>
    </row>
    <row r="35" spans="1:13">
      <c r="A35" s="63">
        <f t="shared" si="0"/>
        <v>28</v>
      </c>
      <c r="B35" s="65" t="s">
        <v>3896</v>
      </c>
      <c r="C35" s="65">
        <v>6</v>
      </c>
      <c r="D35" s="66">
        <v>10</v>
      </c>
      <c r="E35" s="66">
        <v>10</v>
      </c>
      <c r="F35" s="66">
        <v>10</v>
      </c>
      <c r="G35" s="66">
        <v>6</v>
      </c>
      <c r="H35" s="66">
        <v>10</v>
      </c>
      <c r="I35" s="66">
        <v>6</v>
      </c>
      <c r="J35" s="710">
        <f>(VLOOKUP($C35,[2]Sheet1!$A$2:$P$18,$M35+1)/12)*12*D35</f>
        <v>2380993.7893036497</v>
      </c>
      <c r="K35" s="711"/>
      <c r="M35" s="62">
        <f t="shared" si="1"/>
        <v>5</v>
      </c>
    </row>
    <row r="36" spans="1:13">
      <c r="A36" s="63">
        <f t="shared" si="0"/>
        <v>29</v>
      </c>
      <c r="B36" s="65" t="s">
        <v>3897</v>
      </c>
      <c r="C36" s="65">
        <v>4</v>
      </c>
      <c r="D36" s="66">
        <v>5</v>
      </c>
      <c r="E36" s="66">
        <v>5</v>
      </c>
      <c r="F36" s="66">
        <v>5</v>
      </c>
      <c r="G36" s="66">
        <v>0</v>
      </c>
      <c r="H36" s="66">
        <v>5</v>
      </c>
      <c r="I36" s="66">
        <v>0</v>
      </c>
      <c r="J36" s="710">
        <f>(VLOOKUP($C36,[2]Sheet1!$A$2:$P$18,$M36+1)/12)*12*D36</f>
        <v>1122714.8946518251</v>
      </c>
      <c r="K36" s="711"/>
      <c r="M36" s="62">
        <f t="shared" si="1"/>
        <v>5</v>
      </c>
    </row>
    <row r="37" spans="1:13">
      <c r="A37" s="63">
        <f t="shared" si="0"/>
        <v>30</v>
      </c>
      <c r="B37" s="65" t="s">
        <v>3898</v>
      </c>
      <c r="C37" s="65">
        <v>6</v>
      </c>
      <c r="D37" s="66">
        <v>1</v>
      </c>
      <c r="E37" s="66">
        <v>1</v>
      </c>
      <c r="F37" s="66">
        <v>1</v>
      </c>
      <c r="G37" s="66">
        <v>1</v>
      </c>
      <c r="H37" s="66">
        <v>1</v>
      </c>
      <c r="I37" s="66">
        <v>1</v>
      </c>
      <c r="J37" s="710">
        <f>(VLOOKUP($C37,[2]Sheet1!$A$2:$P$18,$M37+1)/12)*12*D37</f>
        <v>238099.37893036497</v>
      </c>
      <c r="K37" s="711"/>
      <c r="M37" s="62">
        <f t="shared" si="1"/>
        <v>5</v>
      </c>
    </row>
    <row r="38" spans="1:13">
      <c r="A38" s="63">
        <f t="shared" si="0"/>
        <v>31</v>
      </c>
      <c r="B38" s="65" t="s">
        <v>3745</v>
      </c>
      <c r="C38" s="65">
        <v>5</v>
      </c>
      <c r="D38" s="66">
        <v>1</v>
      </c>
      <c r="E38" s="66">
        <v>1</v>
      </c>
      <c r="F38" s="66">
        <v>1</v>
      </c>
      <c r="G38" s="66">
        <v>1</v>
      </c>
      <c r="H38" s="66">
        <v>1</v>
      </c>
      <c r="I38" s="66">
        <v>1</v>
      </c>
      <c r="J38" s="710">
        <f>(VLOOKUP($C38,[2]Sheet1!$A$2:$P$18,$M38+1)/12)*12*D38</f>
        <v>229569.77893036499</v>
      </c>
      <c r="K38" s="711"/>
      <c r="M38" s="62">
        <f t="shared" si="1"/>
        <v>5</v>
      </c>
    </row>
    <row r="39" spans="1:13">
      <c r="A39" s="63">
        <f t="shared" si="0"/>
        <v>32</v>
      </c>
      <c r="B39" s="65" t="s">
        <v>2403</v>
      </c>
      <c r="C39" s="65">
        <v>4</v>
      </c>
      <c r="D39" s="66">
        <v>1</v>
      </c>
      <c r="E39" s="66">
        <v>1</v>
      </c>
      <c r="F39" s="66">
        <v>1</v>
      </c>
      <c r="G39" s="66">
        <v>1</v>
      </c>
      <c r="H39" s="66">
        <v>1</v>
      </c>
      <c r="I39" s="66">
        <v>1</v>
      </c>
      <c r="J39" s="710">
        <f>(VLOOKUP($C39,[2]Sheet1!$A$2:$P$18,$M39+1)/12)*12*D39</f>
        <v>224542.978930365</v>
      </c>
      <c r="K39" s="711"/>
      <c r="M39" s="62">
        <f t="shared" si="1"/>
        <v>5</v>
      </c>
    </row>
    <row r="40" spans="1:13">
      <c r="A40" s="63">
        <f t="shared" si="0"/>
        <v>33</v>
      </c>
      <c r="B40" s="65" t="s">
        <v>2556</v>
      </c>
      <c r="C40" s="65">
        <v>3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710">
        <f>(VLOOKUP($C40,[2]Sheet1!$A$2:$P$18,$M40+1)/12)*12*D40</f>
        <v>0</v>
      </c>
      <c r="K40" s="711"/>
      <c r="M40" s="62">
        <f t="shared" si="1"/>
        <v>5</v>
      </c>
    </row>
    <row r="41" spans="1:13">
      <c r="A41" s="63">
        <f t="shared" si="0"/>
        <v>34</v>
      </c>
      <c r="B41" s="65" t="s">
        <v>1313</v>
      </c>
      <c r="C41" s="65">
        <v>8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710">
        <f>(VLOOKUP($C41,[2]Sheet1!$A$2:$P$18,$M41+1)/12)*12*D41</f>
        <v>0</v>
      </c>
      <c r="K41" s="711"/>
      <c r="M41" s="62">
        <f t="shared" si="1"/>
        <v>3</v>
      </c>
    </row>
    <row r="42" spans="1:13">
      <c r="A42" s="63">
        <f t="shared" si="0"/>
        <v>35</v>
      </c>
      <c r="B42" s="65" t="s">
        <v>346</v>
      </c>
      <c r="C42" s="65">
        <v>7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710">
        <f>(VLOOKUP($C42,[2]Sheet1!$A$2:$P$18,$M42+1)/12)*12*D42</f>
        <v>0</v>
      </c>
      <c r="K42" s="711"/>
      <c r="M42" s="62">
        <f t="shared" si="1"/>
        <v>3</v>
      </c>
    </row>
    <row r="43" spans="1:13" ht="13.5" thickBot="1">
      <c r="A43" s="63">
        <f t="shared" si="0"/>
        <v>36</v>
      </c>
      <c r="B43" s="65" t="s">
        <v>112</v>
      </c>
      <c r="C43" s="65">
        <v>6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710">
        <f>(VLOOKUP($C43,[2]Sheet1!$A$2:$P$18,$M43+1)/12)*12*D43</f>
        <v>0</v>
      </c>
      <c r="K43" s="711"/>
      <c r="M43" s="62">
        <f t="shared" si="1"/>
        <v>5</v>
      </c>
    </row>
    <row r="44" spans="1:13" ht="15.75" thickTop="1">
      <c r="A44" s="1047" t="s">
        <v>2791</v>
      </c>
      <c r="B44" s="1049" t="s">
        <v>4126</v>
      </c>
      <c r="C44" s="1049" t="s">
        <v>854</v>
      </c>
      <c r="D44" s="1040" t="s">
        <v>4127</v>
      </c>
      <c r="E44" s="1041"/>
      <c r="F44" s="1041"/>
      <c r="G44" s="1061" t="s">
        <v>904</v>
      </c>
      <c r="H44" s="1062"/>
      <c r="I44" s="1062"/>
      <c r="J44" s="1035" t="s">
        <v>855</v>
      </c>
      <c r="K44" s="389"/>
    </row>
    <row r="45" spans="1:13" ht="26.25" thickBot="1">
      <c r="A45" s="1048"/>
      <c r="B45" s="1050"/>
      <c r="C45" s="1050"/>
      <c r="D45" s="285" t="s">
        <v>5505</v>
      </c>
      <c r="E45" s="285" t="s">
        <v>4485</v>
      </c>
      <c r="F45" s="285" t="s">
        <v>4486</v>
      </c>
      <c r="G45" s="287" t="s">
        <v>4487</v>
      </c>
      <c r="H45" s="285" t="s">
        <v>4488</v>
      </c>
      <c r="I45" s="287" t="s">
        <v>4489</v>
      </c>
      <c r="J45" s="1036"/>
      <c r="K45" s="712"/>
    </row>
    <row r="46" spans="1:13" ht="13.5" thickTop="1">
      <c r="A46" s="63">
        <f>+A43+1</f>
        <v>37</v>
      </c>
      <c r="B46" s="65" t="s">
        <v>3745</v>
      </c>
      <c r="C46" s="65">
        <v>4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710">
        <f>(VLOOKUP($C46,[2]Sheet1!$A$2:$P$18,$M46+1)/12)*12*D46</f>
        <v>0</v>
      </c>
      <c r="K46" s="711"/>
      <c r="M46" s="62">
        <f t="shared" si="1"/>
        <v>5</v>
      </c>
    </row>
    <row r="47" spans="1:13">
      <c r="A47" s="63">
        <f>+A46+1</f>
        <v>38</v>
      </c>
      <c r="B47" s="65" t="s">
        <v>2403</v>
      </c>
      <c r="C47" s="65">
        <v>3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710">
        <f>(VLOOKUP($C47,[2]Sheet1!$A$2:$P$18,$M47+1)/12)*12*D47</f>
        <v>0</v>
      </c>
      <c r="K47" s="711"/>
      <c r="M47" s="62">
        <f>IF(C47&gt;6,3,5)</f>
        <v>5</v>
      </c>
    </row>
    <row r="48" spans="1:13">
      <c r="A48" s="63"/>
      <c r="B48" s="64" t="s">
        <v>113</v>
      </c>
      <c r="C48" s="65"/>
      <c r="D48" s="66"/>
      <c r="E48" s="66"/>
      <c r="F48" s="66"/>
      <c r="G48" s="66"/>
      <c r="H48" s="66"/>
      <c r="I48" s="66"/>
      <c r="J48" s="710"/>
      <c r="K48" s="711"/>
    </row>
    <row r="49" spans="1:13">
      <c r="A49" s="63">
        <f>+A47+1</f>
        <v>39</v>
      </c>
      <c r="B49" s="65" t="s">
        <v>345</v>
      </c>
      <c r="C49" s="65">
        <v>12</v>
      </c>
      <c r="D49" s="66">
        <v>1</v>
      </c>
      <c r="E49" s="66">
        <v>1</v>
      </c>
      <c r="F49" s="66">
        <v>1</v>
      </c>
      <c r="G49" s="66">
        <v>1</v>
      </c>
      <c r="H49" s="66">
        <v>1</v>
      </c>
      <c r="I49" s="66">
        <v>1</v>
      </c>
      <c r="J49" s="710">
        <f>(VLOOKUP($C49,[2]Sheet1!$A$2:$P$18,$M49+1)/12)*12*D49</f>
        <v>552685.0537200002</v>
      </c>
      <c r="K49" s="711"/>
      <c r="M49" s="62">
        <f t="shared" si="1"/>
        <v>3</v>
      </c>
    </row>
    <row r="50" spans="1:13">
      <c r="A50" s="63">
        <f t="shared" si="0"/>
        <v>40</v>
      </c>
      <c r="B50" s="65" t="s">
        <v>136</v>
      </c>
      <c r="C50" s="65">
        <v>6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710">
        <f>(VLOOKUP($C50,[2]Sheet1!$A$2:$P$18,$M50+1)/12)*12*D50</f>
        <v>0</v>
      </c>
      <c r="K50" s="711"/>
      <c r="M50" s="62">
        <f t="shared" si="1"/>
        <v>5</v>
      </c>
    </row>
    <row r="51" spans="1:13">
      <c r="A51" s="63">
        <f t="shared" si="0"/>
        <v>41</v>
      </c>
      <c r="B51" s="65" t="s">
        <v>137</v>
      </c>
      <c r="C51" s="65">
        <v>7</v>
      </c>
      <c r="D51" s="66">
        <v>1</v>
      </c>
      <c r="E51" s="66">
        <v>1</v>
      </c>
      <c r="F51" s="66">
        <v>1</v>
      </c>
      <c r="G51" s="66">
        <v>1</v>
      </c>
      <c r="H51" s="66">
        <v>1</v>
      </c>
      <c r="I51" s="66">
        <v>1</v>
      </c>
      <c r="J51" s="710">
        <f>(VLOOKUP($C51,[2]Sheet1!$A$2:$P$18,$M51+1)/12)*12*D51</f>
        <v>307706.70240000007</v>
      </c>
      <c r="K51" s="711"/>
      <c r="M51" s="62">
        <f t="shared" si="1"/>
        <v>3</v>
      </c>
    </row>
    <row r="52" spans="1:13">
      <c r="A52" s="63">
        <f t="shared" si="0"/>
        <v>42</v>
      </c>
      <c r="B52" s="65" t="s">
        <v>114</v>
      </c>
      <c r="C52" s="65">
        <v>5</v>
      </c>
      <c r="D52" s="66">
        <v>1</v>
      </c>
      <c r="E52" s="66">
        <v>1</v>
      </c>
      <c r="F52" s="66">
        <v>1</v>
      </c>
      <c r="G52" s="66">
        <v>1</v>
      </c>
      <c r="H52" s="66">
        <v>1</v>
      </c>
      <c r="I52" s="66">
        <v>1</v>
      </c>
      <c r="J52" s="710">
        <f>(VLOOKUP($C52,[2]Sheet1!$A$2:$P$18,$M52+1)/12)*12*D52</f>
        <v>229569.77893036499</v>
      </c>
      <c r="K52" s="711"/>
      <c r="M52" s="62">
        <f t="shared" si="1"/>
        <v>5</v>
      </c>
    </row>
    <row r="53" spans="1:13">
      <c r="A53" s="63"/>
      <c r="B53" s="64" t="s">
        <v>1472</v>
      </c>
      <c r="C53" s="65"/>
      <c r="D53" s="66"/>
      <c r="E53" s="66"/>
      <c r="F53" s="66"/>
      <c r="G53" s="66"/>
      <c r="H53" s="66"/>
      <c r="I53" s="66"/>
      <c r="J53" s="713"/>
      <c r="K53" s="711"/>
      <c r="M53" s="62">
        <f t="shared" si="1"/>
        <v>5</v>
      </c>
    </row>
    <row r="54" spans="1:13">
      <c r="A54" s="63">
        <f>+A52+1</f>
        <v>43</v>
      </c>
      <c r="B54" s="65" t="s">
        <v>2396</v>
      </c>
      <c r="C54" s="65">
        <v>13</v>
      </c>
      <c r="D54" s="66">
        <v>1</v>
      </c>
      <c r="E54" s="66">
        <v>1</v>
      </c>
      <c r="F54" s="66">
        <v>1</v>
      </c>
      <c r="G54" s="66">
        <v>1</v>
      </c>
      <c r="H54" s="66">
        <v>1</v>
      </c>
      <c r="I54" s="66">
        <v>1</v>
      </c>
      <c r="J54" s="710">
        <f>(VLOOKUP($C54,[2]Sheet1!$A$2:$P$18,$M54+1)/12)*12*D54</f>
        <v>628759.53804000001</v>
      </c>
      <c r="K54" s="711"/>
      <c r="M54" s="62">
        <f t="shared" si="1"/>
        <v>3</v>
      </c>
    </row>
    <row r="55" spans="1:13">
      <c r="A55" s="63">
        <f t="shared" si="0"/>
        <v>44</v>
      </c>
      <c r="B55" s="65" t="s">
        <v>2397</v>
      </c>
      <c r="C55" s="65">
        <v>9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710">
        <f>(VLOOKUP($C55,[2]Sheet1!$A$2:$P$18,$M55+1)/12)*12*D55</f>
        <v>0</v>
      </c>
      <c r="K55" s="711"/>
      <c r="M55" s="62">
        <f t="shared" si="1"/>
        <v>3</v>
      </c>
    </row>
    <row r="56" spans="1:13">
      <c r="A56" s="63">
        <f>+A55+1</f>
        <v>45</v>
      </c>
      <c r="B56" s="65" t="s">
        <v>2243</v>
      </c>
      <c r="C56" s="65">
        <v>7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710">
        <f>(VLOOKUP($C56,[2]Sheet1!$A$2:$P$18,$M56+1)/12)*12*D56</f>
        <v>0</v>
      </c>
      <c r="K56" s="711"/>
      <c r="M56" s="62">
        <f t="shared" si="1"/>
        <v>3</v>
      </c>
    </row>
    <row r="57" spans="1:13">
      <c r="A57" s="63">
        <f t="shared" si="0"/>
        <v>46</v>
      </c>
      <c r="B57" s="65" t="s">
        <v>899</v>
      </c>
      <c r="C57" s="65">
        <v>7</v>
      </c>
      <c r="D57" s="66">
        <v>1</v>
      </c>
      <c r="E57" s="66">
        <v>1</v>
      </c>
      <c r="F57" s="66">
        <v>1</v>
      </c>
      <c r="G57" s="66">
        <v>1</v>
      </c>
      <c r="H57" s="66">
        <v>1</v>
      </c>
      <c r="I57" s="66">
        <v>1</v>
      </c>
      <c r="J57" s="710">
        <f>(VLOOKUP($C57,[2]Sheet1!$A$2:$P$18,$M57+1)/12)*12*D57</f>
        <v>307706.70240000007</v>
      </c>
      <c r="K57" s="711"/>
      <c r="M57" s="62">
        <f t="shared" si="1"/>
        <v>3</v>
      </c>
    </row>
    <row r="58" spans="1:13">
      <c r="A58" s="63">
        <f>+A57+1</f>
        <v>47</v>
      </c>
      <c r="B58" s="65" t="s">
        <v>1694</v>
      </c>
      <c r="C58" s="65">
        <v>6</v>
      </c>
      <c r="D58" s="66">
        <v>3</v>
      </c>
      <c r="E58" s="66">
        <v>3</v>
      </c>
      <c r="F58" s="66">
        <v>3</v>
      </c>
      <c r="G58" s="66">
        <v>3</v>
      </c>
      <c r="H58" s="66">
        <v>3</v>
      </c>
      <c r="I58" s="66">
        <v>3</v>
      </c>
      <c r="J58" s="710">
        <f>(VLOOKUP($C58,[2]Sheet1!$A$2:$P$18,$M58+1)/12)*12*D58</f>
        <v>714298.1367910949</v>
      </c>
      <c r="K58" s="711"/>
      <c r="M58" s="62">
        <f t="shared" si="1"/>
        <v>5</v>
      </c>
    </row>
    <row r="59" spans="1:13">
      <c r="A59" s="63">
        <f t="shared" si="0"/>
        <v>48</v>
      </c>
      <c r="B59" s="65" t="s">
        <v>1704</v>
      </c>
      <c r="C59" s="65">
        <v>5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710">
        <f>(VLOOKUP($C59,[2]Sheet1!$A$2:$P$18,$M59+1)/12)*12*D59</f>
        <v>0</v>
      </c>
      <c r="K59" s="711"/>
      <c r="M59" s="62">
        <f t="shared" si="1"/>
        <v>5</v>
      </c>
    </row>
    <row r="60" spans="1:13">
      <c r="A60" s="63">
        <f t="shared" si="0"/>
        <v>49</v>
      </c>
      <c r="B60" s="65" t="s">
        <v>1705</v>
      </c>
      <c r="C60" s="65">
        <v>4</v>
      </c>
      <c r="D60" s="66">
        <v>1</v>
      </c>
      <c r="E60" s="66">
        <v>3</v>
      </c>
      <c r="F60" s="66">
        <v>3</v>
      </c>
      <c r="G60" s="66">
        <v>1</v>
      </c>
      <c r="H60" s="66">
        <v>1</v>
      </c>
      <c r="I60" s="66">
        <v>1</v>
      </c>
      <c r="J60" s="710">
        <f>(VLOOKUP($C60,[2]Sheet1!$A$2:$P$18,$M60+1)/12)*12*D60</f>
        <v>224542.978930365</v>
      </c>
      <c r="K60" s="711"/>
      <c r="M60" s="62">
        <f t="shared" si="1"/>
        <v>5</v>
      </c>
    </row>
    <row r="61" spans="1:13">
      <c r="A61" s="63">
        <f t="shared" si="0"/>
        <v>50</v>
      </c>
      <c r="B61" s="65" t="s">
        <v>1540</v>
      </c>
      <c r="C61" s="65">
        <v>3</v>
      </c>
      <c r="D61" s="66">
        <v>1</v>
      </c>
      <c r="E61" s="66">
        <v>5</v>
      </c>
      <c r="F61" s="66">
        <v>5</v>
      </c>
      <c r="G61" s="66">
        <v>1</v>
      </c>
      <c r="H61" s="66">
        <v>1</v>
      </c>
      <c r="I61" s="66">
        <v>1</v>
      </c>
      <c r="J61" s="710">
        <f>(VLOOKUP($C61,[2]Sheet1!$A$2:$P$18,$M61+1)/12)*12*D61</f>
        <v>219336.17893036499</v>
      </c>
      <c r="K61" s="711"/>
      <c r="M61" s="62">
        <f t="shared" si="1"/>
        <v>5</v>
      </c>
    </row>
    <row r="62" spans="1:13">
      <c r="A62" s="63">
        <f t="shared" si="0"/>
        <v>51</v>
      </c>
      <c r="B62" s="65" t="s">
        <v>1541</v>
      </c>
      <c r="C62" s="65">
        <v>3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710">
        <f>(VLOOKUP($C62,[2]Sheet1!$A$2:$P$18,$M62+1)/12)*12*D62</f>
        <v>0</v>
      </c>
      <c r="K62" s="711"/>
      <c r="M62" s="62">
        <f t="shared" si="1"/>
        <v>5</v>
      </c>
    </row>
    <row r="63" spans="1:13">
      <c r="A63" s="63">
        <f t="shared" si="0"/>
        <v>52</v>
      </c>
      <c r="B63" s="65" t="s">
        <v>1542</v>
      </c>
      <c r="C63" s="65">
        <v>2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710">
        <f>(VLOOKUP($C63,[2]Sheet1!$A$2:$P$18,$M63+1)/12)*12*D63</f>
        <v>0</v>
      </c>
      <c r="K63" s="711"/>
      <c r="M63" s="62">
        <f t="shared" si="1"/>
        <v>5</v>
      </c>
    </row>
    <row r="64" spans="1:13">
      <c r="A64" s="63"/>
      <c r="B64" s="64" t="s">
        <v>1543</v>
      </c>
      <c r="C64" s="65"/>
      <c r="D64" s="66"/>
      <c r="E64" s="239"/>
      <c r="F64" s="239"/>
      <c r="G64" s="66"/>
      <c r="H64" s="66"/>
      <c r="I64" s="66"/>
      <c r="J64" s="710"/>
      <c r="K64" s="711"/>
      <c r="M64" s="62">
        <f t="shared" si="1"/>
        <v>5</v>
      </c>
    </row>
    <row r="65" spans="1:13">
      <c r="A65" s="63">
        <f>+A63+1</f>
        <v>53</v>
      </c>
      <c r="B65" s="65" t="s">
        <v>842</v>
      </c>
      <c r="C65" s="65" t="s">
        <v>843</v>
      </c>
      <c r="D65" s="66">
        <v>1</v>
      </c>
      <c r="E65" s="66">
        <v>1</v>
      </c>
      <c r="F65" s="66">
        <v>1</v>
      </c>
      <c r="G65" s="66">
        <v>1</v>
      </c>
      <c r="H65" s="66">
        <v>1</v>
      </c>
      <c r="I65" s="66">
        <v>1</v>
      </c>
      <c r="J65" s="710">
        <f>(VLOOKUP($C65,[2]Sheet1!$A$2:$P$18,$M65+1)/12)*12*D65</f>
        <v>3</v>
      </c>
      <c r="K65" s="711"/>
      <c r="M65" s="62">
        <f t="shared" si="1"/>
        <v>3</v>
      </c>
    </row>
    <row r="66" spans="1:13">
      <c r="A66" s="63">
        <f t="shared" ref="A66:A111" si="2">+A65+1</f>
        <v>54</v>
      </c>
      <c r="B66" s="65" t="s">
        <v>388</v>
      </c>
      <c r="C66" s="65" t="s">
        <v>843</v>
      </c>
      <c r="D66" s="66">
        <v>3</v>
      </c>
      <c r="E66" s="66">
        <v>3</v>
      </c>
      <c r="F66" s="66">
        <v>3</v>
      </c>
      <c r="G66" s="66">
        <v>3</v>
      </c>
      <c r="H66" s="66">
        <v>3</v>
      </c>
      <c r="I66" s="66">
        <v>3</v>
      </c>
      <c r="J66" s="710">
        <f>(VLOOKUP($C66,[2]Sheet1!$A$2:$P$18,$M66+1)/12)*12*D66</f>
        <v>9</v>
      </c>
      <c r="K66" s="711"/>
      <c r="M66" s="62">
        <f t="shared" si="1"/>
        <v>3</v>
      </c>
    </row>
    <row r="67" spans="1:13">
      <c r="A67" s="63">
        <f t="shared" si="2"/>
        <v>55</v>
      </c>
      <c r="B67" s="65" t="s">
        <v>3528</v>
      </c>
      <c r="C67" s="65" t="s">
        <v>3529</v>
      </c>
      <c r="D67" s="66">
        <v>3</v>
      </c>
      <c r="E67" s="66">
        <v>3</v>
      </c>
      <c r="F67" s="66">
        <v>3</v>
      </c>
      <c r="G67" s="66">
        <v>3</v>
      </c>
      <c r="H67" s="66">
        <v>3</v>
      </c>
      <c r="I67" s="66">
        <v>3</v>
      </c>
      <c r="J67" s="710">
        <f>(VLOOKUP($C67,[2]Sheet1!$A$2:$P$18,$M67+1)/12)*12*D67</f>
        <v>9</v>
      </c>
      <c r="K67" s="711"/>
      <c r="M67" s="62">
        <f t="shared" si="1"/>
        <v>3</v>
      </c>
    </row>
    <row r="68" spans="1:13">
      <c r="A68" s="63">
        <f t="shared" si="2"/>
        <v>56</v>
      </c>
      <c r="B68" s="65" t="s">
        <v>3528</v>
      </c>
      <c r="C68" s="65" t="s">
        <v>3530</v>
      </c>
      <c r="D68" s="66">
        <v>2</v>
      </c>
      <c r="E68" s="66">
        <v>2</v>
      </c>
      <c r="F68" s="66">
        <v>2</v>
      </c>
      <c r="G68" s="66">
        <v>2</v>
      </c>
      <c r="H68" s="66">
        <v>2</v>
      </c>
      <c r="I68" s="66">
        <v>2</v>
      </c>
      <c r="J68" s="710">
        <f>(VLOOKUP($C68,[2]Sheet1!$A$2:$P$18,$M68+1)/12)*12*D68</f>
        <v>6</v>
      </c>
      <c r="K68" s="711"/>
      <c r="M68" s="62">
        <f t="shared" si="1"/>
        <v>3</v>
      </c>
    </row>
    <row r="69" spans="1:13">
      <c r="A69" s="63"/>
      <c r="B69" s="64" t="s">
        <v>3531</v>
      </c>
      <c r="C69" s="65"/>
      <c r="D69" s="66"/>
      <c r="E69" s="66"/>
      <c r="F69" s="66"/>
      <c r="G69" s="66"/>
      <c r="H69" s="66"/>
      <c r="I69" s="66"/>
      <c r="J69" s="710"/>
      <c r="K69" s="711"/>
      <c r="M69" s="62">
        <f t="shared" si="1"/>
        <v>5</v>
      </c>
    </row>
    <row r="70" spans="1:13">
      <c r="A70" s="63">
        <f>+A68+1</f>
        <v>57</v>
      </c>
      <c r="B70" s="65" t="s">
        <v>3532</v>
      </c>
      <c r="C70" s="65">
        <v>16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710">
        <f>(VLOOKUP($C70,[2]Sheet1!$A$2:$P$18,$M70+1)/12)*12*D70</f>
        <v>0</v>
      </c>
      <c r="K70" s="711"/>
      <c r="M70" s="62">
        <f t="shared" si="1"/>
        <v>3</v>
      </c>
    </row>
    <row r="71" spans="1:13">
      <c r="A71" s="63">
        <f t="shared" si="2"/>
        <v>58</v>
      </c>
      <c r="B71" s="65" t="s">
        <v>3533</v>
      </c>
      <c r="C71" s="65">
        <v>14</v>
      </c>
      <c r="D71" s="66">
        <v>1</v>
      </c>
      <c r="E71" s="66">
        <v>1</v>
      </c>
      <c r="F71" s="66">
        <v>1</v>
      </c>
      <c r="G71" s="66">
        <v>1</v>
      </c>
      <c r="H71" s="66">
        <v>1</v>
      </c>
      <c r="I71" s="66">
        <v>1</v>
      </c>
      <c r="J71" s="710">
        <f>(VLOOKUP($C71,[2]Sheet1!$A$2:$P$18,$M71+1)/12)*12*D71</f>
        <v>669099.40824000002</v>
      </c>
      <c r="K71" s="711"/>
      <c r="M71" s="62">
        <f t="shared" si="1"/>
        <v>3</v>
      </c>
    </row>
    <row r="72" spans="1:13">
      <c r="A72" s="63">
        <f t="shared" si="2"/>
        <v>59</v>
      </c>
      <c r="B72" s="65" t="s">
        <v>3534</v>
      </c>
      <c r="C72" s="65">
        <v>10</v>
      </c>
      <c r="D72" s="66">
        <v>1</v>
      </c>
      <c r="E72" s="66">
        <v>1</v>
      </c>
      <c r="F72" s="66">
        <v>1</v>
      </c>
      <c r="G72" s="66">
        <v>1</v>
      </c>
      <c r="H72" s="66">
        <v>1</v>
      </c>
      <c r="I72" s="66">
        <v>1</v>
      </c>
      <c r="J72" s="710">
        <f>(VLOOKUP($C72,[2]Sheet1!$A$2:$P$18,$M72+1)/12)*12*D72</f>
        <v>483974.5687200001</v>
      </c>
      <c r="K72" s="711"/>
      <c r="M72" s="62">
        <f t="shared" si="1"/>
        <v>3</v>
      </c>
    </row>
    <row r="73" spans="1:13">
      <c r="A73" s="63">
        <f t="shared" si="2"/>
        <v>60</v>
      </c>
      <c r="B73" s="65" t="s">
        <v>3535</v>
      </c>
      <c r="C73" s="65">
        <v>9</v>
      </c>
      <c r="D73" s="66">
        <v>1</v>
      </c>
      <c r="E73" s="66">
        <v>1</v>
      </c>
      <c r="F73" s="66">
        <v>1</v>
      </c>
      <c r="G73" s="66">
        <v>1</v>
      </c>
      <c r="H73" s="66">
        <v>1</v>
      </c>
      <c r="I73" s="66">
        <v>1</v>
      </c>
      <c r="J73" s="710">
        <f>(VLOOKUP($C73,[2]Sheet1!$A$2:$P$18,$M73+1)/12)*12*D73</f>
        <v>409681.90619999997</v>
      </c>
      <c r="K73" s="711"/>
      <c r="M73" s="62">
        <f t="shared" si="1"/>
        <v>3</v>
      </c>
    </row>
    <row r="74" spans="1:13">
      <c r="A74" s="63">
        <f t="shared" si="2"/>
        <v>61</v>
      </c>
      <c r="B74" s="65" t="s">
        <v>3536</v>
      </c>
      <c r="C74" s="65">
        <v>8</v>
      </c>
      <c r="D74" s="66">
        <v>1</v>
      </c>
      <c r="E74" s="66">
        <v>1</v>
      </c>
      <c r="F74" s="66">
        <v>1</v>
      </c>
      <c r="G74" s="66">
        <v>1</v>
      </c>
      <c r="H74" s="66">
        <v>1</v>
      </c>
      <c r="I74" s="66">
        <v>1</v>
      </c>
      <c r="J74" s="710">
        <f>(VLOOKUP($C74,[2]Sheet1!$A$2:$P$18,$M74+1)/12)*12*D74</f>
        <v>342141.27408</v>
      </c>
      <c r="K74" s="711"/>
      <c r="M74" s="62">
        <f t="shared" ref="M74:M117" si="3">IF(C74&gt;6,3,5)</f>
        <v>3</v>
      </c>
    </row>
    <row r="75" spans="1:13">
      <c r="A75" s="63">
        <f t="shared" si="2"/>
        <v>62</v>
      </c>
      <c r="B75" s="65" t="s">
        <v>1310</v>
      </c>
      <c r="C75" s="65">
        <v>7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710">
        <f>(VLOOKUP($C75,[2]Sheet1!$A$2:$P$18,$M75+1)/12)*12*D75</f>
        <v>0</v>
      </c>
      <c r="K75" s="711"/>
      <c r="M75" s="62">
        <f t="shared" si="3"/>
        <v>3</v>
      </c>
    </row>
    <row r="76" spans="1:13">
      <c r="A76" s="63">
        <f t="shared" si="2"/>
        <v>63</v>
      </c>
      <c r="B76" s="65" t="s">
        <v>1641</v>
      </c>
      <c r="C76" s="65">
        <v>6</v>
      </c>
      <c r="D76" s="66">
        <v>1</v>
      </c>
      <c r="E76" s="66">
        <v>1</v>
      </c>
      <c r="F76" s="66">
        <v>1</v>
      </c>
      <c r="G76" s="66">
        <v>1</v>
      </c>
      <c r="H76" s="66">
        <v>1</v>
      </c>
      <c r="I76" s="66">
        <v>1</v>
      </c>
      <c r="J76" s="710">
        <f>(VLOOKUP($C76,[2]Sheet1!$A$2:$P$18,$M76+1)/12)*12*D76</f>
        <v>238099.37893036497</v>
      </c>
      <c r="K76" s="711"/>
      <c r="M76" s="62">
        <f t="shared" si="3"/>
        <v>5</v>
      </c>
    </row>
    <row r="77" spans="1:13">
      <c r="A77" s="63">
        <f t="shared" si="2"/>
        <v>64</v>
      </c>
      <c r="B77" s="65" t="s">
        <v>3019</v>
      </c>
      <c r="C77" s="65">
        <v>5</v>
      </c>
      <c r="D77" s="66">
        <v>1</v>
      </c>
      <c r="E77" s="66">
        <v>1</v>
      </c>
      <c r="F77" s="66">
        <v>1</v>
      </c>
      <c r="G77" s="66">
        <v>1</v>
      </c>
      <c r="H77" s="66">
        <v>1</v>
      </c>
      <c r="I77" s="66">
        <v>1</v>
      </c>
      <c r="J77" s="710">
        <f>(VLOOKUP($C77,[2]Sheet1!$A$2:$P$18,$M77+1)/12)*12*D77</f>
        <v>229569.77893036499</v>
      </c>
      <c r="K77" s="711"/>
      <c r="M77" s="62">
        <f t="shared" si="3"/>
        <v>5</v>
      </c>
    </row>
    <row r="78" spans="1:13">
      <c r="A78" s="63">
        <f t="shared" si="2"/>
        <v>65</v>
      </c>
      <c r="B78" s="65" t="s">
        <v>3020</v>
      </c>
      <c r="C78" s="65">
        <v>4</v>
      </c>
      <c r="D78" s="66">
        <v>2</v>
      </c>
      <c r="E78" s="66">
        <v>6</v>
      </c>
      <c r="F78" s="66">
        <v>6</v>
      </c>
      <c r="G78" s="66">
        <v>2</v>
      </c>
      <c r="H78" s="66">
        <v>2</v>
      </c>
      <c r="I78" s="66">
        <v>2</v>
      </c>
      <c r="J78" s="710">
        <f>(VLOOKUP($C78,[2]Sheet1!$A$2:$P$18,$M78+1)/12)*12*D78</f>
        <v>449085.95786073001</v>
      </c>
      <c r="K78" s="711"/>
      <c r="M78" s="62">
        <f t="shared" si="3"/>
        <v>5</v>
      </c>
    </row>
    <row r="79" spans="1:13">
      <c r="A79" s="63">
        <f t="shared" si="2"/>
        <v>66</v>
      </c>
      <c r="B79" s="65" t="s">
        <v>3187</v>
      </c>
      <c r="C79" s="65">
        <v>3</v>
      </c>
      <c r="D79" s="66">
        <v>16</v>
      </c>
      <c r="E79" s="66">
        <v>16</v>
      </c>
      <c r="F79" s="66">
        <v>16</v>
      </c>
      <c r="G79" s="66">
        <v>16</v>
      </c>
      <c r="H79" s="66">
        <v>16</v>
      </c>
      <c r="I79" s="66">
        <v>16</v>
      </c>
      <c r="J79" s="710">
        <f>(VLOOKUP($C79,[2]Sheet1!$A$2:$P$18,$M79+1)/12)*12*D79</f>
        <v>3509378.8628858398</v>
      </c>
      <c r="K79" s="711"/>
      <c r="M79" s="62">
        <f t="shared" si="3"/>
        <v>5</v>
      </c>
    </row>
    <row r="80" spans="1:13">
      <c r="A80" s="63">
        <f t="shared" si="2"/>
        <v>67</v>
      </c>
      <c r="B80" s="65" t="s">
        <v>3188</v>
      </c>
      <c r="C80" s="65">
        <v>5</v>
      </c>
      <c r="D80" s="66">
        <v>1</v>
      </c>
      <c r="E80" s="66">
        <v>1</v>
      </c>
      <c r="F80" s="66">
        <v>1</v>
      </c>
      <c r="G80" s="66">
        <v>1</v>
      </c>
      <c r="H80" s="66">
        <v>1</v>
      </c>
      <c r="I80" s="66">
        <v>1</v>
      </c>
      <c r="J80" s="710">
        <f>(VLOOKUP($C80,[2]Sheet1!$A$2:$P$18,$M80+1)/12)*12*D80</f>
        <v>229569.77893036499</v>
      </c>
      <c r="K80" s="711"/>
      <c r="M80" s="62">
        <f t="shared" si="3"/>
        <v>5</v>
      </c>
    </row>
    <row r="81" spans="1:13">
      <c r="A81" s="63">
        <f t="shared" si="2"/>
        <v>68</v>
      </c>
      <c r="B81" s="65" t="s">
        <v>3189</v>
      </c>
      <c r="C81" s="65">
        <v>4</v>
      </c>
      <c r="D81" s="66">
        <v>1</v>
      </c>
      <c r="E81" s="66">
        <v>1</v>
      </c>
      <c r="F81" s="66">
        <v>1</v>
      </c>
      <c r="G81" s="66">
        <v>1</v>
      </c>
      <c r="H81" s="66">
        <v>1</v>
      </c>
      <c r="I81" s="66">
        <v>1</v>
      </c>
      <c r="J81" s="710">
        <f>(VLOOKUP($C81,[2]Sheet1!$A$2:$P$18,$M81+1)/12)*12*D81</f>
        <v>224542.978930365</v>
      </c>
      <c r="K81" s="711"/>
      <c r="M81" s="62">
        <f t="shared" si="3"/>
        <v>5</v>
      </c>
    </row>
    <row r="82" spans="1:13">
      <c r="A82" s="63">
        <f t="shared" si="2"/>
        <v>69</v>
      </c>
      <c r="B82" s="65" t="s">
        <v>2936</v>
      </c>
      <c r="C82" s="65">
        <v>3</v>
      </c>
      <c r="D82" s="66">
        <v>10</v>
      </c>
      <c r="E82" s="66">
        <v>10</v>
      </c>
      <c r="F82" s="66">
        <v>10</v>
      </c>
      <c r="G82" s="66">
        <v>10</v>
      </c>
      <c r="H82" s="66">
        <v>10</v>
      </c>
      <c r="I82" s="66">
        <v>10</v>
      </c>
      <c r="J82" s="710">
        <f>(VLOOKUP($C82,[2]Sheet1!$A$2:$P$18,$M82+1)/12)*12*D82</f>
        <v>2193361.7893036497</v>
      </c>
      <c r="K82" s="711"/>
      <c r="M82" s="62">
        <f t="shared" si="3"/>
        <v>5</v>
      </c>
    </row>
    <row r="83" spans="1:13">
      <c r="A83" s="63">
        <f t="shared" si="2"/>
        <v>70</v>
      </c>
      <c r="B83" s="65" t="s">
        <v>2936</v>
      </c>
      <c r="C83" s="65">
        <v>2</v>
      </c>
      <c r="D83" s="66">
        <v>0</v>
      </c>
      <c r="E83" s="66">
        <v>2</v>
      </c>
      <c r="F83" s="66">
        <v>2</v>
      </c>
      <c r="G83" s="66">
        <v>0</v>
      </c>
      <c r="H83" s="66">
        <v>0</v>
      </c>
      <c r="I83" s="66">
        <v>0</v>
      </c>
      <c r="J83" s="710">
        <f>(VLOOKUP($C83,[2]Sheet1!$A$2:$P$18,$M83+1)/12)*12*D83</f>
        <v>0</v>
      </c>
      <c r="K83" s="711"/>
      <c r="M83" s="62">
        <f t="shared" si="3"/>
        <v>5</v>
      </c>
    </row>
    <row r="84" spans="1:13">
      <c r="A84" s="63">
        <f t="shared" si="2"/>
        <v>71</v>
      </c>
      <c r="B84" s="65" t="s">
        <v>2936</v>
      </c>
      <c r="C84" s="65">
        <v>1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710">
        <f>(VLOOKUP($C84,[2]Sheet1!$A$2:$P$18,$M84+1)/12)*12*D84</f>
        <v>0</v>
      </c>
      <c r="K84" s="711"/>
      <c r="M84" s="62">
        <f t="shared" si="3"/>
        <v>5</v>
      </c>
    </row>
    <row r="85" spans="1:13">
      <c r="A85" s="63">
        <f t="shared" si="2"/>
        <v>72</v>
      </c>
      <c r="B85" s="65" t="s">
        <v>76</v>
      </c>
      <c r="C85" s="65">
        <v>3</v>
      </c>
      <c r="D85" s="66">
        <v>8</v>
      </c>
      <c r="E85" s="66">
        <v>10</v>
      </c>
      <c r="F85" s="66">
        <v>10</v>
      </c>
      <c r="G85" s="66">
        <v>8</v>
      </c>
      <c r="H85" s="66">
        <v>8</v>
      </c>
      <c r="I85" s="66">
        <v>8</v>
      </c>
      <c r="J85" s="710">
        <f>(VLOOKUP($C85,[2]Sheet1!$A$2:$P$18,$M85+1)/12)*12*D85</f>
        <v>1754689.4314429199</v>
      </c>
      <c r="K85" s="711"/>
      <c r="M85" s="62">
        <f t="shared" si="3"/>
        <v>5</v>
      </c>
    </row>
    <row r="86" spans="1:13" ht="13.5" thickBot="1">
      <c r="A86" s="63">
        <f>+A85+1</f>
        <v>73</v>
      </c>
      <c r="B86" s="65" t="s">
        <v>76</v>
      </c>
      <c r="C86" s="65">
        <v>2</v>
      </c>
      <c r="D86" s="66">
        <v>5</v>
      </c>
      <c r="E86" s="66">
        <v>5</v>
      </c>
      <c r="F86" s="66">
        <v>5</v>
      </c>
      <c r="G86" s="66">
        <v>5</v>
      </c>
      <c r="H86" s="66">
        <v>5</v>
      </c>
      <c r="I86" s="66">
        <v>5</v>
      </c>
      <c r="J86" s="710">
        <f>(VLOOKUP($C86,[2]Sheet1!$A$2:$P$18,$M86+1)/12)*12*D86</f>
        <v>1073286.8946518251</v>
      </c>
      <c r="K86" s="711"/>
      <c r="M86" s="62">
        <f t="shared" si="3"/>
        <v>5</v>
      </c>
    </row>
    <row r="87" spans="1:13" ht="15.75" thickTop="1">
      <c r="A87" s="1047" t="s">
        <v>2791</v>
      </c>
      <c r="B87" s="1049" t="s">
        <v>4126</v>
      </c>
      <c r="C87" s="1049" t="s">
        <v>854</v>
      </c>
      <c r="D87" s="1040" t="s">
        <v>4127</v>
      </c>
      <c r="E87" s="1041"/>
      <c r="F87" s="1041"/>
      <c r="G87" s="1040" t="s">
        <v>904</v>
      </c>
      <c r="H87" s="1041"/>
      <c r="I87" s="1042"/>
      <c r="J87" s="1035" t="s">
        <v>855</v>
      </c>
      <c r="K87" s="389"/>
    </row>
    <row r="88" spans="1:13" ht="26.25" thickBot="1">
      <c r="A88" s="1048"/>
      <c r="B88" s="1050"/>
      <c r="C88" s="1050"/>
      <c r="D88" s="285" t="s">
        <v>5505</v>
      </c>
      <c r="E88" s="285" t="s">
        <v>4485</v>
      </c>
      <c r="F88" s="285" t="s">
        <v>4486</v>
      </c>
      <c r="G88" s="287" t="s">
        <v>4487</v>
      </c>
      <c r="H88" s="285" t="s">
        <v>4488</v>
      </c>
      <c r="I88" s="287" t="s">
        <v>4489</v>
      </c>
      <c r="J88" s="1036"/>
      <c r="K88" s="712"/>
    </row>
    <row r="89" spans="1:13" ht="13.5" thickTop="1">
      <c r="A89" s="63">
        <f>+A86+1</f>
        <v>74</v>
      </c>
      <c r="B89" s="65" t="s">
        <v>76</v>
      </c>
      <c r="C89" s="65">
        <v>1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710">
        <f>(VLOOKUP($C89,[2]Sheet1!$A$2:$P$18,$M89+1)/12)*12*D89</f>
        <v>0</v>
      </c>
      <c r="K89" s="711"/>
      <c r="M89" s="62">
        <f t="shared" si="3"/>
        <v>5</v>
      </c>
    </row>
    <row r="90" spans="1:13">
      <c r="A90" s="63">
        <f>+A89+1</f>
        <v>75</v>
      </c>
      <c r="B90" s="65" t="s">
        <v>77</v>
      </c>
      <c r="C90" s="65">
        <v>4</v>
      </c>
      <c r="D90" s="66">
        <v>1</v>
      </c>
      <c r="E90" s="66">
        <v>1</v>
      </c>
      <c r="F90" s="66">
        <v>1</v>
      </c>
      <c r="G90" s="66">
        <v>1</v>
      </c>
      <c r="H90" s="66">
        <v>1</v>
      </c>
      <c r="I90" s="66">
        <v>1</v>
      </c>
      <c r="J90" s="710">
        <f>(VLOOKUP($C90,[2]Sheet1!$A$2:$P$18,$M90+1)/12)*12*D90</f>
        <v>224542.978930365</v>
      </c>
      <c r="K90" s="711"/>
      <c r="M90" s="62">
        <f t="shared" si="3"/>
        <v>5</v>
      </c>
    </row>
    <row r="91" spans="1:13">
      <c r="A91" s="63">
        <f>+A90+1</f>
        <v>76</v>
      </c>
      <c r="B91" s="65" t="s">
        <v>78</v>
      </c>
      <c r="C91" s="65">
        <v>3</v>
      </c>
      <c r="D91" s="66">
        <v>1</v>
      </c>
      <c r="E91" s="66">
        <v>1</v>
      </c>
      <c r="F91" s="66">
        <v>1</v>
      </c>
      <c r="G91" s="66">
        <v>1</v>
      </c>
      <c r="H91" s="66">
        <v>1</v>
      </c>
      <c r="I91" s="66">
        <v>1</v>
      </c>
      <c r="J91" s="710">
        <f>(VLOOKUP($C91,[2]Sheet1!$A$2:$P$18,$M91+1)/12)*12*D91</f>
        <v>219336.17893036499</v>
      </c>
      <c r="K91" s="711"/>
      <c r="M91" s="62">
        <f>IF(C91&gt;6,3,5)</f>
        <v>5</v>
      </c>
    </row>
    <row r="92" spans="1:13">
      <c r="A92" s="63">
        <f>+A91+1</f>
        <v>77</v>
      </c>
      <c r="B92" s="65" t="s">
        <v>3699</v>
      </c>
      <c r="C92" s="65">
        <v>2</v>
      </c>
      <c r="D92" s="66">
        <v>10</v>
      </c>
      <c r="E92" s="66">
        <v>10</v>
      </c>
      <c r="F92" s="66">
        <v>10</v>
      </c>
      <c r="G92" s="66">
        <v>10</v>
      </c>
      <c r="H92" s="66">
        <v>10</v>
      </c>
      <c r="I92" s="66">
        <v>10</v>
      </c>
      <c r="J92" s="710">
        <f>(VLOOKUP($C92,[2]Sheet1!$A$2:$P$18,$M92+1)/12)*12*D92</f>
        <v>2146573.7893036501</v>
      </c>
      <c r="K92" s="711"/>
      <c r="M92" s="62">
        <f>IF(C92&gt;6,3,5)</f>
        <v>5</v>
      </c>
    </row>
    <row r="93" spans="1:13">
      <c r="A93" s="63"/>
      <c r="B93" s="64" t="s">
        <v>3521</v>
      </c>
      <c r="C93" s="65"/>
      <c r="D93" s="66"/>
      <c r="E93" s="66"/>
      <c r="F93" s="66"/>
      <c r="G93" s="66"/>
      <c r="H93" s="66"/>
      <c r="I93" s="66"/>
      <c r="J93" s="713"/>
      <c r="K93" s="711"/>
    </row>
    <row r="94" spans="1:13">
      <c r="A94" s="63">
        <f>+A92+1</f>
        <v>78</v>
      </c>
      <c r="B94" s="65" t="s">
        <v>3679</v>
      </c>
      <c r="C94" s="65">
        <v>6</v>
      </c>
      <c r="D94" s="66">
        <v>1</v>
      </c>
      <c r="E94" s="66">
        <v>1</v>
      </c>
      <c r="F94" s="66">
        <v>1</v>
      </c>
      <c r="G94" s="66">
        <v>1</v>
      </c>
      <c r="H94" s="66">
        <v>1</v>
      </c>
      <c r="I94" s="66">
        <v>1</v>
      </c>
      <c r="J94" s="713">
        <f>(VLOOKUP($C94,[2]Sheet1!$A$2:$P$18,$M94+1)/12)*12*H94</f>
        <v>238099.37893036497</v>
      </c>
      <c r="K94" s="711"/>
      <c r="M94" s="62">
        <f t="shared" si="3"/>
        <v>5</v>
      </c>
    </row>
    <row r="95" spans="1:13">
      <c r="A95" s="63">
        <f t="shared" si="2"/>
        <v>79</v>
      </c>
      <c r="B95" s="65" t="s">
        <v>3522</v>
      </c>
      <c r="C95" s="65">
        <v>5</v>
      </c>
      <c r="D95" s="66">
        <v>1</v>
      </c>
      <c r="E95" s="66">
        <v>0</v>
      </c>
      <c r="F95" s="66">
        <v>0</v>
      </c>
      <c r="G95" s="66">
        <v>1</v>
      </c>
      <c r="H95" s="66">
        <v>1</v>
      </c>
      <c r="I95" s="66">
        <v>1</v>
      </c>
      <c r="J95" s="713">
        <f>(VLOOKUP($C95,[2]Sheet1!$A$2:$P$18,$M95+1)/12)*12*H95</f>
        <v>229569.77893036499</v>
      </c>
      <c r="K95" s="711"/>
      <c r="M95" s="62">
        <f t="shared" si="3"/>
        <v>5</v>
      </c>
    </row>
    <row r="96" spans="1:13">
      <c r="A96" s="63">
        <f t="shared" si="2"/>
        <v>80</v>
      </c>
      <c r="B96" s="65" t="s">
        <v>3523</v>
      </c>
      <c r="C96" s="65">
        <v>7</v>
      </c>
      <c r="D96" s="66">
        <v>1</v>
      </c>
      <c r="E96" s="66">
        <v>0</v>
      </c>
      <c r="F96" s="66">
        <v>0</v>
      </c>
      <c r="G96" s="66">
        <v>1</v>
      </c>
      <c r="H96" s="66">
        <v>1</v>
      </c>
      <c r="I96" s="66">
        <v>1</v>
      </c>
      <c r="J96" s="713">
        <f>(VLOOKUP($C96,[2]Sheet1!$A$2:$P$18,$M96+1)/12)*12*H96</f>
        <v>307706.70240000007</v>
      </c>
      <c r="K96" s="711"/>
      <c r="M96" s="62">
        <f t="shared" si="3"/>
        <v>3</v>
      </c>
    </row>
    <row r="97" spans="1:13">
      <c r="A97" s="63">
        <f t="shared" si="2"/>
        <v>81</v>
      </c>
      <c r="B97" s="65" t="s">
        <v>2784</v>
      </c>
      <c r="C97" s="65">
        <v>6</v>
      </c>
      <c r="D97" s="66">
        <v>1</v>
      </c>
      <c r="E97" s="66">
        <v>0</v>
      </c>
      <c r="F97" s="66">
        <v>0</v>
      </c>
      <c r="G97" s="66">
        <v>1</v>
      </c>
      <c r="H97" s="66">
        <v>1</v>
      </c>
      <c r="I97" s="66">
        <v>1</v>
      </c>
      <c r="J97" s="713">
        <f>(VLOOKUP($C97,[2]Sheet1!$A$2:$P$18,$M97+1)/12)*12*H97</f>
        <v>238099.37893036497</v>
      </c>
      <c r="K97" s="711"/>
      <c r="M97" s="62">
        <f t="shared" si="3"/>
        <v>5</v>
      </c>
    </row>
    <row r="98" spans="1:13">
      <c r="A98" s="63">
        <f t="shared" si="2"/>
        <v>82</v>
      </c>
      <c r="B98" s="65" t="s">
        <v>2785</v>
      </c>
      <c r="C98" s="65">
        <v>5</v>
      </c>
      <c r="D98" s="66">
        <v>1</v>
      </c>
      <c r="E98" s="66">
        <v>0</v>
      </c>
      <c r="F98" s="66">
        <v>0</v>
      </c>
      <c r="G98" s="66">
        <v>1</v>
      </c>
      <c r="H98" s="66">
        <v>1</v>
      </c>
      <c r="I98" s="66">
        <v>1</v>
      </c>
      <c r="J98" s="713">
        <f>(VLOOKUP($C98,[2]Sheet1!$A$2:$P$18,$M98+1)/12)*12*H98</f>
        <v>229569.77893036499</v>
      </c>
      <c r="K98" s="711"/>
      <c r="M98" s="62">
        <f t="shared" si="3"/>
        <v>5</v>
      </c>
    </row>
    <row r="99" spans="1:13">
      <c r="A99" s="63">
        <f t="shared" si="2"/>
        <v>83</v>
      </c>
      <c r="B99" s="65" t="s">
        <v>2874</v>
      </c>
      <c r="C99" s="65">
        <v>4</v>
      </c>
      <c r="D99" s="66">
        <v>1</v>
      </c>
      <c r="E99" s="66">
        <v>0</v>
      </c>
      <c r="F99" s="66">
        <v>0</v>
      </c>
      <c r="G99" s="66">
        <v>1</v>
      </c>
      <c r="H99" s="66">
        <v>1</v>
      </c>
      <c r="I99" s="66">
        <v>1</v>
      </c>
      <c r="J99" s="713">
        <f>(VLOOKUP($C99,[2]Sheet1!$A$2:$P$18,$M99+1)/12)*12*H99</f>
        <v>224542.978930365</v>
      </c>
      <c r="K99" s="711"/>
      <c r="M99" s="62">
        <f t="shared" si="3"/>
        <v>5</v>
      </c>
    </row>
    <row r="100" spans="1:13">
      <c r="A100" s="63">
        <f t="shared" si="2"/>
        <v>84</v>
      </c>
      <c r="B100" s="65" t="s">
        <v>2875</v>
      </c>
      <c r="C100" s="65">
        <v>3</v>
      </c>
      <c r="D100" s="66">
        <v>1</v>
      </c>
      <c r="E100" s="66">
        <v>0</v>
      </c>
      <c r="F100" s="66">
        <v>0</v>
      </c>
      <c r="G100" s="66">
        <v>1</v>
      </c>
      <c r="H100" s="66">
        <v>1</v>
      </c>
      <c r="I100" s="66">
        <v>1</v>
      </c>
      <c r="J100" s="713">
        <f>(VLOOKUP($C100,[2]Sheet1!$A$2:$P$18,$M100+1)/12)*12*H100</f>
        <v>219336.17893036499</v>
      </c>
      <c r="K100" s="711"/>
      <c r="M100" s="62">
        <f t="shared" si="3"/>
        <v>5</v>
      </c>
    </row>
    <row r="101" spans="1:13">
      <c r="A101" s="67"/>
      <c r="B101" s="714" t="s">
        <v>1684</v>
      </c>
      <c r="C101" s="68"/>
      <c r="D101" s="715">
        <f t="shared" ref="D101:I101" si="4">SUM(D7:D100)</f>
        <v>374</v>
      </c>
      <c r="E101" s="715">
        <f t="shared" si="4"/>
        <v>382</v>
      </c>
      <c r="F101" s="715">
        <f t="shared" si="4"/>
        <v>382</v>
      </c>
      <c r="G101" s="715">
        <f>SUM(G7:G100)</f>
        <v>332</v>
      </c>
      <c r="H101" s="715">
        <f t="shared" si="4"/>
        <v>374</v>
      </c>
      <c r="I101" s="715">
        <f t="shared" si="4"/>
        <v>332</v>
      </c>
      <c r="J101" s="716">
        <f>SUM(J7:J100)</f>
        <v>83884121.666636646</v>
      </c>
      <c r="K101" s="717"/>
      <c r="M101" s="62">
        <f t="shared" si="3"/>
        <v>5</v>
      </c>
    </row>
    <row r="102" spans="1:13">
      <c r="A102" s="63"/>
      <c r="B102" s="64" t="s">
        <v>1199</v>
      </c>
      <c r="C102" s="328"/>
      <c r="D102" s="718"/>
      <c r="E102" s="718"/>
      <c r="F102" s="718"/>
      <c r="G102" s="240" t="s">
        <v>243</v>
      </c>
      <c r="H102" s="240" t="s">
        <v>4130</v>
      </c>
      <c r="I102" s="240" t="s">
        <v>4202</v>
      </c>
      <c r="J102" s="241" t="s">
        <v>4200</v>
      </c>
      <c r="K102" s="375"/>
      <c r="M102" s="62">
        <f t="shared" si="3"/>
        <v>5</v>
      </c>
    </row>
    <row r="103" spans="1:13">
      <c r="A103" s="63">
        <v>1</v>
      </c>
      <c r="B103" s="65" t="s">
        <v>2786</v>
      </c>
      <c r="C103" s="65"/>
      <c r="D103" s="66"/>
      <c r="E103" s="71"/>
      <c r="F103" s="71"/>
      <c r="G103" s="70">
        <f>J101*0.2</f>
        <v>16776824.333327331</v>
      </c>
      <c r="H103" s="70">
        <f t="shared" ref="H103:I106" si="5">G103*1.02</f>
        <v>17112360.819993876</v>
      </c>
      <c r="I103" s="70">
        <f t="shared" si="5"/>
        <v>17454608.036393754</v>
      </c>
      <c r="J103" s="70">
        <f>SUM(G103:I103)</f>
        <v>51343793.189714961</v>
      </c>
      <c r="K103" s="239"/>
      <c r="M103" s="62">
        <f t="shared" si="3"/>
        <v>5</v>
      </c>
    </row>
    <row r="104" spans="1:13">
      <c r="A104" s="63">
        <f t="shared" si="2"/>
        <v>2</v>
      </c>
      <c r="B104" s="65" t="s">
        <v>2877</v>
      </c>
      <c r="C104" s="65"/>
      <c r="D104" s="66"/>
      <c r="E104" s="66"/>
      <c r="F104" s="66"/>
      <c r="G104" s="70">
        <f>G103/2</f>
        <v>8388412.1666636653</v>
      </c>
      <c r="H104" s="70">
        <f t="shared" si="5"/>
        <v>8556180.409996938</v>
      </c>
      <c r="I104" s="70">
        <f t="shared" si="5"/>
        <v>8727304.0181968771</v>
      </c>
      <c r="J104" s="70">
        <f>SUM(G104:I104)</f>
        <v>25671896.59485748</v>
      </c>
      <c r="K104" s="239"/>
      <c r="M104" s="62">
        <f t="shared" si="3"/>
        <v>5</v>
      </c>
    </row>
    <row r="105" spans="1:13">
      <c r="A105" s="63">
        <f t="shared" si="2"/>
        <v>3</v>
      </c>
      <c r="B105" s="65" t="s">
        <v>2878</v>
      </c>
      <c r="C105" s="65"/>
      <c r="D105" s="66"/>
      <c r="E105" s="66"/>
      <c r="F105" s="66"/>
      <c r="G105" s="70">
        <f>G104-94</f>
        <v>8388318.1666636653</v>
      </c>
      <c r="H105" s="70">
        <f t="shared" si="5"/>
        <v>8556084.529996939</v>
      </c>
      <c r="I105" s="70">
        <f t="shared" si="5"/>
        <v>8727206.2205968779</v>
      </c>
      <c r="J105" s="70">
        <f>SUM(G105:I105)</f>
        <v>25671608.91725748</v>
      </c>
      <c r="K105" s="239"/>
      <c r="M105" s="62">
        <f t="shared" si="3"/>
        <v>5</v>
      </c>
    </row>
    <row r="106" spans="1:13">
      <c r="A106" s="63">
        <f t="shared" si="2"/>
        <v>4</v>
      </c>
      <c r="B106" s="65" t="s">
        <v>1342</v>
      </c>
      <c r="C106" s="65"/>
      <c r="D106" s="66"/>
      <c r="E106" s="66"/>
      <c r="F106" s="66"/>
      <c r="G106" s="70">
        <f>445*10000</f>
        <v>4450000</v>
      </c>
      <c r="H106" s="70">
        <f t="shared" si="5"/>
        <v>4539000</v>
      </c>
      <c r="I106" s="70">
        <f t="shared" si="5"/>
        <v>4629780</v>
      </c>
      <c r="J106" s="70">
        <f>SUM(G106:I106)</f>
        <v>13618780</v>
      </c>
      <c r="K106" s="239"/>
      <c r="M106" s="62">
        <f t="shared" si="3"/>
        <v>5</v>
      </c>
    </row>
    <row r="107" spans="1:13">
      <c r="A107" s="63"/>
      <c r="B107" s="65"/>
      <c r="C107" s="65"/>
      <c r="D107" s="66"/>
      <c r="E107" s="66"/>
      <c r="F107" s="66"/>
      <c r="G107" s="70"/>
      <c r="H107" s="70"/>
      <c r="I107" s="70"/>
      <c r="J107" s="70"/>
      <c r="K107" s="239"/>
      <c r="M107" s="62">
        <f t="shared" si="3"/>
        <v>5</v>
      </c>
    </row>
    <row r="108" spans="1:13">
      <c r="A108" s="67"/>
      <c r="B108" s="714" t="s">
        <v>1933</v>
      </c>
      <c r="C108" s="68"/>
      <c r="D108" s="72"/>
      <c r="E108" s="72"/>
      <c r="F108" s="72"/>
      <c r="G108" s="719">
        <f>SUM(G103:G107)</f>
        <v>38003554.666654661</v>
      </c>
      <c r="H108" s="719">
        <v>27763008.463839997</v>
      </c>
      <c r="I108" s="719">
        <f>SUM(I103:I107)</f>
        <v>39538898.275187507</v>
      </c>
      <c r="J108" s="719">
        <f>SUM(J103:J107)</f>
        <v>116306078.70182991</v>
      </c>
      <c r="K108" s="720"/>
      <c r="M108" s="62">
        <f t="shared" si="3"/>
        <v>5</v>
      </c>
    </row>
    <row r="109" spans="1:13">
      <c r="A109" s="63"/>
      <c r="B109" s="65"/>
      <c r="C109" s="65"/>
      <c r="D109" s="66"/>
      <c r="E109" s="66"/>
      <c r="F109" s="66"/>
      <c r="G109" s="70"/>
      <c r="H109" s="70"/>
      <c r="I109" s="70"/>
      <c r="J109" s="70"/>
      <c r="K109" s="239"/>
      <c r="M109" s="62">
        <f t="shared" si="3"/>
        <v>5</v>
      </c>
    </row>
    <row r="110" spans="1:13">
      <c r="A110" s="63">
        <v>1</v>
      </c>
      <c r="B110" s="65" t="s">
        <v>1934</v>
      </c>
      <c r="C110" s="65"/>
      <c r="D110" s="66"/>
      <c r="E110" s="66"/>
      <c r="F110" s="66"/>
      <c r="G110" s="70">
        <f>G108+J101</f>
        <v>121887676.33329131</v>
      </c>
      <c r="H110" s="70">
        <v>60426401.574239999</v>
      </c>
      <c r="I110" s="70">
        <f>G110*1.04</f>
        <v>126763183.38662297</v>
      </c>
      <c r="J110" s="70">
        <f>SUM(G110:I110)</f>
        <v>309077261.29415429</v>
      </c>
      <c r="K110" s="239"/>
      <c r="M110" s="62">
        <f t="shared" si="3"/>
        <v>5</v>
      </c>
    </row>
    <row r="111" spans="1:13">
      <c r="A111" s="63">
        <f t="shared" si="2"/>
        <v>2</v>
      </c>
      <c r="B111" s="65" t="s">
        <v>129</v>
      </c>
      <c r="C111" s="65"/>
      <c r="D111" s="66"/>
      <c r="E111" s="66"/>
      <c r="F111" s="66"/>
      <c r="G111" s="70">
        <f>C142</f>
        <v>2300000000</v>
      </c>
      <c r="H111" s="70">
        <f>D142</f>
        <v>1348300000</v>
      </c>
      <c r="I111" s="70">
        <f>E142</f>
        <v>2126100000</v>
      </c>
      <c r="J111" s="70">
        <f>SUM(G111:I111)</f>
        <v>5774400000</v>
      </c>
      <c r="K111" s="239"/>
      <c r="M111" s="62">
        <f t="shared" si="3"/>
        <v>5</v>
      </c>
    </row>
    <row r="112" spans="1:13">
      <c r="A112" s="63"/>
      <c r="B112" s="65"/>
      <c r="C112" s="65"/>
      <c r="D112" s="66"/>
      <c r="E112" s="66"/>
      <c r="F112" s="66"/>
      <c r="G112" s="70"/>
      <c r="H112" s="70"/>
      <c r="I112" s="70"/>
      <c r="J112" s="70"/>
      <c r="K112" s="239"/>
      <c r="M112" s="62">
        <f t="shared" si="3"/>
        <v>5</v>
      </c>
    </row>
    <row r="113" spans="1:13" ht="13.5" thickBot="1">
      <c r="A113" s="73"/>
      <c r="B113" s="721" t="s">
        <v>2241</v>
      </c>
      <c r="C113" s="74"/>
      <c r="D113" s="75" t="s">
        <v>4494</v>
      </c>
      <c r="E113" s="75"/>
      <c r="F113" s="75"/>
      <c r="G113" s="722">
        <f>+G111+G110</f>
        <v>2421887676.3332915</v>
      </c>
      <c r="H113" s="722">
        <f>+H111+H110</f>
        <v>1408726401.57424</v>
      </c>
      <c r="I113" s="722">
        <f>+I111+I110</f>
        <v>2252863183.3866229</v>
      </c>
      <c r="J113" s="722">
        <f>+J111+J110</f>
        <v>6083477261.2941542</v>
      </c>
      <c r="K113" s="720"/>
      <c r="M113" s="62">
        <f t="shared" si="3"/>
        <v>5</v>
      </c>
    </row>
    <row r="114" spans="1:13" ht="13.5" thickTop="1">
      <c r="C114" s="77"/>
      <c r="D114" s="78" t="s">
        <v>5434</v>
      </c>
      <c r="M114" s="62">
        <f t="shared" si="3"/>
        <v>5</v>
      </c>
    </row>
    <row r="115" spans="1:13">
      <c r="A115" s="723"/>
      <c r="B115" s="724"/>
      <c r="C115" s="77"/>
      <c r="D115" s="78" t="s">
        <v>716</v>
      </c>
      <c r="E115" s="723"/>
      <c r="F115" s="725"/>
      <c r="G115" s="725"/>
      <c r="H115" s="725"/>
      <c r="I115" s="725"/>
      <c r="M115" s="62">
        <f t="shared" si="3"/>
        <v>5</v>
      </c>
    </row>
    <row r="116" spans="1:13">
      <c r="A116" s="723"/>
      <c r="B116" s="724"/>
      <c r="C116" s="79" t="s">
        <v>717</v>
      </c>
      <c r="D116" s="78" t="s">
        <v>3592</v>
      </c>
      <c r="E116" s="723"/>
      <c r="F116" s="725"/>
      <c r="G116" s="725"/>
      <c r="H116" s="725"/>
      <c r="I116" s="725"/>
      <c r="M116" s="62">
        <f t="shared" si="3"/>
        <v>3</v>
      </c>
    </row>
    <row r="117" spans="1:13">
      <c r="A117" s="723"/>
      <c r="B117" s="723"/>
      <c r="C117" s="79" t="s">
        <v>718</v>
      </c>
      <c r="D117" s="78" t="s">
        <v>719</v>
      </c>
      <c r="E117" s="723"/>
      <c r="F117" s="725"/>
      <c r="G117" s="725"/>
      <c r="H117" s="725"/>
      <c r="I117" s="725"/>
      <c r="M117" s="62">
        <f t="shared" si="3"/>
        <v>3</v>
      </c>
    </row>
    <row r="118" spans="1:13" ht="15">
      <c r="A118" s="634" t="s">
        <v>1839</v>
      </c>
      <c r="B118" s="635" t="s">
        <v>903</v>
      </c>
      <c r="C118" s="1037" t="s">
        <v>4127</v>
      </c>
      <c r="D118" s="1038"/>
      <c r="E118" s="1039"/>
      <c r="F118" s="635" t="s">
        <v>1684</v>
      </c>
      <c r="G118" s="1037" t="s">
        <v>4132</v>
      </c>
      <c r="H118" s="1038"/>
      <c r="I118" s="1039"/>
      <c r="J118" s="726"/>
      <c r="K118" s="727"/>
    </row>
    <row r="119" spans="1:13">
      <c r="A119" s="636" t="s">
        <v>1620</v>
      </c>
      <c r="B119" s="637"/>
      <c r="C119" s="635" t="s">
        <v>1841</v>
      </c>
      <c r="D119" s="635" t="s">
        <v>4133</v>
      </c>
      <c r="E119" s="635" t="s">
        <v>4133</v>
      </c>
      <c r="F119" s="1056" t="s">
        <v>4200</v>
      </c>
      <c r="G119" s="634" t="s">
        <v>4135</v>
      </c>
      <c r="H119" s="1051" t="s">
        <v>4182</v>
      </c>
      <c r="I119" s="634" t="s">
        <v>4135</v>
      </c>
      <c r="J119" s="728" t="s">
        <v>4136</v>
      </c>
      <c r="K119" s="727"/>
    </row>
    <row r="120" spans="1:13" ht="12.75" customHeight="1">
      <c r="A120" s="638" t="s">
        <v>387</v>
      </c>
      <c r="B120" s="639"/>
      <c r="C120" s="638">
        <v>2015</v>
      </c>
      <c r="D120" s="638">
        <v>2016</v>
      </c>
      <c r="E120" s="638">
        <v>2017</v>
      </c>
      <c r="F120" s="1057"/>
      <c r="G120" s="638" t="s">
        <v>4304</v>
      </c>
      <c r="H120" s="1052"/>
      <c r="I120" s="638" t="s">
        <v>4303</v>
      </c>
      <c r="J120" s="639"/>
      <c r="K120" s="729"/>
    </row>
    <row r="121" spans="1:13">
      <c r="A121" s="730"/>
      <c r="B121" s="730"/>
      <c r="C121" s="731"/>
      <c r="D121" s="731"/>
      <c r="E121" s="731"/>
      <c r="F121" s="158"/>
      <c r="G121" s="731"/>
      <c r="H121" s="390"/>
      <c r="I121" s="731"/>
      <c r="J121" s="731"/>
      <c r="K121" s="732"/>
      <c r="M121" s="62" t="e">
        <f>IF(#REF!&gt;6,3,5)</f>
        <v>#REF!</v>
      </c>
    </row>
    <row r="122" spans="1:13">
      <c r="A122" s="730">
        <v>2</v>
      </c>
      <c r="B122" s="733" t="s">
        <v>1695</v>
      </c>
      <c r="C122" s="390">
        <v>32000000</v>
      </c>
      <c r="D122" s="390">
        <v>40000000</v>
      </c>
      <c r="E122" s="390">
        <v>40000000</v>
      </c>
      <c r="F122" s="288">
        <f>SUM(C122:E122)</f>
        <v>112000000</v>
      </c>
      <c r="G122" s="390">
        <v>20150000</v>
      </c>
      <c r="H122" s="390">
        <v>33000000</v>
      </c>
      <c r="I122" s="390">
        <v>6910500</v>
      </c>
      <c r="J122" s="390"/>
      <c r="K122" s="734"/>
      <c r="M122" s="62" t="e">
        <f>IF(#REF!&gt;6,3,5)</f>
        <v>#REF!</v>
      </c>
    </row>
    <row r="123" spans="1:13">
      <c r="A123" s="730">
        <f t="shared" ref="A123:A139" si="6">+A122+1</f>
        <v>3</v>
      </c>
      <c r="B123" s="733" t="s">
        <v>1696</v>
      </c>
      <c r="C123" s="390" t="s">
        <v>3007</v>
      </c>
      <c r="D123" s="390" t="s">
        <v>3007</v>
      </c>
      <c r="E123" s="390" t="s">
        <v>3007</v>
      </c>
      <c r="F123" s="288">
        <f t="shared" ref="F123:F138" si="7">SUM(C123:E123)</f>
        <v>0</v>
      </c>
      <c r="G123" s="390"/>
      <c r="H123" s="390" t="s">
        <v>3007</v>
      </c>
      <c r="I123" s="390"/>
      <c r="J123" s="390"/>
      <c r="K123" s="734"/>
      <c r="M123" s="62" t="e">
        <f>IF(#REF!&gt;6,3,5)</f>
        <v>#REF!</v>
      </c>
    </row>
    <row r="124" spans="1:13">
      <c r="A124" s="730">
        <f t="shared" si="6"/>
        <v>4</v>
      </c>
      <c r="B124" s="733" t="s">
        <v>1701</v>
      </c>
      <c r="C124" s="390" t="s">
        <v>3007</v>
      </c>
      <c r="D124" s="390">
        <v>7000000</v>
      </c>
      <c r="E124" s="390">
        <v>7000000</v>
      </c>
      <c r="F124" s="288">
        <f t="shared" si="7"/>
        <v>14000000</v>
      </c>
      <c r="G124" s="390"/>
      <c r="H124" s="390" t="s">
        <v>3007</v>
      </c>
      <c r="I124" s="390"/>
      <c r="J124" s="390"/>
      <c r="K124" s="734"/>
      <c r="M124" s="62" t="e">
        <f>IF(#REF!&gt;6,3,5)</f>
        <v>#REF!</v>
      </c>
    </row>
    <row r="125" spans="1:13">
      <c r="A125" s="730">
        <f t="shared" si="6"/>
        <v>5</v>
      </c>
      <c r="B125" s="733" t="s">
        <v>1702</v>
      </c>
      <c r="C125" s="390">
        <v>5000000</v>
      </c>
      <c r="D125" s="390">
        <v>10000000</v>
      </c>
      <c r="E125" s="390">
        <v>25000000</v>
      </c>
      <c r="F125" s="288">
        <f t="shared" si="7"/>
        <v>40000000</v>
      </c>
      <c r="G125" s="390">
        <v>4526076</v>
      </c>
      <c r="H125" s="390">
        <v>7000000</v>
      </c>
      <c r="I125" s="390">
        <v>593000</v>
      </c>
      <c r="J125" s="390"/>
      <c r="K125" s="734"/>
      <c r="M125" s="62" t="e">
        <f>IF(#REF!&gt;6,3,5)</f>
        <v>#REF!</v>
      </c>
    </row>
    <row r="126" spans="1:13" ht="25.5">
      <c r="A126" s="730">
        <f t="shared" si="6"/>
        <v>6</v>
      </c>
      <c r="B126" s="733" t="s">
        <v>1544</v>
      </c>
      <c r="C126" s="390">
        <v>35000000</v>
      </c>
      <c r="D126" s="390">
        <v>10000000</v>
      </c>
      <c r="E126" s="390">
        <v>25000000</v>
      </c>
      <c r="F126" s="288">
        <f t="shared" si="7"/>
        <v>70000000</v>
      </c>
      <c r="G126" s="390">
        <v>6070000</v>
      </c>
      <c r="H126" s="390">
        <v>10000000</v>
      </c>
      <c r="I126" s="390">
        <v>4472500</v>
      </c>
      <c r="J126" s="390"/>
      <c r="K126" s="734"/>
      <c r="M126" s="62" t="e">
        <f>IF(#REF!&gt;6,3,5)</f>
        <v>#REF!</v>
      </c>
    </row>
    <row r="127" spans="1:13">
      <c r="A127" s="730">
        <f t="shared" si="6"/>
        <v>7</v>
      </c>
      <c r="B127" s="733" t="s">
        <v>897</v>
      </c>
      <c r="C127" s="390">
        <v>70000000</v>
      </c>
      <c r="D127" s="390">
        <v>55000000</v>
      </c>
      <c r="E127" s="390">
        <v>100000000</v>
      </c>
      <c r="F127" s="288">
        <f t="shared" si="7"/>
        <v>225000000</v>
      </c>
      <c r="G127" s="390">
        <v>27052000</v>
      </c>
      <c r="H127" s="390">
        <v>25000000</v>
      </c>
      <c r="I127" s="390">
        <v>20733100</v>
      </c>
      <c r="J127" s="390"/>
      <c r="K127" s="734"/>
      <c r="M127" s="62" t="e">
        <f>IF(#REF!&gt;6,3,5)</f>
        <v>#REF!</v>
      </c>
    </row>
    <row r="128" spans="1:13">
      <c r="A128" s="730">
        <f t="shared" si="6"/>
        <v>8</v>
      </c>
      <c r="B128" s="733" t="s">
        <v>1385</v>
      </c>
      <c r="C128" s="390" t="s">
        <v>3007</v>
      </c>
      <c r="D128" s="390" t="s">
        <v>3007</v>
      </c>
      <c r="E128" s="390"/>
      <c r="F128" s="288">
        <f t="shared" si="7"/>
        <v>0</v>
      </c>
      <c r="G128" s="390"/>
      <c r="H128" s="390" t="s">
        <v>3007</v>
      </c>
      <c r="I128" s="390"/>
      <c r="J128" s="390"/>
      <c r="K128" s="734"/>
      <c r="M128" s="62" t="e">
        <f>IF(#REF!&gt;6,3,5)</f>
        <v>#REF!</v>
      </c>
    </row>
    <row r="129" spans="1:13">
      <c r="A129" s="730">
        <f t="shared" si="6"/>
        <v>9</v>
      </c>
      <c r="B129" s="733" t="s">
        <v>2061</v>
      </c>
      <c r="C129" s="390" t="s">
        <v>3007</v>
      </c>
      <c r="D129" s="390" t="s">
        <v>3007</v>
      </c>
      <c r="E129" s="390"/>
      <c r="F129" s="288">
        <f t="shared" si="7"/>
        <v>0</v>
      </c>
      <c r="G129" s="390"/>
      <c r="H129" s="390" t="s">
        <v>3007</v>
      </c>
      <c r="I129" s="390"/>
      <c r="J129" s="390"/>
      <c r="K129" s="734"/>
      <c r="M129" s="62" t="e">
        <f>IF(#REF!&gt;6,3,5)</f>
        <v>#REF!</v>
      </c>
    </row>
    <row r="130" spans="1:13">
      <c r="A130" s="730">
        <f t="shared" si="6"/>
        <v>10</v>
      </c>
      <c r="B130" s="733" t="s">
        <v>1680</v>
      </c>
      <c r="C130" s="390">
        <v>1000000</v>
      </c>
      <c r="D130" s="390">
        <v>3000000</v>
      </c>
      <c r="E130" s="390">
        <v>4000000</v>
      </c>
      <c r="F130" s="288">
        <f t="shared" si="7"/>
        <v>8000000</v>
      </c>
      <c r="G130" s="390"/>
      <c r="H130" s="390">
        <v>2000000</v>
      </c>
      <c r="I130" s="731">
        <v>0</v>
      </c>
      <c r="J130" s="390"/>
      <c r="K130" s="734"/>
      <c r="M130" s="62" t="e">
        <f>IF(#REF!&gt;6,3,5)</f>
        <v>#REF!</v>
      </c>
    </row>
    <row r="131" spans="1:13">
      <c r="A131" s="730">
        <f t="shared" si="6"/>
        <v>11</v>
      </c>
      <c r="B131" s="733" t="s">
        <v>1681</v>
      </c>
      <c r="C131" s="390">
        <v>100000000</v>
      </c>
      <c r="D131" s="390">
        <f>C131*1.05</f>
        <v>105000000</v>
      </c>
      <c r="E131" s="390">
        <v>400000000</v>
      </c>
      <c r="F131" s="288">
        <f t="shared" si="7"/>
        <v>605000000</v>
      </c>
      <c r="G131" s="390">
        <v>44146000</v>
      </c>
      <c r="H131" s="390">
        <v>100000000</v>
      </c>
      <c r="I131" s="390">
        <v>17759750</v>
      </c>
      <c r="J131" s="390"/>
      <c r="K131" s="734"/>
      <c r="M131" s="62" t="e">
        <f>IF(#REF!&gt;6,3,5)</f>
        <v>#REF!</v>
      </c>
    </row>
    <row r="132" spans="1:13">
      <c r="A132" s="730">
        <f t="shared" si="6"/>
        <v>12</v>
      </c>
      <c r="B132" s="733" t="s">
        <v>1682</v>
      </c>
      <c r="C132" s="390">
        <v>200000000</v>
      </c>
      <c r="D132" s="390">
        <v>200000000</v>
      </c>
      <c r="E132" s="390">
        <v>400000000</v>
      </c>
      <c r="F132" s="288">
        <f t="shared" si="7"/>
        <v>800000000</v>
      </c>
      <c r="G132" s="390">
        <v>126000000</v>
      </c>
      <c r="H132" s="390">
        <v>250000000</v>
      </c>
      <c r="I132" s="390">
        <f>63180650+4480000+133400000+80960000+130000000</f>
        <v>412020650</v>
      </c>
      <c r="J132" s="390"/>
      <c r="K132" s="734"/>
      <c r="M132" s="62" t="e">
        <f>IF(#REF!&gt;6,3,5)</f>
        <v>#REF!</v>
      </c>
    </row>
    <row r="133" spans="1:13">
      <c r="A133" s="730">
        <f t="shared" si="6"/>
        <v>13</v>
      </c>
      <c r="B133" s="733" t="s">
        <v>2249</v>
      </c>
      <c r="C133" s="390">
        <v>100000</v>
      </c>
      <c r="D133" s="390">
        <v>300000</v>
      </c>
      <c r="E133" s="390">
        <v>1000000</v>
      </c>
      <c r="F133" s="288">
        <f t="shared" si="7"/>
        <v>1400000</v>
      </c>
      <c r="G133" s="390"/>
      <c r="H133" s="390">
        <v>100000</v>
      </c>
      <c r="I133" s="731">
        <v>0</v>
      </c>
      <c r="J133" s="390"/>
      <c r="K133" s="734"/>
      <c r="M133" s="62" t="e">
        <f>IF(#REF!&gt;6,3,5)</f>
        <v>#REF!</v>
      </c>
    </row>
    <row r="134" spans="1:13">
      <c r="A134" s="730">
        <f t="shared" si="6"/>
        <v>14</v>
      </c>
      <c r="B134" s="733" t="s">
        <v>1683</v>
      </c>
      <c r="C134" s="390">
        <v>500000</v>
      </c>
      <c r="D134" s="390">
        <v>1000000</v>
      </c>
      <c r="E134" s="390">
        <v>2000000</v>
      </c>
      <c r="F134" s="288">
        <f t="shared" si="7"/>
        <v>3500000</v>
      </c>
      <c r="G134" s="390"/>
      <c r="H134" s="390">
        <v>1000000</v>
      </c>
      <c r="I134" s="731">
        <v>0</v>
      </c>
      <c r="J134" s="390"/>
      <c r="K134" s="734"/>
      <c r="M134" s="62" t="e">
        <f>IF(#REF!&gt;6,3,5)</f>
        <v>#REF!</v>
      </c>
    </row>
    <row r="135" spans="1:13" ht="25.5">
      <c r="A135" s="730">
        <f t="shared" si="6"/>
        <v>15</v>
      </c>
      <c r="B135" s="733" t="s">
        <v>1523</v>
      </c>
      <c r="C135" s="390">
        <v>0</v>
      </c>
      <c r="D135" s="390">
        <v>1000000</v>
      </c>
      <c r="E135" s="390">
        <v>2000000</v>
      </c>
      <c r="F135" s="288">
        <f t="shared" si="7"/>
        <v>3000000</v>
      </c>
      <c r="G135" s="390"/>
      <c r="H135" s="390">
        <v>0</v>
      </c>
      <c r="I135" s="390">
        <v>0</v>
      </c>
      <c r="J135" s="390"/>
      <c r="K135" s="734"/>
      <c r="M135" s="62" t="e">
        <f>IF(#REF!&gt;6,3,5)</f>
        <v>#REF!</v>
      </c>
    </row>
    <row r="136" spans="1:13">
      <c r="A136" s="730">
        <f t="shared" si="6"/>
        <v>16</v>
      </c>
      <c r="B136" s="733" t="s">
        <v>1524</v>
      </c>
      <c r="C136" s="390">
        <v>0</v>
      </c>
      <c r="D136" s="390" t="s">
        <v>3007</v>
      </c>
      <c r="E136" s="731">
        <v>100000</v>
      </c>
      <c r="F136" s="288">
        <f t="shared" si="7"/>
        <v>100000</v>
      </c>
      <c r="G136" s="390"/>
      <c r="H136" s="390">
        <v>0</v>
      </c>
      <c r="I136" s="390">
        <v>0</v>
      </c>
      <c r="J136" s="390"/>
      <c r="K136" s="734"/>
      <c r="M136" s="62" t="e">
        <f>IF(#REF!&gt;6,3,5)</f>
        <v>#REF!</v>
      </c>
    </row>
    <row r="137" spans="1:13">
      <c r="A137" s="730">
        <f t="shared" si="6"/>
        <v>17</v>
      </c>
      <c r="B137" s="733" t="s">
        <v>3642</v>
      </c>
      <c r="C137" s="390">
        <v>0</v>
      </c>
      <c r="D137" s="731">
        <v>16000000</v>
      </c>
      <c r="E137" s="731">
        <v>20000000</v>
      </c>
      <c r="F137" s="288">
        <f t="shared" si="7"/>
        <v>36000000</v>
      </c>
      <c r="G137" s="731">
        <v>11267000</v>
      </c>
      <c r="H137" s="390">
        <v>0</v>
      </c>
      <c r="I137" s="731">
        <v>0</v>
      </c>
      <c r="J137" s="390"/>
      <c r="K137" s="734"/>
      <c r="M137" s="62" t="e">
        <f>IF(#REF!&gt;6,3,5)</f>
        <v>#REF!</v>
      </c>
    </row>
    <row r="138" spans="1:13" ht="24">
      <c r="A138" s="730">
        <f t="shared" si="6"/>
        <v>18</v>
      </c>
      <c r="B138" s="735" t="s">
        <v>3643</v>
      </c>
      <c r="C138" s="731">
        <v>156400000</v>
      </c>
      <c r="D138" s="731">
        <v>100000000</v>
      </c>
      <c r="E138" s="731">
        <v>200000000</v>
      </c>
      <c r="F138" s="288">
        <f t="shared" si="7"/>
        <v>456400000</v>
      </c>
      <c r="G138" s="731">
        <v>37070000</v>
      </c>
      <c r="H138" s="731">
        <v>193000000</v>
      </c>
      <c r="I138" s="731">
        <f>51350800+10000000+10000000</f>
        <v>71350800</v>
      </c>
      <c r="J138" s="390"/>
      <c r="K138" s="734"/>
      <c r="M138" s="62" t="e">
        <f>IF(#REF!&gt;6,3,5)</f>
        <v>#REF!</v>
      </c>
    </row>
    <row r="139" spans="1:13">
      <c r="A139" s="730">
        <f t="shared" si="6"/>
        <v>19</v>
      </c>
      <c r="B139" s="733" t="s">
        <v>2367</v>
      </c>
      <c r="C139" s="731" t="s">
        <v>3007</v>
      </c>
      <c r="D139" s="731" t="s">
        <v>3007</v>
      </c>
      <c r="E139" s="731" t="s">
        <v>3007</v>
      </c>
      <c r="F139" s="158"/>
      <c r="G139" s="731">
        <v>0</v>
      </c>
      <c r="H139" s="731" t="s">
        <v>3007</v>
      </c>
      <c r="I139" s="731">
        <v>0</v>
      </c>
      <c r="J139" s="390"/>
      <c r="K139" s="734"/>
      <c r="M139" s="62" t="e">
        <f>IF(#REF!&gt;6,3,5)</f>
        <v>#REF!</v>
      </c>
    </row>
    <row r="140" spans="1:13">
      <c r="A140" s="730">
        <v>20</v>
      </c>
      <c r="B140" s="736" t="s">
        <v>4098</v>
      </c>
      <c r="C140" s="737">
        <v>1700000000</v>
      </c>
      <c r="D140" s="737">
        <v>800000000</v>
      </c>
      <c r="E140" s="737">
        <v>900000000</v>
      </c>
      <c r="F140" s="737">
        <v>1400000000</v>
      </c>
      <c r="G140" s="737">
        <v>554632000</v>
      </c>
      <c r="H140" s="737">
        <v>603000000</v>
      </c>
      <c r="I140" s="737">
        <f>316652000+10000000+10000000+36936000+29922000+36936000+42549000+600000+19100000+33279000+10000000+29922000+6582000+36936000+18000000+7300000+35000000+33279000+6582000+763800+52683400+1100000+42649500+18462000+2350000+42649500+18462000+2350000+36936000+5000000+2500000+500000+400000+300000+7300000+6647400+763800</f>
        <v>961392400</v>
      </c>
      <c r="J140" s="731">
        <f>6647400+36936000+9100000</f>
        <v>52683400</v>
      </c>
      <c r="K140" s="732"/>
      <c r="M140" s="62" t="e">
        <f>IF(#REF!&gt;6,3,5)</f>
        <v>#REF!</v>
      </c>
    </row>
    <row r="141" spans="1:13">
      <c r="A141" s="730"/>
      <c r="B141" s="730"/>
      <c r="C141" s="390"/>
      <c r="D141" s="390"/>
      <c r="E141" s="390"/>
      <c r="F141" s="158"/>
      <c r="G141" s="390"/>
      <c r="H141" s="390"/>
      <c r="I141" s="390"/>
      <c r="J141" s="390"/>
      <c r="K141" s="734"/>
      <c r="M141" s="62" t="e">
        <f>IF(#REF!&gt;6,3,5)</f>
        <v>#REF!</v>
      </c>
    </row>
    <row r="142" spans="1:13">
      <c r="A142" s="738"/>
      <c r="B142" s="738" t="s">
        <v>1684</v>
      </c>
      <c r="C142" s="739">
        <f t="shared" ref="C142:I142" si="8">SUM(C121:C141)</f>
        <v>2300000000</v>
      </c>
      <c r="D142" s="739">
        <f t="shared" si="8"/>
        <v>1348300000</v>
      </c>
      <c r="E142" s="739">
        <f t="shared" si="8"/>
        <v>2126100000</v>
      </c>
      <c r="F142" s="739">
        <f t="shared" si="8"/>
        <v>3774400000</v>
      </c>
      <c r="G142" s="739">
        <f t="shared" si="8"/>
        <v>830913076</v>
      </c>
      <c r="H142" s="739">
        <f t="shared" si="8"/>
        <v>1224100000</v>
      </c>
      <c r="I142" s="739">
        <f t="shared" si="8"/>
        <v>1495232700</v>
      </c>
      <c r="J142" s="739"/>
      <c r="K142" s="740"/>
      <c r="M142" s="62" t="e">
        <f>IF(#REF!&gt;6,3,5)</f>
        <v>#REF!</v>
      </c>
    </row>
    <row r="143" spans="1:13" ht="15">
      <c r="J143" s="584"/>
      <c r="K143" s="584"/>
      <c r="M143" s="62">
        <f>IF(C143&gt;6,3,5)</f>
        <v>5</v>
      </c>
    </row>
    <row r="144" spans="1:13" ht="15">
      <c r="C144" s="77"/>
      <c r="D144" s="78" t="s">
        <v>5434</v>
      </c>
      <c r="J144" s="584"/>
      <c r="K144" s="584"/>
      <c r="M144" s="62">
        <f>IF(C144&gt;6,3,5)</f>
        <v>5</v>
      </c>
    </row>
    <row r="145" spans="1:13" ht="15">
      <c r="A145" s="723"/>
      <c r="B145" s="724"/>
      <c r="C145" s="77"/>
      <c r="D145" s="78" t="s">
        <v>716</v>
      </c>
      <c r="E145" s="723"/>
      <c r="F145" s="725"/>
      <c r="G145" s="725"/>
      <c r="H145" s="725"/>
      <c r="I145" s="725"/>
      <c r="J145" s="584"/>
      <c r="K145" s="584"/>
      <c r="M145" s="62">
        <f>IF(C145&gt;6,3,5)</f>
        <v>5</v>
      </c>
    </row>
    <row r="146" spans="1:13" ht="15">
      <c r="A146" s="723"/>
      <c r="B146" s="724"/>
      <c r="C146" s="79" t="s">
        <v>717</v>
      </c>
      <c r="D146" s="741" t="s">
        <v>381</v>
      </c>
      <c r="E146" s="723"/>
      <c r="F146" s="725"/>
      <c r="G146" s="725"/>
      <c r="H146" s="725"/>
      <c r="I146" s="725"/>
      <c r="J146" s="584"/>
      <c r="K146" s="584"/>
      <c r="M146" s="62">
        <f>IF(C146&gt;6,3,5)</f>
        <v>3</v>
      </c>
    </row>
    <row r="147" spans="1:13" ht="15">
      <c r="A147" s="723"/>
      <c r="B147" s="723"/>
      <c r="C147" s="79" t="s">
        <v>718</v>
      </c>
      <c r="D147" s="78" t="s">
        <v>2368</v>
      </c>
      <c r="E147" s="723"/>
      <c r="F147" s="725"/>
      <c r="G147" s="725"/>
      <c r="H147" s="725"/>
      <c r="I147" s="725"/>
      <c r="J147" s="584"/>
      <c r="K147" s="584"/>
      <c r="M147" s="62">
        <f>IF(C147&gt;6,3,5)</f>
        <v>3</v>
      </c>
    </row>
    <row r="148" spans="1:13" ht="15">
      <c r="A148" s="634" t="s">
        <v>1839</v>
      </c>
      <c r="B148" s="635" t="s">
        <v>903</v>
      </c>
      <c r="C148" s="1037" t="s">
        <v>4127</v>
      </c>
      <c r="D148" s="1038"/>
      <c r="E148" s="1039"/>
      <c r="F148" s="635" t="s">
        <v>1684</v>
      </c>
      <c r="G148" s="1037" t="s">
        <v>4132</v>
      </c>
      <c r="H148" s="1038"/>
      <c r="I148" s="1039"/>
      <c r="J148" s="726"/>
      <c r="K148" s="727"/>
    </row>
    <row r="149" spans="1:13">
      <c r="A149" s="636" t="s">
        <v>1620</v>
      </c>
      <c r="B149" s="637"/>
      <c r="C149" s="635" t="s">
        <v>1841</v>
      </c>
      <c r="D149" s="635" t="s">
        <v>4133</v>
      </c>
      <c r="E149" s="635" t="s">
        <v>4133</v>
      </c>
      <c r="F149" s="1056" t="s">
        <v>4200</v>
      </c>
      <c r="G149" s="634" t="s">
        <v>4135</v>
      </c>
      <c r="H149" s="1051" t="s">
        <v>4182</v>
      </c>
      <c r="I149" s="634" t="s">
        <v>4135</v>
      </c>
      <c r="J149" s="728" t="s">
        <v>4136</v>
      </c>
      <c r="K149" s="727"/>
    </row>
    <row r="150" spans="1:13" ht="12.75" customHeight="1">
      <c r="A150" s="638" t="s">
        <v>387</v>
      </c>
      <c r="B150" s="639"/>
      <c r="C150" s="638">
        <v>2015</v>
      </c>
      <c r="D150" s="638">
        <v>2016</v>
      </c>
      <c r="E150" s="638">
        <v>2017</v>
      </c>
      <c r="F150" s="1057"/>
      <c r="G150" s="638" t="s">
        <v>4304</v>
      </c>
      <c r="H150" s="1052"/>
      <c r="I150" s="638" t="s">
        <v>4303</v>
      </c>
      <c r="J150" s="639"/>
      <c r="K150" s="729"/>
    </row>
    <row r="151" spans="1:13">
      <c r="A151" s="730"/>
      <c r="B151" s="730"/>
      <c r="C151" s="390"/>
      <c r="D151" s="390"/>
      <c r="E151" s="390"/>
      <c r="F151" s="289"/>
      <c r="G151" s="390"/>
      <c r="H151" s="390"/>
      <c r="I151" s="390"/>
      <c r="J151" s="390"/>
      <c r="K151" s="734"/>
      <c r="M151" s="62" t="e">
        <f>IF(#REF!&gt;6,3,5)</f>
        <v>#REF!</v>
      </c>
    </row>
    <row r="152" spans="1:13">
      <c r="A152" s="730">
        <v>2</v>
      </c>
      <c r="B152" s="730" t="s">
        <v>1695</v>
      </c>
      <c r="C152" s="731">
        <v>1000000</v>
      </c>
      <c r="D152" s="731">
        <v>5000000</v>
      </c>
      <c r="E152" s="731">
        <v>5000000</v>
      </c>
      <c r="F152" s="289">
        <f>SUM(C152:E152)</f>
        <v>11000000</v>
      </c>
      <c r="G152" s="731">
        <v>0</v>
      </c>
      <c r="H152" s="731" t="s">
        <v>3007</v>
      </c>
      <c r="I152" s="390">
        <v>0</v>
      </c>
      <c r="J152" s="390"/>
      <c r="K152" s="734"/>
      <c r="M152" s="62" t="e">
        <f>IF(#REF!&gt;6,3,5)</f>
        <v>#REF!</v>
      </c>
    </row>
    <row r="153" spans="1:13">
      <c r="A153" s="730">
        <f t="shared" ref="A153:A168" si="9">A152+1</f>
        <v>3</v>
      </c>
      <c r="B153" s="730" t="s">
        <v>1696</v>
      </c>
      <c r="C153" s="731" t="s">
        <v>3007</v>
      </c>
      <c r="D153" s="731" t="s">
        <v>3007</v>
      </c>
      <c r="E153" s="731" t="s">
        <v>3007</v>
      </c>
      <c r="F153" s="289">
        <f t="shared" ref="F153:F170" si="10">SUM(C153:E153)</f>
        <v>0</v>
      </c>
      <c r="G153" s="731"/>
      <c r="H153" s="731" t="s">
        <v>3007</v>
      </c>
      <c r="I153" s="390"/>
      <c r="J153" s="390"/>
      <c r="K153" s="734"/>
      <c r="M153" s="62" t="e">
        <f>IF(#REF!&gt;6,3,5)</f>
        <v>#REF!</v>
      </c>
    </row>
    <row r="154" spans="1:13">
      <c r="A154" s="730">
        <f t="shared" si="9"/>
        <v>4</v>
      </c>
      <c r="B154" s="730" t="s">
        <v>1701</v>
      </c>
      <c r="C154" s="731" t="s">
        <v>3007</v>
      </c>
      <c r="D154" s="731" t="s">
        <v>3007</v>
      </c>
      <c r="E154" s="731" t="s">
        <v>3007</v>
      </c>
      <c r="F154" s="289">
        <f t="shared" si="10"/>
        <v>0</v>
      </c>
      <c r="G154" s="731"/>
      <c r="H154" s="731" t="s">
        <v>3007</v>
      </c>
      <c r="I154" s="390"/>
      <c r="J154" s="390"/>
      <c r="K154" s="734"/>
      <c r="M154" s="62" t="e">
        <f>IF(#REF!&gt;6,3,5)</f>
        <v>#REF!</v>
      </c>
    </row>
    <row r="155" spans="1:13">
      <c r="A155" s="730">
        <f t="shared" si="9"/>
        <v>5</v>
      </c>
      <c r="B155" s="730" t="s">
        <v>1702</v>
      </c>
      <c r="C155" s="731">
        <v>1000000</v>
      </c>
      <c r="D155" s="731">
        <v>1000000</v>
      </c>
      <c r="E155" s="731">
        <v>1000000</v>
      </c>
      <c r="F155" s="289">
        <f t="shared" si="10"/>
        <v>3000000</v>
      </c>
      <c r="G155" s="731">
        <v>0</v>
      </c>
      <c r="H155" s="731" t="s">
        <v>3007</v>
      </c>
      <c r="I155" s="390">
        <v>0</v>
      </c>
      <c r="J155" s="390"/>
      <c r="K155" s="734"/>
      <c r="M155" s="62" t="e">
        <f>IF(#REF!&gt;6,3,5)</f>
        <v>#REF!</v>
      </c>
    </row>
    <row r="156" spans="1:13">
      <c r="A156" s="730">
        <f t="shared" si="9"/>
        <v>6</v>
      </c>
      <c r="B156" s="730" t="s">
        <v>1544</v>
      </c>
      <c r="C156" s="731">
        <v>1000000</v>
      </c>
      <c r="D156" s="731">
        <v>1000000</v>
      </c>
      <c r="E156" s="731">
        <v>1000000</v>
      </c>
      <c r="F156" s="289">
        <f t="shared" si="10"/>
        <v>3000000</v>
      </c>
      <c r="G156" s="731">
        <v>0</v>
      </c>
      <c r="H156" s="731" t="s">
        <v>3007</v>
      </c>
      <c r="I156" s="390">
        <v>0</v>
      </c>
      <c r="J156" s="390"/>
      <c r="K156" s="734"/>
      <c r="M156" s="62" t="e">
        <f>IF(#REF!&gt;6,3,5)</f>
        <v>#REF!</v>
      </c>
    </row>
    <row r="157" spans="1:13">
      <c r="A157" s="730">
        <f t="shared" si="9"/>
        <v>7</v>
      </c>
      <c r="B157" s="730" t="s">
        <v>897</v>
      </c>
      <c r="C157" s="731">
        <v>1000000</v>
      </c>
      <c r="D157" s="731">
        <v>1000000</v>
      </c>
      <c r="E157" s="731">
        <v>1000000</v>
      </c>
      <c r="F157" s="289">
        <f t="shared" si="10"/>
        <v>3000000</v>
      </c>
      <c r="G157" s="731">
        <v>0</v>
      </c>
      <c r="H157" s="731" t="s">
        <v>3007</v>
      </c>
      <c r="I157" s="390">
        <v>0</v>
      </c>
      <c r="J157" s="390"/>
      <c r="K157" s="734"/>
      <c r="M157" s="62" t="e">
        <f>IF(#REF!&gt;6,3,5)</f>
        <v>#REF!</v>
      </c>
    </row>
    <row r="158" spans="1:13">
      <c r="A158" s="730">
        <f t="shared" si="9"/>
        <v>8</v>
      </c>
      <c r="B158" s="730" t="s">
        <v>1385</v>
      </c>
      <c r="C158" s="731" t="s">
        <v>1386</v>
      </c>
      <c r="D158" s="731" t="s">
        <v>1386</v>
      </c>
      <c r="E158" s="731" t="s">
        <v>1386</v>
      </c>
      <c r="F158" s="289">
        <f t="shared" si="10"/>
        <v>0</v>
      </c>
      <c r="G158" s="731"/>
      <c r="H158" s="731" t="s">
        <v>1386</v>
      </c>
      <c r="I158" s="390"/>
      <c r="J158" s="390"/>
      <c r="K158" s="734"/>
      <c r="M158" s="62" t="e">
        <f>IF(#REF!&gt;6,3,5)</f>
        <v>#REF!</v>
      </c>
    </row>
    <row r="159" spans="1:13">
      <c r="A159" s="730">
        <f t="shared" si="9"/>
        <v>9</v>
      </c>
      <c r="B159" s="730" t="s">
        <v>2061</v>
      </c>
      <c r="C159" s="731">
        <v>9000000</v>
      </c>
      <c r="D159" s="731" t="s">
        <v>1386</v>
      </c>
      <c r="E159" s="731" t="s">
        <v>1386</v>
      </c>
      <c r="F159" s="289">
        <f t="shared" si="10"/>
        <v>9000000</v>
      </c>
      <c r="G159" s="731"/>
      <c r="H159" s="731" t="s">
        <v>1386</v>
      </c>
      <c r="I159" s="390"/>
      <c r="J159" s="390"/>
      <c r="K159" s="734"/>
      <c r="M159" s="62" t="e">
        <f>IF(#REF!&gt;6,3,5)</f>
        <v>#REF!</v>
      </c>
    </row>
    <row r="160" spans="1:13">
      <c r="A160" s="730">
        <f t="shared" si="9"/>
        <v>10</v>
      </c>
      <c r="B160" s="730" t="s">
        <v>1680</v>
      </c>
      <c r="C160" s="731">
        <v>1200000</v>
      </c>
      <c r="D160" s="731">
        <v>500000</v>
      </c>
      <c r="E160" s="731">
        <v>500000</v>
      </c>
      <c r="F160" s="289">
        <f t="shared" si="10"/>
        <v>2200000</v>
      </c>
      <c r="G160" s="731">
        <v>50000</v>
      </c>
      <c r="H160" s="731" t="s">
        <v>1386</v>
      </c>
      <c r="I160" s="390"/>
      <c r="J160" s="390"/>
      <c r="K160" s="734"/>
      <c r="M160" s="62" t="e">
        <f>IF(#REF!&gt;6,3,5)</f>
        <v>#REF!</v>
      </c>
    </row>
    <row r="161" spans="1:13">
      <c r="A161" s="730">
        <f t="shared" si="9"/>
        <v>11</v>
      </c>
      <c r="B161" s="730" t="s">
        <v>1681</v>
      </c>
      <c r="C161" s="731">
        <v>50000000</v>
      </c>
      <c r="D161" s="731">
        <v>100000000</v>
      </c>
      <c r="E161" s="731">
        <v>100000000</v>
      </c>
      <c r="F161" s="289">
        <f t="shared" si="10"/>
        <v>250000000</v>
      </c>
      <c r="G161" s="731">
        <v>20000000</v>
      </c>
      <c r="H161" s="731">
        <v>44000000</v>
      </c>
      <c r="I161" s="390">
        <f>17759750+19733100</f>
        <v>37492850</v>
      </c>
      <c r="J161" s="390"/>
      <c r="K161" s="734"/>
      <c r="M161" s="62" t="e">
        <f>IF(#REF!&gt;6,3,5)</f>
        <v>#REF!</v>
      </c>
    </row>
    <row r="162" spans="1:13">
      <c r="A162" s="730">
        <f t="shared" si="9"/>
        <v>12</v>
      </c>
      <c r="B162" s="730" t="s">
        <v>1682</v>
      </c>
      <c r="C162" s="731">
        <v>180000000</v>
      </c>
      <c r="D162" s="731">
        <v>134000000</v>
      </c>
      <c r="E162" s="731">
        <v>134000000</v>
      </c>
      <c r="F162" s="289">
        <f t="shared" si="10"/>
        <v>448000000</v>
      </c>
      <c r="G162" s="731">
        <v>100000000</v>
      </c>
      <c r="H162" s="731">
        <v>200000000</v>
      </c>
      <c r="I162" s="390">
        <f>63180650+15000000+8320000+51350800+30000000+30000000+10000000+36775000+5681000</f>
        <v>250307450</v>
      </c>
      <c r="J162" s="390"/>
      <c r="K162" s="734"/>
      <c r="M162" s="62" t="e">
        <f>IF(#REF!&gt;6,3,5)</f>
        <v>#REF!</v>
      </c>
    </row>
    <row r="163" spans="1:13">
      <c r="A163" s="730">
        <f t="shared" si="9"/>
        <v>13</v>
      </c>
      <c r="B163" s="730" t="s">
        <v>2249</v>
      </c>
      <c r="C163" s="731" t="s">
        <v>1386</v>
      </c>
      <c r="D163" s="731">
        <v>100000</v>
      </c>
      <c r="E163" s="731">
        <v>100000</v>
      </c>
      <c r="F163" s="289">
        <f t="shared" si="10"/>
        <v>200000</v>
      </c>
      <c r="G163" s="731"/>
      <c r="H163" s="731" t="s">
        <v>1386</v>
      </c>
      <c r="I163" s="390"/>
      <c r="J163" s="390"/>
      <c r="K163" s="734"/>
      <c r="M163" s="62" t="e">
        <f>IF(#REF!&gt;6,3,5)</f>
        <v>#REF!</v>
      </c>
    </row>
    <row r="164" spans="1:13">
      <c r="A164" s="730">
        <f t="shared" si="9"/>
        <v>14</v>
      </c>
      <c r="B164" s="730" t="s">
        <v>1683</v>
      </c>
      <c r="C164" s="731" t="s">
        <v>1386</v>
      </c>
      <c r="D164" s="731">
        <v>2000000</v>
      </c>
      <c r="E164" s="731">
        <v>2000000</v>
      </c>
      <c r="F164" s="289">
        <f t="shared" si="10"/>
        <v>4000000</v>
      </c>
      <c r="G164" s="731"/>
      <c r="H164" s="731" t="s">
        <v>1386</v>
      </c>
      <c r="I164" s="390"/>
      <c r="J164" s="390"/>
      <c r="K164" s="734"/>
      <c r="M164" s="62" t="e">
        <f>IF(#REF!&gt;6,3,5)</f>
        <v>#REF!</v>
      </c>
    </row>
    <row r="165" spans="1:13" ht="25.5">
      <c r="A165" s="730">
        <f t="shared" si="9"/>
        <v>15</v>
      </c>
      <c r="B165" s="733" t="s">
        <v>1523</v>
      </c>
      <c r="C165" s="731" t="s">
        <v>1386</v>
      </c>
      <c r="D165" s="731" t="s">
        <v>1386</v>
      </c>
      <c r="E165" s="731" t="s">
        <v>1386</v>
      </c>
      <c r="F165" s="289">
        <f t="shared" si="10"/>
        <v>0</v>
      </c>
      <c r="G165" s="731"/>
      <c r="H165" s="731" t="s">
        <v>1386</v>
      </c>
      <c r="I165" s="390"/>
      <c r="J165" s="390"/>
      <c r="K165" s="734"/>
      <c r="M165" s="62" t="e">
        <f>IF(#REF!&gt;6,3,5)</f>
        <v>#REF!</v>
      </c>
    </row>
    <row r="166" spans="1:13">
      <c r="A166" s="730">
        <f t="shared" si="9"/>
        <v>16</v>
      </c>
      <c r="B166" s="730" t="s">
        <v>1524</v>
      </c>
      <c r="C166" s="731" t="s">
        <v>1386</v>
      </c>
      <c r="D166" s="731" t="s">
        <v>1386</v>
      </c>
      <c r="E166" s="731" t="s">
        <v>1386</v>
      </c>
      <c r="F166" s="289">
        <f t="shared" si="10"/>
        <v>0</v>
      </c>
      <c r="G166" s="731"/>
      <c r="H166" s="731" t="s">
        <v>1386</v>
      </c>
      <c r="I166" s="390"/>
      <c r="J166" s="390"/>
      <c r="K166" s="734"/>
      <c r="M166" s="62" t="e">
        <f>IF(#REF!&gt;6,3,5)</f>
        <v>#REF!</v>
      </c>
    </row>
    <row r="167" spans="1:13">
      <c r="A167" s="730">
        <f t="shared" si="9"/>
        <v>17</v>
      </c>
      <c r="B167" s="730" t="s">
        <v>3432</v>
      </c>
      <c r="C167" s="731" t="s">
        <v>1386</v>
      </c>
      <c r="D167" s="731" t="s">
        <v>1386</v>
      </c>
      <c r="E167" s="731" t="s">
        <v>1386</v>
      </c>
      <c r="F167" s="289">
        <f t="shared" si="10"/>
        <v>0</v>
      </c>
      <c r="G167" s="731"/>
      <c r="H167" s="731" t="s">
        <v>1386</v>
      </c>
      <c r="I167" s="731">
        <v>0</v>
      </c>
      <c r="J167" s="390"/>
      <c r="K167" s="734"/>
      <c r="M167" s="62" t="e">
        <f>IF(#REF!&gt;6,3,5)</f>
        <v>#REF!</v>
      </c>
    </row>
    <row r="168" spans="1:13">
      <c r="A168" s="730">
        <f t="shared" si="9"/>
        <v>18</v>
      </c>
      <c r="B168" s="730" t="s">
        <v>4098</v>
      </c>
      <c r="C168" s="731" t="s">
        <v>1386</v>
      </c>
      <c r="D168" s="731" t="s">
        <v>1386</v>
      </c>
      <c r="E168" s="731" t="s">
        <v>1386</v>
      </c>
      <c r="F168" s="289">
        <f t="shared" si="10"/>
        <v>0</v>
      </c>
      <c r="G168" s="731"/>
      <c r="H168" s="731" t="s">
        <v>1386</v>
      </c>
      <c r="I168" s="731">
        <v>0</v>
      </c>
      <c r="J168" s="390"/>
      <c r="K168" s="734"/>
      <c r="M168" s="62" t="e">
        <f>IF(#REF!&gt;6,3,5)</f>
        <v>#REF!</v>
      </c>
    </row>
    <row r="169" spans="1:13" ht="25.5">
      <c r="A169" s="730">
        <v>19</v>
      </c>
      <c r="B169" s="733" t="s">
        <v>2073</v>
      </c>
      <c r="C169" s="731">
        <v>3600000</v>
      </c>
      <c r="D169" s="731">
        <v>4500000</v>
      </c>
      <c r="E169" s="731">
        <v>4500000</v>
      </c>
      <c r="F169" s="289">
        <f t="shared" si="10"/>
        <v>12600000</v>
      </c>
      <c r="G169" s="731"/>
      <c r="H169" s="731">
        <v>4500000</v>
      </c>
      <c r="I169" s="731">
        <v>0</v>
      </c>
      <c r="J169" s="390"/>
      <c r="K169" s="734"/>
      <c r="M169" s="62" t="e">
        <f>IF(#REF!&gt;6,3,5)</f>
        <v>#REF!</v>
      </c>
    </row>
    <row r="170" spans="1:13" ht="25.5">
      <c r="A170" s="730">
        <v>20</v>
      </c>
      <c r="B170" s="733" t="s">
        <v>713</v>
      </c>
      <c r="C170" s="731" t="s">
        <v>1386</v>
      </c>
      <c r="D170" s="731" t="s">
        <v>1386</v>
      </c>
      <c r="E170" s="731" t="s">
        <v>1386</v>
      </c>
      <c r="F170" s="289">
        <f t="shared" si="10"/>
        <v>0</v>
      </c>
      <c r="G170" s="731"/>
      <c r="H170" s="731" t="s">
        <v>1386</v>
      </c>
      <c r="I170" s="731"/>
      <c r="J170" s="390"/>
      <c r="K170" s="734"/>
    </row>
    <row r="171" spans="1:13">
      <c r="A171" s="738"/>
      <c r="B171" s="738" t="s">
        <v>1684</v>
      </c>
      <c r="C171" s="739">
        <f t="shared" ref="C171:I171" si="11">SUM(C152:C170)</f>
        <v>247800000</v>
      </c>
      <c r="D171" s="739">
        <f t="shared" si="11"/>
        <v>249100000</v>
      </c>
      <c r="E171" s="739">
        <f t="shared" si="11"/>
        <v>249100000</v>
      </c>
      <c r="F171" s="739">
        <f t="shared" si="11"/>
        <v>746000000</v>
      </c>
      <c r="G171" s="739">
        <f>SUM(G152:G170)</f>
        <v>120050000</v>
      </c>
      <c r="H171" s="739">
        <f t="shared" si="11"/>
        <v>248500000</v>
      </c>
      <c r="I171" s="739">
        <f t="shared" si="11"/>
        <v>287800300</v>
      </c>
      <c r="J171" s="739"/>
      <c r="K171" s="740"/>
      <c r="M171" s="62" t="e">
        <f>IF(#REF!&gt;6,3,5)</f>
        <v>#REF!</v>
      </c>
    </row>
    <row r="172" spans="1:13" ht="15">
      <c r="J172" s="584"/>
      <c r="K172" s="584"/>
      <c r="M172" s="62">
        <f>IF(C172&gt;6,3,5)</f>
        <v>5</v>
      </c>
    </row>
    <row r="173" spans="1:13" ht="15">
      <c r="C173" s="77"/>
      <c r="D173" s="78" t="s">
        <v>5434</v>
      </c>
      <c r="J173" s="584"/>
      <c r="K173" s="584"/>
      <c r="M173" s="62">
        <f>IF(C173&gt;6,3,5)</f>
        <v>5</v>
      </c>
    </row>
    <row r="174" spans="1:13" ht="15">
      <c r="C174" s="77"/>
      <c r="D174" s="78" t="s">
        <v>1693</v>
      </c>
      <c r="J174" s="742"/>
      <c r="K174" s="742"/>
      <c r="M174" s="62">
        <f>IF(C174&gt;6,3,5)</f>
        <v>5</v>
      </c>
    </row>
    <row r="175" spans="1:13" ht="15">
      <c r="C175" s="79" t="s">
        <v>717</v>
      </c>
      <c r="D175" s="78" t="s">
        <v>4099</v>
      </c>
      <c r="J175" s="742"/>
      <c r="K175" s="742"/>
      <c r="M175" s="62">
        <f>IF(C175&gt;6,3,5)</f>
        <v>3</v>
      </c>
    </row>
    <row r="176" spans="1:13" ht="15.75" thickBot="1">
      <c r="C176" s="79" t="s">
        <v>718</v>
      </c>
      <c r="D176" s="78" t="s">
        <v>3978</v>
      </c>
      <c r="J176" s="584"/>
      <c r="K176" s="584"/>
      <c r="M176" s="62">
        <f>IF(C176&gt;6,3,5)</f>
        <v>3</v>
      </c>
    </row>
    <row r="177" spans="1:13" ht="15.75" thickTop="1">
      <c r="A177" s="1047" t="s">
        <v>2791</v>
      </c>
      <c r="B177" s="1049" t="s">
        <v>4126</v>
      </c>
      <c r="C177" s="1049" t="s">
        <v>854</v>
      </c>
      <c r="D177" s="1040" t="s">
        <v>4127</v>
      </c>
      <c r="E177" s="1041"/>
      <c r="F177" s="1041"/>
      <c r="G177" s="1040" t="s">
        <v>904</v>
      </c>
      <c r="H177" s="1041"/>
      <c r="I177" s="1042"/>
      <c r="J177" s="1035" t="s">
        <v>855</v>
      </c>
      <c r="K177" s="389"/>
    </row>
    <row r="178" spans="1:13" ht="26.25" thickBot="1">
      <c r="A178" s="1048"/>
      <c r="B178" s="1050"/>
      <c r="C178" s="1050"/>
      <c r="D178" s="285" t="s">
        <v>5505</v>
      </c>
      <c r="E178" s="285" t="s">
        <v>4485</v>
      </c>
      <c r="F178" s="285" t="s">
        <v>4486</v>
      </c>
      <c r="G178" s="287" t="s">
        <v>4487</v>
      </c>
      <c r="H178" s="285" t="s">
        <v>4488</v>
      </c>
      <c r="I178" s="287" t="s">
        <v>4489</v>
      </c>
      <c r="J178" s="1036"/>
      <c r="K178" s="712"/>
    </row>
    <row r="179" spans="1:13" ht="13.5" thickTop="1">
      <c r="A179" s="88"/>
      <c r="B179" s="69"/>
      <c r="C179" s="69"/>
      <c r="D179" s="89"/>
      <c r="E179" s="89"/>
      <c r="F179" s="62"/>
      <c r="G179" s="89"/>
      <c r="H179" s="89"/>
      <c r="I179" s="89"/>
      <c r="J179" s="713"/>
      <c r="K179" s="711"/>
      <c r="M179" s="62">
        <f t="shared" ref="M179:M194" si="12">IF(C179&gt;6,3,5)</f>
        <v>5</v>
      </c>
    </row>
    <row r="180" spans="1:13">
      <c r="A180" s="88">
        <v>1</v>
      </c>
      <c r="B180" s="69" t="s">
        <v>1008</v>
      </c>
      <c r="C180" s="69">
        <v>12</v>
      </c>
      <c r="D180" s="89">
        <v>0</v>
      </c>
      <c r="E180" s="111">
        <v>0</v>
      </c>
      <c r="F180" s="111">
        <v>0</v>
      </c>
      <c r="G180" s="89">
        <v>0</v>
      </c>
      <c r="H180" s="89">
        <v>0</v>
      </c>
      <c r="I180" s="89">
        <v>0</v>
      </c>
      <c r="J180" s="710">
        <f>(VLOOKUP($C180,[2]Sheet1!$A$2:$P$18,$M180+1)/12)*12*D180</f>
        <v>0</v>
      </c>
      <c r="K180" s="711"/>
      <c r="M180" s="62">
        <f t="shared" si="12"/>
        <v>3</v>
      </c>
    </row>
    <row r="181" spans="1:13">
      <c r="A181" s="88">
        <f>A180+1</f>
        <v>2</v>
      </c>
      <c r="B181" s="69" t="s">
        <v>1456</v>
      </c>
      <c r="C181" s="69">
        <v>10</v>
      </c>
      <c r="D181" s="89">
        <v>1</v>
      </c>
      <c r="E181" s="111">
        <v>0</v>
      </c>
      <c r="F181" s="111">
        <v>0</v>
      </c>
      <c r="G181" s="89">
        <v>0</v>
      </c>
      <c r="H181" s="89">
        <v>0</v>
      </c>
      <c r="I181" s="89">
        <v>1</v>
      </c>
      <c r="J181" s="710">
        <f>(VLOOKUP($C181,[2]Sheet1!$A$2:$P$18,$M181+1)/12)*12*D181</f>
        <v>483974.5687200001</v>
      </c>
      <c r="K181" s="711"/>
      <c r="M181" s="62">
        <f t="shared" si="12"/>
        <v>3</v>
      </c>
    </row>
    <row r="182" spans="1:13">
      <c r="A182" s="88">
        <f>A181+1</f>
        <v>3</v>
      </c>
      <c r="B182" s="69" t="s">
        <v>4049</v>
      </c>
      <c r="C182" s="69">
        <v>9</v>
      </c>
      <c r="D182" s="89">
        <v>0</v>
      </c>
      <c r="E182" s="111">
        <v>2</v>
      </c>
      <c r="F182" s="111">
        <v>2</v>
      </c>
      <c r="G182" s="89">
        <v>2</v>
      </c>
      <c r="H182" s="89">
        <v>2</v>
      </c>
      <c r="I182" s="89">
        <v>0</v>
      </c>
      <c r="J182" s="710">
        <f>(VLOOKUP($C182,[2]Sheet1!$A$2:$P$18,$M182+1)/12)*12*D182</f>
        <v>0</v>
      </c>
      <c r="K182" s="711"/>
      <c r="M182" s="62">
        <f t="shared" si="12"/>
        <v>3</v>
      </c>
    </row>
    <row r="183" spans="1:13">
      <c r="A183" s="88">
        <f>A182+1</f>
        <v>4</v>
      </c>
      <c r="B183" s="69" t="s">
        <v>3537</v>
      </c>
      <c r="C183" s="69">
        <v>8</v>
      </c>
      <c r="D183" s="89">
        <v>4</v>
      </c>
      <c r="E183" s="111">
        <v>2</v>
      </c>
      <c r="F183" s="111">
        <v>2</v>
      </c>
      <c r="G183" s="89">
        <v>2</v>
      </c>
      <c r="H183" s="89">
        <v>2</v>
      </c>
      <c r="I183" s="89">
        <v>4</v>
      </c>
      <c r="J183" s="710">
        <f>(VLOOKUP($C183,[2]Sheet1!$A$2:$P$18,$M183+1)/12)*12*D183</f>
        <v>1368565.09632</v>
      </c>
      <c r="K183" s="711"/>
      <c r="M183" s="62">
        <f t="shared" si="12"/>
        <v>3</v>
      </c>
    </row>
    <row r="184" spans="1:13">
      <c r="A184" s="88">
        <f>A183+1</f>
        <v>5</v>
      </c>
      <c r="B184" s="69" t="s">
        <v>1935</v>
      </c>
      <c r="C184" s="69">
        <v>7</v>
      </c>
      <c r="D184" s="89">
        <v>3</v>
      </c>
      <c r="E184" s="111">
        <v>3</v>
      </c>
      <c r="F184" s="111">
        <v>3</v>
      </c>
      <c r="G184" s="89">
        <v>3</v>
      </c>
      <c r="H184" s="89">
        <v>3</v>
      </c>
      <c r="I184" s="89">
        <v>3</v>
      </c>
      <c r="J184" s="710">
        <f>(VLOOKUP($C184,[2]Sheet1!$A$2:$P$18,$M184+1)/12)*12*D184</f>
        <v>923120.1072000002</v>
      </c>
      <c r="K184" s="711"/>
      <c r="M184" s="62">
        <f t="shared" si="12"/>
        <v>3</v>
      </c>
    </row>
    <row r="185" spans="1:13">
      <c r="A185" s="88">
        <f t="shared" ref="A185:A190" si="13">A184+1</f>
        <v>6</v>
      </c>
      <c r="B185" s="69" t="s">
        <v>859</v>
      </c>
      <c r="C185" s="69">
        <v>6</v>
      </c>
      <c r="D185" s="89">
        <v>2</v>
      </c>
      <c r="E185" s="111">
        <v>6</v>
      </c>
      <c r="F185" s="111">
        <v>6</v>
      </c>
      <c r="G185" s="89">
        <v>6</v>
      </c>
      <c r="H185" s="89">
        <v>0</v>
      </c>
      <c r="I185" s="89">
        <v>2</v>
      </c>
      <c r="J185" s="710">
        <f>(VLOOKUP($C185,[2]Sheet1!$A$2:$P$18,$M185+1)/12)*12*D185</f>
        <v>476198.75786072994</v>
      </c>
      <c r="K185" s="711"/>
      <c r="M185" s="62">
        <f t="shared" si="12"/>
        <v>5</v>
      </c>
    </row>
    <row r="186" spans="1:13">
      <c r="A186" s="88">
        <f t="shared" si="13"/>
        <v>7</v>
      </c>
      <c r="B186" s="69" t="s">
        <v>1880</v>
      </c>
      <c r="C186" s="69">
        <v>5</v>
      </c>
      <c r="D186" s="89">
        <v>2</v>
      </c>
      <c r="E186" s="111">
        <v>5</v>
      </c>
      <c r="F186" s="111">
        <v>5</v>
      </c>
      <c r="G186" s="89">
        <v>5</v>
      </c>
      <c r="H186" s="89">
        <v>5</v>
      </c>
      <c r="I186" s="89">
        <v>2</v>
      </c>
      <c r="J186" s="710">
        <f>(VLOOKUP($C186,[2]Sheet1!$A$2:$P$18,$M186+1)/12)*12*D186</f>
        <v>459139.55786072998</v>
      </c>
      <c r="K186" s="711"/>
      <c r="M186" s="62">
        <f t="shared" si="12"/>
        <v>5</v>
      </c>
    </row>
    <row r="187" spans="1:13">
      <c r="A187" s="88">
        <f t="shared" si="13"/>
        <v>8</v>
      </c>
      <c r="B187" s="69" t="s">
        <v>1881</v>
      </c>
      <c r="C187" s="69">
        <v>4</v>
      </c>
      <c r="D187" s="89">
        <v>1</v>
      </c>
      <c r="E187" s="111">
        <v>2</v>
      </c>
      <c r="F187" s="111">
        <v>2</v>
      </c>
      <c r="G187" s="89">
        <v>2</v>
      </c>
      <c r="H187" s="89">
        <v>2</v>
      </c>
      <c r="I187" s="89">
        <v>1</v>
      </c>
      <c r="J187" s="710">
        <f>(VLOOKUP($C187,[2]Sheet1!$A$2:$P$18,$M187+1)/12)*12*D187</f>
        <v>224542.978930365</v>
      </c>
      <c r="K187" s="711"/>
      <c r="M187" s="62">
        <f t="shared" si="12"/>
        <v>5</v>
      </c>
    </row>
    <row r="188" spans="1:13">
      <c r="A188" s="88">
        <f t="shared" si="13"/>
        <v>9</v>
      </c>
      <c r="B188" s="69" t="s">
        <v>504</v>
      </c>
      <c r="C188" s="69">
        <v>7</v>
      </c>
      <c r="D188" s="89">
        <v>1</v>
      </c>
      <c r="E188" s="111">
        <v>1</v>
      </c>
      <c r="F188" s="111">
        <v>1</v>
      </c>
      <c r="G188" s="89">
        <v>1</v>
      </c>
      <c r="H188" s="89">
        <v>1</v>
      </c>
      <c r="I188" s="89">
        <v>1</v>
      </c>
      <c r="J188" s="710">
        <f>(VLOOKUP($C188,[2]Sheet1!$A$2:$P$18,$M188+1)/12)*12*D188</f>
        <v>307706.70240000007</v>
      </c>
      <c r="K188" s="711"/>
      <c r="M188" s="62">
        <f t="shared" si="12"/>
        <v>3</v>
      </c>
    </row>
    <row r="189" spans="1:13">
      <c r="A189" s="88">
        <f t="shared" si="13"/>
        <v>10</v>
      </c>
      <c r="B189" s="69" t="s">
        <v>505</v>
      </c>
      <c r="C189" s="69">
        <v>4</v>
      </c>
      <c r="D189" s="89">
        <v>1</v>
      </c>
      <c r="E189" s="111">
        <v>1</v>
      </c>
      <c r="F189" s="111">
        <v>1</v>
      </c>
      <c r="G189" s="89">
        <v>1</v>
      </c>
      <c r="H189" s="89">
        <v>1</v>
      </c>
      <c r="I189" s="89">
        <v>1</v>
      </c>
      <c r="J189" s="710">
        <f>(VLOOKUP($C189,[2]Sheet1!$A$2:$P$18,$M189+1)/12)*12*D189</f>
        <v>224542.978930365</v>
      </c>
      <c r="K189" s="711"/>
      <c r="M189" s="62">
        <f t="shared" si="12"/>
        <v>5</v>
      </c>
    </row>
    <row r="190" spans="1:13">
      <c r="A190" s="88">
        <f t="shared" si="13"/>
        <v>11</v>
      </c>
      <c r="B190" s="69" t="s">
        <v>2185</v>
      </c>
      <c r="C190" s="69">
        <v>3</v>
      </c>
      <c r="D190" s="89">
        <v>1</v>
      </c>
      <c r="E190" s="111">
        <v>1</v>
      </c>
      <c r="F190" s="111">
        <v>1</v>
      </c>
      <c r="G190" s="89">
        <v>1</v>
      </c>
      <c r="H190" s="89">
        <v>1</v>
      </c>
      <c r="I190" s="89">
        <v>1</v>
      </c>
      <c r="J190" s="710">
        <f>(VLOOKUP($C190,[2]Sheet1!$A$2:$P$18,$M190+1)/12)*12*D190</f>
        <v>219336.17893036499</v>
      </c>
      <c r="K190" s="711"/>
      <c r="M190" s="62">
        <f t="shared" si="12"/>
        <v>5</v>
      </c>
    </row>
    <row r="191" spans="1:13">
      <c r="A191" s="88">
        <f t="shared" ref="A191:A210" si="14">+A190+1</f>
        <v>12</v>
      </c>
      <c r="B191" s="69" t="s">
        <v>2186</v>
      </c>
      <c r="C191" s="69">
        <v>3</v>
      </c>
      <c r="D191" s="89">
        <v>1</v>
      </c>
      <c r="E191" s="111">
        <v>1</v>
      </c>
      <c r="F191" s="111">
        <v>1</v>
      </c>
      <c r="G191" s="89">
        <v>1</v>
      </c>
      <c r="H191" s="89">
        <v>1</v>
      </c>
      <c r="I191" s="89">
        <v>1</v>
      </c>
      <c r="J191" s="710">
        <f>(VLOOKUP($C191,[2]Sheet1!$A$2:$P$18,$M191+1)/12)*12*D191</f>
        <v>219336.17893036499</v>
      </c>
      <c r="K191" s="711"/>
      <c r="M191" s="62">
        <f t="shared" si="12"/>
        <v>5</v>
      </c>
    </row>
    <row r="192" spans="1:13">
      <c r="A192" s="88">
        <f t="shared" si="14"/>
        <v>13</v>
      </c>
      <c r="B192" s="69" t="s">
        <v>2179</v>
      </c>
      <c r="C192" s="69">
        <v>5</v>
      </c>
      <c r="D192" s="89">
        <v>1</v>
      </c>
      <c r="E192" s="111">
        <v>1</v>
      </c>
      <c r="F192" s="111">
        <v>1</v>
      </c>
      <c r="G192" s="89">
        <v>1</v>
      </c>
      <c r="H192" s="89">
        <v>1</v>
      </c>
      <c r="I192" s="89">
        <v>1</v>
      </c>
      <c r="J192" s="710">
        <f>(VLOOKUP($C192,[2]Sheet1!$A$2:$P$18,$M192+1)/12)*12*D192</f>
        <v>229569.77893036499</v>
      </c>
      <c r="K192" s="711"/>
      <c r="M192" s="62">
        <f t="shared" si="12"/>
        <v>5</v>
      </c>
    </row>
    <row r="193" spans="1:13">
      <c r="A193" s="88">
        <f t="shared" si="14"/>
        <v>14</v>
      </c>
      <c r="B193" s="69" t="s">
        <v>2542</v>
      </c>
      <c r="C193" s="69">
        <v>4</v>
      </c>
      <c r="D193" s="89">
        <v>3</v>
      </c>
      <c r="E193" s="111">
        <v>3</v>
      </c>
      <c r="F193" s="111">
        <v>3</v>
      </c>
      <c r="G193" s="89">
        <v>3</v>
      </c>
      <c r="H193" s="89">
        <v>3</v>
      </c>
      <c r="I193" s="89">
        <v>3</v>
      </c>
      <c r="J193" s="710">
        <f>(VLOOKUP($C193,[2]Sheet1!$A$2:$P$18,$M193+1)/12)*12*D193</f>
        <v>673628.93679109495</v>
      </c>
      <c r="K193" s="711"/>
      <c r="M193" s="62">
        <f t="shared" si="12"/>
        <v>5</v>
      </c>
    </row>
    <row r="194" spans="1:13">
      <c r="A194" s="88">
        <f t="shared" si="14"/>
        <v>15</v>
      </c>
      <c r="B194" s="69" t="s">
        <v>2543</v>
      </c>
      <c r="C194" s="69">
        <v>3</v>
      </c>
      <c r="D194" s="89">
        <v>4</v>
      </c>
      <c r="E194" s="111">
        <v>3</v>
      </c>
      <c r="F194" s="111">
        <v>3</v>
      </c>
      <c r="G194" s="89">
        <v>3</v>
      </c>
      <c r="H194" s="89">
        <v>3</v>
      </c>
      <c r="I194" s="89">
        <v>4</v>
      </c>
      <c r="J194" s="710">
        <f>(VLOOKUP($C194,[2]Sheet1!$A$2:$P$18,$M194+1)/12)*12*D194</f>
        <v>877344.71572145994</v>
      </c>
      <c r="K194" s="711"/>
      <c r="M194" s="62">
        <f t="shared" si="12"/>
        <v>5</v>
      </c>
    </row>
    <row r="195" spans="1:13">
      <c r="A195" s="88">
        <f t="shared" si="14"/>
        <v>16</v>
      </c>
      <c r="B195" s="69" t="s">
        <v>2543</v>
      </c>
      <c r="C195" s="69">
        <v>2</v>
      </c>
      <c r="D195" s="89">
        <v>2</v>
      </c>
      <c r="E195" s="111">
        <v>3</v>
      </c>
      <c r="F195" s="111">
        <v>3</v>
      </c>
      <c r="G195" s="89">
        <v>3</v>
      </c>
      <c r="H195" s="89">
        <v>3</v>
      </c>
      <c r="I195" s="89">
        <v>2</v>
      </c>
      <c r="J195" s="710">
        <f>(VLOOKUP($C195,[2]Sheet1!$A$2:$P$18,$M195+1)/12)*12*D195</f>
        <v>429314.75786073005</v>
      </c>
      <c r="K195" s="711"/>
      <c r="M195" s="62">
        <f t="shared" ref="M195:M261" si="15">IF(C195&gt;6,3,5)</f>
        <v>5</v>
      </c>
    </row>
    <row r="196" spans="1:13">
      <c r="A196" s="88">
        <f t="shared" si="14"/>
        <v>17</v>
      </c>
      <c r="B196" s="69" t="s">
        <v>2544</v>
      </c>
      <c r="C196" s="69">
        <v>4</v>
      </c>
      <c r="D196" s="89">
        <v>2</v>
      </c>
      <c r="E196" s="111">
        <v>2</v>
      </c>
      <c r="F196" s="111">
        <v>2</v>
      </c>
      <c r="G196" s="89">
        <v>2</v>
      </c>
      <c r="H196" s="89">
        <v>2</v>
      </c>
      <c r="I196" s="89">
        <v>2</v>
      </c>
      <c r="J196" s="710">
        <f>(VLOOKUP($C196,[2]Sheet1!$A$2:$P$18,$M196+1)/12)*12*D196</f>
        <v>449085.95786073001</v>
      </c>
      <c r="K196" s="711"/>
      <c r="M196" s="62">
        <f t="shared" si="15"/>
        <v>5</v>
      </c>
    </row>
    <row r="197" spans="1:13">
      <c r="A197" s="88">
        <f t="shared" si="14"/>
        <v>18</v>
      </c>
      <c r="B197" s="69" t="s">
        <v>2181</v>
      </c>
      <c r="C197" s="69">
        <v>3</v>
      </c>
      <c r="D197" s="89">
        <v>1</v>
      </c>
      <c r="E197" s="111">
        <v>1</v>
      </c>
      <c r="F197" s="111">
        <v>1</v>
      </c>
      <c r="G197" s="89">
        <v>1</v>
      </c>
      <c r="H197" s="89">
        <v>1</v>
      </c>
      <c r="I197" s="89">
        <v>1</v>
      </c>
      <c r="J197" s="710">
        <f>(VLOOKUP($C197,[2]Sheet1!$A$2:$P$18,$M197+1)/12)*12*D197</f>
        <v>219336.17893036499</v>
      </c>
      <c r="K197" s="711"/>
      <c r="M197" s="62">
        <f t="shared" si="15"/>
        <v>5</v>
      </c>
    </row>
    <row r="198" spans="1:13">
      <c r="A198" s="88">
        <f t="shared" si="14"/>
        <v>19</v>
      </c>
      <c r="B198" s="69" t="s">
        <v>3672</v>
      </c>
      <c r="C198" s="69">
        <v>2</v>
      </c>
      <c r="D198" s="89">
        <v>1</v>
      </c>
      <c r="E198" s="111">
        <v>1</v>
      </c>
      <c r="F198" s="111">
        <v>1</v>
      </c>
      <c r="G198" s="89">
        <v>1</v>
      </c>
      <c r="H198" s="89">
        <v>1</v>
      </c>
      <c r="I198" s="89">
        <v>1</v>
      </c>
      <c r="J198" s="710">
        <f>(VLOOKUP($C198,[2]Sheet1!$A$2:$P$18,$M198+1)/12)*12*D198</f>
        <v>214657.37893036503</v>
      </c>
      <c r="K198" s="711"/>
      <c r="M198" s="62">
        <f t="shared" si="15"/>
        <v>5</v>
      </c>
    </row>
    <row r="199" spans="1:13">
      <c r="A199" s="88">
        <f t="shared" si="14"/>
        <v>20</v>
      </c>
      <c r="B199" s="69" t="s">
        <v>3673</v>
      </c>
      <c r="C199" s="69">
        <v>1</v>
      </c>
      <c r="D199" s="89">
        <v>1</v>
      </c>
      <c r="E199" s="111">
        <v>2</v>
      </c>
      <c r="F199" s="111">
        <v>2</v>
      </c>
      <c r="G199" s="89">
        <v>2</v>
      </c>
      <c r="H199" s="89">
        <v>2</v>
      </c>
      <c r="I199" s="89">
        <v>1</v>
      </c>
      <c r="J199" s="710">
        <f>(VLOOKUP($C199,[2]Sheet1!$A$2:$P$18,$M199+1)/12)*12*D199</f>
        <v>207107.57893036498</v>
      </c>
      <c r="K199" s="711"/>
      <c r="M199" s="62">
        <f t="shared" si="15"/>
        <v>5</v>
      </c>
    </row>
    <row r="200" spans="1:13">
      <c r="A200" s="88">
        <f t="shared" si="14"/>
        <v>21</v>
      </c>
      <c r="B200" s="69" t="s">
        <v>3674</v>
      </c>
      <c r="C200" s="69">
        <v>1</v>
      </c>
      <c r="D200" s="89">
        <v>7</v>
      </c>
      <c r="E200" s="111">
        <v>2</v>
      </c>
      <c r="F200" s="111">
        <v>2</v>
      </c>
      <c r="G200" s="89">
        <v>2</v>
      </c>
      <c r="H200" s="89">
        <v>2</v>
      </c>
      <c r="I200" s="89">
        <v>7</v>
      </c>
      <c r="J200" s="710">
        <f>(VLOOKUP($C200,[2]Sheet1!$A$2:$P$18,$M200+1)/12)*12*D200</f>
        <v>1449753.0525125549</v>
      </c>
      <c r="K200" s="711"/>
      <c r="M200" s="62">
        <f t="shared" si="15"/>
        <v>5</v>
      </c>
    </row>
    <row r="201" spans="1:13">
      <c r="A201" s="88">
        <f t="shared" si="14"/>
        <v>22</v>
      </c>
      <c r="B201" s="69" t="s">
        <v>3675</v>
      </c>
      <c r="C201" s="69">
        <v>1</v>
      </c>
      <c r="D201" s="89">
        <v>3</v>
      </c>
      <c r="E201" s="111">
        <v>4</v>
      </c>
      <c r="F201" s="111">
        <v>4</v>
      </c>
      <c r="G201" s="89">
        <v>4</v>
      </c>
      <c r="H201" s="89">
        <v>0</v>
      </c>
      <c r="I201" s="89">
        <v>3</v>
      </c>
      <c r="J201" s="710">
        <f>(VLOOKUP($C201,[2]Sheet1!$A$2:$P$18,$M201+1)/12)*12*D201</f>
        <v>621322.736791095</v>
      </c>
      <c r="K201" s="711"/>
      <c r="M201" s="62">
        <f t="shared" si="15"/>
        <v>5</v>
      </c>
    </row>
    <row r="202" spans="1:13">
      <c r="A202" s="88">
        <f t="shared" si="14"/>
        <v>23</v>
      </c>
      <c r="B202" s="69" t="s">
        <v>2171</v>
      </c>
      <c r="C202" s="69">
        <v>2</v>
      </c>
      <c r="D202" s="89">
        <v>2</v>
      </c>
      <c r="E202" s="111">
        <v>2</v>
      </c>
      <c r="F202" s="111">
        <v>2</v>
      </c>
      <c r="G202" s="89">
        <v>2</v>
      </c>
      <c r="H202" s="89">
        <v>2</v>
      </c>
      <c r="I202" s="89">
        <v>2</v>
      </c>
      <c r="J202" s="710">
        <f>(VLOOKUP($C202,[2]Sheet1!$A$2:$P$18,$M202+1)/12)*12*D202</f>
        <v>429314.75786073005</v>
      </c>
      <c r="K202" s="711"/>
      <c r="M202" s="62">
        <f t="shared" si="15"/>
        <v>5</v>
      </c>
    </row>
    <row r="203" spans="1:13">
      <c r="A203" s="88">
        <f t="shared" si="14"/>
        <v>24</v>
      </c>
      <c r="B203" s="69" t="s">
        <v>2172</v>
      </c>
      <c r="C203" s="69">
        <v>1</v>
      </c>
      <c r="D203" s="89">
        <v>2</v>
      </c>
      <c r="E203" s="111">
        <v>0</v>
      </c>
      <c r="F203" s="111">
        <v>0</v>
      </c>
      <c r="G203" s="89">
        <v>0</v>
      </c>
      <c r="H203" s="89">
        <v>0</v>
      </c>
      <c r="I203" s="89">
        <v>2</v>
      </c>
      <c r="J203" s="710">
        <f>(VLOOKUP($C203,[2]Sheet1!$A$2:$P$18,$M203+1)/12)*12*D203</f>
        <v>414215.15786072996</v>
      </c>
      <c r="K203" s="711"/>
      <c r="M203" s="62">
        <f t="shared" si="15"/>
        <v>5</v>
      </c>
    </row>
    <row r="204" spans="1:13">
      <c r="A204" s="88">
        <f t="shared" si="14"/>
        <v>25</v>
      </c>
      <c r="B204" s="69" t="s">
        <v>2693</v>
      </c>
      <c r="C204" s="69">
        <v>4</v>
      </c>
      <c r="D204" s="89">
        <v>2</v>
      </c>
      <c r="E204" s="111">
        <v>0</v>
      </c>
      <c r="F204" s="111">
        <v>0</v>
      </c>
      <c r="G204" s="89">
        <v>0</v>
      </c>
      <c r="H204" s="89">
        <v>0</v>
      </c>
      <c r="I204" s="89">
        <v>2</v>
      </c>
      <c r="J204" s="710">
        <f>(VLOOKUP($C204,[2]Sheet1!$A$2:$P$18,$M204+1)/12)*12*D204</f>
        <v>449085.95786073001</v>
      </c>
      <c r="K204" s="711"/>
      <c r="M204" s="62">
        <f t="shared" si="15"/>
        <v>5</v>
      </c>
    </row>
    <row r="205" spans="1:13">
      <c r="A205" s="88">
        <f t="shared" si="14"/>
        <v>26</v>
      </c>
      <c r="B205" s="69" t="s">
        <v>2694</v>
      </c>
      <c r="C205" s="69">
        <v>3</v>
      </c>
      <c r="D205" s="89">
        <v>1</v>
      </c>
      <c r="E205" s="111">
        <v>0</v>
      </c>
      <c r="F205" s="111">
        <v>0</v>
      </c>
      <c r="G205" s="89">
        <v>0</v>
      </c>
      <c r="H205" s="89">
        <v>0</v>
      </c>
      <c r="I205" s="89">
        <v>1</v>
      </c>
      <c r="J205" s="710">
        <f>(VLOOKUP($C205,[2]Sheet1!$A$2:$P$18,$M205+1)/12)*12*D205</f>
        <v>219336.17893036499</v>
      </c>
      <c r="K205" s="711"/>
      <c r="M205" s="62">
        <f t="shared" si="15"/>
        <v>5</v>
      </c>
    </row>
    <row r="206" spans="1:13">
      <c r="A206" s="88">
        <f t="shared" si="14"/>
        <v>27</v>
      </c>
      <c r="B206" s="69" t="s">
        <v>2563</v>
      </c>
      <c r="C206" s="69">
        <v>7</v>
      </c>
      <c r="D206" s="89">
        <v>1</v>
      </c>
      <c r="E206" s="111">
        <v>4</v>
      </c>
      <c r="F206" s="111">
        <v>4</v>
      </c>
      <c r="G206" s="89">
        <v>4</v>
      </c>
      <c r="H206" s="89">
        <v>0</v>
      </c>
      <c r="I206" s="89">
        <v>1</v>
      </c>
      <c r="J206" s="710">
        <f>(VLOOKUP($C206,[2]Sheet1!$A$2:$P$18,$M206+1)/12)*12*D206</f>
        <v>307706.70240000007</v>
      </c>
      <c r="K206" s="711"/>
      <c r="M206" s="62">
        <f t="shared" si="15"/>
        <v>3</v>
      </c>
    </row>
    <row r="207" spans="1:13">
      <c r="A207" s="88">
        <f t="shared" si="14"/>
        <v>28</v>
      </c>
      <c r="B207" s="69" t="s">
        <v>2540</v>
      </c>
      <c r="C207" s="69">
        <v>6</v>
      </c>
      <c r="D207" s="89">
        <v>2</v>
      </c>
      <c r="E207" s="111">
        <v>3</v>
      </c>
      <c r="F207" s="111">
        <v>3</v>
      </c>
      <c r="G207" s="89">
        <v>3</v>
      </c>
      <c r="H207" s="89">
        <v>3</v>
      </c>
      <c r="I207" s="89">
        <v>2</v>
      </c>
      <c r="J207" s="710">
        <f>(VLOOKUP($C207,[2]Sheet1!$A$2:$P$18,$M207+1)/12)*12*D207</f>
        <v>476198.75786072994</v>
      </c>
      <c r="K207" s="711"/>
      <c r="M207" s="62">
        <f t="shared" si="15"/>
        <v>5</v>
      </c>
    </row>
    <row r="208" spans="1:13">
      <c r="A208" s="88">
        <f t="shared" si="14"/>
        <v>29</v>
      </c>
      <c r="B208" s="69" t="s">
        <v>2541</v>
      </c>
      <c r="C208" s="69">
        <v>5</v>
      </c>
      <c r="D208" s="89">
        <v>1</v>
      </c>
      <c r="E208" s="111">
        <v>4</v>
      </c>
      <c r="F208" s="111">
        <v>4</v>
      </c>
      <c r="G208" s="89">
        <v>4</v>
      </c>
      <c r="H208" s="89">
        <v>0</v>
      </c>
      <c r="I208" s="89">
        <v>1</v>
      </c>
      <c r="J208" s="710">
        <f>(VLOOKUP($C208,[2]Sheet1!$A$2:$P$18,$M208+1)/12)*12*D208</f>
        <v>229569.77893036499</v>
      </c>
      <c r="K208" s="711"/>
      <c r="M208" s="62">
        <f t="shared" si="15"/>
        <v>5</v>
      </c>
    </row>
    <row r="209" spans="1:13">
      <c r="A209" s="88">
        <f t="shared" si="14"/>
        <v>30</v>
      </c>
      <c r="B209" s="69" t="s">
        <v>4028</v>
      </c>
      <c r="C209" s="69">
        <v>4</v>
      </c>
      <c r="D209" s="89">
        <v>1</v>
      </c>
      <c r="E209" s="111">
        <v>2</v>
      </c>
      <c r="F209" s="111">
        <v>2</v>
      </c>
      <c r="G209" s="89">
        <v>2</v>
      </c>
      <c r="H209" s="89">
        <v>2</v>
      </c>
      <c r="I209" s="89">
        <v>1</v>
      </c>
      <c r="J209" s="710">
        <f>(VLOOKUP($C209,[2]Sheet1!$A$2:$P$18,$M209+1)/12)*12*D209</f>
        <v>224542.978930365</v>
      </c>
      <c r="K209" s="711"/>
      <c r="M209" s="62">
        <f t="shared" si="15"/>
        <v>5</v>
      </c>
    </row>
    <row r="210" spans="1:13" ht="13.5" thickBot="1">
      <c r="A210" s="88">
        <f t="shared" si="14"/>
        <v>31</v>
      </c>
      <c r="B210" s="69" t="s">
        <v>4029</v>
      </c>
      <c r="C210" s="69">
        <v>3</v>
      </c>
      <c r="D210" s="89">
        <v>1</v>
      </c>
      <c r="E210" s="111">
        <v>2</v>
      </c>
      <c r="F210" s="111">
        <v>2</v>
      </c>
      <c r="G210" s="89">
        <v>2</v>
      </c>
      <c r="H210" s="89">
        <v>2</v>
      </c>
      <c r="I210" s="89">
        <v>1</v>
      </c>
      <c r="J210" s="710">
        <f>(VLOOKUP($C210,[2]Sheet1!$A$2:$P$18,$M210+1)/12)*12*D210</f>
        <v>219336.17893036499</v>
      </c>
      <c r="K210" s="711"/>
      <c r="M210" s="62">
        <f t="shared" si="15"/>
        <v>5</v>
      </c>
    </row>
    <row r="211" spans="1:13" ht="15.75" thickTop="1">
      <c r="A211" s="1047" t="s">
        <v>2791</v>
      </c>
      <c r="B211" s="1049" t="s">
        <v>4126</v>
      </c>
      <c r="C211" s="1049" t="s">
        <v>854</v>
      </c>
      <c r="D211" s="1040" t="s">
        <v>4127</v>
      </c>
      <c r="E211" s="1041"/>
      <c r="F211" s="1041"/>
      <c r="G211" s="1040" t="s">
        <v>904</v>
      </c>
      <c r="H211" s="1041"/>
      <c r="I211" s="1042"/>
      <c r="J211" s="1035" t="s">
        <v>855</v>
      </c>
      <c r="K211" s="389"/>
    </row>
    <row r="212" spans="1:13" ht="26.25" thickBot="1">
      <c r="A212" s="1048"/>
      <c r="B212" s="1050"/>
      <c r="C212" s="1050"/>
      <c r="D212" s="285" t="s">
        <v>5505</v>
      </c>
      <c r="E212" s="285" t="s">
        <v>4485</v>
      </c>
      <c r="F212" s="285" t="s">
        <v>4486</v>
      </c>
      <c r="G212" s="287" t="s">
        <v>4487</v>
      </c>
      <c r="H212" s="285" t="s">
        <v>4488</v>
      </c>
      <c r="I212" s="287" t="s">
        <v>4489</v>
      </c>
      <c r="J212" s="1036"/>
      <c r="K212" s="712"/>
    </row>
    <row r="213" spans="1:13" ht="13.5" thickTop="1">
      <c r="A213" s="88"/>
      <c r="B213" s="90" t="s">
        <v>2156</v>
      </c>
      <c r="C213" s="69"/>
      <c r="D213" s="89"/>
      <c r="E213" s="111"/>
      <c r="F213" s="69"/>
      <c r="G213" s="89"/>
      <c r="H213" s="89"/>
      <c r="I213" s="89"/>
      <c r="J213" s="713"/>
      <c r="K213" s="711"/>
      <c r="M213" s="62">
        <f t="shared" si="15"/>
        <v>5</v>
      </c>
    </row>
    <row r="214" spans="1:13">
      <c r="A214" s="88">
        <f>+A210+1</f>
        <v>32</v>
      </c>
      <c r="B214" s="69" t="s">
        <v>2316</v>
      </c>
      <c r="C214" s="69">
        <v>13</v>
      </c>
      <c r="D214" s="89">
        <v>1</v>
      </c>
      <c r="E214" s="111">
        <v>1</v>
      </c>
      <c r="F214" s="89">
        <v>1</v>
      </c>
      <c r="G214" s="89">
        <v>1</v>
      </c>
      <c r="H214" s="89">
        <v>1</v>
      </c>
      <c r="I214" s="89">
        <v>1</v>
      </c>
      <c r="J214" s="710">
        <f>(VLOOKUP($C214,[2]Sheet1!$A$2:$P$18,$M214+1)/12)*12*D214</f>
        <v>628759.53804000001</v>
      </c>
      <c r="K214" s="711"/>
      <c r="M214" s="62">
        <f t="shared" si="15"/>
        <v>3</v>
      </c>
    </row>
    <row r="215" spans="1:13">
      <c r="A215" s="88">
        <f t="shared" ref="A215:A223" si="16">+A214+1</f>
        <v>33</v>
      </c>
      <c r="B215" s="69" t="s">
        <v>2317</v>
      </c>
      <c r="C215" s="69">
        <v>10</v>
      </c>
      <c r="D215" s="89">
        <v>1</v>
      </c>
      <c r="E215" s="111">
        <v>1</v>
      </c>
      <c r="F215" s="89">
        <v>1</v>
      </c>
      <c r="G215" s="89">
        <v>1</v>
      </c>
      <c r="H215" s="89">
        <v>1</v>
      </c>
      <c r="I215" s="89">
        <v>1</v>
      </c>
      <c r="J215" s="710">
        <f>(VLOOKUP($C215,[2]Sheet1!$A$2:$P$18,$M215+1)/12)*12*D215</f>
        <v>483974.5687200001</v>
      </c>
      <c r="K215" s="711"/>
      <c r="M215" s="62">
        <f t="shared" si="15"/>
        <v>3</v>
      </c>
    </row>
    <row r="216" spans="1:13">
      <c r="A216" s="88">
        <f t="shared" si="16"/>
        <v>34</v>
      </c>
      <c r="B216" s="69" t="s">
        <v>2318</v>
      </c>
      <c r="C216" s="69">
        <v>9</v>
      </c>
      <c r="D216" s="89">
        <v>1</v>
      </c>
      <c r="E216" s="111">
        <v>1</v>
      </c>
      <c r="F216" s="89">
        <v>1</v>
      </c>
      <c r="G216" s="89">
        <v>1</v>
      </c>
      <c r="H216" s="89">
        <v>1</v>
      </c>
      <c r="I216" s="89">
        <v>1</v>
      </c>
      <c r="J216" s="710">
        <f>(VLOOKUP($C216,[2]Sheet1!$A$2:$P$18,$M216+1)/12)*12*D216</f>
        <v>409681.90619999997</v>
      </c>
      <c r="K216" s="711"/>
      <c r="M216" s="62">
        <f t="shared" si="15"/>
        <v>3</v>
      </c>
    </row>
    <row r="217" spans="1:13">
      <c r="A217" s="88">
        <f t="shared" si="16"/>
        <v>35</v>
      </c>
      <c r="B217" s="69" t="s">
        <v>888</v>
      </c>
      <c r="C217" s="69">
        <v>8</v>
      </c>
      <c r="D217" s="89">
        <v>1</v>
      </c>
      <c r="E217" s="111">
        <v>1</v>
      </c>
      <c r="F217" s="89">
        <v>1</v>
      </c>
      <c r="G217" s="89">
        <v>1</v>
      </c>
      <c r="H217" s="89">
        <v>1</v>
      </c>
      <c r="I217" s="89">
        <v>1</v>
      </c>
      <c r="J217" s="710">
        <f>(VLOOKUP($C217,[2]Sheet1!$A$2:$P$18,$M217+1)/12)*12*D217</f>
        <v>342141.27408</v>
      </c>
      <c r="K217" s="711"/>
      <c r="M217" s="62">
        <f t="shared" si="15"/>
        <v>3</v>
      </c>
    </row>
    <row r="218" spans="1:13">
      <c r="A218" s="88">
        <f t="shared" si="16"/>
        <v>36</v>
      </c>
      <c r="B218" s="69" t="s">
        <v>2428</v>
      </c>
      <c r="C218" s="69">
        <v>7</v>
      </c>
      <c r="D218" s="89">
        <v>1</v>
      </c>
      <c r="E218" s="111">
        <v>1</v>
      </c>
      <c r="F218" s="89">
        <v>1</v>
      </c>
      <c r="G218" s="89">
        <v>1</v>
      </c>
      <c r="H218" s="89">
        <v>1</v>
      </c>
      <c r="I218" s="89">
        <v>1</v>
      </c>
      <c r="J218" s="710">
        <f>(VLOOKUP($C218,[2]Sheet1!$A$2:$P$18,$M218+1)/12)*12*D218</f>
        <v>307706.70240000007</v>
      </c>
      <c r="K218" s="711"/>
      <c r="M218" s="62">
        <f t="shared" si="15"/>
        <v>3</v>
      </c>
    </row>
    <row r="219" spans="1:13">
      <c r="A219" s="88">
        <f t="shared" si="16"/>
        <v>37</v>
      </c>
      <c r="B219" s="69" t="s">
        <v>1927</v>
      </c>
      <c r="C219" s="69">
        <v>6</v>
      </c>
      <c r="D219" s="89">
        <v>1</v>
      </c>
      <c r="E219" s="111">
        <v>1</v>
      </c>
      <c r="F219" s="89">
        <v>1</v>
      </c>
      <c r="G219" s="89">
        <v>1</v>
      </c>
      <c r="H219" s="89">
        <v>1</v>
      </c>
      <c r="I219" s="89">
        <v>1</v>
      </c>
      <c r="J219" s="710">
        <f>(VLOOKUP($C219,[2]Sheet1!$A$2:$P$18,$M219+1)/12)*12*D219</f>
        <v>238099.37893036497</v>
      </c>
      <c r="K219" s="711"/>
      <c r="M219" s="62">
        <f t="shared" si="15"/>
        <v>5</v>
      </c>
    </row>
    <row r="220" spans="1:13">
      <c r="A220" s="88">
        <f t="shared" si="16"/>
        <v>38</v>
      </c>
      <c r="B220" s="69" t="s">
        <v>1928</v>
      </c>
      <c r="C220" s="69">
        <v>5</v>
      </c>
      <c r="D220" s="89">
        <v>1</v>
      </c>
      <c r="E220" s="111">
        <v>1</v>
      </c>
      <c r="F220" s="89">
        <v>1</v>
      </c>
      <c r="G220" s="89">
        <v>1</v>
      </c>
      <c r="H220" s="89">
        <v>1</v>
      </c>
      <c r="I220" s="89">
        <v>1</v>
      </c>
      <c r="J220" s="710">
        <f>(VLOOKUP($C220,[2]Sheet1!$A$2:$P$18,$M220+1)/12)*12*D220</f>
        <v>229569.77893036499</v>
      </c>
      <c r="K220" s="711"/>
      <c r="M220" s="62">
        <f t="shared" si="15"/>
        <v>5</v>
      </c>
    </row>
    <row r="221" spans="1:13">
      <c r="A221" s="88">
        <f t="shared" si="16"/>
        <v>39</v>
      </c>
      <c r="B221" s="69" t="s">
        <v>3898</v>
      </c>
      <c r="C221" s="69">
        <v>5</v>
      </c>
      <c r="D221" s="89">
        <v>1</v>
      </c>
      <c r="E221" s="111">
        <v>1</v>
      </c>
      <c r="F221" s="89">
        <v>1</v>
      </c>
      <c r="G221" s="89">
        <v>1</v>
      </c>
      <c r="H221" s="89">
        <v>1</v>
      </c>
      <c r="I221" s="89">
        <v>1</v>
      </c>
      <c r="J221" s="710">
        <f>(VLOOKUP($C221,[2]Sheet1!$A$2:$P$18,$M221+1)/12)*12*D221</f>
        <v>229569.77893036499</v>
      </c>
      <c r="K221" s="711"/>
      <c r="M221" s="62">
        <f t="shared" si="15"/>
        <v>5</v>
      </c>
    </row>
    <row r="222" spans="1:13">
      <c r="A222" s="88">
        <f>+A221+1</f>
        <v>40</v>
      </c>
      <c r="B222" s="69" t="s">
        <v>3745</v>
      </c>
      <c r="C222" s="69">
        <v>4</v>
      </c>
      <c r="D222" s="89">
        <v>1</v>
      </c>
      <c r="E222" s="111">
        <v>1</v>
      </c>
      <c r="F222" s="89">
        <v>1</v>
      </c>
      <c r="G222" s="89">
        <v>1</v>
      </c>
      <c r="H222" s="89">
        <v>1</v>
      </c>
      <c r="I222" s="89">
        <v>1</v>
      </c>
      <c r="J222" s="710">
        <f>(VLOOKUP($C222,[2]Sheet1!$A$2:$P$18,$M222+1)/12)*12*D222</f>
        <v>224542.978930365</v>
      </c>
      <c r="K222" s="711"/>
      <c r="M222" s="62">
        <f t="shared" si="15"/>
        <v>5</v>
      </c>
    </row>
    <row r="223" spans="1:13">
      <c r="A223" s="88">
        <f t="shared" si="16"/>
        <v>41</v>
      </c>
      <c r="B223" s="69" t="s">
        <v>2403</v>
      </c>
      <c r="C223" s="69">
        <v>3</v>
      </c>
      <c r="D223" s="89">
        <v>1</v>
      </c>
      <c r="E223" s="111">
        <v>1</v>
      </c>
      <c r="F223" s="89">
        <v>1</v>
      </c>
      <c r="G223" s="89">
        <v>1</v>
      </c>
      <c r="H223" s="89">
        <v>1</v>
      </c>
      <c r="I223" s="89">
        <v>1</v>
      </c>
      <c r="J223" s="710">
        <f>(VLOOKUP($C223,[2]Sheet1!$A$2:$P$18,$M223+1)/12)*12*D223</f>
        <v>219336.17893036499</v>
      </c>
      <c r="K223" s="711"/>
      <c r="M223" s="62">
        <f t="shared" si="15"/>
        <v>5</v>
      </c>
    </row>
    <row r="224" spans="1:13">
      <c r="A224" s="88"/>
      <c r="B224" s="90" t="s">
        <v>113</v>
      </c>
      <c r="C224" s="69"/>
      <c r="D224" s="89"/>
      <c r="E224" s="111"/>
      <c r="F224" s="89"/>
      <c r="G224" s="89"/>
      <c r="H224" s="89"/>
      <c r="I224" s="89"/>
      <c r="J224" s="710"/>
      <c r="K224" s="711"/>
      <c r="M224" s="62">
        <f t="shared" si="15"/>
        <v>5</v>
      </c>
    </row>
    <row r="225" spans="1:13">
      <c r="A225" s="88">
        <f>+A223+1</f>
        <v>42</v>
      </c>
      <c r="B225" s="69" t="s">
        <v>345</v>
      </c>
      <c r="C225" s="69">
        <v>12</v>
      </c>
      <c r="D225" s="89">
        <v>0</v>
      </c>
      <c r="E225" s="111">
        <v>0</v>
      </c>
      <c r="F225" s="89">
        <v>0</v>
      </c>
      <c r="G225" s="89">
        <v>0</v>
      </c>
      <c r="H225" s="89">
        <v>0</v>
      </c>
      <c r="I225" s="89">
        <v>0</v>
      </c>
      <c r="J225" s="710">
        <f>(VLOOKUP($C225,[2]Sheet1!$A$2:$P$18,$M225+1)/12)*12*D225</f>
        <v>0</v>
      </c>
      <c r="K225" s="711"/>
      <c r="M225" s="62">
        <f t="shared" si="15"/>
        <v>3</v>
      </c>
    </row>
    <row r="226" spans="1:13">
      <c r="A226" s="88">
        <f>+A225+1</f>
        <v>43</v>
      </c>
      <c r="B226" s="69" t="s">
        <v>136</v>
      </c>
      <c r="C226" s="69">
        <v>6</v>
      </c>
      <c r="D226" s="89">
        <v>1</v>
      </c>
      <c r="E226" s="111">
        <v>1</v>
      </c>
      <c r="F226" s="89">
        <v>1</v>
      </c>
      <c r="G226" s="89">
        <v>1</v>
      </c>
      <c r="H226" s="89">
        <v>1</v>
      </c>
      <c r="I226" s="89">
        <v>1</v>
      </c>
      <c r="J226" s="710">
        <f>(VLOOKUP($C226,[2]Sheet1!$A$2:$P$18,$M226+1)/12)*12*D226</f>
        <v>238099.37893036497</v>
      </c>
      <c r="K226" s="711"/>
      <c r="M226" s="62">
        <f t="shared" si="15"/>
        <v>5</v>
      </c>
    </row>
    <row r="227" spans="1:13">
      <c r="A227" s="88">
        <f>+A226+1</f>
        <v>44</v>
      </c>
      <c r="B227" s="69" t="s">
        <v>114</v>
      </c>
      <c r="C227" s="69">
        <v>5</v>
      </c>
      <c r="D227" s="89">
        <v>1</v>
      </c>
      <c r="E227" s="111">
        <v>1</v>
      </c>
      <c r="F227" s="89">
        <v>1</v>
      </c>
      <c r="G227" s="89">
        <v>1</v>
      </c>
      <c r="H227" s="89">
        <v>1</v>
      </c>
      <c r="I227" s="89">
        <v>1</v>
      </c>
      <c r="J227" s="710">
        <f>(VLOOKUP($C227,[2]Sheet1!$A$2:$P$18,$M227+1)/12)*12*D227</f>
        <v>229569.77893036499</v>
      </c>
      <c r="K227" s="711"/>
      <c r="M227" s="62">
        <f t="shared" si="15"/>
        <v>5</v>
      </c>
    </row>
    <row r="228" spans="1:13">
      <c r="A228" s="88"/>
      <c r="B228" s="90" t="s">
        <v>1472</v>
      </c>
      <c r="C228" s="69"/>
      <c r="D228" s="89"/>
      <c r="E228" s="111"/>
      <c r="F228" s="89"/>
      <c r="G228" s="89"/>
      <c r="H228" s="89"/>
      <c r="I228" s="89"/>
      <c r="J228" s="710"/>
      <c r="K228" s="711"/>
      <c r="M228" s="62">
        <f t="shared" si="15"/>
        <v>5</v>
      </c>
    </row>
    <row r="229" spans="1:13">
      <c r="A229" s="88">
        <f>+A227+1</f>
        <v>45</v>
      </c>
      <c r="B229" s="69" t="s">
        <v>2243</v>
      </c>
      <c r="C229" s="69">
        <v>7</v>
      </c>
      <c r="D229" s="89">
        <v>1</v>
      </c>
      <c r="E229" s="111">
        <v>1</v>
      </c>
      <c r="F229" s="89">
        <v>1</v>
      </c>
      <c r="G229" s="89">
        <v>1</v>
      </c>
      <c r="H229" s="89">
        <v>1</v>
      </c>
      <c r="I229" s="89">
        <v>1</v>
      </c>
      <c r="J229" s="710">
        <f>(VLOOKUP($C229,[2]Sheet1!$A$2:$P$18,$M229+1)/12)*12*D229</f>
        <v>307706.70240000007</v>
      </c>
      <c r="K229" s="711"/>
      <c r="M229" s="62">
        <f t="shared" si="15"/>
        <v>3</v>
      </c>
    </row>
    <row r="230" spans="1:13">
      <c r="A230" s="88">
        <f t="shared" ref="A230:A244" si="17">+A229+1</f>
        <v>46</v>
      </c>
      <c r="B230" s="69" t="s">
        <v>899</v>
      </c>
      <c r="C230" s="69">
        <v>7</v>
      </c>
      <c r="D230" s="89">
        <v>1</v>
      </c>
      <c r="E230" s="111">
        <v>1</v>
      </c>
      <c r="F230" s="89">
        <v>1</v>
      </c>
      <c r="G230" s="89">
        <v>1</v>
      </c>
      <c r="H230" s="89">
        <v>1</v>
      </c>
      <c r="I230" s="89">
        <v>1</v>
      </c>
      <c r="J230" s="710">
        <f>(VLOOKUP($C230,[2]Sheet1!$A$2:$P$18,$M230+1)/12)*12*D230</f>
        <v>307706.70240000007</v>
      </c>
      <c r="K230" s="711"/>
      <c r="M230" s="62">
        <f t="shared" si="15"/>
        <v>3</v>
      </c>
    </row>
    <row r="231" spans="1:13">
      <c r="A231" s="88">
        <f t="shared" si="17"/>
        <v>47</v>
      </c>
      <c r="B231" s="69" t="s">
        <v>1694</v>
      </c>
      <c r="C231" s="69">
        <v>6</v>
      </c>
      <c r="D231" s="89">
        <v>3</v>
      </c>
      <c r="E231" s="111">
        <v>3</v>
      </c>
      <c r="F231" s="89">
        <v>3</v>
      </c>
      <c r="G231" s="89">
        <v>3</v>
      </c>
      <c r="H231" s="89">
        <v>3</v>
      </c>
      <c r="I231" s="89">
        <v>3</v>
      </c>
      <c r="J231" s="710">
        <f>(VLOOKUP($C231,[2]Sheet1!$A$2:$P$18,$M231+1)/12)*12*D231</f>
        <v>714298.1367910949</v>
      </c>
      <c r="K231" s="711"/>
      <c r="M231" s="62">
        <f t="shared" si="15"/>
        <v>5</v>
      </c>
    </row>
    <row r="232" spans="1:13">
      <c r="A232" s="88">
        <f t="shared" si="17"/>
        <v>48</v>
      </c>
      <c r="B232" s="69" t="s">
        <v>1704</v>
      </c>
      <c r="C232" s="69">
        <v>5</v>
      </c>
      <c r="D232" s="89">
        <v>3</v>
      </c>
      <c r="E232" s="111">
        <v>3</v>
      </c>
      <c r="F232" s="89">
        <v>3</v>
      </c>
      <c r="G232" s="89">
        <v>3</v>
      </c>
      <c r="H232" s="89">
        <v>3</v>
      </c>
      <c r="I232" s="89">
        <v>3</v>
      </c>
      <c r="J232" s="710">
        <f>(VLOOKUP($C232,[2]Sheet1!$A$2:$P$18,$M232+1)/12)*12*D232</f>
        <v>688709.33679109497</v>
      </c>
      <c r="K232" s="711"/>
      <c r="M232" s="62">
        <f t="shared" si="15"/>
        <v>5</v>
      </c>
    </row>
    <row r="233" spans="1:13">
      <c r="A233" s="88">
        <f t="shared" si="17"/>
        <v>49</v>
      </c>
      <c r="B233" s="69" t="s">
        <v>1705</v>
      </c>
      <c r="C233" s="69">
        <v>4</v>
      </c>
      <c r="D233" s="89">
        <v>2</v>
      </c>
      <c r="E233" s="111">
        <v>2</v>
      </c>
      <c r="F233" s="89">
        <v>2</v>
      </c>
      <c r="G233" s="89">
        <v>2</v>
      </c>
      <c r="H233" s="89">
        <v>2</v>
      </c>
      <c r="I233" s="89">
        <v>2</v>
      </c>
      <c r="J233" s="710">
        <f>(VLOOKUP($C233,[2]Sheet1!$A$2:$P$18,$M233+1)/12)*12*D233</f>
        <v>449085.95786073001</v>
      </c>
      <c r="K233" s="711"/>
      <c r="M233" s="62">
        <f t="shared" si="15"/>
        <v>5</v>
      </c>
    </row>
    <row r="234" spans="1:13">
      <c r="A234" s="88">
        <f t="shared" si="17"/>
        <v>50</v>
      </c>
      <c r="B234" s="69" t="s">
        <v>1540</v>
      </c>
      <c r="C234" s="69">
        <v>3</v>
      </c>
      <c r="D234" s="89">
        <v>1</v>
      </c>
      <c r="E234" s="111">
        <v>1</v>
      </c>
      <c r="F234" s="89">
        <v>1</v>
      </c>
      <c r="G234" s="89">
        <v>1</v>
      </c>
      <c r="H234" s="89">
        <v>1</v>
      </c>
      <c r="I234" s="89">
        <v>1</v>
      </c>
      <c r="J234" s="710">
        <f>(VLOOKUP($C234,[2]Sheet1!$A$2:$P$18,$M234+1)/12)*12*D234</f>
        <v>219336.17893036499</v>
      </c>
      <c r="K234" s="711"/>
      <c r="M234" s="62">
        <f t="shared" si="15"/>
        <v>5</v>
      </c>
    </row>
    <row r="235" spans="1:13">
      <c r="A235" s="88">
        <f t="shared" si="17"/>
        <v>51</v>
      </c>
      <c r="B235" s="69" t="s">
        <v>1097</v>
      </c>
      <c r="C235" s="69">
        <v>10</v>
      </c>
      <c r="D235" s="89">
        <v>1</v>
      </c>
      <c r="E235" s="111">
        <v>1</v>
      </c>
      <c r="F235" s="89">
        <v>1</v>
      </c>
      <c r="G235" s="89">
        <v>1</v>
      </c>
      <c r="H235" s="89">
        <v>1</v>
      </c>
      <c r="I235" s="89">
        <v>1</v>
      </c>
      <c r="J235" s="710">
        <f>(VLOOKUP($C235,[2]Sheet1!$A$2:$P$18,$M235+1)/12)*12*D235</f>
        <v>483974.5687200001</v>
      </c>
      <c r="K235" s="711"/>
      <c r="M235" s="62">
        <f t="shared" si="15"/>
        <v>3</v>
      </c>
    </row>
    <row r="236" spans="1:13">
      <c r="A236" s="88">
        <f t="shared" si="17"/>
        <v>52</v>
      </c>
      <c r="B236" s="69" t="s">
        <v>2397</v>
      </c>
      <c r="C236" s="69">
        <v>9</v>
      </c>
      <c r="D236" s="89">
        <v>1</v>
      </c>
      <c r="E236" s="111">
        <v>1</v>
      </c>
      <c r="F236" s="89">
        <v>1</v>
      </c>
      <c r="G236" s="89">
        <v>1</v>
      </c>
      <c r="H236" s="89">
        <v>1</v>
      </c>
      <c r="I236" s="89">
        <v>1</v>
      </c>
      <c r="J236" s="710">
        <f>(VLOOKUP($C236,[2]Sheet1!$A$2:$P$18,$M236+1)/12)*12*D236</f>
        <v>409681.90619999997</v>
      </c>
      <c r="K236" s="711"/>
      <c r="M236" s="62">
        <f t="shared" si="15"/>
        <v>3</v>
      </c>
    </row>
    <row r="237" spans="1:13">
      <c r="A237" s="88">
        <f t="shared" si="17"/>
        <v>53</v>
      </c>
      <c r="B237" s="69" t="s">
        <v>1098</v>
      </c>
      <c r="C237" s="69">
        <v>8</v>
      </c>
      <c r="D237" s="89">
        <v>3</v>
      </c>
      <c r="E237" s="111">
        <v>3</v>
      </c>
      <c r="F237" s="89">
        <v>3</v>
      </c>
      <c r="G237" s="89">
        <v>3</v>
      </c>
      <c r="H237" s="89">
        <v>3</v>
      </c>
      <c r="I237" s="89">
        <v>3</v>
      </c>
      <c r="J237" s="710">
        <f>(VLOOKUP($C237,[2]Sheet1!$A$2:$P$18,$M237+1)/12)*12*D237</f>
        <v>1026423.82224</v>
      </c>
      <c r="K237" s="711"/>
      <c r="M237" s="62">
        <f t="shared" si="15"/>
        <v>3</v>
      </c>
    </row>
    <row r="238" spans="1:13">
      <c r="A238" s="88">
        <f t="shared" si="17"/>
        <v>54</v>
      </c>
      <c r="B238" s="69" t="s">
        <v>1258</v>
      </c>
      <c r="C238" s="69">
        <v>7</v>
      </c>
      <c r="D238" s="89">
        <v>1</v>
      </c>
      <c r="E238" s="111">
        <v>1</v>
      </c>
      <c r="F238" s="89">
        <v>1</v>
      </c>
      <c r="G238" s="89">
        <v>1</v>
      </c>
      <c r="H238" s="89">
        <v>1</v>
      </c>
      <c r="I238" s="89">
        <v>1</v>
      </c>
      <c r="J238" s="710">
        <f>(VLOOKUP($C238,[2]Sheet1!$A$2:$P$18,$M238+1)/12)*12*D238</f>
        <v>307706.70240000007</v>
      </c>
      <c r="K238" s="711"/>
      <c r="M238" s="62">
        <f t="shared" si="15"/>
        <v>3</v>
      </c>
    </row>
    <row r="239" spans="1:13">
      <c r="A239" s="88">
        <f t="shared" si="17"/>
        <v>55</v>
      </c>
      <c r="B239" s="69" t="s">
        <v>1259</v>
      </c>
      <c r="C239" s="69">
        <v>7</v>
      </c>
      <c r="D239" s="89">
        <v>6</v>
      </c>
      <c r="E239" s="111">
        <v>6</v>
      </c>
      <c r="F239" s="89">
        <v>6</v>
      </c>
      <c r="G239" s="89">
        <v>6</v>
      </c>
      <c r="H239" s="89">
        <v>0</v>
      </c>
      <c r="I239" s="89">
        <v>6</v>
      </c>
      <c r="J239" s="710">
        <f>(VLOOKUP($C239,[2]Sheet1!$A$2:$P$18,$M239+1)/12)*12*D239</f>
        <v>1846240.2144000004</v>
      </c>
      <c r="K239" s="711"/>
      <c r="M239" s="62">
        <f t="shared" si="15"/>
        <v>3</v>
      </c>
    </row>
    <row r="240" spans="1:13">
      <c r="A240" s="88">
        <f t="shared" si="17"/>
        <v>56</v>
      </c>
      <c r="B240" s="69" t="s">
        <v>2076</v>
      </c>
      <c r="C240" s="69">
        <v>6</v>
      </c>
      <c r="D240" s="89">
        <v>6</v>
      </c>
      <c r="E240" s="111">
        <v>6</v>
      </c>
      <c r="F240" s="89">
        <v>6</v>
      </c>
      <c r="G240" s="89">
        <v>6</v>
      </c>
      <c r="H240" s="89">
        <v>0</v>
      </c>
      <c r="I240" s="89">
        <v>6</v>
      </c>
      <c r="J240" s="710">
        <f>(VLOOKUP($C240,[2]Sheet1!$A$2:$P$18,$M240+1)/12)*12*D240</f>
        <v>1428596.2735821898</v>
      </c>
      <c r="K240" s="711"/>
      <c r="M240" s="62">
        <f t="shared" si="15"/>
        <v>5</v>
      </c>
    </row>
    <row r="241" spans="1:13">
      <c r="A241" s="88">
        <f t="shared" si="17"/>
        <v>57</v>
      </c>
      <c r="B241" s="69" t="s">
        <v>2077</v>
      </c>
      <c r="C241" s="69">
        <v>5</v>
      </c>
      <c r="D241" s="89">
        <v>3</v>
      </c>
      <c r="E241" s="111">
        <v>3</v>
      </c>
      <c r="F241" s="89">
        <v>3</v>
      </c>
      <c r="G241" s="89">
        <v>3</v>
      </c>
      <c r="H241" s="89">
        <v>3</v>
      </c>
      <c r="I241" s="89">
        <v>3</v>
      </c>
      <c r="J241" s="710">
        <f>(VLOOKUP($C241,[2]Sheet1!$A$2:$P$18,$M241+1)/12)*12*D241</f>
        <v>688709.33679109497</v>
      </c>
      <c r="K241" s="711"/>
      <c r="M241" s="62">
        <f t="shared" si="15"/>
        <v>5</v>
      </c>
    </row>
    <row r="242" spans="1:13">
      <c r="A242" s="88">
        <f>+A241+1</f>
        <v>58</v>
      </c>
      <c r="B242" s="69" t="s">
        <v>2078</v>
      </c>
      <c r="C242" s="69">
        <v>4</v>
      </c>
      <c r="D242" s="89">
        <v>2</v>
      </c>
      <c r="E242" s="111">
        <v>2</v>
      </c>
      <c r="F242" s="89">
        <v>2</v>
      </c>
      <c r="G242" s="89">
        <v>2</v>
      </c>
      <c r="H242" s="89">
        <v>2</v>
      </c>
      <c r="I242" s="89">
        <v>2</v>
      </c>
      <c r="J242" s="710">
        <f>(VLOOKUP($C242,[2]Sheet1!$A$2:$P$18,$M242+1)/12)*12*D242</f>
        <v>449085.95786073001</v>
      </c>
      <c r="K242" s="711"/>
      <c r="M242" s="62">
        <f t="shared" si="15"/>
        <v>5</v>
      </c>
    </row>
    <row r="243" spans="1:13">
      <c r="A243" s="88">
        <f t="shared" si="17"/>
        <v>59</v>
      </c>
      <c r="B243" s="69" t="s">
        <v>1945</v>
      </c>
      <c r="C243" s="69">
        <v>3</v>
      </c>
      <c r="D243" s="89">
        <v>2</v>
      </c>
      <c r="E243" s="111">
        <v>2</v>
      </c>
      <c r="F243" s="89">
        <v>2</v>
      </c>
      <c r="G243" s="89">
        <v>2</v>
      </c>
      <c r="H243" s="89">
        <v>2</v>
      </c>
      <c r="I243" s="89">
        <v>2</v>
      </c>
      <c r="J243" s="710">
        <f>(VLOOKUP($C243,[2]Sheet1!$A$2:$P$18,$M243+1)/12)*12*D243</f>
        <v>438672.35786072997</v>
      </c>
      <c r="K243" s="711"/>
      <c r="M243" s="62">
        <f t="shared" si="15"/>
        <v>5</v>
      </c>
    </row>
    <row r="244" spans="1:13">
      <c r="A244" s="88">
        <f t="shared" si="17"/>
        <v>60</v>
      </c>
      <c r="B244" s="69" t="s">
        <v>1946</v>
      </c>
      <c r="C244" s="69">
        <v>2</v>
      </c>
      <c r="D244" s="89">
        <v>2</v>
      </c>
      <c r="E244" s="111">
        <v>2</v>
      </c>
      <c r="F244" s="89">
        <v>2</v>
      </c>
      <c r="G244" s="89">
        <v>2</v>
      </c>
      <c r="H244" s="89">
        <v>2</v>
      </c>
      <c r="I244" s="89">
        <v>2</v>
      </c>
      <c r="J244" s="710">
        <f>(VLOOKUP($C244,[2]Sheet1!$A$2:$P$18,$M244+1)/12)*12*D244</f>
        <v>429314.75786073005</v>
      </c>
      <c r="K244" s="711"/>
      <c r="M244" s="62">
        <f t="shared" si="15"/>
        <v>5</v>
      </c>
    </row>
    <row r="245" spans="1:13">
      <c r="A245" s="88"/>
      <c r="B245" s="90" t="s">
        <v>3531</v>
      </c>
      <c r="C245" s="69"/>
      <c r="D245" s="89"/>
      <c r="E245" s="111"/>
      <c r="F245" s="89"/>
      <c r="G245" s="89"/>
      <c r="H245" s="89"/>
      <c r="I245" s="89"/>
      <c r="J245" s="710"/>
      <c r="K245" s="711"/>
      <c r="M245" s="62">
        <f t="shared" si="15"/>
        <v>5</v>
      </c>
    </row>
    <row r="246" spans="1:13">
      <c r="A246" s="88">
        <f>+A244+1</f>
        <v>61</v>
      </c>
      <c r="B246" s="69" t="s">
        <v>3532</v>
      </c>
      <c r="C246" s="69">
        <v>16</v>
      </c>
      <c r="D246" s="89">
        <v>0</v>
      </c>
      <c r="E246" s="111">
        <v>0</v>
      </c>
      <c r="F246" s="89">
        <v>0</v>
      </c>
      <c r="G246" s="89">
        <v>0</v>
      </c>
      <c r="H246" s="89">
        <v>0</v>
      </c>
      <c r="I246" s="89">
        <v>0</v>
      </c>
      <c r="J246" s="710">
        <f>(VLOOKUP($C246,[2]Sheet1!$A$2:$P$18,$M246+1)/12)*12*D246</f>
        <v>0</v>
      </c>
      <c r="K246" s="711"/>
      <c r="M246" s="62">
        <f t="shared" si="15"/>
        <v>3</v>
      </c>
    </row>
    <row r="247" spans="1:13">
      <c r="A247" s="88">
        <f t="shared" ref="A247:A268" si="18">+A246+1</f>
        <v>62</v>
      </c>
      <c r="B247" s="69" t="s">
        <v>3533</v>
      </c>
      <c r="C247" s="69">
        <v>14</v>
      </c>
      <c r="D247" s="89">
        <v>0</v>
      </c>
      <c r="E247" s="111">
        <v>0</v>
      </c>
      <c r="F247" s="89">
        <v>0</v>
      </c>
      <c r="G247" s="89">
        <v>0</v>
      </c>
      <c r="H247" s="89">
        <v>0</v>
      </c>
      <c r="I247" s="89">
        <v>0</v>
      </c>
      <c r="J247" s="710">
        <f>(VLOOKUP($C247,[2]Sheet1!$A$2:$P$18,$M247+1)/12)*12*D247</f>
        <v>0</v>
      </c>
      <c r="K247" s="711"/>
      <c r="M247" s="62">
        <f t="shared" si="15"/>
        <v>3</v>
      </c>
    </row>
    <row r="248" spans="1:13">
      <c r="A248" s="88">
        <f t="shared" si="18"/>
        <v>63</v>
      </c>
      <c r="B248" s="69" t="s">
        <v>3534</v>
      </c>
      <c r="C248" s="69">
        <v>10</v>
      </c>
      <c r="D248" s="89">
        <v>0</v>
      </c>
      <c r="E248" s="111">
        <v>0</v>
      </c>
      <c r="F248" s="89">
        <v>0</v>
      </c>
      <c r="G248" s="89">
        <v>0</v>
      </c>
      <c r="H248" s="89">
        <v>0</v>
      </c>
      <c r="I248" s="89">
        <v>0</v>
      </c>
      <c r="J248" s="710">
        <f>(VLOOKUP($C248,[2]Sheet1!$A$2:$P$18,$M248+1)/12)*12*D248</f>
        <v>0</v>
      </c>
      <c r="K248" s="711"/>
      <c r="M248" s="62">
        <f t="shared" si="15"/>
        <v>3</v>
      </c>
    </row>
    <row r="249" spans="1:13">
      <c r="A249" s="88">
        <f t="shared" si="18"/>
        <v>64</v>
      </c>
      <c r="B249" s="69" t="s">
        <v>3535</v>
      </c>
      <c r="C249" s="69">
        <v>9</v>
      </c>
      <c r="D249" s="89">
        <v>1</v>
      </c>
      <c r="E249" s="111">
        <v>1</v>
      </c>
      <c r="F249" s="89">
        <v>1</v>
      </c>
      <c r="G249" s="89">
        <v>1</v>
      </c>
      <c r="H249" s="89">
        <v>1</v>
      </c>
      <c r="I249" s="89">
        <v>1</v>
      </c>
      <c r="J249" s="710">
        <f>(VLOOKUP($C249,[2]Sheet1!$A$2:$P$18,$M249+1)/12)*12*D249</f>
        <v>409681.90619999997</v>
      </c>
      <c r="K249" s="711"/>
      <c r="M249" s="62">
        <f t="shared" si="15"/>
        <v>3</v>
      </c>
    </row>
    <row r="250" spans="1:13">
      <c r="A250" s="88">
        <f t="shared" si="18"/>
        <v>65</v>
      </c>
      <c r="B250" s="69" t="s">
        <v>3536</v>
      </c>
      <c r="C250" s="69">
        <v>4</v>
      </c>
      <c r="D250" s="89">
        <v>1</v>
      </c>
      <c r="E250" s="111">
        <v>1</v>
      </c>
      <c r="F250" s="89">
        <v>1</v>
      </c>
      <c r="G250" s="89">
        <v>1</v>
      </c>
      <c r="H250" s="89">
        <v>1</v>
      </c>
      <c r="I250" s="89">
        <v>1</v>
      </c>
      <c r="J250" s="710">
        <f>(VLOOKUP($C250,[2]Sheet1!$A$2:$P$18,$M250+1)/12)*12*D250</f>
        <v>224542.978930365</v>
      </c>
      <c r="K250" s="711"/>
      <c r="M250" s="62">
        <f t="shared" si="15"/>
        <v>5</v>
      </c>
    </row>
    <row r="251" spans="1:13">
      <c r="A251" s="88">
        <f t="shared" si="18"/>
        <v>66</v>
      </c>
      <c r="B251" s="69" t="s">
        <v>1310</v>
      </c>
      <c r="C251" s="69">
        <v>7</v>
      </c>
      <c r="D251" s="89">
        <v>0</v>
      </c>
      <c r="E251" s="111">
        <v>0</v>
      </c>
      <c r="F251" s="89">
        <v>0</v>
      </c>
      <c r="G251" s="89">
        <v>0</v>
      </c>
      <c r="H251" s="89">
        <v>0</v>
      </c>
      <c r="I251" s="89">
        <v>0</v>
      </c>
      <c r="J251" s="710">
        <f>(VLOOKUP($C251,[2]Sheet1!$A$2:$P$18,$M251+1)/12)*12*D251</f>
        <v>0</v>
      </c>
      <c r="K251" s="711"/>
      <c r="M251" s="62">
        <f t="shared" si="15"/>
        <v>3</v>
      </c>
    </row>
    <row r="252" spans="1:13">
      <c r="A252" s="88">
        <f t="shared" si="18"/>
        <v>67</v>
      </c>
      <c r="B252" s="69" t="s">
        <v>1641</v>
      </c>
      <c r="C252" s="69">
        <v>6</v>
      </c>
      <c r="D252" s="89">
        <v>1</v>
      </c>
      <c r="E252" s="111">
        <v>1</v>
      </c>
      <c r="F252" s="89">
        <v>1</v>
      </c>
      <c r="G252" s="89">
        <v>1</v>
      </c>
      <c r="H252" s="89">
        <v>1</v>
      </c>
      <c r="I252" s="89">
        <v>1</v>
      </c>
      <c r="J252" s="710">
        <f>(VLOOKUP($C252,[2]Sheet1!$A$2:$P$18,$M252+1)/12)*12*D252</f>
        <v>238099.37893036497</v>
      </c>
      <c r="K252" s="711"/>
      <c r="M252" s="62">
        <f t="shared" si="15"/>
        <v>5</v>
      </c>
    </row>
    <row r="253" spans="1:13" ht="13.5" thickBot="1">
      <c r="A253" s="88">
        <f t="shared" si="18"/>
        <v>68</v>
      </c>
      <c r="B253" s="69" t="s">
        <v>3019</v>
      </c>
      <c r="C253" s="69">
        <v>5</v>
      </c>
      <c r="D253" s="89">
        <v>0</v>
      </c>
      <c r="E253" s="111">
        <v>0</v>
      </c>
      <c r="F253" s="89">
        <v>0</v>
      </c>
      <c r="G253" s="89">
        <v>0</v>
      </c>
      <c r="H253" s="89">
        <v>0</v>
      </c>
      <c r="I253" s="89">
        <v>0</v>
      </c>
      <c r="J253" s="710">
        <f>(VLOOKUP($C253,[2]Sheet1!$A$2:$P$18,$M253+1)/12)*12*D253</f>
        <v>0</v>
      </c>
      <c r="K253" s="711"/>
      <c r="M253" s="62">
        <f t="shared" si="15"/>
        <v>5</v>
      </c>
    </row>
    <row r="254" spans="1:13" ht="15.75" thickTop="1">
      <c r="A254" s="1047" t="s">
        <v>2791</v>
      </c>
      <c r="B254" s="1049" t="s">
        <v>4126</v>
      </c>
      <c r="C254" s="1049" t="s">
        <v>854</v>
      </c>
      <c r="D254" s="1040" t="s">
        <v>4127</v>
      </c>
      <c r="E254" s="1041"/>
      <c r="F254" s="1041"/>
      <c r="G254" s="1040" t="s">
        <v>904</v>
      </c>
      <c r="H254" s="1041"/>
      <c r="I254" s="1042"/>
      <c r="J254" s="1035" t="s">
        <v>855</v>
      </c>
      <c r="K254" s="389"/>
    </row>
    <row r="255" spans="1:13" ht="26.25" thickBot="1">
      <c r="A255" s="1048"/>
      <c r="B255" s="1050"/>
      <c r="C255" s="1050"/>
      <c r="D255" s="285" t="s">
        <v>5505</v>
      </c>
      <c r="E255" s="285" t="s">
        <v>4485</v>
      </c>
      <c r="F255" s="285" t="s">
        <v>4486</v>
      </c>
      <c r="G255" s="287" t="s">
        <v>4487</v>
      </c>
      <c r="H255" s="285" t="s">
        <v>4488</v>
      </c>
      <c r="I255" s="287" t="s">
        <v>4489</v>
      </c>
      <c r="J255" s="1036"/>
      <c r="K255" s="712"/>
    </row>
    <row r="256" spans="1:13" ht="13.5" thickTop="1">
      <c r="A256" s="88">
        <f>+A253+1</f>
        <v>69</v>
      </c>
      <c r="B256" s="69" t="s">
        <v>3020</v>
      </c>
      <c r="C256" s="69">
        <v>4</v>
      </c>
      <c r="D256" s="89">
        <v>3</v>
      </c>
      <c r="E256" s="111">
        <v>3</v>
      </c>
      <c r="F256" s="89">
        <v>3</v>
      </c>
      <c r="G256" s="89">
        <v>3</v>
      </c>
      <c r="H256" s="89">
        <v>3</v>
      </c>
      <c r="I256" s="89">
        <v>3</v>
      </c>
      <c r="J256" s="710">
        <f>(VLOOKUP($C256,[2]Sheet1!$A$2:$P$18,$M256+1)/12)*12*D256</f>
        <v>673628.93679109495</v>
      </c>
      <c r="K256" s="711"/>
      <c r="M256" s="62">
        <f t="shared" si="15"/>
        <v>5</v>
      </c>
    </row>
    <row r="257" spans="1:13">
      <c r="A257" s="88">
        <f>+A256+1</f>
        <v>70</v>
      </c>
      <c r="B257" s="69" t="s">
        <v>3187</v>
      </c>
      <c r="C257" s="69">
        <v>3</v>
      </c>
      <c r="D257" s="89">
        <v>5</v>
      </c>
      <c r="E257" s="111">
        <v>5</v>
      </c>
      <c r="F257" s="89">
        <v>5</v>
      </c>
      <c r="G257" s="89">
        <v>5</v>
      </c>
      <c r="H257" s="89">
        <v>0</v>
      </c>
      <c r="I257" s="89">
        <v>5</v>
      </c>
      <c r="J257" s="710">
        <f>(VLOOKUP($C257,[2]Sheet1!$A$2:$P$18,$M257+1)/12)*12*D257</f>
        <v>1096680.8946518248</v>
      </c>
      <c r="K257" s="711"/>
      <c r="M257" s="62">
        <f>IF(C257&gt;6,3,5)</f>
        <v>5</v>
      </c>
    </row>
    <row r="258" spans="1:13">
      <c r="A258" s="88">
        <f>+A257+1</f>
        <v>71</v>
      </c>
      <c r="B258" s="69" t="s">
        <v>3188</v>
      </c>
      <c r="C258" s="69">
        <v>5</v>
      </c>
      <c r="D258" s="89">
        <v>2</v>
      </c>
      <c r="E258" s="111">
        <v>2</v>
      </c>
      <c r="F258" s="89">
        <v>2</v>
      </c>
      <c r="G258" s="89">
        <v>2</v>
      </c>
      <c r="H258" s="89">
        <v>2</v>
      </c>
      <c r="I258" s="89">
        <v>2</v>
      </c>
      <c r="J258" s="710">
        <f>(VLOOKUP($C258,[2]Sheet1!$A$2:$P$18,$M258+1)/12)*12*D258</f>
        <v>459139.55786072998</v>
      </c>
      <c r="K258" s="711"/>
      <c r="M258" s="62">
        <f>IF(C258&gt;6,3,5)</f>
        <v>5</v>
      </c>
    </row>
    <row r="259" spans="1:13">
      <c r="A259" s="88">
        <f>+A258+1</f>
        <v>72</v>
      </c>
      <c r="B259" s="69" t="s">
        <v>3189</v>
      </c>
      <c r="C259" s="69">
        <v>4</v>
      </c>
      <c r="D259" s="89">
        <v>2</v>
      </c>
      <c r="E259" s="111">
        <v>2</v>
      </c>
      <c r="F259" s="89">
        <v>2</v>
      </c>
      <c r="G259" s="89">
        <v>2</v>
      </c>
      <c r="H259" s="89">
        <v>2</v>
      </c>
      <c r="I259" s="89">
        <v>2</v>
      </c>
      <c r="J259" s="710">
        <f>(VLOOKUP($C259,[2]Sheet1!$A$2:$P$18,$M259+1)/12)*12*D259</f>
        <v>449085.95786073001</v>
      </c>
      <c r="K259" s="711"/>
      <c r="M259" s="62">
        <f t="shared" si="15"/>
        <v>5</v>
      </c>
    </row>
    <row r="260" spans="1:13">
      <c r="A260" s="88">
        <f t="shared" si="18"/>
        <v>73</v>
      </c>
      <c r="B260" s="69" t="s">
        <v>2936</v>
      </c>
      <c r="C260" s="69">
        <v>3</v>
      </c>
      <c r="D260" s="89">
        <v>5</v>
      </c>
      <c r="E260" s="111">
        <v>5</v>
      </c>
      <c r="F260" s="89">
        <v>5</v>
      </c>
      <c r="G260" s="89">
        <v>5</v>
      </c>
      <c r="H260" s="89">
        <v>0</v>
      </c>
      <c r="I260" s="89">
        <v>5</v>
      </c>
      <c r="J260" s="710">
        <f>(VLOOKUP($C260,[2]Sheet1!$A$2:$P$18,$M260+1)/12)*12*D260</f>
        <v>1096680.8946518248</v>
      </c>
      <c r="K260" s="711"/>
      <c r="M260" s="62">
        <f t="shared" si="15"/>
        <v>5</v>
      </c>
    </row>
    <row r="261" spans="1:13">
      <c r="A261" s="88">
        <f t="shared" si="18"/>
        <v>74</v>
      </c>
      <c r="B261" s="69" t="s">
        <v>2936</v>
      </c>
      <c r="C261" s="69">
        <v>2</v>
      </c>
      <c r="D261" s="89">
        <v>2</v>
      </c>
      <c r="E261" s="111">
        <v>2</v>
      </c>
      <c r="F261" s="89">
        <v>2</v>
      </c>
      <c r="G261" s="89">
        <v>2</v>
      </c>
      <c r="H261" s="89">
        <v>2</v>
      </c>
      <c r="I261" s="89">
        <v>2</v>
      </c>
      <c r="J261" s="710">
        <f>(VLOOKUP($C261,[2]Sheet1!$A$2:$P$18,$M261+1)/12)*12*D261</f>
        <v>429314.75786073005</v>
      </c>
      <c r="K261" s="711"/>
      <c r="M261" s="62">
        <f t="shared" si="15"/>
        <v>5</v>
      </c>
    </row>
    <row r="262" spans="1:13">
      <c r="A262" s="88">
        <f t="shared" si="18"/>
        <v>75</v>
      </c>
      <c r="B262" s="69" t="s">
        <v>2936</v>
      </c>
      <c r="C262" s="69">
        <v>1</v>
      </c>
      <c r="D262" s="89">
        <v>0</v>
      </c>
      <c r="E262" s="111">
        <v>0</v>
      </c>
      <c r="F262" s="89">
        <v>0</v>
      </c>
      <c r="G262" s="89">
        <v>0</v>
      </c>
      <c r="H262" s="89">
        <v>0</v>
      </c>
      <c r="I262" s="89">
        <v>0</v>
      </c>
      <c r="J262" s="710">
        <f>(VLOOKUP($C262,[2]Sheet1!$A$2:$P$18,$M262+1)/12)*12*D262</f>
        <v>0</v>
      </c>
      <c r="K262" s="711"/>
      <c r="M262" s="62">
        <f t="shared" ref="M262:M299" si="19">IF(C262&gt;6,3,5)</f>
        <v>5</v>
      </c>
    </row>
    <row r="263" spans="1:13">
      <c r="A263" s="88">
        <f t="shared" si="18"/>
        <v>76</v>
      </c>
      <c r="B263" s="69" t="s">
        <v>1947</v>
      </c>
      <c r="C263" s="69">
        <v>3</v>
      </c>
      <c r="D263" s="89">
        <v>2</v>
      </c>
      <c r="E263" s="111">
        <v>2</v>
      </c>
      <c r="F263" s="89">
        <v>2</v>
      </c>
      <c r="G263" s="89">
        <v>2</v>
      </c>
      <c r="H263" s="89">
        <v>2</v>
      </c>
      <c r="I263" s="89">
        <v>2</v>
      </c>
      <c r="J263" s="710">
        <f>(VLOOKUP($C263,[2]Sheet1!$A$2:$P$18,$M263+1)/12)*12*D263</f>
        <v>438672.35786072997</v>
      </c>
      <c r="K263" s="711"/>
      <c r="M263" s="62">
        <f t="shared" si="19"/>
        <v>5</v>
      </c>
    </row>
    <row r="264" spans="1:13">
      <c r="A264" s="88">
        <f>+A263+1</f>
        <v>77</v>
      </c>
      <c r="B264" s="69" t="s">
        <v>76</v>
      </c>
      <c r="C264" s="69">
        <v>2</v>
      </c>
      <c r="D264" s="89">
        <v>4</v>
      </c>
      <c r="E264" s="111">
        <v>4</v>
      </c>
      <c r="F264" s="89">
        <v>4</v>
      </c>
      <c r="G264" s="89">
        <v>4</v>
      </c>
      <c r="H264" s="89">
        <v>0</v>
      </c>
      <c r="I264" s="89">
        <v>4</v>
      </c>
      <c r="J264" s="710">
        <f>(VLOOKUP($C264,[2]Sheet1!$A$2:$P$18,$M264+1)/12)*12*D264</f>
        <v>858629.51572146011</v>
      </c>
      <c r="K264" s="711"/>
      <c r="M264" s="62">
        <f t="shared" si="19"/>
        <v>5</v>
      </c>
    </row>
    <row r="265" spans="1:13">
      <c r="A265" s="88">
        <f t="shared" si="18"/>
        <v>78</v>
      </c>
      <c r="B265" s="69" t="s">
        <v>76</v>
      </c>
      <c r="C265" s="69">
        <v>1</v>
      </c>
      <c r="D265" s="89">
        <v>0</v>
      </c>
      <c r="E265" s="111">
        <v>0</v>
      </c>
      <c r="F265" s="89">
        <v>0</v>
      </c>
      <c r="G265" s="89">
        <v>0</v>
      </c>
      <c r="H265" s="89">
        <v>0</v>
      </c>
      <c r="I265" s="89">
        <v>0</v>
      </c>
      <c r="J265" s="710">
        <f>(VLOOKUP($C265,[2]Sheet1!$A$2:$P$18,$M265+1)/12)*12*D265</f>
        <v>0</v>
      </c>
      <c r="K265" s="711"/>
      <c r="M265" s="62">
        <f t="shared" si="19"/>
        <v>5</v>
      </c>
    </row>
    <row r="266" spans="1:13">
      <c r="A266" s="88">
        <f t="shared" si="18"/>
        <v>79</v>
      </c>
      <c r="B266" s="69" t="s">
        <v>77</v>
      </c>
      <c r="C266" s="69">
        <v>4</v>
      </c>
      <c r="D266" s="89">
        <v>2</v>
      </c>
      <c r="E266" s="111">
        <v>2</v>
      </c>
      <c r="F266" s="89">
        <v>2</v>
      </c>
      <c r="G266" s="89">
        <v>2</v>
      </c>
      <c r="H266" s="89">
        <v>0</v>
      </c>
      <c r="I266" s="89">
        <v>2</v>
      </c>
      <c r="J266" s="710">
        <f>(VLOOKUP($C266,[2]Sheet1!$A$2:$P$18,$M266+1)/12)*12*D266</f>
        <v>449085.95786073001</v>
      </c>
      <c r="K266" s="711"/>
      <c r="M266" s="62">
        <f t="shared" si="19"/>
        <v>5</v>
      </c>
    </row>
    <row r="267" spans="1:13">
      <c r="A267" s="88">
        <f t="shared" si="18"/>
        <v>80</v>
      </c>
      <c r="B267" s="69" t="s">
        <v>78</v>
      </c>
      <c r="C267" s="69">
        <v>3</v>
      </c>
      <c r="D267" s="89">
        <v>1</v>
      </c>
      <c r="E267" s="111">
        <v>1</v>
      </c>
      <c r="F267" s="89">
        <v>1</v>
      </c>
      <c r="G267" s="89">
        <v>1</v>
      </c>
      <c r="H267" s="89">
        <v>1</v>
      </c>
      <c r="I267" s="89">
        <v>1</v>
      </c>
      <c r="J267" s="710">
        <f>(VLOOKUP($C267,[2]Sheet1!$A$2:$P$18,$M267+1)/12)*12*D267</f>
        <v>219336.17893036499</v>
      </c>
      <c r="K267" s="711"/>
      <c r="M267" s="62">
        <f t="shared" si="19"/>
        <v>5</v>
      </c>
    </row>
    <row r="268" spans="1:13">
      <c r="A268" s="88">
        <f t="shared" si="18"/>
        <v>81</v>
      </c>
      <c r="B268" s="69" t="s">
        <v>3699</v>
      </c>
      <c r="C268" s="69">
        <v>2</v>
      </c>
      <c r="D268" s="89">
        <v>2</v>
      </c>
      <c r="E268" s="111">
        <v>2</v>
      </c>
      <c r="F268" s="89">
        <v>2</v>
      </c>
      <c r="G268" s="89">
        <v>2</v>
      </c>
      <c r="H268" s="89">
        <v>0</v>
      </c>
      <c r="I268" s="89">
        <v>2</v>
      </c>
      <c r="J268" s="710">
        <f>(VLOOKUP($C268,[2]Sheet1!$A$2:$P$18,$M268+1)/12)*12*D268</f>
        <v>429314.75786073005</v>
      </c>
      <c r="K268" s="711"/>
      <c r="M268" s="62">
        <f t="shared" si="19"/>
        <v>5</v>
      </c>
    </row>
    <row r="269" spans="1:13">
      <c r="A269" s="88"/>
      <c r="B269" s="90" t="s">
        <v>3521</v>
      </c>
      <c r="C269" s="69"/>
      <c r="D269" s="89"/>
      <c r="E269" s="111"/>
      <c r="F269" s="89"/>
      <c r="G269" s="89"/>
      <c r="H269" s="89"/>
      <c r="I269" s="89"/>
      <c r="J269" s="710"/>
      <c r="K269" s="711"/>
      <c r="M269" s="62">
        <f t="shared" si="19"/>
        <v>5</v>
      </c>
    </row>
    <row r="270" spans="1:13">
      <c r="A270" s="88">
        <f>+A268+1</f>
        <v>82</v>
      </c>
      <c r="B270" s="69" t="s">
        <v>3532</v>
      </c>
      <c r="C270" s="69">
        <v>16</v>
      </c>
      <c r="D270" s="89">
        <v>0</v>
      </c>
      <c r="E270" s="111">
        <v>0</v>
      </c>
      <c r="F270" s="89">
        <v>0</v>
      </c>
      <c r="G270" s="89">
        <v>0</v>
      </c>
      <c r="H270" s="89">
        <v>0</v>
      </c>
      <c r="I270" s="89">
        <v>0</v>
      </c>
      <c r="J270" s="710">
        <f>(VLOOKUP($C270,[2]Sheet1!$A$2:$P$18,$M270+1)/12)*12*D270</f>
        <v>0</v>
      </c>
      <c r="K270" s="711"/>
      <c r="M270" s="62">
        <f t="shared" si="19"/>
        <v>3</v>
      </c>
    </row>
    <row r="271" spans="1:13">
      <c r="A271" s="88">
        <f t="shared" ref="A271:A283" si="20">+A270+1</f>
        <v>83</v>
      </c>
      <c r="B271" s="69" t="s">
        <v>1948</v>
      </c>
      <c r="C271" s="69">
        <v>12</v>
      </c>
      <c r="D271" s="89">
        <v>0</v>
      </c>
      <c r="E271" s="111">
        <v>0</v>
      </c>
      <c r="F271" s="89">
        <v>0</v>
      </c>
      <c r="G271" s="89">
        <v>0</v>
      </c>
      <c r="H271" s="89">
        <v>0</v>
      </c>
      <c r="I271" s="89">
        <v>0</v>
      </c>
      <c r="J271" s="710">
        <f>(VLOOKUP($C271,[2]Sheet1!$A$2:$P$18,$M271+1)/12)*12*D271</f>
        <v>0</v>
      </c>
      <c r="K271" s="711"/>
      <c r="M271" s="62">
        <f t="shared" si="19"/>
        <v>3</v>
      </c>
    </row>
    <row r="272" spans="1:13">
      <c r="A272" s="88">
        <f t="shared" si="20"/>
        <v>84</v>
      </c>
      <c r="B272" s="69" t="s">
        <v>1949</v>
      </c>
      <c r="C272" s="69">
        <v>10</v>
      </c>
      <c r="D272" s="89">
        <v>0</v>
      </c>
      <c r="E272" s="111">
        <v>0</v>
      </c>
      <c r="F272" s="89">
        <v>0</v>
      </c>
      <c r="G272" s="89">
        <v>0</v>
      </c>
      <c r="H272" s="89">
        <v>0</v>
      </c>
      <c r="I272" s="89">
        <v>0</v>
      </c>
      <c r="J272" s="710">
        <f>(VLOOKUP($C272,[2]Sheet1!$A$2:$P$18,$M272+1)/12)*12*D272</f>
        <v>0</v>
      </c>
      <c r="K272" s="711"/>
      <c r="M272" s="62">
        <f t="shared" si="19"/>
        <v>3</v>
      </c>
    </row>
    <row r="273" spans="1:13">
      <c r="A273" s="88">
        <f t="shared" si="20"/>
        <v>85</v>
      </c>
      <c r="B273" s="69" t="s">
        <v>1950</v>
      </c>
      <c r="C273" s="69">
        <v>9</v>
      </c>
      <c r="D273" s="89">
        <v>0</v>
      </c>
      <c r="E273" s="111">
        <v>0</v>
      </c>
      <c r="F273" s="89">
        <v>0</v>
      </c>
      <c r="G273" s="89">
        <v>0</v>
      </c>
      <c r="H273" s="89">
        <v>0</v>
      </c>
      <c r="I273" s="89">
        <v>0</v>
      </c>
      <c r="J273" s="710">
        <f>(VLOOKUP($C273,[2]Sheet1!$A$2:$P$18,$M273+1)/12)*12*D273</f>
        <v>0</v>
      </c>
      <c r="K273" s="711"/>
      <c r="M273" s="62">
        <f t="shared" si="19"/>
        <v>3</v>
      </c>
    </row>
    <row r="274" spans="1:13">
      <c r="A274" s="88">
        <f t="shared" si="20"/>
        <v>86</v>
      </c>
      <c r="B274" s="69" t="s">
        <v>2425</v>
      </c>
      <c r="C274" s="69">
        <v>8</v>
      </c>
      <c r="D274" s="89">
        <v>1</v>
      </c>
      <c r="E274" s="111">
        <v>1</v>
      </c>
      <c r="F274" s="89">
        <v>1</v>
      </c>
      <c r="G274" s="89">
        <v>1</v>
      </c>
      <c r="H274" s="89">
        <v>1</v>
      </c>
      <c r="I274" s="89">
        <v>1</v>
      </c>
      <c r="J274" s="710">
        <f>(VLOOKUP($C274,[2]Sheet1!$A$2:$P$18,$M274+1)/12)*12*D274</f>
        <v>342141.27408</v>
      </c>
      <c r="K274" s="711"/>
      <c r="M274" s="62">
        <f t="shared" si="19"/>
        <v>3</v>
      </c>
    </row>
    <row r="275" spans="1:13">
      <c r="A275" s="88">
        <f t="shared" si="20"/>
        <v>87</v>
      </c>
      <c r="B275" s="69" t="s">
        <v>2387</v>
      </c>
      <c r="C275" s="69">
        <v>7</v>
      </c>
      <c r="D275" s="89">
        <v>1</v>
      </c>
      <c r="E275" s="111">
        <v>1</v>
      </c>
      <c r="F275" s="89">
        <v>1</v>
      </c>
      <c r="G275" s="89">
        <v>1</v>
      </c>
      <c r="H275" s="89">
        <v>1</v>
      </c>
      <c r="I275" s="89">
        <v>1</v>
      </c>
      <c r="J275" s="710">
        <f>(VLOOKUP($C275,[2]Sheet1!$A$2:$P$18,$M275+1)/12)*12*D275</f>
        <v>307706.70240000007</v>
      </c>
      <c r="K275" s="711"/>
      <c r="M275" s="62">
        <f t="shared" si="19"/>
        <v>3</v>
      </c>
    </row>
    <row r="276" spans="1:13">
      <c r="A276" s="88">
        <f t="shared" si="20"/>
        <v>88</v>
      </c>
      <c r="B276" s="69" t="s">
        <v>3679</v>
      </c>
      <c r="C276" s="69">
        <v>6</v>
      </c>
      <c r="D276" s="89">
        <v>1</v>
      </c>
      <c r="E276" s="111">
        <v>1</v>
      </c>
      <c r="F276" s="89">
        <v>1</v>
      </c>
      <c r="G276" s="89">
        <v>1</v>
      </c>
      <c r="H276" s="89">
        <v>1</v>
      </c>
      <c r="I276" s="89">
        <v>1</v>
      </c>
      <c r="J276" s="710">
        <f>(VLOOKUP($C276,[2]Sheet1!$A$2:$P$18,$M276+1)/12)*12*D276</f>
        <v>238099.37893036497</v>
      </c>
      <c r="K276" s="711"/>
      <c r="M276" s="62">
        <f t="shared" si="19"/>
        <v>5</v>
      </c>
    </row>
    <row r="277" spans="1:13">
      <c r="A277" s="88">
        <f t="shared" si="20"/>
        <v>89</v>
      </c>
      <c r="B277" s="69" t="s">
        <v>2388</v>
      </c>
      <c r="C277" s="69">
        <v>4</v>
      </c>
      <c r="D277" s="89">
        <v>1</v>
      </c>
      <c r="E277" s="111">
        <v>1</v>
      </c>
      <c r="F277" s="89">
        <v>1</v>
      </c>
      <c r="G277" s="89">
        <v>1</v>
      </c>
      <c r="H277" s="89">
        <v>1</v>
      </c>
      <c r="I277" s="89">
        <v>1</v>
      </c>
      <c r="J277" s="710">
        <f>(VLOOKUP($C277,[2]Sheet1!$A$2:$P$18,$M277+1)/12)*12*D277</f>
        <v>224542.978930365</v>
      </c>
      <c r="K277" s="711"/>
      <c r="M277" s="62">
        <f t="shared" si="19"/>
        <v>5</v>
      </c>
    </row>
    <row r="278" spans="1:13">
      <c r="A278" s="88">
        <f t="shared" si="20"/>
        <v>90</v>
      </c>
      <c r="B278" s="69" t="s">
        <v>3523</v>
      </c>
      <c r="C278" s="69">
        <v>7</v>
      </c>
      <c r="D278" s="89">
        <v>1</v>
      </c>
      <c r="E278" s="111">
        <v>1</v>
      </c>
      <c r="F278" s="89">
        <v>1</v>
      </c>
      <c r="G278" s="89">
        <v>1</v>
      </c>
      <c r="H278" s="89">
        <v>1</v>
      </c>
      <c r="I278" s="89">
        <v>1</v>
      </c>
      <c r="J278" s="710">
        <f>(VLOOKUP($C278,[2]Sheet1!$A$2:$P$18,$M278+1)/12)*12*D278</f>
        <v>307706.70240000007</v>
      </c>
      <c r="K278" s="711"/>
      <c r="M278" s="62">
        <f t="shared" si="19"/>
        <v>3</v>
      </c>
    </row>
    <row r="279" spans="1:13">
      <c r="A279" s="88">
        <f t="shared" si="20"/>
        <v>91</v>
      </c>
      <c r="B279" s="69" t="s">
        <v>2784</v>
      </c>
      <c r="C279" s="69">
        <v>6</v>
      </c>
      <c r="D279" s="89">
        <v>1</v>
      </c>
      <c r="E279" s="111">
        <v>1</v>
      </c>
      <c r="F279" s="89">
        <v>1</v>
      </c>
      <c r="G279" s="89">
        <v>1</v>
      </c>
      <c r="H279" s="89">
        <v>1</v>
      </c>
      <c r="I279" s="89">
        <v>1</v>
      </c>
      <c r="J279" s="710">
        <f>(VLOOKUP($C279,[2]Sheet1!$A$2:$P$18,$M279+1)/12)*12*D279</f>
        <v>238099.37893036497</v>
      </c>
      <c r="K279" s="711"/>
      <c r="M279" s="62">
        <f t="shared" si="19"/>
        <v>5</v>
      </c>
    </row>
    <row r="280" spans="1:13">
      <c r="A280" s="88">
        <f t="shared" si="20"/>
        <v>92</v>
      </c>
      <c r="B280" s="69" t="s">
        <v>2785</v>
      </c>
      <c r="C280" s="69">
        <v>5</v>
      </c>
      <c r="D280" s="89">
        <v>1</v>
      </c>
      <c r="E280" s="111">
        <v>1</v>
      </c>
      <c r="F280" s="89">
        <v>1</v>
      </c>
      <c r="G280" s="89">
        <v>1</v>
      </c>
      <c r="H280" s="89">
        <v>1</v>
      </c>
      <c r="I280" s="89">
        <v>1</v>
      </c>
      <c r="J280" s="710">
        <f>(VLOOKUP($C280,[2]Sheet1!$A$2:$P$18,$M280+1)/12)*12*D280</f>
        <v>229569.77893036499</v>
      </c>
      <c r="K280" s="711"/>
      <c r="M280" s="62">
        <f t="shared" si="19"/>
        <v>5</v>
      </c>
    </row>
    <row r="281" spans="1:13">
      <c r="A281" s="88">
        <f>+A280+1</f>
        <v>93</v>
      </c>
      <c r="B281" s="69" t="s">
        <v>2874</v>
      </c>
      <c r="C281" s="69">
        <v>4</v>
      </c>
      <c r="D281" s="89">
        <v>2</v>
      </c>
      <c r="E281" s="111">
        <v>2</v>
      </c>
      <c r="F281" s="89">
        <v>2</v>
      </c>
      <c r="G281" s="89">
        <v>2</v>
      </c>
      <c r="H281" s="89">
        <v>0</v>
      </c>
      <c r="I281" s="89">
        <v>2</v>
      </c>
      <c r="J281" s="710">
        <f>(VLOOKUP($C281,[2]Sheet1!$A$2:$P$18,$M281+1)/12)*12*D281</f>
        <v>449085.95786073001</v>
      </c>
      <c r="K281" s="711"/>
      <c r="M281" s="62">
        <f t="shared" si="19"/>
        <v>5</v>
      </c>
    </row>
    <row r="282" spans="1:13">
      <c r="A282" s="88">
        <f t="shared" si="20"/>
        <v>94</v>
      </c>
      <c r="B282" s="69" t="s">
        <v>2875</v>
      </c>
      <c r="C282" s="69">
        <v>3</v>
      </c>
      <c r="D282" s="89">
        <v>1</v>
      </c>
      <c r="E282" s="111">
        <v>1</v>
      </c>
      <c r="F282" s="89">
        <v>1</v>
      </c>
      <c r="G282" s="89">
        <v>1</v>
      </c>
      <c r="H282" s="89">
        <v>1</v>
      </c>
      <c r="I282" s="89">
        <v>1</v>
      </c>
      <c r="J282" s="710">
        <f>(VLOOKUP($C282,[2]Sheet1!$A$2:$P$18,$M282+1)/12)*12*D282</f>
        <v>219336.17893036499</v>
      </c>
      <c r="K282" s="711"/>
      <c r="M282" s="62">
        <f t="shared" si="19"/>
        <v>5</v>
      </c>
    </row>
    <row r="283" spans="1:13">
      <c r="A283" s="88">
        <f t="shared" si="20"/>
        <v>95</v>
      </c>
      <c r="B283" s="69" t="s">
        <v>1829</v>
      </c>
      <c r="C283" s="69">
        <v>5</v>
      </c>
      <c r="D283" s="89">
        <v>0</v>
      </c>
      <c r="E283" s="111">
        <v>0</v>
      </c>
      <c r="F283" s="89">
        <v>0</v>
      </c>
      <c r="G283" s="89">
        <v>0</v>
      </c>
      <c r="H283" s="89">
        <v>0</v>
      </c>
      <c r="I283" s="89">
        <v>0</v>
      </c>
      <c r="J283" s="710">
        <f>(VLOOKUP($C283,[2]Sheet1!$A$2:$P$18,$M283+1)/12)*12*D283</f>
        <v>0</v>
      </c>
      <c r="K283" s="711"/>
      <c r="M283" s="62">
        <f t="shared" si="19"/>
        <v>5</v>
      </c>
    </row>
    <row r="284" spans="1:13">
      <c r="A284" s="92"/>
      <c r="B284" s="93" t="s">
        <v>1684</v>
      </c>
      <c r="C284" s="94"/>
      <c r="D284" s="95">
        <f t="shared" ref="D284:J284" si="21">SUM(D179:D283)</f>
        <v>148</v>
      </c>
      <c r="E284" s="279">
        <f t="shared" si="21"/>
        <v>156</v>
      </c>
      <c r="F284" s="279">
        <f t="shared" si="21"/>
        <v>156</v>
      </c>
      <c r="G284" s="95">
        <f>SUM(G179:G283)</f>
        <v>156</v>
      </c>
      <c r="H284" s="95">
        <f t="shared" si="21"/>
        <v>106</v>
      </c>
      <c r="I284" s="95">
        <f t="shared" si="21"/>
        <v>148</v>
      </c>
      <c r="J284" s="96">
        <f t="shared" si="21"/>
        <v>37251373.147311971</v>
      </c>
      <c r="K284" s="376"/>
      <c r="M284" s="62">
        <f t="shared" si="19"/>
        <v>5</v>
      </c>
    </row>
    <row r="285" spans="1:13">
      <c r="A285" s="88"/>
      <c r="B285" s="97"/>
      <c r="C285" s="69"/>
      <c r="D285" s="98"/>
      <c r="E285" s="98"/>
      <c r="F285" s="126"/>
      <c r="G285" s="98"/>
      <c r="H285" s="98"/>
      <c r="I285" s="98"/>
      <c r="J285" s="713"/>
      <c r="K285" s="711"/>
      <c r="M285" s="62">
        <f t="shared" si="19"/>
        <v>5</v>
      </c>
    </row>
    <row r="286" spans="1:13">
      <c r="A286" s="88"/>
      <c r="B286" s="90" t="s">
        <v>1199</v>
      </c>
      <c r="C286" s="97"/>
      <c r="D286" s="98"/>
      <c r="E286" s="98"/>
      <c r="F286" s="98"/>
      <c r="G286" s="99" t="s">
        <v>243</v>
      </c>
      <c r="H286" s="99" t="s">
        <v>4130</v>
      </c>
      <c r="I286" s="99" t="s">
        <v>4202</v>
      </c>
      <c r="J286" s="99" t="s">
        <v>4200</v>
      </c>
      <c r="K286" s="377"/>
      <c r="M286" s="62">
        <f t="shared" si="19"/>
        <v>5</v>
      </c>
    </row>
    <row r="287" spans="1:13">
      <c r="A287" s="88">
        <v>1</v>
      </c>
      <c r="B287" s="69" t="s">
        <v>2786</v>
      </c>
      <c r="C287" s="69"/>
      <c r="D287" s="89"/>
      <c r="E287" s="89"/>
      <c r="F287" s="89"/>
      <c r="G287" s="100">
        <f>J284*0.2</f>
        <v>7450274.6294623949</v>
      </c>
      <c r="H287" s="100">
        <f t="shared" ref="H287:I290" si="22">G287*1.02</f>
        <v>7599280.1220516432</v>
      </c>
      <c r="I287" s="100">
        <f t="shared" si="22"/>
        <v>7751265.7244926766</v>
      </c>
      <c r="J287" s="100">
        <f>SUM(G287:I287)</f>
        <v>22800820.476006716</v>
      </c>
      <c r="K287" s="114"/>
      <c r="M287" s="62">
        <f t="shared" si="19"/>
        <v>5</v>
      </c>
    </row>
    <row r="288" spans="1:13">
      <c r="A288" s="88">
        <f>+A287+1</f>
        <v>2</v>
      </c>
      <c r="B288" s="69" t="s">
        <v>2877</v>
      </c>
      <c r="C288" s="69"/>
      <c r="D288" s="89"/>
      <c r="E288" s="89"/>
      <c r="F288" s="89"/>
      <c r="G288" s="100">
        <f>G287/2</f>
        <v>3725137.3147311974</v>
      </c>
      <c r="H288" s="100">
        <f t="shared" si="22"/>
        <v>3799640.0610258216</v>
      </c>
      <c r="I288" s="100">
        <f t="shared" si="22"/>
        <v>3875632.8622463383</v>
      </c>
      <c r="J288" s="100">
        <f>SUM(G288:I288)</f>
        <v>11400410.238003358</v>
      </c>
      <c r="K288" s="114"/>
      <c r="M288" s="62">
        <f t="shared" si="19"/>
        <v>5</v>
      </c>
    </row>
    <row r="289" spans="1:13">
      <c r="A289" s="88">
        <f>+A288+1</f>
        <v>3</v>
      </c>
      <c r="B289" s="69" t="s">
        <v>2878</v>
      </c>
      <c r="C289" s="69"/>
      <c r="D289" s="89"/>
      <c r="E289" s="89"/>
      <c r="F289" s="89"/>
      <c r="G289" s="100">
        <f>G288</f>
        <v>3725137.3147311974</v>
      </c>
      <c r="H289" s="100">
        <f t="shared" si="22"/>
        <v>3799640.0610258216</v>
      </c>
      <c r="I289" s="100">
        <f t="shared" si="22"/>
        <v>3875632.8622463383</v>
      </c>
      <c r="J289" s="100">
        <f>SUM(G289:I289)</f>
        <v>11400410.238003358</v>
      </c>
      <c r="K289" s="114"/>
      <c r="M289" s="62">
        <f t="shared" si="19"/>
        <v>5</v>
      </c>
    </row>
    <row r="290" spans="1:13">
      <c r="A290" s="88">
        <f>+A289+1</f>
        <v>4</v>
      </c>
      <c r="B290" s="69" t="s">
        <v>1342</v>
      </c>
      <c r="C290" s="69"/>
      <c r="D290" s="89"/>
      <c r="E290" s="89"/>
      <c r="F290" s="89"/>
      <c r="G290" s="100">
        <f>205*8000</f>
        <v>1640000</v>
      </c>
      <c r="H290" s="100">
        <f t="shared" si="22"/>
        <v>1672800</v>
      </c>
      <c r="I290" s="100">
        <f t="shared" si="22"/>
        <v>1706256</v>
      </c>
      <c r="J290" s="100">
        <f>SUM(G290:I290)</f>
        <v>5019056</v>
      </c>
      <c r="K290" s="114"/>
      <c r="M290" s="62">
        <f t="shared" si="19"/>
        <v>5</v>
      </c>
    </row>
    <row r="291" spans="1:13">
      <c r="A291" s="92"/>
      <c r="B291" s="93" t="s">
        <v>1933</v>
      </c>
      <c r="C291" s="94"/>
      <c r="D291" s="101"/>
      <c r="E291" s="101"/>
      <c r="F291" s="101"/>
      <c r="G291" s="95">
        <f>SUM(G287:G290)</f>
        <v>16540549.25892479</v>
      </c>
      <c r="H291" s="95">
        <v>8643885.2385600042</v>
      </c>
      <c r="I291" s="95">
        <f>SUM(I287:I290)</f>
        <v>17208787.448985353</v>
      </c>
      <c r="J291" s="95">
        <f>SUM(J287:J290)</f>
        <v>50620696.952013433</v>
      </c>
      <c r="K291" s="378"/>
      <c r="M291" s="62">
        <f t="shared" si="19"/>
        <v>5</v>
      </c>
    </row>
    <row r="292" spans="1:13">
      <c r="A292" s="88"/>
      <c r="B292" s="69"/>
      <c r="C292" s="69"/>
      <c r="D292" s="89"/>
      <c r="E292" s="89"/>
      <c r="F292" s="89"/>
      <c r="G292" s="89"/>
      <c r="H292" s="89"/>
      <c r="I292" s="89"/>
      <c r="J292" s="89"/>
      <c r="K292" s="114"/>
      <c r="M292" s="62">
        <f t="shared" si="19"/>
        <v>5</v>
      </c>
    </row>
    <row r="293" spans="1:13">
      <c r="A293" s="88">
        <v>1</v>
      </c>
      <c r="B293" s="69" t="s">
        <v>1934</v>
      </c>
      <c r="C293" s="69"/>
      <c r="D293" s="89"/>
      <c r="E293" s="89"/>
      <c r="F293" s="89"/>
      <c r="G293" s="100">
        <f>G291+J284</f>
        <v>53791922.40623676</v>
      </c>
      <c r="H293" s="100">
        <f>G293*1.02</f>
        <v>54867760.854361497</v>
      </c>
      <c r="I293" s="100">
        <f>G293*1.04</f>
        <v>55943599.302486233</v>
      </c>
      <c r="J293" s="100">
        <f>SUM(G293:I293)</f>
        <v>164603282.56308448</v>
      </c>
      <c r="K293" s="114"/>
      <c r="M293" s="62">
        <f t="shared" si="19"/>
        <v>5</v>
      </c>
    </row>
    <row r="294" spans="1:13">
      <c r="A294" s="88">
        <f>+A293+1</f>
        <v>2</v>
      </c>
      <c r="B294" s="69" t="s">
        <v>129</v>
      </c>
      <c r="C294" s="69"/>
      <c r="D294" s="89"/>
      <c r="E294" s="89"/>
      <c r="F294" s="89"/>
      <c r="G294" s="89">
        <f>C321</f>
        <v>221950000</v>
      </c>
      <c r="H294" s="89">
        <f>D321</f>
        <v>205200000</v>
      </c>
      <c r="I294" s="89">
        <f>E321</f>
        <v>205200000</v>
      </c>
      <c r="J294" s="100">
        <f>SUM(G294:I294)</f>
        <v>632350000</v>
      </c>
      <c r="K294" s="114"/>
      <c r="M294" s="62">
        <f t="shared" si="19"/>
        <v>5</v>
      </c>
    </row>
    <row r="295" spans="1:13" ht="13.5" thickBot="1">
      <c r="A295" s="102"/>
      <c r="B295" s="103" t="s">
        <v>2241</v>
      </c>
      <c r="C295" s="104"/>
      <c r="D295" s="105"/>
      <c r="E295" s="105"/>
      <c r="F295" s="105"/>
      <c r="G295" s="129">
        <f>SUM(G293:G294)</f>
        <v>275741922.40623677</v>
      </c>
      <c r="H295" s="129">
        <v>224321321.89136001</v>
      </c>
      <c r="I295" s="129">
        <f>SUM(I293:I294)</f>
        <v>261143599.30248624</v>
      </c>
      <c r="J295" s="106">
        <f>+J294+J293</f>
        <v>796953282.56308448</v>
      </c>
      <c r="K295" s="378"/>
      <c r="M295" s="62">
        <f t="shared" si="19"/>
        <v>5</v>
      </c>
    </row>
    <row r="296" spans="1:13" ht="15.75" thickTop="1">
      <c r="A296" s="723"/>
      <c r="B296" s="724"/>
      <c r="C296" s="77"/>
      <c r="D296" s="78" t="s">
        <v>5434</v>
      </c>
      <c r="E296" s="723"/>
      <c r="F296" s="725"/>
      <c r="G296" s="725"/>
      <c r="H296" s="725"/>
      <c r="I296" s="725"/>
      <c r="J296" s="584"/>
      <c r="K296" s="584"/>
      <c r="M296" s="62">
        <f t="shared" si="19"/>
        <v>5</v>
      </c>
    </row>
    <row r="297" spans="1:13" ht="15">
      <c r="A297" s="723"/>
      <c r="B297" s="724"/>
      <c r="C297" s="77"/>
      <c r="D297" s="78" t="s">
        <v>716</v>
      </c>
      <c r="E297" s="723"/>
      <c r="F297" s="725"/>
      <c r="G297" s="725"/>
      <c r="H297" s="725"/>
      <c r="I297" s="725"/>
      <c r="J297" s="584"/>
      <c r="K297" s="584"/>
      <c r="M297" s="62">
        <f t="shared" si="19"/>
        <v>5</v>
      </c>
    </row>
    <row r="298" spans="1:13" ht="15">
      <c r="A298" s="723"/>
      <c r="B298" s="724"/>
      <c r="C298" s="79" t="s">
        <v>717</v>
      </c>
      <c r="D298" s="78" t="s">
        <v>4099</v>
      </c>
      <c r="E298" s="723"/>
      <c r="F298" s="725"/>
      <c r="G298" s="725"/>
      <c r="H298" s="725"/>
      <c r="I298" s="725"/>
      <c r="J298" s="584"/>
      <c r="K298" s="584"/>
      <c r="M298" s="62">
        <f t="shared" si="19"/>
        <v>3</v>
      </c>
    </row>
    <row r="299" spans="1:13" ht="15">
      <c r="A299" s="723"/>
      <c r="B299" s="724"/>
      <c r="C299" s="79" t="s">
        <v>718</v>
      </c>
      <c r="D299" s="78" t="s">
        <v>3978</v>
      </c>
      <c r="E299" s="723"/>
      <c r="F299" s="725"/>
      <c r="G299" s="725"/>
      <c r="H299" s="725"/>
      <c r="I299" s="725"/>
      <c r="J299" s="584"/>
      <c r="K299" s="584"/>
      <c r="M299" s="62">
        <f t="shared" si="19"/>
        <v>3</v>
      </c>
    </row>
    <row r="300" spans="1:13" ht="15">
      <c r="A300" s="634" t="s">
        <v>1839</v>
      </c>
      <c r="B300" s="635" t="s">
        <v>903</v>
      </c>
      <c r="C300" s="1037" t="s">
        <v>4127</v>
      </c>
      <c r="D300" s="1038"/>
      <c r="E300" s="1039"/>
      <c r="F300" s="635" t="s">
        <v>1684</v>
      </c>
      <c r="G300" s="1037" t="s">
        <v>4132</v>
      </c>
      <c r="H300" s="1038"/>
      <c r="I300" s="1039"/>
      <c r="J300" s="726"/>
      <c r="K300" s="727"/>
    </row>
    <row r="301" spans="1:13">
      <c r="A301" s="636" t="s">
        <v>1620</v>
      </c>
      <c r="B301" s="637"/>
      <c r="C301" s="635" t="s">
        <v>1841</v>
      </c>
      <c r="D301" s="635" t="s">
        <v>4133</v>
      </c>
      <c r="E301" s="635" t="s">
        <v>4133</v>
      </c>
      <c r="F301" s="1056" t="s">
        <v>4200</v>
      </c>
      <c r="G301" s="634" t="s">
        <v>4135</v>
      </c>
      <c r="H301" s="1051" t="s">
        <v>4182</v>
      </c>
      <c r="I301" s="634" t="s">
        <v>4135</v>
      </c>
      <c r="J301" s="728" t="s">
        <v>4136</v>
      </c>
      <c r="K301" s="727"/>
    </row>
    <row r="302" spans="1:13" ht="12.75" customHeight="1">
      <c r="A302" s="638" t="s">
        <v>387</v>
      </c>
      <c r="B302" s="639"/>
      <c r="C302" s="638">
        <v>2015</v>
      </c>
      <c r="D302" s="638">
        <v>2016</v>
      </c>
      <c r="E302" s="638">
        <v>2017</v>
      </c>
      <c r="F302" s="1057"/>
      <c r="G302" s="638" t="s">
        <v>4304</v>
      </c>
      <c r="H302" s="1052"/>
      <c r="I302" s="638" t="s">
        <v>4303</v>
      </c>
      <c r="J302" s="639"/>
      <c r="K302" s="729"/>
    </row>
    <row r="303" spans="1:13">
      <c r="A303" s="730"/>
      <c r="B303" s="730"/>
      <c r="C303" s="390"/>
      <c r="D303" s="390"/>
      <c r="E303" s="390"/>
      <c r="F303" s="390"/>
      <c r="G303" s="390"/>
      <c r="H303" s="390"/>
      <c r="I303" s="390"/>
      <c r="J303" s="390"/>
      <c r="K303" s="734"/>
      <c r="M303" s="62" t="e">
        <f>IF(#REF!&gt;6,3,5)</f>
        <v>#REF!</v>
      </c>
    </row>
    <row r="304" spans="1:13">
      <c r="A304" s="730">
        <v>2</v>
      </c>
      <c r="B304" s="733" t="s">
        <v>1695</v>
      </c>
      <c r="C304" s="390">
        <v>10000000</v>
      </c>
      <c r="D304" s="390">
        <v>800000</v>
      </c>
      <c r="E304" s="390">
        <v>800000</v>
      </c>
      <c r="F304" s="390">
        <f>SUM(C304:E304)</f>
        <v>11600000</v>
      </c>
      <c r="G304" s="390">
        <v>4516000</v>
      </c>
      <c r="H304" s="390">
        <v>800000</v>
      </c>
      <c r="I304" s="390">
        <v>2669000</v>
      </c>
      <c r="J304" s="390">
        <v>2669000</v>
      </c>
      <c r="K304" s="734"/>
      <c r="M304" s="62" t="e">
        <f>IF(#REF!&gt;6,3,5)</f>
        <v>#REF!</v>
      </c>
    </row>
    <row r="305" spans="1:13">
      <c r="A305" s="730">
        <f t="shared" ref="A305:A320" si="23">+A304+1</f>
        <v>3</v>
      </c>
      <c r="B305" s="733" t="s">
        <v>1696</v>
      </c>
      <c r="C305" s="390">
        <v>50000</v>
      </c>
      <c r="D305" s="390">
        <v>500000</v>
      </c>
      <c r="E305" s="390">
        <v>500000</v>
      </c>
      <c r="F305" s="390">
        <f t="shared" ref="F305:F320" si="24">SUM(C305:E305)</f>
        <v>1050000</v>
      </c>
      <c r="G305" s="390">
        <v>161350</v>
      </c>
      <c r="H305" s="390">
        <v>500000</v>
      </c>
      <c r="I305" s="390">
        <v>0</v>
      </c>
      <c r="J305" s="390">
        <v>0</v>
      </c>
      <c r="K305" s="734"/>
      <c r="M305" s="62" t="e">
        <f>IF(#REF!&gt;6,3,5)</f>
        <v>#REF!</v>
      </c>
    </row>
    <row r="306" spans="1:13">
      <c r="A306" s="730">
        <f t="shared" si="23"/>
        <v>4</v>
      </c>
      <c r="B306" s="733" t="s">
        <v>1701</v>
      </c>
      <c r="C306" s="390" t="s">
        <v>1386</v>
      </c>
      <c r="D306" s="390" t="s">
        <v>1386</v>
      </c>
      <c r="E306" s="390" t="s">
        <v>1386</v>
      </c>
      <c r="F306" s="390">
        <f t="shared" si="24"/>
        <v>0</v>
      </c>
      <c r="G306" s="390"/>
      <c r="H306" s="390" t="s">
        <v>1386</v>
      </c>
      <c r="I306" s="390" t="s">
        <v>1386</v>
      </c>
      <c r="J306" s="390" t="s">
        <v>1386</v>
      </c>
      <c r="K306" s="734"/>
      <c r="M306" s="62" t="e">
        <f>IF(#REF!&gt;6,3,5)</f>
        <v>#REF!</v>
      </c>
    </row>
    <row r="307" spans="1:13">
      <c r="A307" s="730">
        <f t="shared" si="23"/>
        <v>5</v>
      </c>
      <c r="B307" s="733" t="s">
        <v>1702</v>
      </c>
      <c r="C307" s="390">
        <v>500000</v>
      </c>
      <c r="D307" s="390">
        <v>500000</v>
      </c>
      <c r="E307" s="390">
        <v>500000</v>
      </c>
      <c r="F307" s="390">
        <f t="shared" si="24"/>
        <v>1500000</v>
      </c>
      <c r="G307" s="390">
        <v>50830</v>
      </c>
      <c r="H307" s="390">
        <v>500000</v>
      </c>
      <c r="I307" s="390">
        <v>55750</v>
      </c>
      <c r="J307" s="390">
        <v>55750</v>
      </c>
      <c r="K307" s="734"/>
      <c r="M307" s="62" t="e">
        <f>IF(#REF!&gt;6,3,5)</f>
        <v>#REF!</v>
      </c>
    </row>
    <row r="308" spans="1:13" ht="25.5">
      <c r="A308" s="730">
        <f t="shared" si="23"/>
        <v>6</v>
      </c>
      <c r="B308" s="733" t="s">
        <v>1544</v>
      </c>
      <c r="C308" s="390">
        <v>5000000</v>
      </c>
      <c r="D308" s="390">
        <v>5000000</v>
      </c>
      <c r="E308" s="390">
        <v>5000000</v>
      </c>
      <c r="F308" s="390">
        <f t="shared" si="24"/>
        <v>15000000</v>
      </c>
      <c r="G308" s="390">
        <v>3080700</v>
      </c>
      <c r="H308" s="390">
        <v>5000000</v>
      </c>
      <c r="I308" s="390">
        <v>1363700</v>
      </c>
      <c r="J308" s="390">
        <v>1363700</v>
      </c>
      <c r="K308" s="734"/>
      <c r="M308" s="62" t="e">
        <f>IF(#REF!&gt;6,3,5)</f>
        <v>#REF!</v>
      </c>
    </row>
    <row r="309" spans="1:13">
      <c r="A309" s="730">
        <f t="shared" si="23"/>
        <v>7</v>
      </c>
      <c r="B309" s="733" t="s">
        <v>897</v>
      </c>
      <c r="C309" s="390">
        <v>20000000</v>
      </c>
      <c r="D309" s="390">
        <v>20000000</v>
      </c>
      <c r="E309" s="390">
        <v>20000000</v>
      </c>
      <c r="F309" s="390">
        <f t="shared" si="24"/>
        <v>60000000</v>
      </c>
      <c r="G309" s="390">
        <v>14920170</v>
      </c>
      <c r="H309" s="390">
        <v>20000000</v>
      </c>
      <c r="I309" s="390">
        <v>11954503</v>
      </c>
      <c r="J309" s="390">
        <v>11954503</v>
      </c>
      <c r="K309" s="734"/>
      <c r="M309" s="62" t="e">
        <f>IF(#REF!&gt;6,3,5)</f>
        <v>#REF!</v>
      </c>
    </row>
    <row r="310" spans="1:13">
      <c r="A310" s="730">
        <f t="shared" si="23"/>
        <v>8</v>
      </c>
      <c r="B310" s="733" t="s">
        <v>1385</v>
      </c>
      <c r="C310" s="390" t="s">
        <v>1386</v>
      </c>
      <c r="D310" s="390" t="s">
        <v>1386</v>
      </c>
      <c r="E310" s="390" t="s">
        <v>1386</v>
      </c>
      <c r="F310" s="390">
        <f t="shared" si="24"/>
        <v>0</v>
      </c>
      <c r="G310" s="390"/>
      <c r="H310" s="390" t="s">
        <v>1386</v>
      </c>
      <c r="I310" s="390" t="s">
        <v>1386</v>
      </c>
      <c r="J310" s="390" t="s">
        <v>1386</v>
      </c>
      <c r="K310" s="734"/>
      <c r="M310" s="62" t="e">
        <f>IF(#REF!&gt;6,3,5)</f>
        <v>#REF!</v>
      </c>
    </row>
    <row r="311" spans="1:13" ht="25.5">
      <c r="A311" s="730">
        <f t="shared" si="23"/>
        <v>9</v>
      </c>
      <c r="B311" s="733" t="s">
        <v>3979</v>
      </c>
      <c r="C311" s="390">
        <v>63000000</v>
      </c>
      <c r="D311" s="390">
        <v>40000000</v>
      </c>
      <c r="E311" s="390">
        <v>40000000</v>
      </c>
      <c r="F311" s="390">
        <f t="shared" si="24"/>
        <v>143000000</v>
      </c>
      <c r="G311" s="390">
        <v>39749300</v>
      </c>
      <c r="H311" s="390">
        <v>40000000</v>
      </c>
      <c r="I311" s="390">
        <v>40890050</v>
      </c>
      <c r="J311" s="390">
        <v>40890050</v>
      </c>
      <c r="K311" s="734"/>
      <c r="M311" s="62" t="e">
        <f>IF(#REF!&gt;6,3,5)</f>
        <v>#REF!</v>
      </c>
    </row>
    <row r="312" spans="1:13">
      <c r="A312" s="730">
        <f t="shared" si="23"/>
        <v>10</v>
      </c>
      <c r="B312" s="733" t="s">
        <v>1680</v>
      </c>
      <c r="C312" s="390">
        <v>300000</v>
      </c>
      <c r="D312" s="390">
        <v>300000</v>
      </c>
      <c r="E312" s="390">
        <v>300000</v>
      </c>
      <c r="F312" s="390">
        <f t="shared" si="24"/>
        <v>900000</v>
      </c>
      <c r="G312" s="390"/>
      <c r="H312" s="390">
        <v>300000</v>
      </c>
      <c r="I312" s="390">
        <v>70000</v>
      </c>
      <c r="J312" s="390">
        <v>70000</v>
      </c>
      <c r="K312" s="734"/>
      <c r="M312" s="62" t="e">
        <f>IF(#REF!&gt;6,3,5)</f>
        <v>#REF!</v>
      </c>
    </row>
    <row r="313" spans="1:13">
      <c r="A313" s="730">
        <f t="shared" si="23"/>
        <v>11</v>
      </c>
      <c r="B313" s="733" t="s">
        <v>1681</v>
      </c>
      <c r="C313" s="390">
        <v>2000000</v>
      </c>
      <c r="D313" s="390">
        <v>2000000</v>
      </c>
      <c r="E313" s="390">
        <v>2000000</v>
      </c>
      <c r="F313" s="390">
        <f t="shared" si="24"/>
        <v>6000000</v>
      </c>
      <c r="G313" s="390">
        <v>270000</v>
      </c>
      <c r="H313" s="390">
        <v>2000000</v>
      </c>
      <c r="I313" s="390">
        <v>131000</v>
      </c>
      <c r="J313" s="390">
        <v>131000</v>
      </c>
      <c r="K313" s="734"/>
      <c r="M313" s="62" t="e">
        <f>IF(#REF!&gt;6,3,5)</f>
        <v>#REF!</v>
      </c>
    </row>
    <row r="314" spans="1:13">
      <c r="A314" s="730">
        <f t="shared" si="23"/>
        <v>12</v>
      </c>
      <c r="B314" s="733" t="s">
        <v>1682</v>
      </c>
      <c r="C314" s="390">
        <v>80000000</v>
      </c>
      <c r="D314" s="390">
        <v>80000000</v>
      </c>
      <c r="E314" s="390">
        <v>80000000</v>
      </c>
      <c r="F314" s="390">
        <f t="shared" si="24"/>
        <v>240000000</v>
      </c>
      <c r="G314" s="743">
        <f>48277845.31+5000000+3851900</f>
        <v>57129745.310000002</v>
      </c>
      <c r="H314" s="390">
        <v>80000000</v>
      </c>
      <c r="I314" s="390">
        <f>15000000+14000000</f>
        <v>29000000</v>
      </c>
      <c r="J314" s="390">
        <v>82211237.480000004</v>
      </c>
      <c r="K314" s="734"/>
      <c r="M314" s="62" t="e">
        <f>IF(#REF!&gt;6,3,5)</f>
        <v>#REF!</v>
      </c>
    </row>
    <row r="315" spans="1:13">
      <c r="A315" s="730">
        <f t="shared" si="23"/>
        <v>13</v>
      </c>
      <c r="B315" s="733" t="s">
        <v>2249</v>
      </c>
      <c r="C315" s="390">
        <v>100000</v>
      </c>
      <c r="D315" s="390">
        <v>100000</v>
      </c>
      <c r="E315" s="390">
        <v>100000</v>
      </c>
      <c r="F315" s="390">
        <f t="shared" si="24"/>
        <v>300000</v>
      </c>
      <c r="G315" s="390"/>
      <c r="H315" s="390">
        <v>100000</v>
      </c>
      <c r="I315" s="390">
        <v>0</v>
      </c>
      <c r="J315" s="390">
        <v>0</v>
      </c>
      <c r="K315" s="734"/>
      <c r="M315" s="62" t="e">
        <f>IF(#REF!&gt;6,3,5)</f>
        <v>#REF!</v>
      </c>
    </row>
    <row r="316" spans="1:13">
      <c r="A316" s="730">
        <f t="shared" si="23"/>
        <v>14</v>
      </c>
      <c r="B316" s="733" t="s">
        <v>1336</v>
      </c>
      <c r="C316" s="390">
        <v>2000000</v>
      </c>
      <c r="D316" s="390">
        <v>2000000</v>
      </c>
      <c r="E316" s="390">
        <v>2000000</v>
      </c>
      <c r="F316" s="390">
        <f t="shared" si="24"/>
        <v>6000000</v>
      </c>
      <c r="G316" s="390"/>
      <c r="H316" s="390">
        <v>2000000</v>
      </c>
      <c r="I316" s="390">
        <v>0</v>
      </c>
      <c r="J316" s="390">
        <v>0</v>
      </c>
      <c r="K316" s="734"/>
      <c r="M316" s="62" t="e">
        <f>IF(#REF!&gt;6,3,5)</f>
        <v>#REF!</v>
      </c>
    </row>
    <row r="317" spans="1:13" ht="25.5">
      <c r="A317" s="730">
        <f t="shared" si="23"/>
        <v>15</v>
      </c>
      <c r="B317" s="733" t="s">
        <v>1523</v>
      </c>
      <c r="C317" s="390">
        <v>2000000</v>
      </c>
      <c r="D317" s="390">
        <v>2000000</v>
      </c>
      <c r="E317" s="390">
        <v>2000000</v>
      </c>
      <c r="F317" s="390">
        <f t="shared" si="24"/>
        <v>6000000</v>
      </c>
      <c r="G317" s="390">
        <v>630000</v>
      </c>
      <c r="H317" s="390">
        <v>2000000</v>
      </c>
      <c r="I317" s="390">
        <v>2309000</v>
      </c>
      <c r="J317" s="390">
        <v>2309000</v>
      </c>
      <c r="K317" s="734"/>
      <c r="M317" s="62" t="e">
        <f>IF(#REF!&gt;6,3,5)</f>
        <v>#REF!</v>
      </c>
    </row>
    <row r="318" spans="1:13">
      <c r="A318" s="730">
        <f t="shared" si="23"/>
        <v>16</v>
      </c>
      <c r="B318" s="733" t="s">
        <v>1591</v>
      </c>
      <c r="C318" s="390">
        <v>35000000</v>
      </c>
      <c r="D318" s="390">
        <v>50000000</v>
      </c>
      <c r="E318" s="390">
        <v>50000000</v>
      </c>
      <c r="F318" s="390">
        <f t="shared" si="24"/>
        <v>135000000</v>
      </c>
      <c r="G318" s="390">
        <v>16947200</v>
      </c>
      <c r="H318" s="390">
        <v>40000000</v>
      </c>
      <c r="I318" s="390">
        <f>16786000+5185350+4281895.8+5000000+15000000+5000000+5000000</f>
        <v>56253245.799999997</v>
      </c>
      <c r="J318" s="390"/>
      <c r="K318" s="734"/>
      <c r="M318" s="62" t="e">
        <f>IF(#REF!&gt;6,3,5)</f>
        <v>#REF!</v>
      </c>
    </row>
    <row r="319" spans="1:13">
      <c r="A319" s="730">
        <f t="shared" si="23"/>
        <v>17</v>
      </c>
      <c r="B319" s="733" t="s">
        <v>3642</v>
      </c>
      <c r="C319" s="390">
        <v>2000000</v>
      </c>
      <c r="D319" s="390">
        <v>2000000</v>
      </c>
      <c r="E319" s="390">
        <v>2000000</v>
      </c>
      <c r="F319" s="390">
        <f t="shared" si="24"/>
        <v>6000000</v>
      </c>
      <c r="G319" s="390">
        <v>49000</v>
      </c>
      <c r="H319" s="390">
        <v>2000000</v>
      </c>
      <c r="I319" s="390">
        <v>500000</v>
      </c>
      <c r="J319" s="390">
        <v>500000</v>
      </c>
      <c r="K319" s="734"/>
      <c r="M319" s="62" t="e">
        <f>IF(#REF!&gt;6,3,5)</f>
        <v>#REF!</v>
      </c>
    </row>
    <row r="320" spans="1:13">
      <c r="A320" s="730">
        <f t="shared" si="23"/>
        <v>18</v>
      </c>
      <c r="B320" s="733" t="s">
        <v>197</v>
      </c>
      <c r="C320" s="390">
        <v>3500000</v>
      </c>
      <c r="D320" s="390">
        <v>2000000</v>
      </c>
      <c r="E320" s="390">
        <v>2000000</v>
      </c>
      <c r="F320" s="390">
        <f t="shared" si="24"/>
        <v>7500000</v>
      </c>
      <c r="G320" s="390">
        <v>1800000</v>
      </c>
      <c r="H320" s="390">
        <v>2000000</v>
      </c>
      <c r="I320" s="390">
        <v>2460604.4</v>
      </c>
      <c r="J320" s="390">
        <v>2460604.4</v>
      </c>
      <c r="K320" s="734"/>
      <c r="M320" s="62" t="e">
        <f>IF(#REF!&gt;6,3,5)</f>
        <v>#REF!</v>
      </c>
    </row>
    <row r="321" spans="1:13">
      <c r="A321" s="738"/>
      <c r="B321" s="738" t="s">
        <v>1684</v>
      </c>
      <c r="C321" s="739">
        <f t="shared" ref="C321:I321" si="25">SUM(C303:C319)</f>
        <v>221950000</v>
      </c>
      <c r="D321" s="739">
        <f t="shared" si="25"/>
        <v>205200000</v>
      </c>
      <c r="E321" s="739">
        <f t="shared" si="25"/>
        <v>205200000</v>
      </c>
      <c r="F321" s="739">
        <f t="shared" si="25"/>
        <v>632350000</v>
      </c>
      <c r="G321" s="739">
        <f t="shared" si="25"/>
        <v>137504295.31</v>
      </c>
      <c r="H321" s="739">
        <f t="shared" si="25"/>
        <v>195200000</v>
      </c>
      <c r="I321" s="739">
        <f t="shared" si="25"/>
        <v>145196248.80000001</v>
      </c>
      <c r="J321" s="739"/>
      <c r="K321" s="740"/>
      <c r="M321" s="62" t="e">
        <f>IF(#REF!&gt;6,3,5)</f>
        <v>#REF!</v>
      </c>
    </row>
    <row r="322" spans="1:13" ht="15">
      <c r="C322" s="77"/>
      <c r="D322" s="78" t="s">
        <v>5434</v>
      </c>
      <c r="J322" s="584"/>
      <c r="K322" s="584"/>
      <c r="M322" s="62">
        <f t="shared" ref="M322:M385" si="26">IF(C322&gt;6,3,5)</f>
        <v>5</v>
      </c>
    </row>
    <row r="323" spans="1:13" ht="15">
      <c r="C323" s="77"/>
      <c r="D323" s="78" t="s">
        <v>1693</v>
      </c>
      <c r="J323" s="584"/>
      <c r="K323" s="584"/>
      <c r="M323" s="62">
        <f t="shared" si="26"/>
        <v>5</v>
      </c>
    </row>
    <row r="324" spans="1:13" ht="15">
      <c r="C324" s="79" t="s">
        <v>717</v>
      </c>
      <c r="D324" s="78" t="s">
        <v>2132</v>
      </c>
      <c r="J324" s="584"/>
      <c r="K324" s="584"/>
      <c r="M324" s="62">
        <f t="shared" si="26"/>
        <v>3</v>
      </c>
    </row>
    <row r="325" spans="1:13" ht="15.75" thickBot="1">
      <c r="C325" s="79" t="s">
        <v>718</v>
      </c>
      <c r="D325" s="78" t="s">
        <v>2133</v>
      </c>
      <c r="J325" s="584"/>
      <c r="K325" s="584"/>
      <c r="M325" s="62">
        <f t="shared" si="26"/>
        <v>3</v>
      </c>
    </row>
    <row r="326" spans="1:13" ht="15.75" thickTop="1">
      <c r="A326" s="1047" t="s">
        <v>2791</v>
      </c>
      <c r="B326" s="1049" t="s">
        <v>4126</v>
      </c>
      <c r="C326" s="1049" t="s">
        <v>854</v>
      </c>
      <c r="D326" s="1040" t="s">
        <v>4127</v>
      </c>
      <c r="E326" s="1041"/>
      <c r="F326" s="1041"/>
      <c r="G326" s="1040" t="s">
        <v>904</v>
      </c>
      <c r="H326" s="1041"/>
      <c r="I326" s="1042"/>
      <c r="J326" s="1035" t="s">
        <v>855</v>
      </c>
      <c r="K326" s="389"/>
    </row>
    <row r="327" spans="1:13" ht="26.25" thickBot="1">
      <c r="A327" s="1048"/>
      <c r="B327" s="1050"/>
      <c r="C327" s="1050"/>
      <c r="D327" s="285" t="s">
        <v>5505</v>
      </c>
      <c r="E327" s="285" t="s">
        <v>4485</v>
      </c>
      <c r="F327" s="285" t="s">
        <v>4486</v>
      </c>
      <c r="G327" s="287" t="s">
        <v>4487</v>
      </c>
      <c r="H327" s="285" t="s">
        <v>4488</v>
      </c>
      <c r="I327" s="287" t="s">
        <v>4489</v>
      </c>
      <c r="J327" s="1036"/>
      <c r="K327" s="712"/>
    </row>
    <row r="328" spans="1:13" ht="16.5" customHeight="1" thickTop="1">
      <c r="A328" s="107"/>
      <c r="B328" s="108" t="s">
        <v>1830</v>
      </c>
      <c r="C328" s="109"/>
      <c r="D328" s="110"/>
      <c r="E328" s="290"/>
      <c r="F328" s="69"/>
      <c r="G328" s="110"/>
      <c r="H328" s="110"/>
      <c r="I328" s="110"/>
      <c r="J328" s="713"/>
      <c r="K328" s="711"/>
      <c r="M328" s="62">
        <f t="shared" si="26"/>
        <v>5</v>
      </c>
    </row>
    <row r="329" spans="1:13">
      <c r="A329" s="88">
        <v>1</v>
      </c>
      <c r="B329" s="69" t="s">
        <v>1831</v>
      </c>
      <c r="C329" s="69">
        <v>7</v>
      </c>
      <c r="D329" s="89">
        <v>2</v>
      </c>
      <c r="E329" s="111">
        <v>2</v>
      </c>
      <c r="F329" s="89">
        <v>2</v>
      </c>
      <c r="G329" s="89">
        <v>2</v>
      </c>
      <c r="H329" s="89">
        <v>2</v>
      </c>
      <c r="I329" s="89">
        <v>2</v>
      </c>
      <c r="J329" s="710">
        <f>(VLOOKUP($C329,[2]Sheet1!$A$2:$P$18,$M329+1)/12)*12*D329</f>
        <v>615413.40480000013</v>
      </c>
      <c r="K329" s="711"/>
      <c r="M329" s="62">
        <f t="shared" si="26"/>
        <v>3</v>
      </c>
    </row>
    <row r="330" spans="1:13">
      <c r="A330" s="88">
        <f t="shared" ref="A330:A353" si="27">+A329+1</f>
        <v>2</v>
      </c>
      <c r="B330" s="69" t="s">
        <v>1832</v>
      </c>
      <c r="C330" s="69">
        <v>6</v>
      </c>
      <c r="D330" s="89">
        <v>1</v>
      </c>
      <c r="E330" s="111">
        <v>1</v>
      </c>
      <c r="F330" s="89">
        <v>1</v>
      </c>
      <c r="G330" s="89">
        <v>1</v>
      </c>
      <c r="H330" s="89">
        <v>1</v>
      </c>
      <c r="I330" s="89">
        <v>1</v>
      </c>
      <c r="J330" s="710">
        <f>(VLOOKUP($C330,[2]Sheet1!$A$2:$P$18,$M330+1)/12)*12*D330</f>
        <v>238099.37893036497</v>
      </c>
      <c r="K330" s="711"/>
      <c r="M330" s="62">
        <f t="shared" si="26"/>
        <v>5</v>
      </c>
    </row>
    <row r="331" spans="1:13">
      <c r="A331" s="88">
        <f t="shared" si="27"/>
        <v>3</v>
      </c>
      <c r="B331" s="69" t="s">
        <v>2629</v>
      </c>
      <c r="C331" s="69">
        <v>5</v>
      </c>
      <c r="D331" s="89">
        <v>5</v>
      </c>
      <c r="E331" s="111">
        <v>6</v>
      </c>
      <c r="F331" s="89">
        <v>5</v>
      </c>
      <c r="G331" s="89">
        <v>5</v>
      </c>
      <c r="H331" s="89">
        <v>6</v>
      </c>
      <c r="I331" s="89">
        <v>5</v>
      </c>
      <c r="J331" s="710">
        <f>(VLOOKUP($C331,[2]Sheet1!$A$2:$P$18,$M331+1)/12)*12*D331</f>
        <v>1147848.8946518251</v>
      </c>
      <c r="K331" s="711"/>
      <c r="M331" s="62">
        <f t="shared" si="26"/>
        <v>5</v>
      </c>
    </row>
    <row r="332" spans="1:13">
      <c r="A332" s="88">
        <f t="shared" si="27"/>
        <v>4</v>
      </c>
      <c r="B332" s="69" t="s">
        <v>2788</v>
      </c>
      <c r="C332" s="69">
        <v>4</v>
      </c>
      <c r="D332" s="89">
        <v>3</v>
      </c>
      <c r="E332" s="111">
        <v>3</v>
      </c>
      <c r="F332" s="89">
        <v>3</v>
      </c>
      <c r="G332" s="89">
        <v>3</v>
      </c>
      <c r="H332" s="89">
        <v>3</v>
      </c>
      <c r="I332" s="89">
        <v>3</v>
      </c>
      <c r="J332" s="710">
        <f>(VLOOKUP($C332,[2]Sheet1!$A$2:$P$18,$M332+1)/12)*12*D332</f>
        <v>673628.93679109495</v>
      </c>
      <c r="K332" s="711"/>
      <c r="M332" s="62">
        <f t="shared" si="26"/>
        <v>5</v>
      </c>
    </row>
    <row r="333" spans="1:13">
      <c r="A333" s="88">
        <f t="shared" si="27"/>
        <v>5</v>
      </c>
      <c r="B333" s="69" t="s">
        <v>3896</v>
      </c>
      <c r="C333" s="69">
        <v>6</v>
      </c>
      <c r="D333" s="89">
        <v>0</v>
      </c>
      <c r="E333" s="111">
        <v>0</v>
      </c>
      <c r="F333" s="89">
        <v>0</v>
      </c>
      <c r="G333" s="89">
        <v>0</v>
      </c>
      <c r="H333" s="89">
        <v>0</v>
      </c>
      <c r="I333" s="89">
        <v>0</v>
      </c>
      <c r="J333" s="710">
        <f>(VLOOKUP($C333,[2]Sheet1!$A$2:$P$18,$M333+1)/12)*12*D333</f>
        <v>0</v>
      </c>
      <c r="K333" s="711"/>
      <c r="M333" s="62">
        <f t="shared" si="26"/>
        <v>5</v>
      </c>
    </row>
    <row r="334" spans="1:13">
      <c r="A334" s="88">
        <f t="shared" si="27"/>
        <v>6</v>
      </c>
      <c r="B334" s="69" t="s">
        <v>4030</v>
      </c>
      <c r="C334" s="69">
        <v>3</v>
      </c>
      <c r="D334" s="89">
        <v>8</v>
      </c>
      <c r="E334" s="111">
        <v>8</v>
      </c>
      <c r="F334" s="89">
        <v>8</v>
      </c>
      <c r="G334" s="89">
        <v>8</v>
      </c>
      <c r="H334" s="89">
        <v>8</v>
      </c>
      <c r="I334" s="89">
        <v>8</v>
      </c>
      <c r="J334" s="710">
        <f>(VLOOKUP($C334,[2]Sheet1!$A$2:$P$18,$M334+1)/12)*12*D334</f>
        <v>1754689.4314429199</v>
      </c>
      <c r="K334" s="711"/>
      <c r="M334" s="62">
        <f t="shared" si="26"/>
        <v>5</v>
      </c>
    </row>
    <row r="335" spans="1:13">
      <c r="A335" s="88">
        <f t="shared" si="27"/>
        <v>7</v>
      </c>
      <c r="B335" s="69" t="s">
        <v>2556</v>
      </c>
      <c r="C335" s="69">
        <v>3</v>
      </c>
      <c r="D335" s="89">
        <v>0</v>
      </c>
      <c r="E335" s="111">
        <v>0</v>
      </c>
      <c r="F335" s="89">
        <v>0</v>
      </c>
      <c r="G335" s="89">
        <v>0</v>
      </c>
      <c r="H335" s="89">
        <v>0</v>
      </c>
      <c r="I335" s="89">
        <v>0</v>
      </c>
      <c r="J335" s="710">
        <f>(VLOOKUP($C335,[2]Sheet1!$A$2:$P$18,$M335+1)/12)*12*D335</f>
        <v>0</v>
      </c>
      <c r="K335" s="711"/>
      <c r="M335" s="62">
        <f t="shared" si="26"/>
        <v>5</v>
      </c>
    </row>
    <row r="336" spans="1:13">
      <c r="A336" s="88">
        <f t="shared" si="27"/>
        <v>8</v>
      </c>
      <c r="B336" s="69" t="s">
        <v>2597</v>
      </c>
      <c r="C336" s="69">
        <v>4</v>
      </c>
      <c r="D336" s="89">
        <v>1</v>
      </c>
      <c r="E336" s="111">
        <v>1</v>
      </c>
      <c r="F336" s="89">
        <v>1</v>
      </c>
      <c r="G336" s="89">
        <v>1</v>
      </c>
      <c r="H336" s="89">
        <v>1</v>
      </c>
      <c r="I336" s="89">
        <v>1</v>
      </c>
      <c r="J336" s="710">
        <f>(VLOOKUP($C336,[2]Sheet1!$A$2:$P$18,$M336+1)/12)*12*D336</f>
        <v>224542.978930365</v>
      </c>
      <c r="K336" s="711"/>
      <c r="M336" s="62">
        <f t="shared" si="26"/>
        <v>5</v>
      </c>
    </row>
    <row r="337" spans="1:13">
      <c r="A337" s="88">
        <f t="shared" si="27"/>
        <v>9</v>
      </c>
      <c r="B337" s="69" t="s">
        <v>2598</v>
      </c>
      <c r="C337" s="69">
        <v>6</v>
      </c>
      <c r="D337" s="89">
        <v>13</v>
      </c>
      <c r="E337" s="111">
        <v>14</v>
      </c>
      <c r="F337" s="89">
        <v>13</v>
      </c>
      <c r="G337" s="89">
        <v>13</v>
      </c>
      <c r="H337" s="89">
        <v>14</v>
      </c>
      <c r="I337" s="89">
        <v>13</v>
      </c>
      <c r="J337" s="710">
        <f>(VLOOKUP($C337,[2]Sheet1!$A$2:$P$18,$M337+1)/12)*12*D337</f>
        <v>3095291.9260947444</v>
      </c>
      <c r="K337" s="711"/>
      <c r="M337" s="62">
        <f t="shared" si="26"/>
        <v>5</v>
      </c>
    </row>
    <row r="338" spans="1:13">
      <c r="A338" s="88">
        <f t="shared" si="27"/>
        <v>10</v>
      </c>
      <c r="B338" s="69" t="s">
        <v>2599</v>
      </c>
      <c r="C338" s="69">
        <v>4</v>
      </c>
      <c r="D338" s="89">
        <v>3</v>
      </c>
      <c r="E338" s="111">
        <v>3</v>
      </c>
      <c r="F338" s="89">
        <v>3</v>
      </c>
      <c r="G338" s="89">
        <v>3</v>
      </c>
      <c r="H338" s="89">
        <v>3</v>
      </c>
      <c r="I338" s="89">
        <v>3</v>
      </c>
      <c r="J338" s="710">
        <f>(VLOOKUP($C338,[2]Sheet1!$A$2:$P$18,$M338+1)/12)*12*D338</f>
        <v>673628.93679109495</v>
      </c>
      <c r="K338" s="711"/>
      <c r="M338" s="62">
        <f t="shared" si="26"/>
        <v>5</v>
      </c>
    </row>
    <row r="339" spans="1:13">
      <c r="A339" s="88">
        <f t="shared" si="27"/>
        <v>11</v>
      </c>
      <c r="B339" s="69" t="s">
        <v>2595</v>
      </c>
      <c r="C339" s="69">
        <v>4</v>
      </c>
      <c r="D339" s="89">
        <v>3</v>
      </c>
      <c r="E339" s="111">
        <v>4</v>
      </c>
      <c r="F339" s="89">
        <v>3</v>
      </c>
      <c r="G339" s="89">
        <v>3</v>
      </c>
      <c r="H339" s="89">
        <v>4</v>
      </c>
      <c r="I339" s="89">
        <v>3</v>
      </c>
      <c r="J339" s="710">
        <f>(VLOOKUP($C339,[2]Sheet1!$A$2:$P$18,$M339+1)/12)*12*D339</f>
        <v>673628.93679109495</v>
      </c>
      <c r="K339" s="711"/>
      <c r="M339" s="62">
        <f t="shared" si="26"/>
        <v>5</v>
      </c>
    </row>
    <row r="340" spans="1:13">
      <c r="A340" s="88">
        <f t="shared" si="27"/>
        <v>12</v>
      </c>
      <c r="B340" s="69" t="s">
        <v>2439</v>
      </c>
      <c r="C340" s="69">
        <v>2</v>
      </c>
      <c r="D340" s="89">
        <v>1</v>
      </c>
      <c r="E340" s="111">
        <v>1</v>
      </c>
      <c r="F340" s="89">
        <v>1</v>
      </c>
      <c r="G340" s="89">
        <v>1</v>
      </c>
      <c r="H340" s="89">
        <v>1</v>
      </c>
      <c r="I340" s="89">
        <v>1</v>
      </c>
      <c r="J340" s="710">
        <f>(VLOOKUP($C340,[2]Sheet1!$A$2:$P$18,$M340+1)/12)*12*D340</f>
        <v>214657.37893036503</v>
      </c>
      <c r="K340" s="711"/>
      <c r="M340" s="62">
        <f t="shared" si="26"/>
        <v>5</v>
      </c>
    </row>
    <row r="341" spans="1:13">
      <c r="A341" s="88">
        <f t="shared" si="27"/>
        <v>13</v>
      </c>
      <c r="B341" s="69" t="s">
        <v>2440</v>
      </c>
      <c r="C341" s="69">
        <v>3</v>
      </c>
      <c r="D341" s="89">
        <v>9</v>
      </c>
      <c r="E341" s="111">
        <v>9</v>
      </c>
      <c r="F341" s="89">
        <v>9</v>
      </c>
      <c r="G341" s="89">
        <v>9</v>
      </c>
      <c r="H341" s="89">
        <v>9</v>
      </c>
      <c r="I341" s="89">
        <v>9</v>
      </c>
      <c r="J341" s="710">
        <f>(VLOOKUP($C341,[2]Sheet1!$A$2:$P$18,$M341+1)/12)*12*D341</f>
        <v>1974025.6103732849</v>
      </c>
      <c r="K341" s="711"/>
      <c r="M341" s="62">
        <f t="shared" si="26"/>
        <v>5</v>
      </c>
    </row>
    <row r="342" spans="1:13">
      <c r="A342" s="88">
        <f t="shared" si="27"/>
        <v>14</v>
      </c>
      <c r="B342" s="69" t="s">
        <v>2171</v>
      </c>
      <c r="C342" s="69">
        <v>3</v>
      </c>
      <c r="D342" s="89">
        <v>6</v>
      </c>
      <c r="E342" s="111">
        <v>6</v>
      </c>
      <c r="F342" s="89">
        <v>6</v>
      </c>
      <c r="G342" s="89">
        <v>6</v>
      </c>
      <c r="H342" s="89">
        <v>6</v>
      </c>
      <c r="I342" s="89">
        <v>6</v>
      </c>
      <c r="J342" s="710">
        <f>(VLOOKUP($C342,[2]Sheet1!$A$2:$P$18,$M342+1)/12)*12*D342</f>
        <v>1316017.0735821899</v>
      </c>
      <c r="K342" s="711"/>
      <c r="M342" s="62">
        <f t="shared" si="26"/>
        <v>5</v>
      </c>
    </row>
    <row r="343" spans="1:13">
      <c r="A343" s="88">
        <f t="shared" si="27"/>
        <v>15</v>
      </c>
      <c r="B343" s="69" t="s">
        <v>2172</v>
      </c>
      <c r="C343" s="69">
        <v>2</v>
      </c>
      <c r="D343" s="89">
        <v>7</v>
      </c>
      <c r="E343" s="111">
        <v>7</v>
      </c>
      <c r="F343" s="89">
        <v>7</v>
      </c>
      <c r="G343" s="89">
        <v>7</v>
      </c>
      <c r="H343" s="89">
        <v>7</v>
      </c>
      <c r="I343" s="89">
        <v>7</v>
      </c>
      <c r="J343" s="710">
        <f>(VLOOKUP($C343,[2]Sheet1!$A$2:$P$18,$M343+1)/12)*12*D343</f>
        <v>1502601.6525125552</v>
      </c>
      <c r="K343" s="711"/>
      <c r="M343" s="62">
        <f t="shared" si="26"/>
        <v>5</v>
      </c>
    </row>
    <row r="344" spans="1:13">
      <c r="A344" s="88">
        <f t="shared" si="27"/>
        <v>16</v>
      </c>
      <c r="B344" s="69" t="s">
        <v>3675</v>
      </c>
      <c r="C344" s="69">
        <v>2</v>
      </c>
      <c r="D344" s="89">
        <v>7</v>
      </c>
      <c r="E344" s="111">
        <v>7</v>
      </c>
      <c r="F344" s="89">
        <v>7</v>
      </c>
      <c r="G344" s="89">
        <v>7</v>
      </c>
      <c r="H344" s="89">
        <v>7</v>
      </c>
      <c r="I344" s="89">
        <v>7</v>
      </c>
      <c r="J344" s="710">
        <f>(VLOOKUP($C344,[2]Sheet1!$A$2:$P$18,$M344+1)/12)*12*D344</f>
        <v>1502601.6525125552</v>
      </c>
      <c r="K344" s="711"/>
      <c r="M344" s="62">
        <f t="shared" si="26"/>
        <v>5</v>
      </c>
    </row>
    <row r="345" spans="1:13">
      <c r="A345" s="88">
        <f t="shared" si="27"/>
        <v>17</v>
      </c>
      <c r="B345" s="69" t="s">
        <v>3674</v>
      </c>
      <c r="C345" s="69">
        <v>2</v>
      </c>
      <c r="D345" s="89">
        <v>1</v>
      </c>
      <c r="E345" s="111">
        <v>2</v>
      </c>
      <c r="F345" s="89">
        <v>1</v>
      </c>
      <c r="G345" s="89">
        <v>1</v>
      </c>
      <c r="H345" s="89">
        <v>2</v>
      </c>
      <c r="I345" s="89">
        <v>1</v>
      </c>
      <c r="J345" s="710">
        <f>(VLOOKUP($C345,[2]Sheet1!$A$2:$P$18,$M345+1)/12)*12*D345</f>
        <v>214657.37893036503</v>
      </c>
      <c r="K345" s="711"/>
      <c r="M345" s="62">
        <f t="shared" si="26"/>
        <v>5</v>
      </c>
    </row>
    <row r="346" spans="1:13">
      <c r="A346" s="88">
        <f t="shared" si="27"/>
        <v>18</v>
      </c>
      <c r="B346" s="69" t="s">
        <v>2784</v>
      </c>
      <c r="C346" s="69">
        <v>7</v>
      </c>
      <c r="D346" s="89">
        <v>1</v>
      </c>
      <c r="E346" s="111">
        <v>1</v>
      </c>
      <c r="F346" s="89">
        <v>1</v>
      </c>
      <c r="G346" s="89">
        <v>1</v>
      </c>
      <c r="H346" s="89">
        <v>1</v>
      </c>
      <c r="I346" s="89">
        <v>1</v>
      </c>
      <c r="J346" s="710">
        <f>(VLOOKUP($C346,[2]Sheet1!$A$2:$P$18,$M346+1)/12)*12*D346</f>
        <v>307706.70240000007</v>
      </c>
      <c r="K346" s="711"/>
      <c r="M346" s="62">
        <f t="shared" si="26"/>
        <v>3</v>
      </c>
    </row>
    <row r="347" spans="1:13">
      <c r="A347" s="88">
        <f t="shared" si="27"/>
        <v>19</v>
      </c>
      <c r="B347" s="69" t="s">
        <v>2785</v>
      </c>
      <c r="C347" s="69">
        <v>6</v>
      </c>
      <c r="D347" s="89">
        <v>0</v>
      </c>
      <c r="E347" s="111">
        <v>0</v>
      </c>
      <c r="F347" s="89">
        <v>0</v>
      </c>
      <c r="G347" s="89">
        <v>0</v>
      </c>
      <c r="H347" s="89">
        <v>0</v>
      </c>
      <c r="I347" s="89">
        <v>0</v>
      </c>
      <c r="J347" s="710">
        <f>(VLOOKUP($C347,[2]Sheet1!$A$2:$P$18,$M347+1)/12)*12*D347</f>
        <v>0</v>
      </c>
      <c r="K347" s="711"/>
      <c r="M347" s="62">
        <f t="shared" si="26"/>
        <v>5</v>
      </c>
    </row>
    <row r="348" spans="1:13">
      <c r="A348" s="88">
        <f t="shared" si="27"/>
        <v>20</v>
      </c>
      <c r="B348" s="69" t="s">
        <v>2441</v>
      </c>
      <c r="C348" s="69">
        <v>4</v>
      </c>
      <c r="D348" s="89">
        <v>0</v>
      </c>
      <c r="E348" s="111">
        <v>0</v>
      </c>
      <c r="F348" s="89">
        <v>0</v>
      </c>
      <c r="G348" s="89">
        <v>0</v>
      </c>
      <c r="H348" s="89">
        <v>0</v>
      </c>
      <c r="I348" s="89">
        <v>0</v>
      </c>
      <c r="J348" s="710">
        <f>(VLOOKUP($C348,[2]Sheet1!$A$2:$P$18,$M348+1)/12)*12*D348</f>
        <v>0</v>
      </c>
      <c r="K348" s="711"/>
      <c r="M348" s="62">
        <f t="shared" si="26"/>
        <v>5</v>
      </c>
    </row>
    <row r="349" spans="1:13">
      <c r="A349" s="88">
        <f t="shared" si="27"/>
        <v>21</v>
      </c>
      <c r="B349" s="69" t="s">
        <v>2441</v>
      </c>
      <c r="C349" s="69">
        <v>3</v>
      </c>
      <c r="D349" s="89">
        <v>0</v>
      </c>
      <c r="E349" s="111">
        <v>0</v>
      </c>
      <c r="F349" s="89">
        <v>0</v>
      </c>
      <c r="G349" s="89">
        <v>0</v>
      </c>
      <c r="H349" s="89">
        <v>0</v>
      </c>
      <c r="I349" s="89">
        <v>0</v>
      </c>
      <c r="J349" s="710">
        <f>(VLOOKUP($C349,[2]Sheet1!$A$2:$P$18,$M349+1)/12)*12*D349</f>
        <v>0</v>
      </c>
      <c r="K349" s="711"/>
      <c r="M349" s="62">
        <f t="shared" si="26"/>
        <v>5</v>
      </c>
    </row>
    <row r="350" spans="1:13">
      <c r="A350" s="88">
        <f t="shared" si="27"/>
        <v>22</v>
      </c>
      <c r="B350" s="69" t="s">
        <v>2442</v>
      </c>
      <c r="C350" s="69">
        <v>5</v>
      </c>
      <c r="D350" s="89">
        <v>0</v>
      </c>
      <c r="E350" s="111">
        <v>0</v>
      </c>
      <c r="F350" s="89">
        <v>0</v>
      </c>
      <c r="G350" s="89">
        <v>0</v>
      </c>
      <c r="H350" s="89">
        <v>0</v>
      </c>
      <c r="I350" s="89">
        <v>0</v>
      </c>
      <c r="J350" s="710">
        <f>(VLOOKUP($C350,[2]Sheet1!$A$2:$P$18,$M350+1)/12)*12*D350</f>
        <v>0</v>
      </c>
      <c r="K350" s="711"/>
      <c r="M350" s="62">
        <f t="shared" si="26"/>
        <v>5</v>
      </c>
    </row>
    <row r="351" spans="1:13">
      <c r="A351" s="88">
        <f t="shared" si="27"/>
        <v>23</v>
      </c>
      <c r="B351" s="69" t="s">
        <v>2340</v>
      </c>
      <c r="C351" s="69">
        <v>5</v>
      </c>
      <c r="D351" s="89">
        <v>0</v>
      </c>
      <c r="E351" s="111">
        <v>0</v>
      </c>
      <c r="F351" s="89">
        <v>0</v>
      </c>
      <c r="G351" s="89">
        <v>0</v>
      </c>
      <c r="H351" s="89">
        <v>0</v>
      </c>
      <c r="I351" s="89">
        <v>0</v>
      </c>
      <c r="J351" s="710">
        <f>(VLOOKUP($C351,[2]Sheet1!$A$2:$P$18,$M351+1)/12)*12*D351</f>
        <v>0</v>
      </c>
      <c r="K351" s="711"/>
      <c r="M351" s="62">
        <f t="shared" si="26"/>
        <v>5</v>
      </c>
    </row>
    <row r="352" spans="1:13">
      <c r="A352" s="88">
        <f t="shared" si="27"/>
        <v>24</v>
      </c>
      <c r="B352" s="69" t="s">
        <v>2662</v>
      </c>
      <c r="C352" s="69">
        <v>4</v>
      </c>
      <c r="D352" s="89">
        <v>0</v>
      </c>
      <c r="E352" s="111">
        <v>0</v>
      </c>
      <c r="F352" s="89">
        <v>0</v>
      </c>
      <c r="G352" s="89">
        <v>0</v>
      </c>
      <c r="H352" s="89">
        <v>0</v>
      </c>
      <c r="I352" s="89">
        <v>0</v>
      </c>
      <c r="J352" s="710">
        <f>(VLOOKUP($C352,[2]Sheet1!$A$2:$P$18,$M352+1)/12)*12*D352</f>
        <v>0</v>
      </c>
      <c r="K352" s="711"/>
      <c r="M352" s="62">
        <f t="shared" si="26"/>
        <v>5</v>
      </c>
    </row>
    <row r="353" spans="1:13">
      <c r="A353" s="88">
        <f t="shared" si="27"/>
        <v>25</v>
      </c>
      <c r="B353" s="69" t="s">
        <v>2343</v>
      </c>
      <c r="C353" s="69">
        <v>3</v>
      </c>
      <c r="D353" s="89">
        <v>1</v>
      </c>
      <c r="E353" s="111">
        <v>1</v>
      </c>
      <c r="F353" s="89">
        <v>1</v>
      </c>
      <c r="G353" s="89">
        <v>1</v>
      </c>
      <c r="H353" s="89">
        <v>1</v>
      </c>
      <c r="I353" s="89">
        <v>1</v>
      </c>
      <c r="J353" s="710">
        <f>(VLOOKUP($C353,[2]Sheet1!$A$2:$P$18,$M353+1)/12)*12*D353</f>
        <v>219336.17893036499</v>
      </c>
      <c r="K353" s="711"/>
      <c r="M353" s="62">
        <f t="shared" si="26"/>
        <v>5</v>
      </c>
    </row>
    <row r="354" spans="1:13">
      <c r="A354" s="88"/>
      <c r="B354" s="90" t="s">
        <v>3521</v>
      </c>
      <c r="C354" s="69"/>
      <c r="D354" s="89"/>
      <c r="E354" s="111"/>
      <c r="F354" s="89"/>
      <c r="G354" s="89"/>
      <c r="H354" s="89"/>
      <c r="I354" s="89"/>
      <c r="J354" s="710"/>
      <c r="K354" s="711"/>
      <c r="M354" s="62">
        <f t="shared" si="26"/>
        <v>5</v>
      </c>
    </row>
    <row r="355" spans="1:13">
      <c r="A355" s="88">
        <v>26</v>
      </c>
      <c r="B355" s="69" t="s">
        <v>3486</v>
      </c>
      <c r="C355" s="69">
        <v>7</v>
      </c>
      <c r="D355" s="89">
        <v>1</v>
      </c>
      <c r="E355" s="111">
        <v>1</v>
      </c>
      <c r="F355" s="89">
        <v>1</v>
      </c>
      <c r="G355" s="89">
        <v>1</v>
      </c>
      <c r="H355" s="89">
        <v>1</v>
      </c>
      <c r="I355" s="89">
        <v>1</v>
      </c>
      <c r="J355" s="710">
        <f>(VLOOKUP($C355,[2]Sheet1!$A$2:$P$18,$M355+1)/12)*12*D355</f>
        <v>307706.70240000007</v>
      </c>
      <c r="K355" s="711"/>
      <c r="M355" s="62">
        <f t="shared" si="26"/>
        <v>3</v>
      </c>
    </row>
    <row r="356" spans="1:13">
      <c r="A356" s="88">
        <f>A355+1</f>
        <v>27</v>
      </c>
      <c r="B356" s="69" t="s">
        <v>2344</v>
      </c>
      <c r="C356" s="69">
        <v>6</v>
      </c>
      <c r="D356" s="89">
        <v>0</v>
      </c>
      <c r="E356" s="111">
        <v>1</v>
      </c>
      <c r="F356" s="89">
        <v>0</v>
      </c>
      <c r="G356" s="89">
        <v>0</v>
      </c>
      <c r="H356" s="89">
        <v>1</v>
      </c>
      <c r="I356" s="89">
        <v>0</v>
      </c>
      <c r="J356" s="710">
        <f>(VLOOKUP($C356,[2]Sheet1!$A$2:$P$18,$M356+1)/12)*12*D356</f>
        <v>0</v>
      </c>
      <c r="K356" s="711"/>
      <c r="M356" s="62">
        <f t="shared" si="26"/>
        <v>5</v>
      </c>
    </row>
    <row r="357" spans="1:13">
      <c r="A357" s="88">
        <f>+A356+1</f>
        <v>28</v>
      </c>
      <c r="B357" s="69" t="s">
        <v>2785</v>
      </c>
      <c r="C357" s="69">
        <v>5</v>
      </c>
      <c r="D357" s="89">
        <v>1</v>
      </c>
      <c r="E357" s="111">
        <v>1</v>
      </c>
      <c r="F357" s="89">
        <v>1</v>
      </c>
      <c r="G357" s="89">
        <v>1</v>
      </c>
      <c r="H357" s="89">
        <v>1</v>
      </c>
      <c r="I357" s="89">
        <v>1</v>
      </c>
      <c r="J357" s="710">
        <f>(VLOOKUP($C357,[2]Sheet1!$A$2:$P$18,$M357+1)/12)*12*D357</f>
        <v>229569.77893036499</v>
      </c>
      <c r="K357" s="711"/>
      <c r="M357" s="62">
        <f t="shared" si="26"/>
        <v>5</v>
      </c>
    </row>
    <row r="358" spans="1:13">
      <c r="A358" s="88">
        <f>+A357+1</f>
        <v>29</v>
      </c>
      <c r="B358" s="69" t="s">
        <v>1250</v>
      </c>
      <c r="C358" s="69">
        <v>5</v>
      </c>
      <c r="D358" s="89">
        <v>0</v>
      </c>
      <c r="E358" s="111">
        <v>0</v>
      </c>
      <c r="F358" s="89">
        <v>0</v>
      </c>
      <c r="G358" s="89">
        <v>0</v>
      </c>
      <c r="H358" s="89">
        <v>0</v>
      </c>
      <c r="I358" s="89">
        <v>0</v>
      </c>
      <c r="J358" s="710">
        <f>(VLOOKUP($C358,[2]Sheet1!$A$2:$P$18,$M358+1)/12)*12*D358</f>
        <v>0</v>
      </c>
      <c r="K358" s="711"/>
      <c r="M358" s="62">
        <f t="shared" si="26"/>
        <v>5</v>
      </c>
    </row>
    <row r="359" spans="1:13">
      <c r="A359" s="88">
        <f>+A358+1</f>
        <v>30</v>
      </c>
      <c r="B359" s="69" t="s">
        <v>1251</v>
      </c>
      <c r="C359" s="69">
        <v>4</v>
      </c>
      <c r="D359" s="89">
        <v>0</v>
      </c>
      <c r="E359" s="111">
        <v>0</v>
      </c>
      <c r="F359" s="89">
        <v>0</v>
      </c>
      <c r="G359" s="89">
        <v>0</v>
      </c>
      <c r="H359" s="89">
        <v>0</v>
      </c>
      <c r="I359" s="89">
        <v>0</v>
      </c>
      <c r="J359" s="710">
        <f>(VLOOKUP($C359,[2]Sheet1!$A$2:$P$18,$M359+1)/12)*12*D359</f>
        <v>0</v>
      </c>
      <c r="K359" s="711"/>
      <c r="M359" s="62">
        <f t="shared" si="26"/>
        <v>5</v>
      </c>
    </row>
    <row r="360" spans="1:13">
      <c r="A360" s="88">
        <f>+A359+1</f>
        <v>31</v>
      </c>
      <c r="B360" s="69" t="s">
        <v>1252</v>
      </c>
      <c r="C360" s="69">
        <v>3</v>
      </c>
      <c r="D360" s="89">
        <v>0</v>
      </c>
      <c r="E360" s="111">
        <v>0</v>
      </c>
      <c r="F360" s="89">
        <v>0</v>
      </c>
      <c r="G360" s="89">
        <v>0</v>
      </c>
      <c r="H360" s="89">
        <v>0</v>
      </c>
      <c r="I360" s="89">
        <v>0</v>
      </c>
      <c r="J360" s="710">
        <f>(VLOOKUP($C360,[2]Sheet1!$A$2:$P$18,$M360+1)/12)*12*D360</f>
        <v>0</v>
      </c>
      <c r="K360" s="711"/>
      <c r="M360" s="62">
        <f t="shared" si="26"/>
        <v>5</v>
      </c>
    </row>
    <row r="361" spans="1:13">
      <c r="A361" s="88">
        <f>+A360+1</f>
        <v>32</v>
      </c>
      <c r="B361" s="69" t="s">
        <v>2556</v>
      </c>
      <c r="C361" s="69">
        <v>3</v>
      </c>
      <c r="D361" s="89">
        <v>0</v>
      </c>
      <c r="E361" s="111">
        <v>0</v>
      </c>
      <c r="F361" s="89">
        <v>0</v>
      </c>
      <c r="G361" s="89">
        <v>0</v>
      </c>
      <c r="H361" s="89">
        <v>0</v>
      </c>
      <c r="I361" s="89">
        <v>0</v>
      </c>
      <c r="J361" s="710">
        <f>(VLOOKUP($C361,[2]Sheet1!$A$2:$P$18,$M361+1)/12)*12*D361</f>
        <v>0</v>
      </c>
      <c r="K361" s="711"/>
      <c r="M361" s="62">
        <f t="shared" si="26"/>
        <v>5</v>
      </c>
    </row>
    <row r="362" spans="1:13">
      <c r="A362" s="88"/>
      <c r="B362" s="90" t="s">
        <v>1253</v>
      </c>
      <c r="C362" s="69"/>
      <c r="D362" s="89"/>
      <c r="E362" s="111"/>
      <c r="F362" s="89"/>
      <c r="G362" s="89"/>
      <c r="H362" s="89"/>
      <c r="I362" s="89"/>
      <c r="J362" s="710"/>
      <c r="K362" s="711"/>
      <c r="M362" s="62">
        <f t="shared" si="26"/>
        <v>5</v>
      </c>
    </row>
    <row r="363" spans="1:13">
      <c r="A363" s="88">
        <f>+A361+1</f>
        <v>33</v>
      </c>
      <c r="B363" s="69" t="s">
        <v>3532</v>
      </c>
      <c r="C363" s="69">
        <v>13</v>
      </c>
      <c r="D363" s="89">
        <v>1</v>
      </c>
      <c r="E363" s="111">
        <v>1</v>
      </c>
      <c r="F363" s="89">
        <v>1</v>
      </c>
      <c r="G363" s="89">
        <v>1</v>
      </c>
      <c r="H363" s="89">
        <v>1</v>
      </c>
      <c r="I363" s="89">
        <v>1</v>
      </c>
      <c r="J363" s="710">
        <f>(VLOOKUP($C363,[2]Sheet1!$A$2:$P$18,$M363+1)/12)*12*D363</f>
        <v>628759.53804000001</v>
      </c>
      <c r="K363" s="711"/>
      <c r="M363" s="62">
        <f t="shared" si="26"/>
        <v>3</v>
      </c>
    </row>
    <row r="364" spans="1:13">
      <c r="A364" s="88">
        <f t="shared" ref="A364:A369" si="28">+A363+1</f>
        <v>34</v>
      </c>
      <c r="B364" s="69" t="s">
        <v>1256</v>
      </c>
      <c r="C364" s="69">
        <v>12</v>
      </c>
      <c r="D364" s="89">
        <v>1</v>
      </c>
      <c r="E364" s="111">
        <v>1</v>
      </c>
      <c r="F364" s="89">
        <v>1</v>
      </c>
      <c r="G364" s="89">
        <v>1</v>
      </c>
      <c r="H364" s="89">
        <v>1</v>
      </c>
      <c r="I364" s="89">
        <v>1</v>
      </c>
      <c r="J364" s="710">
        <f>(VLOOKUP($C364,[2]Sheet1!$A$2:$P$18,$M364+1)/12)*12*D364</f>
        <v>552685.0537200002</v>
      </c>
      <c r="K364" s="711"/>
      <c r="M364" s="62">
        <f t="shared" si="26"/>
        <v>3</v>
      </c>
    </row>
    <row r="365" spans="1:13">
      <c r="A365" s="88">
        <f t="shared" si="28"/>
        <v>35</v>
      </c>
      <c r="B365" s="69" t="s">
        <v>3533</v>
      </c>
      <c r="C365" s="69">
        <v>9</v>
      </c>
      <c r="D365" s="89">
        <v>1</v>
      </c>
      <c r="E365" s="111">
        <v>2</v>
      </c>
      <c r="F365" s="89">
        <v>1</v>
      </c>
      <c r="G365" s="89">
        <v>1</v>
      </c>
      <c r="H365" s="89">
        <v>2</v>
      </c>
      <c r="I365" s="89">
        <v>1</v>
      </c>
      <c r="J365" s="710">
        <f>(VLOOKUP($C365,[2]Sheet1!$A$2:$P$18,$M365+1)/12)*12*D365</f>
        <v>409681.90619999997</v>
      </c>
      <c r="K365" s="711"/>
      <c r="M365" s="62">
        <f t="shared" si="26"/>
        <v>3</v>
      </c>
    </row>
    <row r="366" spans="1:13">
      <c r="A366" s="88">
        <f t="shared" si="28"/>
        <v>36</v>
      </c>
      <c r="B366" s="69" t="s">
        <v>1257</v>
      </c>
      <c r="C366" s="69">
        <v>7</v>
      </c>
      <c r="D366" s="89">
        <v>0</v>
      </c>
      <c r="E366" s="111">
        <v>0</v>
      </c>
      <c r="F366" s="89">
        <v>0</v>
      </c>
      <c r="G366" s="89">
        <v>0</v>
      </c>
      <c r="H366" s="89">
        <v>0</v>
      </c>
      <c r="I366" s="89">
        <v>0</v>
      </c>
      <c r="J366" s="710">
        <f>(VLOOKUP($C366,[2]Sheet1!$A$2:$P$18,$M366+1)/12)*12*D366</f>
        <v>0</v>
      </c>
      <c r="K366" s="711"/>
      <c r="M366" s="62">
        <f t="shared" si="26"/>
        <v>3</v>
      </c>
    </row>
    <row r="367" spans="1:13">
      <c r="A367" s="88">
        <f t="shared" si="28"/>
        <v>37</v>
      </c>
      <c r="B367" s="69" t="s">
        <v>1415</v>
      </c>
      <c r="C367" s="69">
        <v>8</v>
      </c>
      <c r="D367" s="89">
        <v>1</v>
      </c>
      <c r="E367" s="111">
        <v>3</v>
      </c>
      <c r="F367" s="89">
        <v>1</v>
      </c>
      <c r="G367" s="89">
        <v>1</v>
      </c>
      <c r="H367" s="89">
        <v>3</v>
      </c>
      <c r="I367" s="89">
        <v>1</v>
      </c>
      <c r="J367" s="710">
        <f>(VLOOKUP($C367,[2]Sheet1!$A$2:$P$18,$M367+1)/12)*12*D367</f>
        <v>342141.27408</v>
      </c>
      <c r="K367" s="711"/>
      <c r="M367" s="62">
        <f t="shared" si="26"/>
        <v>3</v>
      </c>
    </row>
    <row r="368" spans="1:13">
      <c r="A368" s="88">
        <f t="shared" si="28"/>
        <v>38</v>
      </c>
      <c r="B368" s="69" t="s">
        <v>1416</v>
      </c>
      <c r="C368" s="69">
        <v>5</v>
      </c>
      <c r="D368" s="89">
        <v>1</v>
      </c>
      <c r="E368" s="111">
        <v>2</v>
      </c>
      <c r="F368" s="89">
        <v>1</v>
      </c>
      <c r="G368" s="89">
        <v>1</v>
      </c>
      <c r="H368" s="89">
        <v>2</v>
      </c>
      <c r="I368" s="89">
        <v>1</v>
      </c>
      <c r="J368" s="710">
        <f>(VLOOKUP($C368,[2]Sheet1!$A$2:$P$18,$M368+1)/12)*12*D368</f>
        <v>229569.77893036499</v>
      </c>
      <c r="K368" s="711"/>
      <c r="M368" s="62">
        <f t="shared" si="26"/>
        <v>5</v>
      </c>
    </row>
    <row r="369" spans="1:13">
      <c r="A369" s="88">
        <f t="shared" si="28"/>
        <v>39</v>
      </c>
      <c r="B369" s="69" t="s">
        <v>1417</v>
      </c>
      <c r="C369" s="69">
        <v>4</v>
      </c>
      <c r="D369" s="89">
        <v>0</v>
      </c>
      <c r="E369" s="111">
        <v>0</v>
      </c>
      <c r="F369" s="89">
        <v>0</v>
      </c>
      <c r="G369" s="89">
        <v>0</v>
      </c>
      <c r="H369" s="89">
        <v>0</v>
      </c>
      <c r="I369" s="89">
        <v>0</v>
      </c>
      <c r="J369" s="710">
        <f>(VLOOKUP($C369,[2]Sheet1!$A$2:$P$18,$M369+1)/12)*12*D369</f>
        <v>0</v>
      </c>
      <c r="K369" s="711"/>
      <c r="M369" s="62">
        <f t="shared" si="26"/>
        <v>5</v>
      </c>
    </row>
    <row r="370" spans="1:13">
      <c r="A370" s="88"/>
      <c r="B370" s="90" t="s">
        <v>2328</v>
      </c>
      <c r="C370" s="69"/>
      <c r="D370" s="89"/>
      <c r="E370" s="111"/>
      <c r="F370" s="89"/>
      <c r="G370" s="89"/>
      <c r="H370" s="89"/>
      <c r="I370" s="89"/>
      <c r="J370" s="710"/>
      <c r="K370" s="711"/>
      <c r="M370" s="62">
        <f t="shared" si="26"/>
        <v>5</v>
      </c>
    </row>
    <row r="371" spans="1:13">
      <c r="A371" s="88">
        <f>+A369+1</f>
        <v>40</v>
      </c>
      <c r="B371" s="69" t="s">
        <v>3532</v>
      </c>
      <c r="C371" s="69">
        <v>16</v>
      </c>
      <c r="D371" s="89">
        <v>0</v>
      </c>
      <c r="E371" s="111">
        <v>0</v>
      </c>
      <c r="F371" s="89">
        <v>0</v>
      </c>
      <c r="G371" s="89">
        <v>0</v>
      </c>
      <c r="H371" s="89">
        <v>0</v>
      </c>
      <c r="I371" s="89">
        <v>0</v>
      </c>
      <c r="J371" s="710">
        <f>(VLOOKUP($C371,[2]Sheet1!$A$2:$P$18,$M371+1)/12)*12*D371</f>
        <v>0</v>
      </c>
      <c r="K371" s="711"/>
      <c r="M371" s="62">
        <f t="shared" si="26"/>
        <v>3</v>
      </c>
    </row>
    <row r="372" spans="1:13">
      <c r="A372" s="88">
        <f>+A371+1</f>
        <v>41</v>
      </c>
      <c r="B372" s="69" t="s">
        <v>1256</v>
      </c>
      <c r="C372" s="69">
        <v>14</v>
      </c>
      <c r="D372" s="89">
        <v>2</v>
      </c>
      <c r="E372" s="111">
        <v>2</v>
      </c>
      <c r="F372" s="89">
        <v>2</v>
      </c>
      <c r="G372" s="89">
        <v>2</v>
      </c>
      <c r="H372" s="89">
        <v>2</v>
      </c>
      <c r="I372" s="89">
        <v>2</v>
      </c>
      <c r="J372" s="710">
        <f>(VLOOKUP($C372,[2]Sheet1!$A$2:$P$18,$M372+1)/12)*12*D372</f>
        <v>1338198.81648</v>
      </c>
      <c r="K372" s="711"/>
      <c r="M372" s="62">
        <f t="shared" si="26"/>
        <v>3</v>
      </c>
    </row>
    <row r="373" spans="1:13">
      <c r="A373" s="88">
        <f>+A372+1</f>
        <v>42</v>
      </c>
      <c r="B373" s="69" t="s">
        <v>3533</v>
      </c>
      <c r="C373" s="69">
        <v>13</v>
      </c>
      <c r="D373" s="89">
        <v>0</v>
      </c>
      <c r="E373" s="111">
        <v>0</v>
      </c>
      <c r="F373" s="89">
        <v>0</v>
      </c>
      <c r="G373" s="89">
        <v>0</v>
      </c>
      <c r="H373" s="89">
        <v>0</v>
      </c>
      <c r="I373" s="89">
        <v>0</v>
      </c>
      <c r="J373" s="710">
        <f>(VLOOKUP($C373,[2]Sheet1!$A$2:$P$18,$M373+1)/12)*12*D373</f>
        <v>0</v>
      </c>
      <c r="K373" s="711"/>
      <c r="M373" s="62">
        <f t="shared" si="26"/>
        <v>3</v>
      </c>
    </row>
    <row r="374" spans="1:13">
      <c r="A374" s="88">
        <f>+A373+1</f>
        <v>43</v>
      </c>
      <c r="B374" s="69" t="s">
        <v>1278</v>
      </c>
      <c r="C374" s="69">
        <v>8</v>
      </c>
      <c r="D374" s="89">
        <v>1</v>
      </c>
      <c r="E374" s="111">
        <v>1</v>
      </c>
      <c r="F374" s="89">
        <v>1</v>
      </c>
      <c r="G374" s="89">
        <v>1</v>
      </c>
      <c r="H374" s="89">
        <v>1</v>
      </c>
      <c r="I374" s="89">
        <v>1</v>
      </c>
      <c r="J374" s="710">
        <f>(VLOOKUP($C374,[2]Sheet1!$A$2:$P$18,$M374+1)/12)*12*D374</f>
        <v>342141.27408</v>
      </c>
      <c r="K374" s="711"/>
      <c r="M374" s="62">
        <f t="shared" si="26"/>
        <v>3</v>
      </c>
    </row>
    <row r="375" spans="1:13">
      <c r="A375" s="88"/>
      <c r="B375" s="90" t="s">
        <v>1279</v>
      </c>
      <c r="C375" s="69"/>
      <c r="D375" s="89"/>
      <c r="E375" s="111"/>
      <c r="F375" s="89"/>
      <c r="G375" s="89"/>
      <c r="H375" s="89"/>
      <c r="I375" s="89"/>
      <c r="J375" s="710"/>
      <c r="K375" s="711"/>
      <c r="M375" s="62">
        <f t="shared" si="26"/>
        <v>5</v>
      </c>
    </row>
    <row r="376" spans="1:13">
      <c r="A376" s="88">
        <f>+A374+1</f>
        <v>44</v>
      </c>
      <c r="B376" s="69" t="s">
        <v>3532</v>
      </c>
      <c r="C376" s="69">
        <v>16</v>
      </c>
      <c r="D376" s="89">
        <v>0</v>
      </c>
      <c r="E376" s="111">
        <v>0</v>
      </c>
      <c r="F376" s="89">
        <v>0</v>
      </c>
      <c r="G376" s="89">
        <v>0</v>
      </c>
      <c r="H376" s="89">
        <v>0</v>
      </c>
      <c r="I376" s="89">
        <v>0</v>
      </c>
      <c r="J376" s="710">
        <f>(VLOOKUP($C376,[2]Sheet1!$A$2:$P$18,$M376+1)/12)*12*D376</f>
        <v>0</v>
      </c>
      <c r="K376" s="711"/>
      <c r="M376" s="62">
        <f t="shared" si="26"/>
        <v>3</v>
      </c>
    </row>
    <row r="377" spans="1:13">
      <c r="A377" s="88">
        <f>+A376+1</f>
        <v>45</v>
      </c>
      <c r="B377" s="69" t="s">
        <v>1256</v>
      </c>
      <c r="C377" s="69">
        <v>14</v>
      </c>
      <c r="D377" s="89">
        <v>1</v>
      </c>
      <c r="E377" s="111">
        <v>1</v>
      </c>
      <c r="F377" s="89">
        <v>1</v>
      </c>
      <c r="G377" s="89">
        <v>1</v>
      </c>
      <c r="H377" s="89">
        <v>1</v>
      </c>
      <c r="I377" s="89">
        <v>1</v>
      </c>
      <c r="J377" s="710">
        <f>(VLOOKUP($C377,[2]Sheet1!$A$2:$P$18,$M377+1)/12)*12*D377</f>
        <v>669099.40824000002</v>
      </c>
      <c r="K377" s="711"/>
      <c r="M377" s="62">
        <f t="shared" si="26"/>
        <v>3</v>
      </c>
    </row>
    <row r="378" spans="1:13">
      <c r="A378" s="88">
        <f>+A377+1</f>
        <v>46</v>
      </c>
      <c r="B378" s="69" t="s">
        <v>3533</v>
      </c>
      <c r="C378" s="69">
        <v>9</v>
      </c>
      <c r="D378" s="89">
        <v>0</v>
      </c>
      <c r="E378" s="111">
        <v>0</v>
      </c>
      <c r="F378" s="89">
        <v>0</v>
      </c>
      <c r="G378" s="89">
        <v>0</v>
      </c>
      <c r="H378" s="89">
        <v>0</v>
      </c>
      <c r="I378" s="89">
        <v>0</v>
      </c>
      <c r="J378" s="710">
        <f>(VLOOKUP($C378,[2]Sheet1!$A$2:$P$18,$M378+1)/12)*12*D378</f>
        <v>0</v>
      </c>
      <c r="K378" s="711"/>
      <c r="M378" s="62">
        <f t="shared" si="26"/>
        <v>3</v>
      </c>
    </row>
    <row r="379" spans="1:13">
      <c r="A379" s="88">
        <f>+A378+1</f>
        <v>47</v>
      </c>
      <c r="B379" s="69" t="s">
        <v>3941</v>
      </c>
      <c r="C379" s="69">
        <v>7</v>
      </c>
      <c r="D379" s="89">
        <v>2</v>
      </c>
      <c r="E379" s="111">
        <v>2</v>
      </c>
      <c r="F379" s="89">
        <v>2</v>
      </c>
      <c r="G379" s="89">
        <v>2</v>
      </c>
      <c r="H379" s="89">
        <v>2</v>
      </c>
      <c r="I379" s="89">
        <v>2</v>
      </c>
      <c r="J379" s="710">
        <f>(VLOOKUP($C379,[2]Sheet1!$A$2:$P$18,$M379+1)/12)*12*D379</f>
        <v>615413.40480000013</v>
      </c>
      <c r="K379" s="711"/>
      <c r="M379" s="62">
        <f t="shared" si="26"/>
        <v>3</v>
      </c>
    </row>
    <row r="380" spans="1:13">
      <c r="A380" s="88">
        <f>+A379+1</f>
        <v>48</v>
      </c>
      <c r="B380" s="69" t="s">
        <v>1277</v>
      </c>
      <c r="C380" s="69">
        <v>6</v>
      </c>
      <c r="D380" s="89">
        <v>0</v>
      </c>
      <c r="E380" s="111">
        <v>0</v>
      </c>
      <c r="F380" s="89">
        <v>0</v>
      </c>
      <c r="G380" s="89">
        <v>0</v>
      </c>
      <c r="H380" s="89">
        <v>0</v>
      </c>
      <c r="I380" s="89">
        <v>0</v>
      </c>
      <c r="J380" s="710">
        <f>(VLOOKUP($C380,[2]Sheet1!$A$2:$P$18,$M380+1)/12)*12*D380</f>
        <v>0</v>
      </c>
      <c r="K380" s="711"/>
      <c r="M380" s="62">
        <f t="shared" si="26"/>
        <v>5</v>
      </c>
    </row>
    <row r="381" spans="1:13">
      <c r="A381" s="88"/>
      <c r="B381" s="69"/>
      <c r="C381" s="69"/>
      <c r="D381" s="89"/>
      <c r="E381" s="111"/>
      <c r="F381" s="89"/>
      <c r="G381" s="89"/>
      <c r="H381" s="89"/>
      <c r="I381" s="89"/>
      <c r="J381" s="710"/>
      <c r="K381" s="711"/>
      <c r="M381" s="62">
        <f t="shared" si="26"/>
        <v>5</v>
      </c>
    </row>
    <row r="382" spans="1:13">
      <c r="A382" s="92"/>
      <c r="B382" s="93" t="s">
        <v>1684</v>
      </c>
      <c r="C382" s="94"/>
      <c r="D382" s="95">
        <f t="shared" ref="D382:J382" si="29">SUM(D329:D381)</f>
        <v>85</v>
      </c>
      <c r="E382" s="279">
        <f t="shared" si="29"/>
        <v>94</v>
      </c>
      <c r="F382" s="279">
        <f t="shared" si="29"/>
        <v>85</v>
      </c>
      <c r="G382" s="95">
        <f>SUM(G329:G381)</f>
        <v>85</v>
      </c>
      <c r="H382" s="95">
        <f t="shared" si="29"/>
        <v>94</v>
      </c>
      <c r="I382" s="95">
        <f t="shared" si="29"/>
        <v>85</v>
      </c>
      <c r="J382" s="96">
        <f t="shared" si="29"/>
        <v>22013343.389295924</v>
      </c>
      <c r="K382" s="376"/>
      <c r="M382" s="62">
        <f t="shared" si="26"/>
        <v>5</v>
      </c>
    </row>
    <row r="383" spans="1:13">
      <c r="A383" s="88"/>
      <c r="B383" s="97"/>
      <c r="C383" s="69"/>
      <c r="D383" s="98"/>
      <c r="E383" s="98"/>
      <c r="F383" s="126"/>
      <c r="G383" s="98"/>
      <c r="H383" s="98"/>
      <c r="I383" s="98"/>
      <c r="J383" s="713"/>
      <c r="K383" s="711"/>
      <c r="M383" s="62">
        <f t="shared" si="26"/>
        <v>5</v>
      </c>
    </row>
    <row r="384" spans="1:13">
      <c r="A384" s="88"/>
      <c r="B384" s="90" t="s">
        <v>1199</v>
      </c>
      <c r="C384" s="97"/>
      <c r="D384" s="98"/>
      <c r="E384" s="98"/>
      <c r="F384" s="98"/>
      <c r="G384" s="240" t="s">
        <v>243</v>
      </c>
      <c r="H384" s="240" t="s">
        <v>4130</v>
      </c>
      <c r="I384" s="240" t="s">
        <v>4202</v>
      </c>
      <c r="J384" s="241" t="s">
        <v>4200</v>
      </c>
      <c r="K384" s="375"/>
      <c r="M384" s="62">
        <f t="shared" si="26"/>
        <v>5</v>
      </c>
    </row>
    <row r="385" spans="1:15">
      <c r="A385" s="88">
        <v>1</v>
      </c>
      <c r="B385" s="69" t="s">
        <v>2786</v>
      </c>
      <c r="C385" s="69"/>
      <c r="D385" s="89"/>
      <c r="E385" s="89"/>
      <c r="F385" s="89"/>
      <c r="G385" s="100">
        <f>J382*0.2</f>
        <v>4402668.6778591853</v>
      </c>
      <c r="H385" s="100">
        <f>G385*1.02</f>
        <v>4490722.0514163692</v>
      </c>
      <c r="I385" s="100">
        <f>G385*1.04</f>
        <v>4578775.424973553</v>
      </c>
      <c r="J385" s="100">
        <f>SUM(G385:I385)</f>
        <v>13472166.154249107</v>
      </c>
      <c r="K385" s="114"/>
      <c r="M385" s="62">
        <f t="shared" si="26"/>
        <v>5</v>
      </c>
    </row>
    <row r="386" spans="1:15">
      <c r="A386" s="88">
        <f>+A385+1</f>
        <v>2</v>
      </c>
      <c r="B386" s="69" t="s">
        <v>2877</v>
      </c>
      <c r="C386" s="69"/>
      <c r="D386" s="89"/>
      <c r="E386" s="89"/>
      <c r="F386" s="89"/>
      <c r="G386" s="100">
        <f>G385/2</f>
        <v>2201334.3389295926</v>
      </c>
      <c r="H386" s="100">
        <f>G386*1.02</f>
        <v>2245361.0257081846</v>
      </c>
      <c r="I386" s="100">
        <f>G386*1.04</f>
        <v>2289387.7124867765</v>
      </c>
      <c r="J386" s="100">
        <f>SUM(G386:I386)</f>
        <v>6736083.0771245537</v>
      </c>
      <c r="K386" s="114"/>
      <c r="M386" s="62">
        <f t="shared" ref="M386:M443" si="30">IF(C386&gt;6,3,5)</f>
        <v>5</v>
      </c>
    </row>
    <row r="387" spans="1:15">
      <c r="A387" s="88">
        <f>+A386+1</f>
        <v>3</v>
      </c>
      <c r="B387" s="69" t="s">
        <v>1342</v>
      </c>
      <c r="C387" s="69"/>
      <c r="D387" s="89"/>
      <c r="E387" s="89"/>
      <c r="F387" s="89"/>
      <c r="G387" s="100">
        <f>G386</f>
        <v>2201334.3389295926</v>
      </c>
      <c r="H387" s="100">
        <f>G387*1.02</f>
        <v>2245361.0257081846</v>
      </c>
      <c r="I387" s="100">
        <f>G387*1.04</f>
        <v>2289387.7124867765</v>
      </c>
      <c r="J387" s="100">
        <f>SUM(G387:I387)</f>
        <v>6736083.0771245537</v>
      </c>
      <c r="K387" s="114"/>
      <c r="M387" s="62">
        <f t="shared" si="30"/>
        <v>5</v>
      </c>
    </row>
    <row r="388" spans="1:15">
      <c r="A388" s="88">
        <f>+A387+1</f>
        <v>4</v>
      </c>
      <c r="B388" s="195" t="s">
        <v>4252</v>
      </c>
      <c r="C388" s="69"/>
      <c r="D388" s="89"/>
      <c r="E388" s="89"/>
      <c r="F388" s="89"/>
      <c r="G388" s="100">
        <v>10000000</v>
      </c>
      <c r="H388" s="100">
        <f>G388*1.02</f>
        <v>10200000</v>
      </c>
      <c r="I388" s="100">
        <f>G388*1.04</f>
        <v>10400000</v>
      </c>
      <c r="J388" s="100">
        <f>SUM(G388:I388)</f>
        <v>30600000</v>
      </c>
      <c r="K388" s="114"/>
      <c r="M388" s="62">
        <f t="shared" si="30"/>
        <v>5</v>
      </c>
    </row>
    <row r="389" spans="1:15">
      <c r="A389" s="88">
        <f>+A388+1</f>
        <v>5</v>
      </c>
      <c r="B389" s="69" t="s">
        <v>1532</v>
      </c>
      <c r="C389" s="69"/>
      <c r="D389" s="89"/>
      <c r="E389" s="89"/>
      <c r="F389" s="89"/>
      <c r="G389" s="111"/>
      <c r="H389" s="111"/>
      <c r="I389" s="111"/>
      <c r="J389" s="100"/>
      <c r="K389" s="114"/>
      <c r="M389" s="62">
        <f t="shared" si="30"/>
        <v>5</v>
      </c>
    </row>
    <row r="390" spans="1:15">
      <c r="A390" s="92"/>
      <c r="B390" s="93" t="s">
        <v>1933</v>
      </c>
      <c r="C390" s="94"/>
      <c r="D390" s="101"/>
      <c r="E390" s="101"/>
      <c r="F390" s="101"/>
      <c r="G390" s="95">
        <f>SUM(G385:G388)</f>
        <v>18805337.355718371</v>
      </c>
      <c r="H390" s="95">
        <f>SUM(H385:H388)</f>
        <v>19181444.102832738</v>
      </c>
      <c r="I390" s="95">
        <f>SUM(I385:I388)</f>
        <v>19557550.849947106</v>
      </c>
      <c r="J390" s="95">
        <f>SUM(J385:J388)</f>
        <v>57544332.308498219</v>
      </c>
      <c r="K390" s="378"/>
      <c r="M390" s="62">
        <f t="shared" si="30"/>
        <v>5</v>
      </c>
    </row>
    <row r="391" spans="1:15">
      <c r="A391" s="88"/>
      <c r="B391" s="69"/>
      <c r="C391" s="69"/>
      <c r="D391" s="89"/>
      <c r="E391" s="89"/>
      <c r="F391" s="89"/>
      <c r="G391" s="89"/>
      <c r="H391" s="89"/>
      <c r="I391" s="89"/>
      <c r="J391" s="89"/>
      <c r="K391" s="114"/>
      <c r="M391" s="62">
        <f t="shared" si="30"/>
        <v>5</v>
      </c>
    </row>
    <row r="392" spans="1:15">
      <c r="A392" s="88"/>
      <c r="B392" s="69"/>
      <c r="C392" s="69"/>
      <c r="D392" s="89"/>
      <c r="E392" s="89"/>
      <c r="F392" s="89"/>
      <c r="G392" s="89"/>
      <c r="H392" s="89"/>
      <c r="I392" s="89"/>
      <c r="J392" s="89"/>
      <c r="K392" s="114"/>
      <c r="M392" s="62">
        <f t="shared" si="30"/>
        <v>5</v>
      </c>
    </row>
    <row r="393" spans="1:15">
      <c r="A393" s="88">
        <v>1</v>
      </c>
      <c r="B393" s="69" t="s">
        <v>1693</v>
      </c>
      <c r="C393" s="69"/>
      <c r="D393" s="89"/>
      <c r="E393" s="89"/>
      <c r="F393" s="89"/>
      <c r="G393" s="100">
        <f>G390+J382</f>
        <v>40818680.745014295</v>
      </c>
      <c r="H393" s="100">
        <f>G393*1.02</f>
        <v>41635054.359914578</v>
      </c>
      <c r="I393" s="100">
        <f>G393*1.04</f>
        <v>42451427.974814869</v>
      </c>
      <c r="J393" s="100">
        <f>SUM(G393:I393)</f>
        <v>124905163.07974374</v>
      </c>
      <c r="K393" s="114"/>
      <c r="L393" s="112"/>
      <c r="M393" s="62">
        <f t="shared" si="30"/>
        <v>5</v>
      </c>
      <c r="O393" s="183"/>
    </row>
    <row r="394" spans="1:15">
      <c r="A394" s="88">
        <f>+A393+1</f>
        <v>2</v>
      </c>
      <c r="B394" s="69" t="s">
        <v>3944</v>
      </c>
      <c r="C394" s="69"/>
      <c r="D394" s="89"/>
      <c r="E394" s="89"/>
      <c r="F394" s="89"/>
      <c r="G394" s="89">
        <f>C427</f>
        <v>156250000</v>
      </c>
      <c r="H394" s="89">
        <f>D427</f>
        <v>339400000</v>
      </c>
      <c r="I394" s="89">
        <f>E427</f>
        <v>339400000</v>
      </c>
      <c r="J394" s="100">
        <f>SUM(G394:I394)</f>
        <v>835050000</v>
      </c>
      <c r="K394" s="114"/>
      <c r="M394" s="62">
        <f t="shared" si="30"/>
        <v>5</v>
      </c>
      <c r="O394" s="193"/>
    </row>
    <row r="395" spans="1:15">
      <c r="A395" s="88"/>
      <c r="B395" s="69"/>
      <c r="C395" s="69"/>
      <c r="D395" s="89"/>
      <c r="E395" s="89"/>
      <c r="F395" s="89"/>
      <c r="G395" s="89"/>
      <c r="H395" s="89"/>
      <c r="I395" s="89"/>
      <c r="J395" s="89"/>
      <c r="K395" s="114"/>
      <c r="M395" s="62">
        <f t="shared" si="30"/>
        <v>5</v>
      </c>
    </row>
    <row r="396" spans="1:15" ht="13.5" thickBot="1">
      <c r="A396" s="102"/>
      <c r="B396" s="103" t="s">
        <v>2241</v>
      </c>
      <c r="C396" s="104"/>
      <c r="D396" s="105"/>
      <c r="E396" s="105"/>
      <c r="F396" s="105"/>
      <c r="G396" s="106">
        <f>+G394+G393</f>
        <v>197068680.74501431</v>
      </c>
      <c r="H396" s="106">
        <f>+H394+H393</f>
        <v>381035054.3599146</v>
      </c>
      <c r="I396" s="106">
        <f>+I394+I393</f>
        <v>381851427.97481489</v>
      </c>
      <c r="J396" s="106">
        <f>+J394+J393</f>
        <v>959955163.07974374</v>
      </c>
      <c r="K396" s="378"/>
      <c r="M396" s="62">
        <f t="shared" si="30"/>
        <v>5</v>
      </c>
    </row>
    <row r="397" spans="1:15" ht="15.75" thickTop="1">
      <c r="A397" s="113"/>
      <c r="B397" s="113"/>
      <c r="C397" s="77"/>
      <c r="D397" s="78" t="s">
        <v>5434</v>
      </c>
      <c r="E397" s="114"/>
      <c r="F397" s="114"/>
      <c r="G397" s="114"/>
      <c r="H397" s="114"/>
      <c r="I397" s="114"/>
      <c r="J397" s="584"/>
      <c r="K397" s="584"/>
      <c r="M397" s="62">
        <f t="shared" si="30"/>
        <v>5</v>
      </c>
    </row>
    <row r="398" spans="1:15" ht="15">
      <c r="A398" s="113"/>
      <c r="B398" s="113"/>
      <c r="C398" s="77"/>
      <c r="D398" s="78" t="s">
        <v>716</v>
      </c>
      <c r="E398" s="114"/>
      <c r="F398" s="114"/>
      <c r="G398" s="114"/>
      <c r="H398" s="114"/>
      <c r="I398" s="114"/>
      <c r="J398" s="584"/>
      <c r="K398" s="584"/>
      <c r="M398" s="62">
        <f t="shared" si="30"/>
        <v>5</v>
      </c>
    </row>
    <row r="399" spans="1:15" ht="15">
      <c r="A399" s="113"/>
      <c r="B399" s="113"/>
      <c r="C399" s="79" t="s">
        <v>717</v>
      </c>
      <c r="D399" s="78" t="s">
        <v>2132</v>
      </c>
      <c r="E399" s="114"/>
      <c r="F399" s="114"/>
      <c r="G399" s="114"/>
      <c r="H399" s="114"/>
      <c r="I399" s="114"/>
      <c r="J399" s="584"/>
      <c r="K399" s="584"/>
      <c r="M399" s="62">
        <f t="shared" si="30"/>
        <v>3</v>
      </c>
    </row>
    <row r="400" spans="1:15" ht="15">
      <c r="A400" s="113"/>
      <c r="B400" s="113"/>
      <c r="C400" s="79" t="s">
        <v>718</v>
      </c>
      <c r="D400" s="78" t="s">
        <v>2133</v>
      </c>
      <c r="E400" s="114"/>
      <c r="F400" s="114"/>
      <c r="G400" s="114"/>
      <c r="H400" s="114"/>
      <c r="I400" s="114"/>
      <c r="J400" s="584"/>
      <c r="K400" s="584"/>
      <c r="M400" s="62">
        <f t="shared" si="30"/>
        <v>3</v>
      </c>
    </row>
    <row r="401" spans="1:13" ht="15">
      <c r="A401" s="634" t="s">
        <v>1839</v>
      </c>
      <c r="B401" s="635" t="s">
        <v>903</v>
      </c>
      <c r="C401" s="1037" t="s">
        <v>4127</v>
      </c>
      <c r="D401" s="1038"/>
      <c r="E401" s="1039"/>
      <c r="F401" s="635" t="s">
        <v>1684</v>
      </c>
      <c r="G401" s="1037" t="s">
        <v>4132</v>
      </c>
      <c r="H401" s="1038"/>
      <c r="I401" s="1039"/>
      <c r="J401" s="726"/>
      <c r="K401" s="727"/>
    </row>
    <row r="402" spans="1:13">
      <c r="A402" s="636" t="s">
        <v>1620</v>
      </c>
      <c r="B402" s="637"/>
      <c r="C402" s="635" t="s">
        <v>1841</v>
      </c>
      <c r="D402" s="635" t="s">
        <v>4133</v>
      </c>
      <c r="E402" s="635" t="s">
        <v>4133</v>
      </c>
      <c r="F402" s="1056" t="s">
        <v>4200</v>
      </c>
      <c r="G402" s="634" t="s">
        <v>4135</v>
      </c>
      <c r="H402" s="1051" t="s">
        <v>4182</v>
      </c>
      <c r="I402" s="634" t="s">
        <v>4135</v>
      </c>
      <c r="J402" s="728" t="s">
        <v>4136</v>
      </c>
      <c r="K402" s="727"/>
    </row>
    <row r="403" spans="1:13" ht="12.75" customHeight="1">
      <c r="A403" s="638" t="s">
        <v>387</v>
      </c>
      <c r="B403" s="639"/>
      <c r="C403" s="638">
        <v>2015</v>
      </c>
      <c r="D403" s="638">
        <v>2016</v>
      </c>
      <c r="E403" s="638">
        <v>2017</v>
      </c>
      <c r="F403" s="1057"/>
      <c r="G403" s="638" t="s">
        <v>4304</v>
      </c>
      <c r="H403" s="1052"/>
      <c r="I403" s="638" t="s">
        <v>4303</v>
      </c>
      <c r="J403" s="639"/>
      <c r="K403" s="729"/>
    </row>
    <row r="404" spans="1:13">
      <c r="A404" s="730"/>
      <c r="B404" s="730"/>
      <c r="C404" s="743"/>
      <c r="D404" s="743"/>
      <c r="E404" s="743"/>
      <c r="F404" s="62"/>
      <c r="G404" s="743"/>
      <c r="H404" s="743"/>
      <c r="I404" s="743"/>
      <c r="J404" s="743"/>
      <c r="K404" s="744"/>
      <c r="M404" s="62" t="e">
        <f>IF(#REF!&gt;6,3,5)</f>
        <v>#REF!</v>
      </c>
    </row>
    <row r="405" spans="1:13">
      <c r="A405" s="745">
        <v>2</v>
      </c>
      <c r="B405" s="745" t="s">
        <v>1695</v>
      </c>
      <c r="C405" s="746">
        <v>6000000</v>
      </c>
      <c r="D405" s="746">
        <v>3000000</v>
      </c>
      <c r="E405" s="746">
        <v>3000000</v>
      </c>
      <c r="F405" s="747">
        <f>SUM(C405:E405)</f>
        <v>12000000</v>
      </c>
      <c r="G405" s="746">
        <v>5184000</v>
      </c>
      <c r="H405" s="746">
        <v>6000000</v>
      </c>
      <c r="I405" s="746">
        <f>2317500+1422000+1422000</f>
        <v>5161500</v>
      </c>
      <c r="J405" s="747"/>
      <c r="K405" s="744"/>
      <c r="M405" s="62" t="e">
        <f>IF(#REF!&gt;6,3,5)</f>
        <v>#REF!</v>
      </c>
    </row>
    <row r="406" spans="1:13">
      <c r="A406" s="745">
        <f t="shared" ref="A406:A424" si="31">+A405+1</f>
        <v>3</v>
      </c>
      <c r="B406" s="745" t="s">
        <v>2134</v>
      </c>
      <c r="C406" s="746" t="s">
        <v>1386</v>
      </c>
      <c r="D406" s="746">
        <v>200000</v>
      </c>
      <c r="E406" s="746">
        <v>200000</v>
      </c>
      <c r="F406" s="747">
        <f t="shared" ref="F406:F424" si="32">SUM(C406:E406)</f>
        <v>400000</v>
      </c>
      <c r="G406" s="746"/>
      <c r="H406" s="746" t="s">
        <v>1386</v>
      </c>
      <c r="I406" s="746"/>
      <c r="J406" s="747"/>
      <c r="K406" s="744"/>
      <c r="M406" s="62" t="e">
        <f>IF(#REF!&gt;6,3,5)</f>
        <v>#REF!</v>
      </c>
    </row>
    <row r="407" spans="1:13">
      <c r="A407" s="745">
        <f t="shared" si="31"/>
        <v>4</v>
      </c>
      <c r="B407" s="745" t="s">
        <v>1701</v>
      </c>
      <c r="C407" s="746" t="s">
        <v>1386</v>
      </c>
      <c r="D407" s="746" t="s">
        <v>3007</v>
      </c>
      <c r="E407" s="746" t="s">
        <v>3007</v>
      </c>
      <c r="F407" s="747">
        <f t="shared" si="32"/>
        <v>0</v>
      </c>
      <c r="G407" s="746"/>
      <c r="H407" s="746" t="s">
        <v>1386</v>
      </c>
      <c r="I407" s="746"/>
      <c r="J407" s="747"/>
      <c r="K407" s="744"/>
      <c r="M407" s="62" t="e">
        <f>IF(#REF!&gt;6,3,5)</f>
        <v>#REF!</v>
      </c>
    </row>
    <row r="408" spans="1:13">
      <c r="A408" s="745">
        <f t="shared" si="31"/>
        <v>5</v>
      </c>
      <c r="B408" s="745" t="s">
        <v>1702</v>
      </c>
      <c r="C408" s="746">
        <v>500000</v>
      </c>
      <c r="D408" s="746">
        <v>500000</v>
      </c>
      <c r="E408" s="746">
        <v>500000</v>
      </c>
      <c r="F408" s="747">
        <f t="shared" si="32"/>
        <v>1500000</v>
      </c>
      <c r="G408" s="746">
        <v>105300</v>
      </c>
      <c r="H408" s="746">
        <v>500000</v>
      </c>
      <c r="I408" s="746">
        <v>144490</v>
      </c>
      <c r="J408" s="747"/>
      <c r="K408" s="744"/>
      <c r="M408" s="62" t="e">
        <f>IF(#REF!&gt;6,3,5)</f>
        <v>#REF!</v>
      </c>
    </row>
    <row r="409" spans="1:13" ht="25.5">
      <c r="A409" s="745">
        <f t="shared" si="31"/>
        <v>6</v>
      </c>
      <c r="B409" s="745" t="s">
        <v>1544</v>
      </c>
      <c r="C409" s="746">
        <v>500000</v>
      </c>
      <c r="D409" s="746">
        <v>500000</v>
      </c>
      <c r="E409" s="746">
        <v>500000</v>
      </c>
      <c r="F409" s="747">
        <f t="shared" si="32"/>
        <v>1500000</v>
      </c>
      <c r="G409" s="746">
        <v>228800</v>
      </c>
      <c r="H409" s="746">
        <v>500000</v>
      </c>
      <c r="I409" s="746">
        <v>353950</v>
      </c>
      <c r="J409" s="747"/>
      <c r="K409" s="744"/>
      <c r="M409" s="62" t="e">
        <f>IF(#REF!&gt;6,3,5)</f>
        <v>#REF!</v>
      </c>
    </row>
    <row r="410" spans="1:13">
      <c r="A410" s="745">
        <f t="shared" si="31"/>
        <v>7</v>
      </c>
      <c r="B410" s="745" t="s">
        <v>897</v>
      </c>
      <c r="C410" s="746">
        <v>2000000</v>
      </c>
      <c r="D410" s="746">
        <v>2500000</v>
      </c>
      <c r="E410" s="746">
        <v>2500000</v>
      </c>
      <c r="F410" s="747">
        <f t="shared" si="32"/>
        <v>7000000</v>
      </c>
      <c r="G410" s="746">
        <v>455500</v>
      </c>
      <c r="H410" s="746">
        <v>2000000</v>
      </c>
      <c r="I410" s="746">
        <v>415500</v>
      </c>
      <c r="J410" s="747"/>
      <c r="K410" s="744"/>
      <c r="M410" s="62" t="e">
        <f>IF(#REF!&gt;6,3,5)</f>
        <v>#REF!</v>
      </c>
    </row>
    <row r="411" spans="1:13">
      <c r="A411" s="745">
        <f t="shared" si="31"/>
        <v>8</v>
      </c>
      <c r="B411" s="745" t="s">
        <v>1385</v>
      </c>
      <c r="C411" s="746" t="s">
        <v>3007</v>
      </c>
      <c r="D411" s="746" t="s">
        <v>3007</v>
      </c>
      <c r="E411" s="746" t="s">
        <v>3007</v>
      </c>
      <c r="F411" s="747">
        <f t="shared" si="32"/>
        <v>0</v>
      </c>
      <c r="G411" s="746"/>
      <c r="H411" s="746" t="s">
        <v>3007</v>
      </c>
      <c r="I411" s="746"/>
      <c r="J411" s="747"/>
      <c r="K411" s="744"/>
      <c r="M411" s="62" t="e">
        <f>IF(#REF!&gt;6,3,5)</f>
        <v>#REF!</v>
      </c>
    </row>
    <row r="412" spans="1:13">
      <c r="A412" s="745">
        <f t="shared" si="31"/>
        <v>9</v>
      </c>
      <c r="B412" s="745" t="s">
        <v>2061</v>
      </c>
      <c r="C412" s="746" t="s">
        <v>3007</v>
      </c>
      <c r="D412" s="746" t="s">
        <v>3007</v>
      </c>
      <c r="E412" s="746" t="s">
        <v>3007</v>
      </c>
      <c r="F412" s="747">
        <f t="shared" si="32"/>
        <v>0</v>
      </c>
      <c r="G412" s="746"/>
      <c r="H412" s="746" t="s">
        <v>3007</v>
      </c>
      <c r="I412" s="746"/>
      <c r="J412" s="747"/>
      <c r="K412" s="744"/>
      <c r="M412" s="62" t="e">
        <f>IF(#REF!&gt;6,3,5)</f>
        <v>#REF!</v>
      </c>
    </row>
    <row r="413" spans="1:13">
      <c r="A413" s="745">
        <f t="shared" si="31"/>
        <v>10</v>
      </c>
      <c r="B413" s="745" t="s">
        <v>1680</v>
      </c>
      <c r="C413" s="746">
        <v>500000</v>
      </c>
      <c r="D413" s="746">
        <v>500000</v>
      </c>
      <c r="E413" s="746">
        <v>500000</v>
      </c>
      <c r="F413" s="747">
        <f t="shared" si="32"/>
        <v>1500000</v>
      </c>
      <c r="G413" s="746">
        <v>50000</v>
      </c>
      <c r="H413" s="746">
        <v>500000</v>
      </c>
      <c r="I413" s="746">
        <v>15000</v>
      </c>
      <c r="J413" s="747"/>
      <c r="K413" s="744"/>
      <c r="M413" s="62" t="e">
        <f>IF(#REF!&gt;6,3,5)</f>
        <v>#REF!</v>
      </c>
    </row>
    <row r="414" spans="1:13">
      <c r="A414" s="745">
        <f t="shared" si="31"/>
        <v>11</v>
      </c>
      <c r="B414" s="745" t="s">
        <v>1681</v>
      </c>
      <c r="C414" s="746">
        <v>100000</v>
      </c>
      <c r="D414" s="746">
        <v>100000</v>
      </c>
      <c r="E414" s="746">
        <v>100000</v>
      </c>
      <c r="F414" s="747">
        <f t="shared" si="32"/>
        <v>300000</v>
      </c>
      <c r="G414" s="746">
        <v>38000</v>
      </c>
      <c r="H414" s="746">
        <v>100000</v>
      </c>
      <c r="I414" s="746">
        <v>166500</v>
      </c>
      <c r="J414" s="747"/>
      <c r="K414" s="744"/>
      <c r="M414" s="62" t="e">
        <f>IF(#REF!&gt;6,3,5)</f>
        <v>#REF!</v>
      </c>
    </row>
    <row r="415" spans="1:13">
      <c r="A415" s="745">
        <f t="shared" si="31"/>
        <v>12</v>
      </c>
      <c r="B415" s="745" t="s">
        <v>1682</v>
      </c>
      <c r="C415" s="746">
        <v>6000000</v>
      </c>
      <c r="D415" s="746">
        <v>6000000</v>
      </c>
      <c r="E415" s="746">
        <v>6000000</v>
      </c>
      <c r="F415" s="747">
        <f t="shared" si="32"/>
        <v>18000000</v>
      </c>
      <c r="G415" s="746">
        <v>3261800</v>
      </c>
      <c r="H415" s="746">
        <v>4000000</v>
      </c>
      <c r="I415" s="746">
        <v>5288540</v>
      </c>
      <c r="J415" s="747"/>
      <c r="K415" s="744"/>
      <c r="M415" s="62" t="e">
        <f>IF(#REF!&gt;6,3,5)</f>
        <v>#REF!</v>
      </c>
    </row>
    <row r="416" spans="1:13">
      <c r="A416" s="745">
        <f t="shared" si="31"/>
        <v>13</v>
      </c>
      <c r="B416" s="745" t="s">
        <v>2249</v>
      </c>
      <c r="C416" s="746">
        <v>100000</v>
      </c>
      <c r="D416" s="746">
        <v>100000</v>
      </c>
      <c r="E416" s="746">
        <v>100000</v>
      </c>
      <c r="F416" s="747">
        <f t="shared" si="32"/>
        <v>300000</v>
      </c>
      <c r="G416" s="746"/>
      <c r="H416" s="746">
        <v>100000</v>
      </c>
      <c r="I416" s="746"/>
      <c r="J416" s="747"/>
      <c r="K416" s="744"/>
      <c r="M416" s="62" t="e">
        <f>IF(#REF!&gt;6,3,5)</f>
        <v>#REF!</v>
      </c>
    </row>
    <row r="417" spans="1:13">
      <c r="A417" s="745">
        <f t="shared" si="31"/>
        <v>14</v>
      </c>
      <c r="B417" s="745" t="s">
        <v>1336</v>
      </c>
      <c r="C417" s="746">
        <v>100000</v>
      </c>
      <c r="D417" s="746">
        <v>3000000</v>
      </c>
      <c r="E417" s="746">
        <v>3000000</v>
      </c>
      <c r="F417" s="747">
        <f t="shared" si="32"/>
        <v>6100000</v>
      </c>
      <c r="G417" s="746">
        <v>990000</v>
      </c>
      <c r="H417" s="746">
        <v>1000000</v>
      </c>
      <c r="I417" s="746">
        <v>20000</v>
      </c>
      <c r="J417" s="747"/>
      <c r="K417" s="744"/>
      <c r="M417" s="62" t="e">
        <f>IF(#REF!&gt;6,3,5)</f>
        <v>#REF!</v>
      </c>
    </row>
    <row r="418" spans="1:13">
      <c r="A418" s="745">
        <f t="shared" si="31"/>
        <v>15</v>
      </c>
      <c r="B418" s="745" t="s">
        <v>1464</v>
      </c>
      <c r="C418" s="746" t="s">
        <v>1386</v>
      </c>
      <c r="D418" s="746">
        <v>1000000</v>
      </c>
      <c r="E418" s="746">
        <v>1000000</v>
      </c>
      <c r="F418" s="747">
        <f t="shared" si="32"/>
        <v>2000000</v>
      </c>
      <c r="G418" s="746"/>
      <c r="H418" s="746">
        <v>500000</v>
      </c>
      <c r="I418" s="746">
        <v>50000</v>
      </c>
      <c r="J418" s="747"/>
      <c r="K418" s="744"/>
      <c r="M418" s="62" t="e">
        <f>IF(#REF!&gt;6,3,5)</f>
        <v>#REF!</v>
      </c>
    </row>
    <row r="419" spans="1:13" ht="25.5">
      <c r="A419" s="745">
        <f t="shared" si="31"/>
        <v>16</v>
      </c>
      <c r="B419" s="745" t="s">
        <v>5366</v>
      </c>
      <c r="C419" s="746">
        <v>125000000</v>
      </c>
      <c r="D419" s="746">
        <v>300000000</v>
      </c>
      <c r="E419" s="746">
        <v>300000000</v>
      </c>
      <c r="F419" s="747">
        <f t="shared" si="32"/>
        <v>725000000</v>
      </c>
      <c r="G419" s="746">
        <v>41000000</v>
      </c>
      <c r="H419" s="746">
        <v>100000000</v>
      </c>
      <c r="I419" s="746">
        <f>138073700+21400000</f>
        <v>159473700</v>
      </c>
      <c r="J419" s="746">
        <v>138073700</v>
      </c>
      <c r="K419" s="744"/>
      <c r="M419" s="62" t="e">
        <f>IF(#REF!&gt;6,3,5)</f>
        <v>#REF!</v>
      </c>
    </row>
    <row r="420" spans="1:13">
      <c r="A420" s="745">
        <f t="shared" si="31"/>
        <v>17</v>
      </c>
      <c r="B420" s="745" t="s">
        <v>1465</v>
      </c>
      <c r="C420" s="746">
        <v>5000000</v>
      </c>
      <c r="D420" s="746">
        <v>10000000</v>
      </c>
      <c r="E420" s="746">
        <v>10000000</v>
      </c>
      <c r="F420" s="747">
        <f t="shared" si="32"/>
        <v>25000000</v>
      </c>
      <c r="G420" s="746">
        <v>3790310</v>
      </c>
      <c r="H420" s="746">
        <v>10000000</v>
      </c>
      <c r="I420" s="746">
        <v>7532300</v>
      </c>
      <c r="J420" s="747"/>
      <c r="K420" s="744"/>
      <c r="M420" s="62" t="e">
        <f>IF(#REF!&gt;6,3,5)</f>
        <v>#REF!</v>
      </c>
    </row>
    <row r="421" spans="1:13">
      <c r="A421" s="745">
        <f t="shared" si="31"/>
        <v>18</v>
      </c>
      <c r="B421" s="745" t="s">
        <v>2332</v>
      </c>
      <c r="C421" s="746">
        <v>10000000</v>
      </c>
      <c r="D421" s="746">
        <v>10000000</v>
      </c>
      <c r="E421" s="746">
        <v>10000000</v>
      </c>
      <c r="F421" s="747">
        <f t="shared" si="32"/>
        <v>30000000</v>
      </c>
      <c r="G421" s="746">
        <v>40000</v>
      </c>
      <c r="H421" s="746">
        <v>60000000</v>
      </c>
      <c r="I421" s="746">
        <v>40000</v>
      </c>
      <c r="J421" s="747"/>
      <c r="K421" s="744"/>
      <c r="M421" s="62" t="e">
        <f>IF(#REF!&gt;6,3,5)</f>
        <v>#REF!</v>
      </c>
    </row>
    <row r="422" spans="1:13">
      <c r="A422" s="745">
        <f t="shared" si="31"/>
        <v>19</v>
      </c>
      <c r="B422" s="745" t="s">
        <v>3779</v>
      </c>
      <c r="C422" s="746" t="s">
        <v>3007</v>
      </c>
      <c r="D422" s="746">
        <v>0</v>
      </c>
      <c r="E422" s="746">
        <v>0</v>
      </c>
      <c r="F422" s="747">
        <f t="shared" si="32"/>
        <v>0</v>
      </c>
      <c r="G422" s="746"/>
      <c r="H422" s="746" t="s">
        <v>3007</v>
      </c>
      <c r="I422" s="746"/>
      <c r="J422" s="747"/>
      <c r="K422" s="744"/>
      <c r="M422" s="62" t="e">
        <f>IF(#REF!&gt;6,3,5)</f>
        <v>#REF!</v>
      </c>
    </row>
    <row r="423" spans="1:13" ht="38.25">
      <c r="A423" s="745">
        <f t="shared" si="31"/>
        <v>20</v>
      </c>
      <c r="B423" s="745" t="s">
        <v>3780</v>
      </c>
      <c r="C423" s="746">
        <v>450000</v>
      </c>
      <c r="D423" s="746">
        <v>2000000</v>
      </c>
      <c r="E423" s="746">
        <v>2000000</v>
      </c>
      <c r="F423" s="747">
        <f t="shared" si="32"/>
        <v>4450000</v>
      </c>
      <c r="G423" s="746"/>
      <c r="H423" s="746">
        <v>2000000</v>
      </c>
      <c r="I423" s="746"/>
      <c r="J423" s="747"/>
      <c r="K423" s="744"/>
      <c r="M423" s="62" t="e">
        <f>IF(#REF!&gt;6,3,5)</f>
        <v>#REF!</v>
      </c>
    </row>
    <row r="424" spans="1:13">
      <c r="A424" s="745">
        <f t="shared" si="31"/>
        <v>21</v>
      </c>
      <c r="B424" s="745" t="s">
        <v>1306</v>
      </c>
      <c r="C424" s="746" t="s">
        <v>3007</v>
      </c>
      <c r="D424" s="746" t="s">
        <v>3007</v>
      </c>
      <c r="E424" s="746" t="s">
        <v>3007</v>
      </c>
      <c r="F424" s="747">
        <f t="shared" si="32"/>
        <v>0</v>
      </c>
      <c r="G424" s="746"/>
      <c r="H424" s="746" t="s">
        <v>3007</v>
      </c>
      <c r="I424" s="746"/>
      <c r="J424" s="747"/>
      <c r="K424" s="744"/>
      <c r="M424" s="62" t="e">
        <f>IF(#REF!&gt;6,3,5)</f>
        <v>#REF!</v>
      </c>
    </row>
    <row r="425" spans="1:13">
      <c r="A425" s="730"/>
      <c r="B425" s="730"/>
      <c r="C425" s="748"/>
      <c r="D425" s="748"/>
      <c r="E425" s="748"/>
      <c r="F425" s="62"/>
      <c r="G425" s="748"/>
      <c r="H425" s="748"/>
      <c r="I425" s="748"/>
      <c r="J425" s="748"/>
      <c r="K425" s="749"/>
    </row>
    <row r="426" spans="1:13" ht="17.25">
      <c r="A426" s="730"/>
      <c r="B426" s="750" t="s">
        <v>4497</v>
      </c>
      <c r="C426" s="748"/>
      <c r="D426" s="748"/>
      <c r="E426" s="748"/>
      <c r="F426" s="62"/>
      <c r="G426" s="748"/>
      <c r="H426" s="748"/>
      <c r="I426" s="748">
        <f>8405000+106113000+40000000</f>
        <v>154518000</v>
      </c>
      <c r="J426" s="748"/>
      <c r="K426" s="749"/>
      <c r="M426" s="62" t="e">
        <f>IF(#REF!&gt;6,3,5)</f>
        <v>#REF!</v>
      </c>
    </row>
    <row r="427" spans="1:13">
      <c r="A427" s="738"/>
      <c r="B427" s="738" t="s">
        <v>1684</v>
      </c>
      <c r="C427" s="739">
        <f t="shared" ref="C427:I427" si="33">SUM(C404:C426)</f>
        <v>156250000</v>
      </c>
      <c r="D427" s="739">
        <f t="shared" si="33"/>
        <v>339400000</v>
      </c>
      <c r="E427" s="739">
        <f t="shared" si="33"/>
        <v>339400000</v>
      </c>
      <c r="F427" s="739">
        <f t="shared" si="33"/>
        <v>835050000</v>
      </c>
      <c r="G427" s="739">
        <f>SUM(G404:G426)</f>
        <v>55143710</v>
      </c>
      <c r="H427" s="739">
        <f t="shared" si="33"/>
        <v>187200000</v>
      </c>
      <c r="I427" s="739">
        <f t="shared" si="33"/>
        <v>333179480</v>
      </c>
      <c r="J427" s="739"/>
      <c r="K427" s="740"/>
      <c r="M427" s="62" t="e">
        <f>IF(#REF!&gt;6,3,5)</f>
        <v>#REF!</v>
      </c>
    </row>
    <row r="428" spans="1:13" ht="15">
      <c r="C428" s="77"/>
      <c r="D428" s="78" t="s">
        <v>5434</v>
      </c>
      <c r="J428" s="584"/>
      <c r="K428" s="584"/>
      <c r="M428" s="62">
        <f t="shared" si="30"/>
        <v>5</v>
      </c>
    </row>
    <row r="429" spans="1:13" ht="15">
      <c r="C429" s="77"/>
      <c r="D429" s="78" t="s">
        <v>1693</v>
      </c>
      <c r="J429" s="584"/>
      <c r="K429" s="584"/>
      <c r="M429" s="62">
        <f t="shared" si="30"/>
        <v>5</v>
      </c>
    </row>
    <row r="430" spans="1:13" ht="15">
      <c r="C430" s="79" t="s">
        <v>717</v>
      </c>
      <c r="D430" s="78" t="s">
        <v>2757</v>
      </c>
      <c r="J430" s="584"/>
      <c r="K430" s="584"/>
      <c r="M430" s="62">
        <f t="shared" si="30"/>
        <v>3</v>
      </c>
    </row>
    <row r="431" spans="1:13" ht="15.75" thickBot="1">
      <c r="C431" s="79" t="s">
        <v>718</v>
      </c>
      <c r="D431" s="78" t="s">
        <v>1307</v>
      </c>
      <c r="J431" s="584"/>
      <c r="K431" s="584"/>
      <c r="M431" s="62">
        <f t="shared" si="30"/>
        <v>3</v>
      </c>
    </row>
    <row r="432" spans="1:13" ht="15.75" thickTop="1">
      <c r="A432" s="1047" t="s">
        <v>2791</v>
      </c>
      <c r="B432" s="1049" t="s">
        <v>4126</v>
      </c>
      <c r="C432" s="1049" t="s">
        <v>854</v>
      </c>
      <c r="D432" s="1040" t="s">
        <v>4127</v>
      </c>
      <c r="E432" s="1041"/>
      <c r="F432" s="1041"/>
      <c r="G432" s="1040" t="s">
        <v>904</v>
      </c>
      <c r="H432" s="1041"/>
      <c r="I432" s="1042"/>
      <c r="J432" s="1035" t="s">
        <v>855</v>
      </c>
      <c r="K432" s="389"/>
    </row>
    <row r="433" spans="1:13" ht="26.25" thickBot="1">
      <c r="A433" s="1048"/>
      <c r="B433" s="1050"/>
      <c r="C433" s="1050"/>
      <c r="D433" s="285" t="s">
        <v>5505</v>
      </c>
      <c r="E433" s="285" t="s">
        <v>4485</v>
      </c>
      <c r="F433" s="285" t="s">
        <v>4486</v>
      </c>
      <c r="G433" s="287" t="s">
        <v>4487</v>
      </c>
      <c r="H433" s="285" t="s">
        <v>4488</v>
      </c>
      <c r="I433" s="287" t="s">
        <v>4489</v>
      </c>
      <c r="J433" s="1036"/>
      <c r="K433" s="712"/>
    </row>
    <row r="434" spans="1:13" ht="13.5" thickTop="1">
      <c r="A434" s="88">
        <f>+A431+1</f>
        <v>1</v>
      </c>
      <c r="B434" s="115" t="s">
        <v>2333</v>
      </c>
      <c r="C434" s="69">
        <v>16</v>
      </c>
      <c r="D434" s="69">
        <v>1</v>
      </c>
      <c r="E434" s="291">
        <v>1</v>
      </c>
      <c r="F434" s="69">
        <v>1</v>
      </c>
      <c r="G434" s="69">
        <v>1</v>
      </c>
      <c r="H434" s="69">
        <v>1</v>
      </c>
      <c r="I434" s="69">
        <v>1</v>
      </c>
      <c r="J434" s="713">
        <f>(VLOOKUP($C434,[2]Sheet1!$A$2:$P$18,$M434+1)/12)*12*H434</f>
        <v>677281.26084</v>
      </c>
      <c r="K434" s="711"/>
      <c r="M434" s="62">
        <f t="shared" si="30"/>
        <v>3</v>
      </c>
    </row>
    <row r="435" spans="1:13">
      <c r="A435" s="116">
        <f>+A434+1</f>
        <v>2</v>
      </c>
      <c r="B435" s="115" t="s">
        <v>2334</v>
      </c>
      <c r="C435" s="117" t="s">
        <v>2335</v>
      </c>
      <c r="D435" s="117">
        <v>7</v>
      </c>
      <c r="E435" s="292">
        <v>5</v>
      </c>
      <c r="F435" s="117">
        <v>7</v>
      </c>
      <c r="G435" s="117">
        <v>7</v>
      </c>
      <c r="H435" s="117">
        <v>7</v>
      </c>
      <c r="I435" s="117">
        <v>7</v>
      </c>
      <c r="J435" s="713">
        <v>298561</v>
      </c>
      <c r="K435" s="711"/>
      <c r="M435" s="62">
        <f t="shared" si="30"/>
        <v>3</v>
      </c>
    </row>
    <row r="436" spans="1:13">
      <c r="A436" s="118"/>
      <c r="B436" s="108" t="s">
        <v>1893</v>
      </c>
      <c r="C436" s="109"/>
      <c r="D436" s="110"/>
      <c r="E436" s="290"/>
      <c r="F436" s="110"/>
      <c r="G436" s="110"/>
      <c r="H436" s="110"/>
      <c r="I436" s="110"/>
      <c r="J436" s="713"/>
      <c r="K436" s="711"/>
      <c r="M436" s="62">
        <f t="shared" si="30"/>
        <v>5</v>
      </c>
    </row>
    <row r="437" spans="1:13">
      <c r="A437" s="88">
        <f>+A435+1</f>
        <v>3</v>
      </c>
      <c r="B437" s="69" t="s">
        <v>2446</v>
      </c>
      <c r="C437" s="69">
        <v>6</v>
      </c>
      <c r="D437" s="89">
        <v>2</v>
      </c>
      <c r="E437" s="111">
        <v>3</v>
      </c>
      <c r="F437" s="89">
        <v>2</v>
      </c>
      <c r="G437" s="89">
        <v>2</v>
      </c>
      <c r="H437" s="89">
        <v>2</v>
      </c>
      <c r="I437" s="89">
        <v>2</v>
      </c>
      <c r="J437" s="710">
        <f>(VLOOKUP($C437,[2]Sheet1!$A$2:$P$18,$M437+1)/12)*12*D437</f>
        <v>476198.75786072994</v>
      </c>
      <c r="K437" s="711"/>
      <c r="M437" s="62">
        <f t="shared" si="30"/>
        <v>5</v>
      </c>
    </row>
    <row r="438" spans="1:13">
      <c r="A438" s="88">
        <f>+A437+1</f>
        <v>4</v>
      </c>
      <c r="B438" s="69" t="s">
        <v>2447</v>
      </c>
      <c r="C438" s="69">
        <v>5</v>
      </c>
      <c r="D438" s="89">
        <v>0</v>
      </c>
      <c r="E438" s="111">
        <v>0</v>
      </c>
      <c r="F438" s="89">
        <v>0</v>
      </c>
      <c r="G438" s="89">
        <v>0</v>
      </c>
      <c r="H438" s="89">
        <v>0</v>
      </c>
      <c r="I438" s="89">
        <v>0</v>
      </c>
      <c r="J438" s="710">
        <f>(VLOOKUP($C438,[2]Sheet1!$A$2:$P$18,$M438+1)/12)*12*D438</f>
        <v>0</v>
      </c>
      <c r="K438" s="711"/>
      <c r="M438" s="62">
        <f t="shared" si="30"/>
        <v>5</v>
      </c>
    </row>
    <row r="439" spans="1:13">
      <c r="A439" s="88">
        <f t="shared" ref="A439:A482" si="34">+A438+1</f>
        <v>5</v>
      </c>
      <c r="B439" s="69" t="s">
        <v>3770</v>
      </c>
      <c r="C439" s="69">
        <v>4</v>
      </c>
      <c r="D439" s="89">
        <v>0</v>
      </c>
      <c r="E439" s="111">
        <v>0</v>
      </c>
      <c r="F439" s="89">
        <v>0</v>
      </c>
      <c r="G439" s="89">
        <v>0</v>
      </c>
      <c r="H439" s="89">
        <v>0</v>
      </c>
      <c r="I439" s="89">
        <v>0</v>
      </c>
      <c r="J439" s="710">
        <f>(VLOOKUP($C439,[2]Sheet1!$A$2:$P$18,$M439+1)/12)*12*D439</f>
        <v>0</v>
      </c>
      <c r="K439" s="711"/>
      <c r="M439" s="62">
        <f t="shared" si="30"/>
        <v>5</v>
      </c>
    </row>
    <row r="440" spans="1:13">
      <c r="A440" s="88">
        <f t="shared" si="34"/>
        <v>6</v>
      </c>
      <c r="B440" s="69" t="s">
        <v>3662</v>
      </c>
      <c r="C440" s="69">
        <v>3</v>
      </c>
      <c r="D440" s="89">
        <v>0</v>
      </c>
      <c r="E440" s="111">
        <v>1</v>
      </c>
      <c r="F440" s="89">
        <v>0</v>
      </c>
      <c r="G440" s="89">
        <v>0</v>
      </c>
      <c r="H440" s="89">
        <v>0</v>
      </c>
      <c r="I440" s="89">
        <v>0</v>
      </c>
      <c r="J440" s="710">
        <f>(VLOOKUP($C440,[2]Sheet1!$A$2:$P$18,$M440+1)/12)*12*D440</f>
        <v>0</v>
      </c>
      <c r="K440" s="711"/>
      <c r="M440" s="62">
        <f t="shared" si="30"/>
        <v>5</v>
      </c>
    </row>
    <row r="441" spans="1:13">
      <c r="A441" s="88">
        <f t="shared" si="34"/>
        <v>7</v>
      </c>
      <c r="B441" s="69" t="s">
        <v>3896</v>
      </c>
      <c r="C441" s="69">
        <v>6</v>
      </c>
      <c r="D441" s="89">
        <v>0</v>
      </c>
      <c r="E441" s="111">
        <v>1</v>
      </c>
      <c r="F441" s="89">
        <v>0</v>
      </c>
      <c r="G441" s="89">
        <v>0</v>
      </c>
      <c r="H441" s="89">
        <v>0</v>
      </c>
      <c r="I441" s="89">
        <v>0</v>
      </c>
      <c r="J441" s="710">
        <f>(VLOOKUP($C441,[2]Sheet1!$A$2:$P$18,$M441+1)/12)*12*D441</f>
        <v>0</v>
      </c>
      <c r="K441" s="711"/>
      <c r="M441" s="62">
        <f t="shared" si="30"/>
        <v>5</v>
      </c>
    </row>
    <row r="442" spans="1:13">
      <c r="A442" s="88">
        <f t="shared" si="34"/>
        <v>8</v>
      </c>
      <c r="B442" s="69" t="s">
        <v>2556</v>
      </c>
      <c r="C442" s="69">
        <v>3</v>
      </c>
      <c r="D442" s="89">
        <v>0</v>
      </c>
      <c r="E442" s="111">
        <v>0</v>
      </c>
      <c r="F442" s="89">
        <v>0</v>
      </c>
      <c r="G442" s="89">
        <v>0</v>
      </c>
      <c r="H442" s="89">
        <v>0</v>
      </c>
      <c r="I442" s="89">
        <v>0</v>
      </c>
      <c r="J442" s="710">
        <f>(VLOOKUP($C442,[2]Sheet1!$A$2:$P$18,$M442+1)/12)*12*D442</f>
        <v>0</v>
      </c>
      <c r="K442" s="711"/>
      <c r="M442" s="62">
        <f t="shared" si="30"/>
        <v>5</v>
      </c>
    </row>
    <row r="443" spans="1:13">
      <c r="A443" s="88">
        <f t="shared" si="34"/>
        <v>9</v>
      </c>
      <c r="B443" s="69" t="s">
        <v>2057</v>
      </c>
      <c r="C443" s="69">
        <v>4</v>
      </c>
      <c r="D443" s="89">
        <v>0</v>
      </c>
      <c r="E443" s="111">
        <v>0</v>
      </c>
      <c r="F443" s="89">
        <v>0</v>
      </c>
      <c r="G443" s="89">
        <v>0</v>
      </c>
      <c r="H443" s="89">
        <v>0</v>
      </c>
      <c r="I443" s="89">
        <v>0</v>
      </c>
      <c r="J443" s="710">
        <f>(VLOOKUP($C443,[2]Sheet1!$A$2:$P$18,$M443+1)/12)*12*D443</f>
        <v>0</v>
      </c>
      <c r="K443" s="711"/>
      <c r="M443" s="62">
        <f t="shared" si="30"/>
        <v>5</v>
      </c>
    </row>
    <row r="444" spans="1:13">
      <c r="A444" s="88">
        <f t="shared" si="34"/>
        <v>10</v>
      </c>
      <c r="B444" s="69" t="s">
        <v>2597</v>
      </c>
      <c r="C444" s="69">
        <v>3</v>
      </c>
      <c r="D444" s="89">
        <v>0</v>
      </c>
      <c r="E444" s="111">
        <v>1</v>
      </c>
      <c r="F444" s="89">
        <v>0</v>
      </c>
      <c r="G444" s="89">
        <v>0</v>
      </c>
      <c r="H444" s="89">
        <v>0</v>
      </c>
      <c r="I444" s="89">
        <v>0</v>
      </c>
      <c r="J444" s="710">
        <f>(VLOOKUP($C444,[2]Sheet1!$A$2:$P$18,$M444+1)/12)*12*D444</f>
        <v>0</v>
      </c>
      <c r="K444" s="711"/>
      <c r="M444" s="62">
        <f t="shared" ref="M444:M497" si="35">IF(C444&gt;6,3,5)</f>
        <v>5</v>
      </c>
    </row>
    <row r="445" spans="1:13">
      <c r="A445" s="88">
        <f t="shared" si="34"/>
        <v>11</v>
      </c>
      <c r="B445" s="69" t="s">
        <v>3663</v>
      </c>
      <c r="C445" s="69">
        <v>3</v>
      </c>
      <c r="D445" s="89">
        <v>0</v>
      </c>
      <c r="E445" s="111">
        <v>0</v>
      </c>
      <c r="F445" s="89">
        <v>0</v>
      </c>
      <c r="G445" s="89">
        <v>0</v>
      </c>
      <c r="H445" s="89">
        <v>0</v>
      </c>
      <c r="I445" s="89">
        <v>0</v>
      </c>
      <c r="J445" s="710">
        <f>(VLOOKUP($C445,[2]Sheet1!$A$2:$P$18,$M445+1)/12)*12*D445</f>
        <v>0</v>
      </c>
      <c r="K445" s="711"/>
      <c r="M445" s="62">
        <f t="shared" si="35"/>
        <v>5</v>
      </c>
    </row>
    <row r="446" spans="1:13">
      <c r="A446" s="88">
        <f t="shared" si="34"/>
        <v>12</v>
      </c>
      <c r="B446" s="69" t="s">
        <v>2439</v>
      </c>
      <c r="C446" s="69">
        <v>2</v>
      </c>
      <c r="D446" s="89">
        <v>0</v>
      </c>
      <c r="E446" s="111">
        <v>0</v>
      </c>
      <c r="F446" s="89">
        <v>0</v>
      </c>
      <c r="G446" s="89">
        <v>0</v>
      </c>
      <c r="H446" s="89">
        <v>0</v>
      </c>
      <c r="I446" s="89">
        <v>0</v>
      </c>
      <c r="J446" s="710">
        <f>(VLOOKUP($C446,[2]Sheet1!$A$2:$P$18,$M446+1)/12)*12*D446</f>
        <v>0</v>
      </c>
      <c r="K446" s="711"/>
      <c r="M446" s="62">
        <f t="shared" si="35"/>
        <v>5</v>
      </c>
    </row>
    <row r="447" spans="1:13">
      <c r="A447" s="88">
        <f t="shared" si="34"/>
        <v>13</v>
      </c>
      <c r="B447" s="69" t="s">
        <v>3858</v>
      </c>
      <c r="C447" s="69">
        <v>2</v>
      </c>
      <c r="D447" s="89">
        <v>0</v>
      </c>
      <c r="E447" s="111">
        <v>1</v>
      </c>
      <c r="F447" s="89">
        <v>0</v>
      </c>
      <c r="G447" s="89">
        <v>0</v>
      </c>
      <c r="H447" s="89">
        <v>1</v>
      </c>
      <c r="I447" s="89">
        <v>0</v>
      </c>
      <c r="J447" s="710">
        <f>(VLOOKUP($C447,[2]Sheet1!$A$2:$P$18,$M447+1)/12)*12*D447</f>
        <v>0</v>
      </c>
      <c r="K447" s="711"/>
      <c r="M447" s="62">
        <f t="shared" si="35"/>
        <v>5</v>
      </c>
    </row>
    <row r="448" spans="1:13">
      <c r="A448" s="88">
        <f t="shared" si="34"/>
        <v>14</v>
      </c>
      <c r="B448" s="69" t="s">
        <v>3859</v>
      </c>
      <c r="C448" s="69">
        <v>5</v>
      </c>
      <c r="D448" s="89">
        <v>0</v>
      </c>
      <c r="E448" s="111">
        <v>0</v>
      </c>
      <c r="F448" s="89">
        <v>0</v>
      </c>
      <c r="G448" s="89">
        <v>0</v>
      </c>
      <c r="H448" s="89">
        <v>0</v>
      </c>
      <c r="I448" s="89">
        <v>0</v>
      </c>
      <c r="J448" s="710">
        <f>(VLOOKUP($C448,[2]Sheet1!$A$2:$P$18,$M448+1)/12)*12*D448</f>
        <v>0</v>
      </c>
      <c r="K448" s="711"/>
      <c r="M448" s="62">
        <f t="shared" si="35"/>
        <v>5</v>
      </c>
    </row>
    <row r="449" spans="1:13">
      <c r="A449" s="88">
        <f t="shared" si="34"/>
        <v>15</v>
      </c>
      <c r="B449" s="69" t="s">
        <v>3860</v>
      </c>
      <c r="C449" s="69">
        <v>4</v>
      </c>
      <c r="D449" s="89">
        <v>0</v>
      </c>
      <c r="E449" s="111">
        <v>0</v>
      </c>
      <c r="F449" s="89">
        <v>0</v>
      </c>
      <c r="G449" s="89">
        <v>0</v>
      </c>
      <c r="H449" s="89">
        <v>0</v>
      </c>
      <c r="I449" s="89">
        <v>0</v>
      </c>
      <c r="J449" s="710">
        <f>(VLOOKUP($C449,[2]Sheet1!$A$2:$P$18,$M449+1)/12)*12*D449</f>
        <v>0</v>
      </c>
      <c r="K449" s="711"/>
      <c r="M449" s="62">
        <f t="shared" si="35"/>
        <v>5</v>
      </c>
    </row>
    <row r="450" spans="1:13">
      <c r="A450" s="88">
        <f t="shared" si="34"/>
        <v>16</v>
      </c>
      <c r="B450" s="69" t="s">
        <v>3861</v>
      </c>
      <c r="C450" s="69">
        <v>2</v>
      </c>
      <c r="D450" s="89">
        <v>0</v>
      </c>
      <c r="E450" s="111">
        <v>1</v>
      </c>
      <c r="F450" s="89">
        <v>0</v>
      </c>
      <c r="G450" s="89">
        <v>0</v>
      </c>
      <c r="H450" s="89">
        <v>1</v>
      </c>
      <c r="I450" s="89">
        <v>0</v>
      </c>
      <c r="J450" s="710">
        <f>(VLOOKUP($C450,[2]Sheet1!$A$2:$P$18,$M450+1)/12)*12*D450</f>
        <v>0</v>
      </c>
      <c r="K450" s="711"/>
      <c r="M450" s="62">
        <f t="shared" si="35"/>
        <v>5</v>
      </c>
    </row>
    <row r="451" spans="1:13">
      <c r="A451" s="88"/>
      <c r="B451" s="90" t="s">
        <v>3521</v>
      </c>
      <c r="C451" s="69"/>
      <c r="D451" s="89"/>
      <c r="E451" s="111">
        <v>0</v>
      </c>
      <c r="F451" s="89"/>
      <c r="G451" s="89"/>
      <c r="H451" s="89">
        <v>0</v>
      </c>
      <c r="I451" s="89"/>
      <c r="J451" s="710"/>
      <c r="K451" s="711"/>
      <c r="M451" s="62">
        <f t="shared" si="35"/>
        <v>5</v>
      </c>
    </row>
    <row r="452" spans="1:13">
      <c r="A452" s="88">
        <f>+A450+1</f>
        <v>17</v>
      </c>
      <c r="B452" s="69" t="s">
        <v>2344</v>
      </c>
      <c r="C452" s="69">
        <v>6</v>
      </c>
      <c r="D452" s="89">
        <v>0</v>
      </c>
      <c r="E452" s="111">
        <v>0</v>
      </c>
      <c r="F452" s="89">
        <v>0</v>
      </c>
      <c r="G452" s="89">
        <v>0</v>
      </c>
      <c r="H452" s="89">
        <v>0</v>
      </c>
      <c r="I452" s="89">
        <v>0</v>
      </c>
      <c r="J452" s="710">
        <f>(VLOOKUP($C452,[2]Sheet1!$A$2:$P$18,$M452+1)/12)*12*D452</f>
        <v>0</v>
      </c>
      <c r="K452" s="711"/>
      <c r="M452" s="62">
        <f t="shared" si="35"/>
        <v>5</v>
      </c>
    </row>
    <row r="453" spans="1:13">
      <c r="A453" s="88">
        <f t="shared" si="34"/>
        <v>18</v>
      </c>
      <c r="B453" s="69" t="s">
        <v>1251</v>
      </c>
      <c r="C453" s="69">
        <v>4</v>
      </c>
      <c r="D453" s="89">
        <v>0</v>
      </c>
      <c r="E453" s="111">
        <v>0</v>
      </c>
      <c r="F453" s="89">
        <v>0</v>
      </c>
      <c r="G453" s="89">
        <v>0</v>
      </c>
      <c r="H453" s="89">
        <v>0</v>
      </c>
      <c r="I453" s="89">
        <v>0</v>
      </c>
      <c r="J453" s="710">
        <f>(VLOOKUP($C453,[2]Sheet1!$A$2:$P$18,$M453+1)/12)*12*D453</f>
        <v>0</v>
      </c>
      <c r="K453" s="711"/>
      <c r="M453" s="62">
        <f t="shared" si="35"/>
        <v>5</v>
      </c>
    </row>
    <row r="454" spans="1:13">
      <c r="A454" s="88">
        <f t="shared" si="34"/>
        <v>19</v>
      </c>
      <c r="B454" s="69" t="s">
        <v>1252</v>
      </c>
      <c r="C454" s="69">
        <v>3</v>
      </c>
      <c r="D454" s="89">
        <v>0</v>
      </c>
      <c r="E454" s="111">
        <v>0</v>
      </c>
      <c r="F454" s="89">
        <v>0</v>
      </c>
      <c r="G454" s="89">
        <v>0</v>
      </c>
      <c r="H454" s="89">
        <v>0</v>
      </c>
      <c r="I454" s="89">
        <v>0</v>
      </c>
      <c r="J454" s="710">
        <f>(VLOOKUP($C454,[2]Sheet1!$A$2:$P$18,$M454+1)/12)*12*D454</f>
        <v>0</v>
      </c>
      <c r="K454" s="711"/>
      <c r="M454" s="62">
        <f t="shared" si="35"/>
        <v>5</v>
      </c>
    </row>
    <row r="455" spans="1:13">
      <c r="A455" s="88">
        <f t="shared" si="34"/>
        <v>20</v>
      </c>
      <c r="B455" s="69" t="s">
        <v>2556</v>
      </c>
      <c r="C455" s="69">
        <v>3</v>
      </c>
      <c r="D455" s="89">
        <v>0</v>
      </c>
      <c r="E455" s="111">
        <v>0</v>
      </c>
      <c r="F455" s="89">
        <v>0</v>
      </c>
      <c r="G455" s="89">
        <v>0</v>
      </c>
      <c r="H455" s="89">
        <v>0</v>
      </c>
      <c r="I455" s="89">
        <v>0</v>
      </c>
      <c r="J455" s="710">
        <f>(VLOOKUP($C455,[2]Sheet1!$A$2:$P$18,$M455+1)/12)*12*D455</f>
        <v>0</v>
      </c>
      <c r="K455" s="711"/>
      <c r="M455" s="62">
        <f t="shared" si="35"/>
        <v>5</v>
      </c>
    </row>
    <row r="456" spans="1:13">
      <c r="A456" s="88"/>
      <c r="B456" s="90" t="s">
        <v>1253</v>
      </c>
      <c r="C456" s="69"/>
      <c r="D456" s="89"/>
      <c r="E456" s="111">
        <v>0</v>
      </c>
      <c r="F456" s="89"/>
      <c r="G456" s="89"/>
      <c r="H456" s="89">
        <v>0</v>
      </c>
      <c r="I456" s="89"/>
      <c r="J456" s="710"/>
      <c r="K456" s="711"/>
      <c r="M456" s="62">
        <f t="shared" si="35"/>
        <v>5</v>
      </c>
    </row>
    <row r="457" spans="1:13">
      <c r="A457" s="88">
        <f>+A455+1</f>
        <v>21</v>
      </c>
      <c r="B457" s="69" t="s">
        <v>3532</v>
      </c>
      <c r="C457" s="69">
        <v>16</v>
      </c>
      <c r="D457" s="89">
        <v>1</v>
      </c>
      <c r="E457" s="111">
        <v>1</v>
      </c>
      <c r="F457" s="89">
        <v>1</v>
      </c>
      <c r="G457" s="89">
        <v>1</v>
      </c>
      <c r="H457" s="89">
        <v>1</v>
      </c>
      <c r="I457" s="89">
        <v>1</v>
      </c>
      <c r="J457" s="710">
        <f>(VLOOKUP($C457,[2]Sheet1!$A$2:$P$18,$M457+1)/12)*12*D457</f>
        <v>677281.26084</v>
      </c>
      <c r="K457" s="711"/>
      <c r="M457" s="62">
        <f t="shared" si="35"/>
        <v>3</v>
      </c>
    </row>
    <row r="458" spans="1:13">
      <c r="A458" s="88">
        <f t="shared" si="34"/>
        <v>22</v>
      </c>
      <c r="B458" s="69" t="s">
        <v>1256</v>
      </c>
      <c r="C458" s="69">
        <v>15</v>
      </c>
      <c r="D458" s="89">
        <v>1</v>
      </c>
      <c r="E458" s="111">
        <v>1</v>
      </c>
      <c r="F458" s="89">
        <v>1</v>
      </c>
      <c r="G458" s="89">
        <v>1</v>
      </c>
      <c r="H458" s="89">
        <v>1</v>
      </c>
      <c r="I458" s="89">
        <v>1</v>
      </c>
      <c r="J458" s="710">
        <f>(VLOOKUP($C458,[2]Sheet1!$A$2:$P$18,$M458+1)/12)*12*D458</f>
        <v>658331.89992</v>
      </c>
      <c r="K458" s="711"/>
      <c r="M458" s="62">
        <f t="shared" si="35"/>
        <v>3</v>
      </c>
    </row>
    <row r="459" spans="1:13">
      <c r="A459" s="88">
        <f t="shared" si="34"/>
        <v>23</v>
      </c>
      <c r="B459" s="69" t="s">
        <v>3533</v>
      </c>
      <c r="C459" s="69">
        <v>14</v>
      </c>
      <c r="D459" s="89">
        <v>1</v>
      </c>
      <c r="E459" s="111">
        <v>1</v>
      </c>
      <c r="F459" s="89">
        <v>1</v>
      </c>
      <c r="G459" s="89">
        <v>1</v>
      </c>
      <c r="H459" s="89">
        <v>1</v>
      </c>
      <c r="I459" s="89">
        <v>1</v>
      </c>
      <c r="J459" s="710">
        <f>(VLOOKUP($C459,[2]Sheet1!$A$2:$P$18,$M459+1)/12)*12*D459</f>
        <v>669099.40824000002</v>
      </c>
      <c r="K459" s="711"/>
      <c r="M459" s="62">
        <f t="shared" si="35"/>
        <v>3</v>
      </c>
    </row>
    <row r="460" spans="1:13">
      <c r="A460" s="88">
        <f t="shared" si="34"/>
        <v>24</v>
      </c>
      <c r="B460" s="69" t="s">
        <v>3862</v>
      </c>
      <c r="C460" s="69">
        <v>8</v>
      </c>
      <c r="D460" s="89">
        <v>1</v>
      </c>
      <c r="E460" s="111">
        <v>2</v>
      </c>
      <c r="F460" s="89">
        <v>1</v>
      </c>
      <c r="G460" s="89">
        <v>1</v>
      </c>
      <c r="H460" s="89">
        <v>1</v>
      </c>
      <c r="I460" s="89">
        <v>1</v>
      </c>
      <c r="J460" s="710">
        <f>(VLOOKUP($C460,[2]Sheet1!$A$2:$P$18,$M460+1)/12)*12*D460</f>
        <v>342141.27408</v>
      </c>
      <c r="K460" s="711"/>
      <c r="M460" s="62">
        <f t="shared" si="35"/>
        <v>3</v>
      </c>
    </row>
    <row r="461" spans="1:13">
      <c r="A461" s="88">
        <f t="shared" si="34"/>
        <v>25</v>
      </c>
      <c r="B461" s="69" t="s">
        <v>3963</v>
      </c>
      <c r="C461" s="69">
        <v>6</v>
      </c>
      <c r="D461" s="89">
        <v>0</v>
      </c>
      <c r="E461" s="111">
        <v>0</v>
      </c>
      <c r="F461" s="89">
        <v>0</v>
      </c>
      <c r="G461" s="89">
        <v>0</v>
      </c>
      <c r="H461" s="89">
        <v>0</v>
      </c>
      <c r="I461" s="89">
        <v>0</v>
      </c>
      <c r="J461" s="710">
        <f>(VLOOKUP($C461,[2]Sheet1!$A$2:$P$18,$M461+1)/12)*12*D461</f>
        <v>0</v>
      </c>
      <c r="K461" s="711"/>
      <c r="M461" s="62">
        <f t="shared" si="35"/>
        <v>5</v>
      </c>
    </row>
    <row r="462" spans="1:13">
      <c r="A462" s="88"/>
      <c r="B462" s="90" t="s">
        <v>3964</v>
      </c>
      <c r="C462" s="69"/>
      <c r="D462" s="89"/>
      <c r="E462" s="111"/>
      <c r="F462" s="89"/>
      <c r="G462" s="89"/>
      <c r="H462" s="89"/>
      <c r="I462" s="89"/>
      <c r="J462" s="710"/>
      <c r="K462" s="711"/>
      <c r="M462" s="62">
        <f t="shared" si="35"/>
        <v>5</v>
      </c>
    </row>
    <row r="463" spans="1:13">
      <c r="A463" s="88">
        <f>+A461+1</f>
        <v>26</v>
      </c>
      <c r="B463" s="69" t="s">
        <v>3532</v>
      </c>
      <c r="C463" s="69">
        <v>16</v>
      </c>
      <c r="D463" s="89">
        <v>1</v>
      </c>
      <c r="E463" s="293">
        <v>2</v>
      </c>
      <c r="F463" s="89">
        <v>1</v>
      </c>
      <c r="G463" s="89">
        <v>1</v>
      </c>
      <c r="H463" s="91">
        <v>1</v>
      </c>
      <c r="I463" s="89">
        <v>1</v>
      </c>
      <c r="J463" s="710">
        <f>(VLOOKUP($C463,[2]Sheet1!$A$2:$P$18,$M463+1)/12)*12*D463</f>
        <v>677281.26084</v>
      </c>
      <c r="K463" s="711"/>
      <c r="M463" s="62">
        <f t="shared" si="35"/>
        <v>3</v>
      </c>
    </row>
    <row r="464" spans="1:13">
      <c r="A464" s="88">
        <f t="shared" si="34"/>
        <v>27</v>
      </c>
      <c r="B464" s="69" t="s">
        <v>1256</v>
      </c>
      <c r="C464" s="69">
        <v>15</v>
      </c>
      <c r="D464" s="89">
        <v>1</v>
      </c>
      <c r="E464" s="293">
        <v>2</v>
      </c>
      <c r="F464" s="89">
        <v>1</v>
      </c>
      <c r="G464" s="89">
        <v>1</v>
      </c>
      <c r="H464" s="91">
        <v>1</v>
      </c>
      <c r="I464" s="89">
        <v>1</v>
      </c>
      <c r="J464" s="710">
        <f>(VLOOKUP($C464,[2]Sheet1!$A$2:$P$18,$M464+1)/12)*12*D464</f>
        <v>658331.89992</v>
      </c>
      <c r="K464" s="711"/>
      <c r="M464" s="62">
        <f t="shared" si="35"/>
        <v>3</v>
      </c>
    </row>
    <row r="465" spans="1:13">
      <c r="A465" s="88">
        <f t="shared" si="34"/>
        <v>28</v>
      </c>
      <c r="B465" s="69" t="s">
        <v>3533</v>
      </c>
      <c r="C465" s="69">
        <v>14</v>
      </c>
      <c r="D465" s="89">
        <v>0</v>
      </c>
      <c r="E465" s="293">
        <v>0</v>
      </c>
      <c r="F465" s="89">
        <v>0</v>
      </c>
      <c r="G465" s="89">
        <v>0</v>
      </c>
      <c r="H465" s="91">
        <v>0</v>
      </c>
      <c r="I465" s="89">
        <v>0</v>
      </c>
      <c r="J465" s="710">
        <f>(VLOOKUP($C465,[2]Sheet1!$A$2:$P$18,$M465+1)/12)*12*D465</f>
        <v>0</v>
      </c>
      <c r="K465" s="711"/>
      <c r="M465" s="62">
        <f t="shared" si="35"/>
        <v>3</v>
      </c>
    </row>
    <row r="466" spans="1:13">
      <c r="A466" s="88">
        <f t="shared" si="34"/>
        <v>29</v>
      </c>
      <c r="B466" s="69" t="s">
        <v>3965</v>
      </c>
      <c r="C466" s="69">
        <v>8</v>
      </c>
      <c r="D466" s="89">
        <v>0</v>
      </c>
      <c r="E466" s="111">
        <v>0</v>
      </c>
      <c r="F466" s="89">
        <v>0</v>
      </c>
      <c r="G466" s="89">
        <v>0</v>
      </c>
      <c r="H466" s="89">
        <v>0</v>
      </c>
      <c r="I466" s="89">
        <v>0</v>
      </c>
      <c r="J466" s="710">
        <f>(VLOOKUP($C466,[2]Sheet1!$A$2:$P$18,$M466+1)/12)*12*D466</f>
        <v>0</v>
      </c>
      <c r="K466" s="711"/>
      <c r="M466" s="62">
        <f t="shared" si="35"/>
        <v>3</v>
      </c>
    </row>
    <row r="467" spans="1:13">
      <c r="A467" s="88"/>
      <c r="B467" s="90" t="s">
        <v>3598</v>
      </c>
      <c r="C467" s="69"/>
      <c r="D467" s="89"/>
      <c r="E467" s="111"/>
      <c r="F467" s="89"/>
      <c r="G467" s="89"/>
      <c r="H467" s="89"/>
      <c r="I467" s="89"/>
      <c r="J467" s="710"/>
      <c r="K467" s="711"/>
      <c r="M467" s="62">
        <f t="shared" si="35"/>
        <v>5</v>
      </c>
    </row>
    <row r="468" spans="1:13">
      <c r="A468" s="88">
        <f>+A466+1</f>
        <v>30</v>
      </c>
      <c r="B468" s="69" t="s">
        <v>3532</v>
      </c>
      <c r="C468" s="69">
        <v>16</v>
      </c>
      <c r="D468" s="89">
        <v>1</v>
      </c>
      <c r="E468" s="293">
        <v>1</v>
      </c>
      <c r="F468" s="89">
        <v>1</v>
      </c>
      <c r="G468" s="89">
        <v>1</v>
      </c>
      <c r="H468" s="91">
        <v>1</v>
      </c>
      <c r="I468" s="89">
        <v>1</v>
      </c>
      <c r="J468" s="710">
        <f>(VLOOKUP($C468,[2]Sheet1!$A$2:$P$18,$M468+1)/12)*12*D468</f>
        <v>677281.26084</v>
      </c>
      <c r="K468" s="711"/>
      <c r="M468" s="62">
        <f t="shared" si="35"/>
        <v>3</v>
      </c>
    </row>
    <row r="469" spans="1:13">
      <c r="A469" s="88">
        <f t="shared" si="34"/>
        <v>31</v>
      </c>
      <c r="B469" s="69" t="s">
        <v>1256</v>
      </c>
      <c r="C469" s="69">
        <v>15</v>
      </c>
      <c r="D469" s="89">
        <v>1</v>
      </c>
      <c r="E469" s="111">
        <v>1</v>
      </c>
      <c r="F469" s="89">
        <v>1</v>
      </c>
      <c r="G469" s="89">
        <v>1</v>
      </c>
      <c r="H469" s="89">
        <v>1</v>
      </c>
      <c r="I469" s="89">
        <v>1</v>
      </c>
      <c r="J469" s="710">
        <f>(VLOOKUP($C469,[2]Sheet1!$A$2:$P$18,$M469+1)/12)*12*D469</f>
        <v>658331.89992</v>
      </c>
      <c r="K469" s="711"/>
      <c r="M469" s="62">
        <f t="shared" si="35"/>
        <v>3</v>
      </c>
    </row>
    <row r="470" spans="1:13">
      <c r="A470" s="88">
        <f t="shared" si="34"/>
        <v>32</v>
      </c>
      <c r="B470" s="69" t="s">
        <v>3533</v>
      </c>
      <c r="C470" s="69">
        <v>14</v>
      </c>
      <c r="D470" s="89">
        <v>1</v>
      </c>
      <c r="E470" s="111">
        <v>1</v>
      </c>
      <c r="F470" s="89">
        <v>1</v>
      </c>
      <c r="G470" s="89">
        <v>1</v>
      </c>
      <c r="H470" s="89">
        <v>1</v>
      </c>
      <c r="I470" s="89">
        <v>1</v>
      </c>
      <c r="J470" s="710">
        <f>(VLOOKUP($C470,[2]Sheet1!$A$2:$P$18,$M470+1)/12)*12*D470</f>
        <v>669099.40824000002</v>
      </c>
      <c r="K470" s="711"/>
      <c r="M470" s="62">
        <f t="shared" si="35"/>
        <v>3</v>
      </c>
    </row>
    <row r="471" spans="1:13">
      <c r="A471" s="88">
        <f t="shared" si="34"/>
        <v>33</v>
      </c>
      <c r="B471" s="69" t="s">
        <v>3966</v>
      </c>
      <c r="C471" s="69">
        <v>10</v>
      </c>
      <c r="D471" s="89">
        <v>0</v>
      </c>
      <c r="E471" s="111">
        <v>0</v>
      </c>
      <c r="F471" s="89">
        <v>0</v>
      </c>
      <c r="G471" s="89">
        <v>0</v>
      </c>
      <c r="H471" s="89">
        <v>0</v>
      </c>
      <c r="I471" s="89">
        <v>0</v>
      </c>
      <c r="J471" s="710">
        <f>(VLOOKUP($C471,[2]Sheet1!$A$2:$P$18,$M471+1)/12)*12*D471</f>
        <v>0</v>
      </c>
      <c r="K471" s="711"/>
      <c r="M471" s="62">
        <f t="shared" si="35"/>
        <v>3</v>
      </c>
    </row>
    <row r="472" spans="1:13">
      <c r="A472" s="88">
        <f>+A471+1</f>
        <v>34</v>
      </c>
      <c r="B472" s="69" t="s">
        <v>4087</v>
      </c>
      <c r="C472" s="69">
        <v>8</v>
      </c>
      <c r="D472" s="89">
        <v>0</v>
      </c>
      <c r="E472" s="111">
        <v>0</v>
      </c>
      <c r="F472" s="89">
        <v>0</v>
      </c>
      <c r="G472" s="89">
        <v>0</v>
      </c>
      <c r="H472" s="89">
        <v>0</v>
      </c>
      <c r="I472" s="89">
        <v>0</v>
      </c>
      <c r="J472" s="710">
        <f>(VLOOKUP($C472,[2]Sheet1!$A$2:$P$18,$M472+1)/12)*12*D472</f>
        <v>0</v>
      </c>
      <c r="K472" s="711"/>
      <c r="M472" s="62">
        <f t="shared" si="35"/>
        <v>3</v>
      </c>
    </row>
    <row r="473" spans="1:13">
      <c r="A473" s="88">
        <f>+A472+1</f>
        <v>35</v>
      </c>
      <c r="B473" s="69" t="s">
        <v>1157</v>
      </c>
      <c r="C473" s="69">
        <v>12</v>
      </c>
      <c r="D473" s="89">
        <v>0</v>
      </c>
      <c r="E473" s="111">
        <v>0</v>
      </c>
      <c r="F473" s="89">
        <v>0</v>
      </c>
      <c r="G473" s="89">
        <v>0</v>
      </c>
      <c r="H473" s="89">
        <v>0</v>
      </c>
      <c r="I473" s="89">
        <v>0</v>
      </c>
      <c r="J473" s="710">
        <f>(VLOOKUP($C473,[2]Sheet1!$A$2:$P$18,$M473+1)/12)*12*D473</f>
        <v>0</v>
      </c>
      <c r="K473" s="711"/>
      <c r="M473" s="62">
        <f t="shared" si="35"/>
        <v>3</v>
      </c>
    </row>
    <row r="474" spans="1:13">
      <c r="A474" s="88"/>
      <c r="B474" s="90" t="s">
        <v>1158</v>
      </c>
      <c r="C474" s="69"/>
      <c r="D474" s="89"/>
      <c r="E474" s="111"/>
      <c r="F474" s="89"/>
      <c r="G474" s="89"/>
      <c r="H474" s="89"/>
      <c r="I474" s="89"/>
      <c r="J474" s="710"/>
      <c r="K474" s="711"/>
      <c r="M474" s="62">
        <f t="shared" si="35"/>
        <v>5</v>
      </c>
    </row>
    <row r="475" spans="1:13">
      <c r="A475" s="88">
        <f>+A473+1</f>
        <v>36</v>
      </c>
      <c r="B475" s="69" t="s">
        <v>1159</v>
      </c>
      <c r="C475" s="69">
        <v>14</v>
      </c>
      <c r="D475" s="89">
        <v>1</v>
      </c>
      <c r="E475" s="293">
        <v>1</v>
      </c>
      <c r="F475" s="89">
        <v>1</v>
      </c>
      <c r="G475" s="89">
        <v>1</v>
      </c>
      <c r="H475" s="91">
        <v>1</v>
      </c>
      <c r="I475" s="89">
        <v>1</v>
      </c>
      <c r="J475" s="710">
        <f>(VLOOKUP($C475,[2]Sheet1!$A$2:$P$18,$M475+1)/12)*12*D475</f>
        <v>669099.40824000002</v>
      </c>
      <c r="K475" s="711"/>
      <c r="M475" s="62">
        <f t="shared" si="35"/>
        <v>3</v>
      </c>
    </row>
    <row r="476" spans="1:13">
      <c r="A476" s="88">
        <f t="shared" si="34"/>
        <v>37</v>
      </c>
      <c r="B476" s="69" t="s">
        <v>4077</v>
      </c>
      <c r="C476" s="69">
        <v>14</v>
      </c>
      <c r="D476" s="89">
        <v>1</v>
      </c>
      <c r="E476" s="293">
        <v>1</v>
      </c>
      <c r="F476" s="89">
        <v>1</v>
      </c>
      <c r="G476" s="89">
        <v>1</v>
      </c>
      <c r="H476" s="91">
        <v>1</v>
      </c>
      <c r="I476" s="89">
        <v>1</v>
      </c>
      <c r="J476" s="710">
        <f>(VLOOKUP($C476,[2]Sheet1!$A$2:$P$18,$M476+1)/12)*12*D476</f>
        <v>669099.40824000002</v>
      </c>
      <c r="K476" s="711"/>
      <c r="M476" s="62">
        <f t="shared" si="35"/>
        <v>3</v>
      </c>
    </row>
    <row r="477" spans="1:13">
      <c r="A477" s="88">
        <f>+A476+1</f>
        <v>38</v>
      </c>
      <c r="B477" s="69" t="s">
        <v>4078</v>
      </c>
      <c r="C477" s="69">
        <v>14</v>
      </c>
      <c r="D477" s="89">
        <v>1</v>
      </c>
      <c r="E477" s="111">
        <v>1</v>
      </c>
      <c r="F477" s="89">
        <v>1</v>
      </c>
      <c r="G477" s="89">
        <v>1</v>
      </c>
      <c r="H477" s="89">
        <v>1</v>
      </c>
      <c r="I477" s="89">
        <v>1</v>
      </c>
      <c r="J477" s="710">
        <f>(VLOOKUP($C477,[2]Sheet1!$A$2:$P$18,$M477+1)/12)*12*D477</f>
        <v>669099.40824000002</v>
      </c>
      <c r="K477" s="711"/>
      <c r="M477" s="62">
        <f t="shared" si="35"/>
        <v>3</v>
      </c>
    </row>
    <row r="478" spans="1:13">
      <c r="A478" s="88">
        <f t="shared" si="34"/>
        <v>39</v>
      </c>
      <c r="B478" s="69" t="s">
        <v>1223</v>
      </c>
      <c r="C478" s="69">
        <v>14</v>
      </c>
      <c r="D478" s="89">
        <v>1</v>
      </c>
      <c r="E478" s="111">
        <v>1</v>
      </c>
      <c r="F478" s="89">
        <v>1</v>
      </c>
      <c r="G478" s="89">
        <v>1</v>
      </c>
      <c r="H478" s="89">
        <v>1</v>
      </c>
      <c r="I478" s="89">
        <v>1</v>
      </c>
      <c r="J478" s="710">
        <f>(VLOOKUP($C478,[2]Sheet1!$A$2:$P$18,$M478+1)/12)*12*D478</f>
        <v>669099.40824000002</v>
      </c>
      <c r="K478" s="711"/>
      <c r="M478" s="62">
        <f t="shared" si="35"/>
        <v>3</v>
      </c>
    </row>
    <row r="479" spans="1:13">
      <c r="A479" s="88"/>
      <c r="B479" s="90" t="s">
        <v>1067</v>
      </c>
      <c r="C479" s="69"/>
      <c r="D479" s="89"/>
      <c r="E479" s="111"/>
      <c r="F479" s="89"/>
      <c r="G479" s="89"/>
      <c r="H479" s="89"/>
      <c r="I479" s="89"/>
      <c r="J479" s="710"/>
      <c r="K479" s="711"/>
      <c r="M479" s="62">
        <f t="shared" si="35"/>
        <v>5</v>
      </c>
    </row>
    <row r="480" spans="1:13">
      <c r="A480" s="88">
        <f>+A478+1</f>
        <v>40</v>
      </c>
      <c r="B480" s="69" t="s">
        <v>3532</v>
      </c>
      <c r="C480" s="69">
        <v>16</v>
      </c>
      <c r="D480" s="89">
        <v>1</v>
      </c>
      <c r="E480" s="294">
        <v>1</v>
      </c>
      <c r="F480" s="89">
        <v>1</v>
      </c>
      <c r="G480" s="89">
        <v>1</v>
      </c>
      <c r="H480" s="119">
        <v>1</v>
      </c>
      <c r="I480" s="89">
        <v>1</v>
      </c>
      <c r="J480" s="710">
        <f>(VLOOKUP($C480,[2]Sheet1!$A$2:$P$18,$M480+1)/12)*12*D480</f>
        <v>677281.26084</v>
      </c>
      <c r="K480" s="711"/>
      <c r="M480" s="62">
        <f t="shared" si="35"/>
        <v>3</v>
      </c>
    </row>
    <row r="481" spans="1:13">
      <c r="A481" s="88">
        <f t="shared" si="34"/>
        <v>41</v>
      </c>
      <c r="B481" s="69" t="s">
        <v>1256</v>
      </c>
      <c r="C481" s="69">
        <v>15</v>
      </c>
      <c r="D481" s="89">
        <v>1</v>
      </c>
      <c r="E481" s="111">
        <v>1</v>
      </c>
      <c r="F481" s="89">
        <v>1</v>
      </c>
      <c r="G481" s="89">
        <v>1</v>
      </c>
      <c r="H481" s="89">
        <v>1</v>
      </c>
      <c r="I481" s="89">
        <v>1</v>
      </c>
      <c r="J481" s="710">
        <f>(VLOOKUP($C481,[2]Sheet1!$A$2:$P$18,$M481+1)/12)*12*D481</f>
        <v>658331.89992</v>
      </c>
      <c r="K481" s="711"/>
      <c r="M481" s="62">
        <f t="shared" si="35"/>
        <v>3</v>
      </c>
    </row>
    <row r="482" spans="1:13">
      <c r="A482" s="88">
        <f t="shared" si="34"/>
        <v>42</v>
      </c>
      <c r="B482" s="69" t="s">
        <v>3533</v>
      </c>
      <c r="C482" s="69">
        <v>14</v>
      </c>
      <c r="D482" s="89">
        <v>1</v>
      </c>
      <c r="E482" s="293">
        <v>1</v>
      </c>
      <c r="F482" s="89">
        <v>1</v>
      </c>
      <c r="G482" s="89">
        <v>1</v>
      </c>
      <c r="H482" s="91">
        <v>1</v>
      </c>
      <c r="I482" s="89">
        <v>1</v>
      </c>
      <c r="J482" s="710">
        <f>(VLOOKUP($C482,[2]Sheet1!$A$2:$P$18,$M482+1)/12)*12*D482</f>
        <v>669099.40824000002</v>
      </c>
      <c r="K482" s="711"/>
      <c r="M482" s="62">
        <f t="shared" si="35"/>
        <v>3</v>
      </c>
    </row>
    <row r="483" spans="1:13">
      <c r="A483" s="88">
        <f>+A482+1</f>
        <v>43</v>
      </c>
      <c r="B483" s="69" t="s">
        <v>4075</v>
      </c>
      <c r="C483" s="69">
        <v>13</v>
      </c>
      <c r="D483" s="89">
        <v>0</v>
      </c>
      <c r="E483" s="293">
        <v>0</v>
      </c>
      <c r="F483" s="89">
        <v>0</v>
      </c>
      <c r="G483" s="89">
        <v>0</v>
      </c>
      <c r="H483" s="91">
        <v>0</v>
      </c>
      <c r="I483" s="89">
        <v>0</v>
      </c>
      <c r="J483" s="710">
        <f>(VLOOKUP($C483,[2]Sheet1!$A$2:$P$18,$M483+1)/12)*12*D483</f>
        <v>0</v>
      </c>
      <c r="K483" s="711"/>
      <c r="M483" s="62">
        <f t="shared" si="35"/>
        <v>3</v>
      </c>
    </row>
    <row r="484" spans="1:13">
      <c r="A484" s="88">
        <f>+A483+1</f>
        <v>44</v>
      </c>
      <c r="B484" s="69" t="s">
        <v>4076</v>
      </c>
      <c r="C484" s="69">
        <v>12</v>
      </c>
      <c r="D484" s="89">
        <v>0</v>
      </c>
      <c r="E484" s="293">
        <v>0</v>
      </c>
      <c r="F484" s="89">
        <v>0</v>
      </c>
      <c r="G484" s="89">
        <v>0</v>
      </c>
      <c r="H484" s="91">
        <v>0</v>
      </c>
      <c r="I484" s="89">
        <v>0</v>
      </c>
      <c r="J484" s="710">
        <f>(VLOOKUP($C484,[2]Sheet1!$A$2:$P$18,$M484+1)/12)*12*D484</f>
        <v>0</v>
      </c>
      <c r="K484" s="711"/>
      <c r="M484" s="62">
        <f t="shared" si="35"/>
        <v>3</v>
      </c>
    </row>
    <row r="485" spans="1:13">
      <c r="A485" s="88">
        <f>+A484+1</f>
        <v>45</v>
      </c>
      <c r="B485" s="69" t="s">
        <v>3959</v>
      </c>
      <c r="C485" s="69">
        <v>8</v>
      </c>
      <c r="D485" s="89">
        <v>0</v>
      </c>
      <c r="E485" s="293">
        <v>0</v>
      </c>
      <c r="F485" s="89">
        <v>0</v>
      </c>
      <c r="G485" s="89">
        <v>0</v>
      </c>
      <c r="H485" s="91">
        <v>0</v>
      </c>
      <c r="I485" s="89">
        <v>0</v>
      </c>
      <c r="J485" s="710">
        <f>(VLOOKUP($C485,[2]Sheet1!$A$2:$P$18,$M485+1)/12)*12*D485</f>
        <v>0</v>
      </c>
      <c r="K485" s="711"/>
      <c r="M485" s="62">
        <f t="shared" si="35"/>
        <v>3</v>
      </c>
    </row>
    <row r="486" spans="1:13">
      <c r="A486" s="88">
        <f>+A485+1</f>
        <v>46</v>
      </c>
      <c r="B486" s="69" t="s">
        <v>3859</v>
      </c>
      <c r="C486" s="69">
        <v>5</v>
      </c>
      <c r="D486" s="89">
        <v>0</v>
      </c>
      <c r="E486" s="111">
        <v>0</v>
      </c>
      <c r="F486" s="89">
        <v>0</v>
      </c>
      <c r="G486" s="89">
        <v>0</v>
      </c>
      <c r="H486" s="89">
        <v>0</v>
      </c>
      <c r="I486" s="89">
        <v>0</v>
      </c>
      <c r="J486" s="710">
        <f>(VLOOKUP($C486,[2]Sheet1!$A$2:$P$18,$M486+1)/12)*12*D486</f>
        <v>0</v>
      </c>
      <c r="K486" s="711"/>
      <c r="M486" s="62">
        <f t="shared" si="35"/>
        <v>5</v>
      </c>
    </row>
    <row r="487" spans="1:13">
      <c r="A487" s="88">
        <f>+A486+1</f>
        <v>47</v>
      </c>
      <c r="B487" s="69" t="s">
        <v>3860</v>
      </c>
      <c r="C487" s="69">
        <v>4</v>
      </c>
      <c r="D487" s="89">
        <v>0</v>
      </c>
      <c r="E487" s="111">
        <v>0</v>
      </c>
      <c r="F487" s="89">
        <v>0</v>
      </c>
      <c r="G487" s="89">
        <v>0</v>
      </c>
      <c r="H487" s="89">
        <v>0</v>
      </c>
      <c r="I487" s="89">
        <v>0</v>
      </c>
      <c r="J487" s="710">
        <f>(VLOOKUP($C487,[2]Sheet1!$A$2:$P$18,$M487+1)/12)*12*D487</f>
        <v>0</v>
      </c>
      <c r="K487" s="711"/>
      <c r="M487" s="62">
        <f t="shared" si="35"/>
        <v>5</v>
      </c>
    </row>
    <row r="488" spans="1:13">
      <c r="A488" s="92"/>
      <c r="B488" s="93" t="s">
        <v>1684</v>
      </c>
      <c r="C488" s="94"/>
      <c r="D488" s="95">
        <f t="shared" ref="D488:J488" si="36">SUM(D437:D487)</f>
        <v>18</v>
      </c>
      <c r="E488" s="279">
        <f t="shared" si="36"/>
        <v>27</v>
      </c>
      <c r="F488" s="279">
        <f t="shared" si="36"/>
        <v>18</v>
      </c>
      <c r="G488" s="95">
        <f>SUM(G437:G487)</f>
        <v>18</v>
      </c>
      <c r="H488" s="95">
        <f t="shared" si="36"/>
        <v>20</v>
      </c>
      <c r="I488" s="95">
        <f t="shared" si="36"/>
        <v>18</v>
      </c>
      <c r="J488" s="96">
        <f t="shared" si="36"/>
        <v>10844488.532660728</v>
      </c>
      <c r="K488" s="376"/>
      <c r="M488" s="62">
        <f t="shared" si="35"/>
        <v>5</v>
      </c>
    </row>
    <row r="489" spans="1:13">
      <c r="A489" s="88"/>
      <c r="B489" s="97"/>
      <c r="C489" s="69"/>
      <c r="D489" s="98"/>
      <c r="E489" s="98"/>
      <c r="F489" s="126"/>
      <c r="G489" s="98"/>
      <c r="H489" s="98"/>
      <c r="I489" s="98"/>
      <c r="J489" s="713"/>
      <c r="K489" s="711"/>
      <c r="M489" s="62">
        <f t="shared" si="35"/>
        <v>5</v>
      </c>
    </row>
    <row r="490" spans="1:13">
      <c r="A490" s="88"/>
      <c r="B490" s="90" t="s">
        <v>1199</v>
      </c>
      <c r="C490" s="97"/>
      <c r="D490" s="98"/>
      <c r="E490" s="98"/>
      <c r="F490" s="98"/>
      <c r="G490" s="240" t="s">
        <v>243</v>
      </c>
      <c r="H490" s="240" t="s">
        <v>4130</v>
      </c>
      <c r="I490" s="240" t="s">
        <v>4202</v>
      </c>
      <c r="J490" s="241" t="s">
        <v>4200</v>
      </c>
      <c r="K490" s="375"/>
      <c r="M490" s="62">
        <f t="shared" si="35"/>
        <v>5</v>
      </c>
    </row>
    <row r="491" spans="1:13">
      <c r="A491" s="88">
        <v>1</v>
      </c>
      <c r="B491" s="69" t="s">
        <v>2786</v>
      </c>
      <c r="C491" s="69"/>
      <c r="D491" s="89"/>
      <c r="E491" s="89"/>
      <c r="F491" s="89"/>
      <c r="G491" s="100">
        <f>J488*0.2</f>
        <v>2168897.7065321459</v>
      </c>
      <c r="H491" s="100">
        <f>G491*1.02</f>
        <v>2212275.6606627889</v>
      </c>
      <c r="I491" s="100">
        <f>H491*1.02</f>
        <v>2256521.1738760448</v>
      </c>
      <c r="J491" s="100">
        <f>SUM(G491:I491)</f>
        <v>6637694.5410709791</v>
      </c>
      <c r="K491" s="114"/>
      <c r="M491" s="62">
        <f t="shared" si="35"/>
        <v>5</v>
      </c>
    </row>
    <row r="492" spans="1:13">
      <c r="A492" s="88">
        <f>+A491+1</f>
        <v>2</v>
      </c>
      <c r="B492" s="69" t="s">
        <v>1342</v>
      </c>
      <c r="C492" s="69"/>
      <c r="D492" s="89"/>
      <c r="E492" s="89"/>
      <c r="F492" s="89"/>
      <c r="G492" s="100">
        <f>G491/2</f>
        <v>1084448.8532660729</v>
      </c>
      <c r="H492" s="100">
        <f>G492*1.02</f>
        <v>1106137.8303313944</v>
      </c>
      <c r="I492" s="100">
        <f>H492*1.02</f>
        <v>1128260.5869380224</v>
      </c>
      <c r="J492" s="100">
        <f>SUM(G492:I492)</f>
        <v>3318847.2705354895</v>
      </c>
      <c r="K492" s="114"/>
      <c r="M492" s="62">
        <f t="shared" si="35"/>
        <v>5</v>
      </c>
    </row>
    <row r="493" spans="1:13">
      <c r="A493" s="88"/>
      <c r="B493" s="69"/>
      <c r="C493" s="69"/>
      <c r="D493" s="89"/>
      <c r="E493" s="89"/>
      <c r="F493" s="89"/>
      <c r="G493" s="100"/>
      <c r="H493" s="100"/>
      <c r="I493" s="100"/>
      <c r="J493" s="100"/>
      <c r="K493" s="114"/>
      <c r="M493" s="62">
        <f t="shared" si="35"/>
        <v>5</v>
      </c>
    </row>
    <row r="494" spans="1:13">
      <c r="A494" s="88"/>
      <c r="B494" s="69"/>
      <c r="C494" s="69"/>
      <c r="D494" s="89"/>
      <c r="E494" s="89"/>
      <c r="F494" s="89"/>
      <c r="G494" s="111"/>
      <c r="H494" s="111"/>
      <c r="I494" s="111"/>
      <c r="J494" s="111"/>
      <c r="K494" s="114"/>
      <c r="M494" s="62">
        <f t="shared" si="35"/>
        <v>5</v>
      </c>
    </row>
    <row r="495" spans="1:13">
      <c r="A495" s="92"/>
      <c r="B495" s="93" t="s">
        <v>1933</v>
      </c>
      <c r="C495" s="94"/>
      <c r="D495" s="101"/>
      <c r="E495" s="101"/>
      <c r="F495" s="101"/>
      <c r="G495" s="95">
        <f>SUM(G491:G494)</f>
        <v>3253346.5597982188</v>
      </c>
      <c r="H495" s="95">
        <v>3170717.62072</v>
      </c>
      <c r="I495" s="95">
        <f>SUM(I491:I494)</f>
        <v>3384781.760814067</v>
      </c>
      <c r="J495" s="95">
        <f>SUM(J491:J494)</f>
        <v>9956541.8116064686</v>
      </c>
      <c r="K495" s="378"/>
      <c r="M495" s="62">
        <f t="shared" si="35"/>
        <v>5</v>
      </c>
    </row>
    <row r="496" spans="1:13">
      <c r="A496" s="88"/>
      <c r="B496" s="69"/>
      <c r="C496" s="69"/>
      <c r="D496" s="89"/>
      <c r="E496" s="89"/>
      <c r="F496" s="89"/>
      <c r="G496" s="89"/>
      <c r="H496" s="89"/>
      <c r="I496" s="89"/>
      <c r="J496" s="89"/>
      <c r="K496" s="114"/>
      <c r="M496" s="62">
        <f t="shared" si="35"/>
        <v>5</v>
      </c>
    </row>
    <row r="497" spans="1:13">
      <c r="A497" s="88"/>
      <c r="B497" s="69"/>
      <c r="C497" s="69"/>
      <c r="D497" s="89"/>
      <c r="E497" s="89"/>
      <c r="F497" s="89"/>
      <c r="G497" s="89"/>
      <c r="H497" s="89"/>
      <c r="I497" s="89"/>
      <c r="J497" s="89"/>
      <c r="K497" s="114"/>
      <c r="M497" s="62">
        <f t="shared" si="35"/>
        <v>5</v>
      </c>
    </row>
    <row r="498" spans="1:13">
      <c r="A498" s="88">
        <v>1</v>
      </c>
      <c r="B498" s="69" t="s">
        <v>1934</v>
      </c>
      <c r="C498" s="69"/>
      <c r="D498" s="89"/>
      <c r="E498" s="89"/>
      <c r="F498" s="89"/>
      <c r="G498" s="100">
        <f>G495+J488</f>
        <v>14097835.092458947</v>
      </c>
      <c r="H498" s="100">
        <f>H495+J488</f>
        <v>14015206.153380729</v>
      </c>
      <c r="I498" s="100">
        <f>I495+J488</f>
        <v>14229270.293474795</v>
      </c>
      <c r="J498" s="100">
        <f>SUM(G498:I498)</f>
        <v>42342311.539314471</v>
      </c>
      <c r="K498" s="114"/>
      <c r="M498" s="62">
        <f t="shared" ref="M498:M561" si="37">IF(C498&gt;6,3,5)</f>
        <v>5</v>
      </c>
    </row>
    <row r="499" spans="1:13">
      <c r="A499" s="88">
        <f>+A498+1</f>
        <v>2</v>
      </c>
      <c r="B499" s="69" t="s">
        <v>129</v>
      </c>
      <c r="C499" s="69"/>
      <c r="D499" s="89"/>
      <c r="E499" s="89"/>
      <c r="F499" s="89"/>
      <c r="G499" s="89">
        <f>C526</f>
        <v>6700000</v>
      </c>
      <c r="H499" s="89">
        <f>D526</f>
        <v>20000000</v>
      </c>
      <c r="I499" s="89">
        <f>E526</f>
        <v>25000000</v>
      </c>
      <c r="J499" s="100">
        <f>SUM(G499:I499)</f>
        <v>51700000</v>
      </c>
      <c r="K499" s="114"/>
      <c r="M499" s="62">
        <f t="shared" si="37"/>
        <v>5</v>
      </c>
    </row>
    <row r="500" spans="1:13">
      <c r="A500" s="88"/>
      <c r="B500" s="69"/>
      <c r="C500" s="69"/>
      <c r="D500" s="89"/>
      <c r="E500" s="89"/>
      <c r="F500" s="89"/>
      <c r="G500" s="89"/>
      <c r="H500" s="89"/>
      <c r="I500" s="89"/>
      <c r="J500" s="89"/>
      <c r="K500" s="114"/>
      <c r="M500" s="62">
        <f t="shared" si="37"/>
        <v>5</v>
      </c>
    </row>
    <row r="501" spans="1:13" ht="13.5" thickBot="1">
      <c r="A501" s="102"/>
      <c r="B501" s="103" t="s">
        <v>2241</v>
      </c>
      <c r="C501" s="104"/>
      <c r="D501" s="105"/>
      <c r="E501" s="105"/>
      <c r="F501" s="105"/>
      <c r="G501" s="106">
        <f>SUM(G498:G500)</f>
        <v>20797835.092458948</v>
      </c>
      <c r="H501" s="106">
        <v>20233776.407919999</v>
      </c>
      <c r="I501" s="106">
        <f>SUM(I498:I500)</f>
        <v>39229270.293474793</v>
      </c>
      <c r="J501" s="106">
        <f>SUM(J498:J500)</f>
        <v>94042311.539314479</v>
      </c>
      <c r="K501" s="378"/>
      <c r="M501" s="62">
        <f t="shared" si="37"/>
        <v>5</v>
      </c>
    </row>
    <row r="502" spans="1:13" ht="15.75" thickTop="1">
      <c r="A502" s="113"/>
      <c r="B502" s="113"/>
      <c r="C502" s="77"/>
      <c r="D502" s="78" t="s">
        <v>5434</v>
      </c>
      <c r="E502" s="114"/>
      <c r="F502" s="114"/>
      <c r="G502" s="114"/>
      <c r="H502" s="114"/>
      <c r="I502" s="114"/>
      <c r="J502" s="584"/>
      <c r="K502" s="584"/>
      <c r="M502" s="62">
        <f t="shared" si="37"/>
        <v>5</v>
      </c>
    </row>
    <row r="503" spans="1:13" ht="15">
      <c r="A503" s="113"/>
      <c r="B503" s="113"/>
      <c r="C503" s="77"/>
      <c r="D503" s="78" t="s">
        <v>716</v>
      </c>
      <c r="E503" s="114"/>
      <c r="F503" s="114"/>
      <c r="G503" s="114"/>
      <c r="H503" s="114"/>
      <c r="I503" s="114"/>
      <c r="J503" s="584"/>
      <c r="K503" s="584"/>
      <c r="M503" s="62">
        <f t="shared" si="37"/>
        <v>5</v>
      </c>
    </row>
    <row r="504" spans="1:13" ht="15">
      <c r="A504" s="113"/>
      <c r="B504" s="113"/>
      <c r="C504" s="79" t="s">
        <v>717</v>
      </c>
      <c r="D504" s="78" t="s">
        <v>2757</v>
      </c>
      <c r="E504" s="114"/>
      <c r="F504" s="114"/>
      <c r="G504" s="114"/>
      <c r="H504" s="114"/>
      <c r="I504" s="114"/>
      <c r="J504" s="584"/>
      <c r="K504" s="584"/>
      <c r="M504" s="62">
        <f t="shared" si="37"/>
        <v>3</v>
      </c>
    </row>
    <row r="505" spans="1:13" ht="15">
      <c r="A505" s="113"/>
      <c r="B505" s="113"/>
      <c r="C505" s="79" t="s">
        <v>718</v>
      </c>
      <c r="D505" s="78" t="s">
        <v>1307</v>
      </c>
      <c r="E505" s="114"/>
      <c r="F505" s="114"/>
      <c r="G505" s="114"/>
      <c r="H505" s="114"/>
      <c r="I505" s="114"/>
      <c r="J505" s="584"/>
      <c r="K505" s="584"/>
      <c r="M505" s="62">
        <f t="shared" si="37"/>
        <v>3</v>
      </c>
    </row>
    <row r="506" spans="1:13" ht="15">
      <c r="A506" s="634" t="s">
        <v>1839</v>
      </c>
      <c r="B506" s="635" t="s">
        <v>903</v>
      </c>
      <c r="C506" s="1037" t="s">
        <v>4127</v>
      </c>
      <c r="D506" s="1038"/>
      <c r="E506" s="1039"/>
      <c r="F506" s="635" t="s">
        <v>1684</v>
      </c>
      <c r="G506" s="1037" t="s">
        <v>4132</v>
      </c>
      <c r="H506" s="1038"/>
      <c r="I506" s="1039"/>
      <c r="J506" s="726"/>
      <c r="K506" s="727"/>
    </row>
    <row r="507" spans="1:13">
      <c r="A507" s="636" t="s">
        <v>1620</v>
      </c>
      <c r="B507" s="637"/>
      <c r="C507" s="635" t="s">
        <v>1841</v>
      </c>
      <c r="D507" s="635" t="s">
        <v>4133</v>
      </c>
      <c r="E507" s="635" t="s">
        <v>4133</v>
      </c>
      <c r="F507" s="1056" t="s">
        <v>4200</v>
      </c>
      <c r="G507" s="634" t="s">
        <v>4135</v>
      </c>
      <c r="H507" s="1051" t="s">
        <v>4182</v>
      </c>
      <c r="I507" s="634" t="s">
        <v>4135</v>
      </c>
      <c r="J507" s="728" t="s">
        <v>4136</v>
      </c>
      <c r="K507" s="727"/>
    </row>
    <row r="508" spans="1:13" ht="12.75" customHeight="1">
      <c r="A508" s="638" t="s">
        <v>387</v>
      </c>
      <c r="B508" s="639"/>
      <c r="C508" s="638">
        <v>2015</v>
      </c>
      <c r="D508" s="638">
        <v>2016</v>
      </c>
      <c r="E508" s="638">
        <v>2017</v>
      </c>
      <c r="F508" s="1057"/>
      <c r="G508" s="638" t="s">
        <v>4304</v>
      </c>
      <c r="H508" s="1052"/>
      <c r="I508" s="638" t="s">
        <v>4303</v>
      </c>
      <c r="J508" s="639"/>
      <c r="K508" s="729"/>
    </row>
    <row r="509" spans="1:13">
      <c r="A509" s="730"/>
      <c r="B509" s="730"/>
      <c r="C509" s="751"/>
      <c r="D509" s="751"/>
      <c r="E509" s="752"/>
      <c r="F509" s="158"/>
      <c r="G509" s="751"/>
      <c r="H509" s="753"/>
      <c r="I509" s="751"/>
      <c r="J509" s="751"/>
      <c r="K509" s="754"/>
      <c r="M509" s="62" t="e">
        <f>IF(#REF!&gt;6,3,5)</f>
        <v>#REF!</v>
      </c>
    </row>
    <row r="510" spans="1:13">
      <c r="A510" s="730">
        <v>2</v>
      </c>
      <c r="B510" s="730" t="s">
        <v>1695</v>
      </c>
      <c r="C510" s="390">
        <v>1500000</v>
      </c>
      <c r="D510" s="390">
        <v>2000000</v>
      </c>
      <c r="E510" s="390">
        <v>2000000</v>
      </c>
      <c r="F510" s="288">
        <f>SUM(C510:E510)</f>
        <v>5500000</v>
      </c>
      <c r="G510" s="390">
        <v>1757792</v>
      </c>
      <c r="H510" s="390">
        <v>2000000</v>
      </c>
      <c r="I510" s="390">
        <v>1456710</v>
      </c>
      <c r="J510" s="390"/>
      <c r="K510" s="734"/>
      <c r="M510" s="62" t="e">
        <f>IF(#REF!&gt;6,3,5)</f>
        <v>#REF!</v>
      </c>
    </row>
    <row r="511" spans="1:13">
      <c r="A511" s="730">
        <f t="shared" ref="A511:A522" si="38">+A510+1</f>
        <v>3</v>
      </c>
      <c r="B511" s="730" t="s">
        <v>1696</v>
      </c>
      <c r="C511" s="390" t="s">
        <v>1386</v>
      </c>
      <c r="D511" s="390">
        <v>700000</v>
      </c>
      <c r="E511" s="390">
        <v>700000</v>
      </c>
      <c r="F511" s="288">
        <f t="shared" ref="F511:F523" si="39">SUM(C511:E511)</f>
        <v>1400000</v>
      </c>
      <c r="G511" s="390">
        <v>0</v>
      </c>
      <c r="H511" s="390" t="s">
        <v>1386</v>
      </c>
      <c r="I511" s="390">
        <v>0</v>
      </c>
      <c r="J511" s="390"/>
      <c r="K511" s="734"/>
      <c r="M511" s="62" t="e">
        <f>IF(#REF!&gt;6,3,5)</f>
        <v>#REF!</v>
      </c>
    </row>
    <row r="512" spans="1:13">
      <c r="A512" s="730">
        <f t="shared" si="38"/>
        <v>4</v>
      </c>
      <c r="B512" s="730" t="s">
        <v>1701</v>
      </c>
      <c r="C512" s="390" t="s">
        <v>1386</v>
      </c>
      <c r="D512" s="390" t="s">
        <v>1386</v>
      </c>
      <c r="E512" s="390" t="s">
        <v>1386</v>
      </c>
      <c r="F512" s="288">
        <f t="shared" si="39"/>
        <v>0</v>
      </c>
      <c r="G512" s="390"/>
      <c r="H512" s="390" t="s">
        <v>1386</v>
      </c>
      <c r="I512" s="390"/>
      <c r="J512" s="390"/>
      <c r="K512" s="734"/>
      <c r="M512" s="62" t="e">
        <f>IF(#REF!&gt;6,3,5)</f>
        <v>#REF!</v>
      </c>
    </row>
    <row r="513" spans="1:13">
      <c r="A513" s="730">
        <f t="shared" si="38"/>
        <v>5</v>
      </c>
      <c r="B513" s="730" t="s">
        <v>1702</v>
      </c>
      <c r="C513" s="390">
        <v>200000</v>
      </c>
      <c r="D513" s="390">
        <v>500000</v>
      </c>
      <c r="E513" s="390">
        <v>500000</v>
      </c>
      <c r="F513" s="288">
        <f t="shared" si="39"/>
        <v>1200000</v>
      </c>
      <c r="G513" s="390">
        <v>86660</v>
      </c>
      <c r="H513" s="390">
        <v>500000</v>
      </c>
      <c r="I513" s="390">
        <v>71950</v>
      </c>
      <c r="J513" s="390"/>
      <c r="K513" s="734"/>
      <c r="M513" s="62" t="e">
        <f>IF(#REF!&gt;6,3,5)</f>
        <v>#REF!</v>
      </c>
    </row>
    <row r="514" spans="1:13">
      <c r="A514" s="730">
        <f t="shared" si="38"/>
        <v>6</v>
      </c>
      <c r="B514" s="730" t="s">
        <v>1544</v>
      </c>
      <c r="C514" s="390">
        <v>100000</v>
      </c>
      <c r="D514" s="390">
        <v>800000</v>
      </c>
      <c r="E514" s="390">
        <v>800000</v>
      </c>
      <c r="F514" s="288">
        <f t="shared" si="39"/>
        <v>1700000</v>
      </c>
      <c r="G514" s="390">
        <v>66850</v>
      </c>
      <c r="H514" s="390">
        <v>800000</v>
      </c>
      <c r="I514" s="390">
        <v>12400</v>
      </c>
      <c r="J514" s="390"/>
      <c r="K514" s="734"/>
      <c r="M514" s="62" t="e">
        <f>IF(#REF!&gt;6,3,5)</f>
        <v>#REF!</v>
      </c>
    </row>
    <row r="515" spans="1:13">
      <c r="A515" s="730">
        <f t="shared" si="38"/>
        <v>7</v>
      </c>
      <c r="B515" s="730" t="s">
        <v>897</v>
      </c>
      <c r="C515" s="390">
        <v>200000</v>
      </c>
      <c r="D515" s="390">
        <v>1000000</v>
      </c>
      <c r="E515" s="390">
        <v>1000000</v>
      </c>
      <c r="F515" s="288">
        <f t="shared" si="39"/>
        <v>2200000</v>
      </c>
      <c r="G515" s="390"/>
      <c r="H515" s="390">
        <v>1000000</v>
      </c>
      <c r="I515" s="390">
        <v>124600</v>
      </c>
      <c r="J515" s="390"/>
      <c r="K515" s="734"/>
      <c r="M515" s="62" t="e">
        <f>IF(#REF!&gt;6,3,5)</f>
        <v>#REF!</v>
      </c>
    </row>
    <row r="516" spans="1:13">
      <c r="A516" s="730">
        <f t="shared" si="38"/>
        <v>8</v>
      </c>
      <c r="B516" s="730" t="s">
        <v>1385</v>
      </c>
      <c r="C516" s="390" t="s">
        <v>1386</v>
      </c>
      <c r="D516" s="390" t="s">
        <v>1386</v>
      </c>
      <c r="E516" s="390" t="s">
        <v>1386</v>
      </c>
      <c r="F516" s="288">
        <f t="shared" si="39"/>
        <v>0</v>
      </c>
      <c r="G516" s="390"/>
      <c r="H516" s="390" t="s">
        <v>1386</v>
      </c>
      <c r="I516" s="390"/>
      <c r="J516" s="390"/>
      <c r="K516" s="734"/>
      <c r="M516" s="62" t="e">
        <f>IF(#REF!&gt;6,3,5)</f>
        <v>#REF!</v>
      </c>
    </row>
    <row r="517" spans="1:13">
      <c r="A517" s="730">
        <f t="shared" si="38"/>
        <v>9</v>
      </c>
      <c r="B517" s="730" t="s">
        <v>2061</v>
      </c>
      <c r="C517" s="390" t="s">
        <v>1386</v>
      </c>
      <c r="D517" s="390" t="s">
        <v>1386</v>
      </c>
      <c r="E517" s="390" t="s">
        <v>1386</v>
      </c>
      <c r="F517" s="288">
        <f t="shared" si="39"/>
        <v>0</v>
      </c>
      <c r="G517" s="390"/>
      <c r="H517" s="390" t="s">
        <v>1386</v>
      </c>
      <c r="I517" s="390"/>
      <c r="J517" s="390"/>
      <c r="K517" s="734"/>
      <c r="M517" s="62" t="e">
        <f>IF(#REF!&gt;6,3,5)</f>
        <v>#REF!</v>
      </c>
    </row>
    <row r="518" spans="1:13">
      <c r="A518" s="730">
        <f t="shared" si="38"/>
        <v>10</v>
      </c>
      <c r="B518" s="730" t="s">
        <v>1680</v>
      </c>
      <c r="C518" s="390">
        <v>300000</v>
      </c>
      <c r="D518" s="390">
        <v>300000</v>
      </c>
      <c r="E518" s="390">
        <v>300000</v>
      </c>
      <c r="F518" s="288">
        <f t="shared" si="39"/>
        <v>900000</v>
      </c>
      <c r="G518" s="390"/>
      <c r="H518" s="390">
        <v>300000</v>
      </c>
      <c r="I518" s="390">
        <v>0</v>
      </c>
      <c r="J518" s="390"/>
      <c r="K518" s="734"/>
      <c r="M518" s="62" t="e">
        <f>IF(#REF!&gt;6,3,5)</f>
        <v>#REF!</v>
      </c>
    </row>
    <row r="519" spans="1:13">
      <c r="A519" s="730">
        <f t="shared" si="38"/>
        <v>11</v>
      </c>
      <c r="B519" s="730" t="s">
        <v>1681</v>
      </c>
      <c r="C519" s="390">
        <v>100000</v>
      </c>
      <c r="D519" s="390">
        <v>100000</v>
      </c>
      <c r="E519" s="390">
        <v>100000</v>
      </c>
      <c r="F519" s="288">
        <f t="shared" si="39"/>
        <v>300000</v>
      </c>
      <c r="G519" s="390">
        <v>70200</v>
      </c>
      <c r="H519" s="390">
        <v>100000</v>
      </c>
      <c r="I519" s="390">
        <v>194150</v>
      </c>
      <c r="J519" s="390"/>
      <c r="K519" s="734"/>
      <c r="M519" s="62" t="e">
        <f>IF(#REF!&gt;6,3,5)</f>
        <v>#REF!</v>
      </c>
    </row>
    <row r="520" spans="1:13">
      <c r="A520" s="730">
        <f t="shared" si="38"/>
        <v>12</v>
      </c>
      <c r="B520" s="730" t="s">
        <v>1682</v>
      </c>
      <c r="C520" s="390">
        <v>3000000</v>
      </c>
      <c r="D520" s="390">
        <v>3500000</v>
      </c>
      <c r="E520" s="390">
        <v>3500000</v>
      </c>
      <c r="F520" s="288">
        <f t="shared" si="39"/>
        <v>10000000</v>
      </c>
      <c r="G520" s="390">
        <v>852778</v>
      </c>
      <c r="H520" s="390">
        <v>3500000</v>
      </c>
      <c r="I520" s="390">
        <v>1163394</v>
      </c>
      <c r="J520" s="390"/>
      <c r="K520" s="734"/>
      <c r="M520" s="62" t="e">
        <f>IF(#REF!&gt;6,3,5)</f>
        <v>#REF!</v>
      </c>
    </row>
    <row r="521" spans="1:13">
      <c r="A521" s="730">
        <f t="shared" si="38"/>
        <v>13</v>
      </c>
      <c r="B521" s="730" t="s">
        <v>2249</v>
      </c>
      <c r="C521" s="390">
        <v>100000</v>
      </c>
      <c r="D521" s="390">
        <v>100000</v>
      </c>
      <c r="E521" s="390">
        <v>100000</v>
      </c>
      <c r="F521" s="288">
        <f t="shared" si="39"/>
        <v>300000</v>
      </c>
      <c r="G521" s="390"/>
      <c r="H521" s="390">
        <v>100000</v>
      </c>
      <c r="I521" s="390"/>
      <c r="J521" s="390"/>
      <c r="K521" s="734"/>
      <c r="M521" s="62" t="e">
        <f>IF(#REF!&gt;6,3,5)</f>
        <v>#REF!</v>
      </c>
    </row>
    <row r="522" spans="1:13">
      <c r="A522" s="730">
        <f t="shared" si="38"/>
        <v>14</v>
      </c>
      <c r="B522" s="730" t="s">
        <v>1336</v>
      </c>
      <c r="C522" s="390">
        <v>200000</v>
      </c>
      <c r="D522" s="390">
        <v>1000000</v>
      </c>
      <c r="E522" s="390">
        <v>1000000</v>
      </c>
      <c r="F522" s="288">
        <f t="shared" si="39"/>
        <v>2200000</v>
      </c>
      <c r="G522" s="390"/>
      <c r="H522" s="390">
        <v>1000000</v>
      </c>
      <c r="I522" s="390"/>
      <c r="J522" s="390"/>
      <c r="K522" s="734"/>
      <c r="M522" s="62" t="e">
        <f>IF(#REF!&gt;6,3,5)</f>
        <v>#REF!</v>
      </c>
    </row>
    <row r="523" spans="1:13" ht="25.5">
      <c r="A523" s="730">
        <v>15</v>
      </c>
      <c r="B523" s="733" t="s">
        <v>3585</v>
      </c>
      <c r="C523" s="390">
        <v>1000000</v>
      </c>
      <c r="D523" s="390">
        <v>10000000</v>
      </c>
      <c r="E523" s="390">
        <v>15000000</v>
      </c>
      <c r="F523" s="288">
        <f t="shared" si="39"/>
        <v>26000000</v>
      </c>
      <c r="G523" s="390"/>
      <c r="H523" s="390">
        <v>2000000</v>
      </c>
      <c r="I523" s="390"/>
      <c r="J523" s="390"/>
      <c r="K523" s="734"/>
      <c r="M523" s="62" t="e">
        <f>IF(#REF!&gt;6,3,5)</f>
        <v>#REF!</v>
      </c>
    </row>
    <row r="524" spans="1:13">
      <c r="A524" s="730"/>
      <c r="B524" s="730"/>
      <c r="C524" s="390"/>
      <c r="D524" s="390"/>
      <c r="E524" s="755"/>
      <c r="F524" s="158"/>
      <c r="G524" s="390"/>
      <c r="H524" s="756"/>
      <c r="I524" s="390"/>
      <c r="J524" s="390"/>
      <c r="K524" s="734"/>
      <c r="M524" s="62" t="e">
        <f>IF(#REF!&gt;6,3,5)</f>
        <v>#REF!</v>
      </c>
    </row>
    <row r="525" spans="1:13">
      <c r="A525" s="730"/>
      <c r="B525" s="730"/>
      <c r="C525" s="390"/>
      <c r="D525" s="390"/>
      <c r="E525" s="755"/>
      <c r="F525" s="158"/>
      <c r="G525" s="390"/>
      <c r="H525" s="756"/>
      <c r="I525" s="390"/>
      <c r="J525" s="390"/>
      <c r="K525" s="734"/>
      <c r="M525" s="62" t="e">
        <f>IF(#REF!&gt;6,3,5)</f>
        <v>#REF!</v>
      </c>
    </row>
    <row r="526" spans="1:13">
      <c r="A526" s="738"/>
      <c r="B526" s="738" t="s">
        <v>1684</v>
      </c>
      <c r="C526" s="739">
        <f t="shared" ref="C526:I526" si="40">SUM(C509:C525)</f>
        <v>6700000</v>
      </c>
      <c r="D526" s="739">
        <f t="shared" si="40"/>
        <v>20000000</v>
      </c>
      <c r="E526" s="757">
        <f t="shared" si="40"/>
        <v>25000000</v>
      </c>
      <c r="F526" s="739">
        <f t="shared" si="40"/>
        <v>51700000</v>
      </c>
      <c r="G526" s="739">
        <f>SUM(G509:G525)</f>
        <v>2834280</v>
      </c>
      <c r="H526" s="758">
        <f t="shared" si="40"/>
        <v>11300000</v>
      </c>
      <c r="I526" s="739">
        <f t="shared" si="40"/>
        <v>3023204</v>
      </c>
      <c r="J526" s="739"/>
      <c r="K526" s="740"/>
      <c r="M526" s="62" t="e">
        <f>IF(#REF!&gt;6,3,5)</f>
        <v>#REF!</v>
      </c>
    </row>
    <row r="527" spans="1:13" ht="15">
      <c r="A527" s="113"/>
      <c r="B527" s="113"/>
      <c r="C527" s="113"/>
      <c r="D527" s="114"/>
      <c r="E527" s="114"/>
      <c r="F527" s="114"/>
      <c r="G527" s="114"/>
      <c r="H527" s="114"/>
      <c r="I527" s="114"/>
      <c r="J527" s="584"/>
      <c r="K527" s="584"/>
      <c r="M527" s="62">
        <f t="shared" si="37"/>
        <v>5</v>
      </c>
    </row>
    <row r="528" spans="1:13" ht="15">
      <c r="C528" s="77"/>
      <c r="D528" s="78" t="s">
        <v>5434</v>
      </c>
      <c r="J528" s="584"/>
      <c r="K528" s="584"/>
      <c r="M528" s="62">
        <f t="shared" si="37"/>
        <v>5</v>
      </c>
    </row>
    <row r="529" spans="1:13" ht="15">
      <c r="C529" s="77"/>
      <c r="D529" s="78" t="s">
        <v>1693</v>
      </c>
      <c r="J529" s="584"/>
      <c r="K529" s="584"/>
      <c r="M529" s="62">
        <f t="shared" si="37"/>
        <v>5</v>
      </c>
    </row>
    <row r="530" spans="1:13" ht="15">
      <c r="C530" s="79" t="s">
        <v>717</v>
      </c>
      <c r="D530" s="78" t="s">
        <v>715</v>
      </c>
      <c r="J530" s="584"/>
      <c r="K530" s="584"/>
      <c r="M530" s="62">
        <f t="shared" si="37"/>
        <v>3</v>
      </c>
    </row>
    <row r="531" spans="1:13" ht="15.75" thickBot="1">
      <c r="C531" s="79" t="s">
        <v>718</v>
      </c>
      <c r="D531" s="78" t="s">
        <v>1308</v>
      </c>
      <c r="J531" s="584"/>
      <c r="K531" s="584"/>
      <c r="M531" s="62">
        <f t="shared" si="37"/>
        <v>3</v>
      </c>
    </row>
    <row r="532" spans="1:13" ht="15.75" thickTop="1">
      <c r="A532" s="1047" t="s">
        <v>2791</v>
      </c>
      <c r="B532" s="1049" t="s">
        <v>4126</v>
      </c>
      <c r="C532" s="1049" t="s">
        <v>854</v>
      </c>
      <c r="D532" s="1040" t="s">
        <v>4127</v>
      </c>
      <c r="E532" s="1041"/>
      <c r="F532" s="1041"/>
      <c r="G532" s="1040" t="s">
        <v>904</v>
      </c>
      <c r="H532" s="1041"/>
      <c r="I532" s="1042"/>
      <c r="J532" s="1035" t="s">
        <v>855</v>
      </c>
      <c r="K532" s="389"/>
    </row>
    <row r="533" spans="1:13" ht="26.25" thickBot="1">
      <c r="A533" s="1048"/>
      <c r="B533" s="1050"/>
      <c r="C533" s="1050"/>
      <c r="D533" s="285" t="s">
        <v>5505</v>
      </c>
      <c r="E533" s="285" t="s">
        <v>4485</v>
      </c>
      <c r="F533" s="285" t="s">
        <v>4486</v>
      </c>
      <c r="G533" s="287" t="s">
        <v>4487</v>
      </c>
      <c r="H533" s="285" t="s">
        <v>4488</v>
      </c>
      <c r="I533" s="287" t="s">
        <v>4489</v>
      </c>
      <c r="J533" s="1036"/>
      <c r="K533" s="712"/>
    </row>
    <row r="534" spans="1:13" ht="13.5" thickTop="1">
      <c r="A534" s="120">
        <v>1</v>
      </c>
      <c r="B534" s="121" t="s">
        <v>2129</v>
      </c>
      <c r="C534" s="121" t="s">
        <v>2335</v>
      </c>
      <c r="D534" s="122">
        <v>1</v>
      </c>
      <c r="E534" s="295">
        <v>1</v>
      </c>
      <c r="F534" s="122">
        <v>1</v>
      </c>
      <c r="G534" s="122">
        <v>1</v>
      </c>
      <c r="H534" s="122">
        <v>1</v>
      </c>
      <c r="I534" s="122">
        <v>1</v>
      </c>
      <c r="J534" s="713">
        <f>+H534*L534</f>
        <v>3000000</v>
      </c>
      <c r="K534" s="711"/>
      <c r="L534" s="62">
        <v>3000000</v>
      </c>
      <c r="M534" s="62">
        <f t="shared" si="37"/>
        <v>3</v>
      </c>
    </row>
    <row r="535" spans="1:13">
      <c r="A535" s="120">
        <f t="shared" ref="A535:A562" si="41">+A534+1</f>
        <v>2</v>
      </c>
      <c r="B535" s="121" t="s">
        <v>2333</v>
      </c>
      <c r="C535" s="121" t="s">
        <v>2335</v>
      </c>
      <c r="D535" s="122">
        <v>1</v>
      </c>
      <c r="E535" s="295">
        <v>1</v>
      </c>
      <c r="F535" s="122">
        <v>1</v>
      </c>
      <c r="G535" s="122">
        <v>1</v>
      </c>
      <c r="H535" s="122">
        <v>1</v>
      </c>
      <c r="I535" s="122">
        <v>1</v>
      </c>
      <c r="J535" s="713">
        <f>+H535*L535</f>
        <v>1000000</v>
      </c>
      <c r="K535" s="711"/>
      <c r="L535" s="62">
        <v>1000000</v>
      </c>
      <c r="M535" s="62">
        <f t="shared" si="37"/>
        <v>3</v>
      </c>
    </row>
    <row r="536" spans="1:13">
      <c r="A536" s="120">
        <f t="shared" si="41"/>
        <v>3</v>
      </c>
      <c r="B536" s="121" t="s">
        <v>2334</v>
      </c>
      <c r="C536" s="121" t="s">
        <v>2335</v>
      </c>
      <c r="D536" s="122">
        <v>4</v>
      </c>
      <c r="E536" s="295">
        <v>4</v>
      </c>
      <c r="F536" s="122">
        <v>4</v>
      </c>
      <c r="G536" s="122">
        <v>4</v>
      </c>
      <c r="H536" s="122">
        <v>4</v>
      </c>
      <c r="I536" s="122">
        <v>4</v>
      </c>
      <c r="J536" s="713">
        <f>+H536*L536</f>
        <v>10000000</v>
      </c>
      <c r="K536" s="711"/>
      <c r="L536" s="62">
        <v>2500000</v>
      </c>
      <c r="M536" s="62">
        <f t="shared" si="37"/>
        <v>3</v>
      </c>
    </row>
    <row r="537" spans="1:13">
      <c r="A537" s="120">
        <f t="shared" si="41"/>
        <v>4</v>
      </c>
      <c r="B537" s="121" t="s">
        <v>2355</v>
      </c>
      <c r="C537" s="121">
        <v>10</v>
      </c>
      <c r="D537" s="122">
        <v>2</v>
      </c>
      <c r="E537" s="295">
        <v>2</v>
      </c>
      <c r="F537" s="122">
        <v>2</v>
      </c>
      <c r="G537" s="122">
        <v>2</v>
      </c>
      <c r="H537" s="122">
        <v>2</v>
      </c>
      <c r="I537" s="122">
        <v>2</v>
      </c>
      <c r="J537" s="710">
        <f>(VLOOKUP($C537,[2]Sheet1!$A$2:$P$18,$M537+1)/12)*12*D537</f>
        <v>967949.1374400002</v>
      </c>
      <c r="K537" s="711"/>
      <c r="M537" s="62">
        <f t="shared" si="37"/>
        <v>3</v>
      </c>
    </row>
    <row r="538" spans="1:13">
      <c r="A538" s="120">
        <f t="shared" si="41"/>
        <v>5</v>
      </c>
      <c r="B538" s="121" t="s">
        <v>1981</v>
      </c>
      <c r="C538" s="121">
        <v>8</v>
      </c>
      <c r="D538" s="122">
        <v>2</v>
      </c>
      <c r="E538" s="295">
        <v>2</v>
      </c>
      <c r="F538" s="122">
        <v>2</v>
      </c>
      <c r="G538" s="122">
        <v>2</v>
      </c>
      <c r="H538" s="122">
        <v>2</v>
      </c>
      <c r="I538" s="122">
        <v>2</v>
      </c>
      <c r="J538" s="710">
        <f>(VLOOKUP($C538,[2]Sheet1!$A$2:$P$18,$M538+1)/12)*12*D538</f>
        <v>684282.54816000001</v>
      </c>
      <c r="K538" s="711"/>
      <c r="M538" s="62">
        <f t="shared" si="37"/>
        <v>3</v>
      </c>
    </row>
    <row r="539" spans="1:13">
      <c r="A539" s="120">
        <f t="shared" si="41"/>
        <v>6</v>
      </c>
      <c r="B539" s="121" t="s">
        <v>1982</v>
      </c>
      <c r="C539" s="121">
        <v>6</v>
      </c>
      <c r="D539" s="122">
        <v>10</v>
      </c>
      <c r="E539" s="295">
        <v>12</v>
      </c>
      <c r="F539" s="122">
        <v>10</v>
      </c>
      <c r="G539" s="122">
        <v>10</v>
      </c>
      <c r="H539" s="122">
        <v>12</v>
      </c>
      <c r="I539" s="122">
        <v>10</v>
      </c>
      <c r="J539" s="710">
        <f>(VLOOKUP($C539,[2]Sheet1!$A$2:$P$18,$M539+1)/12)*12*D539</f>
        <v>2380993.7893036497</v>
      </c>
      <c r="K539" s="711"/>
      <c r="M539" s="62">
        <f t="shared" si="37"/>
        <v>5</v>
      </c>
    </row>
    <row r="540" spans="1:13">
      <c r="A540" s="120">
        <f t="shared" si="41"/>
        <v>7</v>
      </c>
      <c r="B540" s="121" t="s">
        <v>1983</v>
      </c>
      <c r="C540" s="121">
        <v>5</v>
      </c>
      <c r="D540" s="122">
        <v>10</v>
      </c>
      <c r="E540" s="295">
        <v>10</v>
      </c>
      <c r="F540" s="122">
        <v>10</v>
      </c>
      <c r="G540" s="122">
        <v>10</v>
      </c>
      <c r="H540" s="122">
        <v>10</v>
      </c>
      <c r="I540" s="122">
        <v>10</v>
      </c>
      <c r="J540" s="710">
        <f>(VLOOKUP($C540,[2]Sheet1!$A$2:$P$18,$M540+1)/12)*12*D540</f>
        <v>2295697.7893036501</v>
      </c>
      <c r="K540" s="711"/>
      <c r="M540" s="62">
        <f t="shared" si="37"/>
        <v>5</v>
      </c>
    </row>
    <row r="541" spans="1:13">
      <c r="A541" s="120">
        <f t="shared" si="41"/>
        <v>8</v>
      </c>
      <c r="B541" s="121" t="s">
        <v>2360</v>
      </c>
      <c r="C541" s="121">
        <v>4</v>
      </c>
      <c r="D541" s="122">
        <v>120</v>
      </c>
      <c r="E541" s="295">
        <v>130</v>
      </c>
      <c r="F541" s="122">
        <v>120</v>
      </c>
      <c r="G541" s="122">
        <v>120</v>
      </c>
      <c r="H541" s="122">
        <v>130</v>
      </c>
      <c r="I541" s="122">
        <v>120</v>
      </c>
      <c r="J541" s="710">
        <f>(VLOOKUP($C541,[2]Sheet1!$A$2:$P$18,$M541+1)/12)*12*D541</f>
        <v>26945157.471643802</v>
      </c>
      <c r="K541" s="711"/>
      <c r="M541" s="62">
        <f t="shared" si="37"/>
        <v>5</v>
      </c>
    </row>
    <row r="542" spans="1:13">
      <c r="A542" s="120">
        <f t="shared" si="41"/>
        <v>9</v>
      </c>
      <c r="B542" s="121" t="s">
        <v>4030</v>
      </c>
      <c r="C542" s="121">
        <v>3</v>
      </c>
      <c r="D542" s="89">
        <v>130</v>
      </c>
      <c r="E542" s="111">
        <v>130</v>
      </c>
      <c r="F542" s="89">
        <v>130</v>
      </c>
      <c r="G542" s="89">
        <v>130</v>
      </c>
      <c r="H542" s="89">
        <v>130</v>
      </c>
      <c r="I542" s="89">
        <v>130</v>
      </c>
      <c r="J542" s="710">
        <f>(VLOOKUP($C542,[2]Sheet1!$A$2:$P$18,$M542+1)/12)*12*D542</f>
        <v>28513703.260947447</v>
      </c>
      <c r="K542" s="711"/>
      <c r="M542" s="62">
        <f t="shared" si="37"/>
        <v>5</v>
      </c>
    </row>
    <row r="543" spans="1:13">
      <c r="A543" s="120">
        <f t="shared" si="41"/>
        <v>10</v>
      </c>
      <c r="B543" s="121" t="s">
        <v>3896</v>
      </c>
      <c r="C543" s="121">
        <v>6</v>
      </c>
      <c r="D543" s="89">
        <v>6</v>
      </c>
      <c r="E543" s="111">
        <v>6</v>
      </c>
      <c r="F543" s="89">
        <v>6</v>
      </c>
      <c r="G543" s="89">
        <v>6</v>
      </c>
      <c r="H543" s="89">
        <v>6</v>
      </c>
      <c r="I543" s="89">
        <v>6</v>
      </c>
      <c r="J543" s="710">
        <f>(VLOOKUP($C543,[2]Sheet1!$A$2:$P$18,$M543+1)/12)*12*D543</f>
        <v>1428596.2735821898</v>
      </c>
      <c r="K543" s="711"/>
      <c r="M543" s="62">
        <f t="shared" si="37"/>
        <v>5</v>
      </c>
    </row>
    <row r="544" spans="1:13">
      <c r="A544" s="120">
        <f t="shared" si="41"/>
        <v>11</v>
      </c>
      <c r="B544" s="121" t="s">
        <v>3898</v>
      </c>
      <c r="C544" s="121">
        <v>4</v>
      </c>
      <c r="D544" s="89">
        <v>1</v>
      </c>
      <c r="E544" s="111">
        <v>1</v>
      </c>
      <c r="F544" s="89">
        <v>1</v>
      </c>
      <c r="G544" s="89">
        <v>1</v>
      </c>
      <c r="H544" s="89">
        <v>1</v>
      </c>
      <c r="I544" s="89">
        <v>1</v>
      </c>
      <c r="J544" s="710">
        <f>(VLOOKUP($C544,[2]Sheet1!$A$2:$P$18,$M544+1)/12)*12*D544</f>
        <v>224542.978930365</v>
      </c>
      <c r="K544" s="711"/>
      <c r="M544" s="62">
        <f t="shared" si="37"/>
        <v>5</v>
      </c>
    </row>
    <row r="545" spans="1:13">
      <c r="A545" s="120">
        <f t="shared" si="41"/>
        <v>12</v>
      </c>
      <c r="B545" s="121" t="s">
        <v>3745</v>
      </c>
      <c r="C545" s="121">
        <v>6</v>
      </c>
      <c r="D545" s="89">
        <v>0</v>
      </c>
      <c r="E545" s="111">
        <v>0</v>
      </c>
      <c r="F545" s="89">
        <v>0</v>
      </c>
      <c r="G545" s="89">
        <v>0</v>
      </c>
      <c r="H545" s="89">
        <v>0</v>
      </c>
      <c r="I545" s="89">
        <v>0</v>
      </c>
      <c r="J545" s="710">
        <f>(VLOOKUP($C545,[2]Sheet1!$A$2:$P$18,$M545+1)/12)*12*D545</f>
        <v>0</v>
      </c>
      <c r="K545" s="711"/>
      <c r="M545" s="62">
        <f t="shared" si="37"/>
        <v>5</v>
      </c>
    </row>
    <row r="546" spans="1:13">
      <c r="A546" s="120">
        <f t="shared" si="41"/>
        <v>13</v>
      </c>
      <c r="B546" s="121" t="s">
        <v>2403</v>
      </c>
      <c r="C546" s="121">
        <v>5</v>
      </c>
      <c r="D546" s="89">
        <v>0</v>
      </c>
      <c r="E546" s="111">
        <v>0</v>
      </c>
      <c r="F546" s="89">
        <v>0</v>
      </c>
      <c r="G546" s="89">
        <v>0</v>
      </c>
      <c r="H546" s="89">
        <v>0</v>
      </c>
      <c r="I546" s="89">
        <v>0</v>
      </c>
      <c r="J546" s="710">
        <f>(VLOOKUP($C546,[2]Sheet1!$A$2:$P$18,$M546+1)/12)*12*D546</f>
        <v>0</v>
      </c>
      <c r="K546" s="711"/>
      <c r="M546" s="62">
        <f t="shared" si="37"/>
        <v>5</v>
      </c>
    </row>
    <row r="547" spans="1:13">
      <c r="A547" s="120">
        <f t="shared" si="41"/>
        <v>14</v>
      </c>
      <c r="B547" s="121" t="s">
        <v>2556</v>
      </c>
      <c r="C547" s="121">
        <v>3</v>
      </c>
      <c r="D547" s="89">
        <v>1</v>
      </c>
      <c r="E547" s="111">
        <v>1</v>
      </c>
      <c r="F547" s="89">
        <v>1</v>
      </c>
      <c r="G547" s="89">
        <v>1</v>
      </c>
      <c r="H547" s="89">
        <v>1</v>
      </c>
      <c r="I547" s="89">
        <v>1</v>
      </c>
      <c r="J547" s="710">
        <f>(VLOOKUP($C547,[2]Sheet1!$A$2:$P$18,$M547+1)/12)*12*D547</f>
        <v>219336.17893036499</v>
      </c>
      <c r="K547" s="711"/>
      <c r="M547" s="62">
        <f t="shared" si="37"/>
        <v>5</v>
      </c>
    </row>
    <row r="548" spans="1:13">
      <c r="A548" s="120">
        <f t="shared" si="41"/>
        <v>15</v>
      </c>
      <c r="B548" s="121" t="s">
        <v>2361</v>
      </c>
      <c r="C548" s="121">
        <v>4</v>
      </c>
      <c r="D548" s="89">
        <v>30</v>
      </c>
      <c r="E548" s="111">
        <v>35</v>
      </c>
      <c r="F548" s="89">
        <v>30</v>
      </c>
      <c r="G548" s="89">
        <v>30</v>
      </c>
      <c r="H548" s="89">
        <v>35</v>
      </c>
      <c r="I548" s="89">
        <v>30</v>
      </c>
      <c r="J548" s="710">
        <f>(VLOOKUP($C548,[2]Sheet1!$A$2:$P$18,$M548+1)/12)*12*D548</f>
        <v>6736289.3679109504</v>
      </c>
      <c r="K548" s="711"/>
      <c r="M548" s="62">
        <f t="shared" si="37"/>
        <v>5</v>
      </c>
    </row>
    <row r="549" spans="1:13">
      <c r="A549" s="120">
        <f t="shared" si="41"/>
        <v>16</v>
      </c>
      <c r="B549" s="121" t="s">
        <v>2362</v>
      </c>
      <c r="C549" s="121">
        <v>3</v>
      </c>
      <c r="D549" s="89">
        <v>50</v>
      </c>
      <c r="E549" s="111">
        <v>50</v>
      </c>
      <c r="F549" s="89">
        <v>50</v>
      </c>
      <c r="G549" s="89">
        <v>50</v>
      </c>
      <c r="H549" s="89">
        <v>50</v>
      </c>
      <c r="I549" s="89">
        <v>50</v>
      </c>
      <c r="J549" s="710">
        <f>(VLOOKUP($C549,[2]Sheet1!$A$2:$P$18,$M549+1)/12)*12*D549</f>
        <v>10966808.94651825</v>
      </c>
      <c r="K549" s="711"/>
      <c r="M549" s="62">
        <f t="shared" si="37"/>
        <v>5</v>
      </c>
    </row>
    <row r="550" spans="1:13">
      <c r="A550" s="120">
        <f t="shared" si="41"/>
        <v>17</v>
      </c>
      <c r="B550" s="121" t="s">
        <v>2363</v>
      </c>
      <c r="C550" s="121">
        <v>2</v>
      </c>
      <c r="D550" s="89">
        <v>300</v>
      </c>
      <c r="E550" s="111">
        <v>305</v>
      </c>
      <c r="F550" s="89">
        <v>300</v>
      </c>
      <c r="G550" s="89">
        <v>300</v>
      </c>
      <c r="H550" s="89">
        <v>305</v>
      </c>
      <c r="I550" s="89">
        <v>300</v>
      </c>
      <c r="J550" s="710">
        <f>(VLOOKUP($C550,[2]Sheet1!$A$2:$P$18,$M550+1)/12)*12*D550</f>
        <v>64397213.679109506</v>
      </c>
      <c r="K550" s="711"/>
      <c r="M550" s="62">
        <f t="shared" si="37"/>
        <v>5</v>
      </c>
    </row>
    <row r="551" spans="1:13">
      <c r="A551" s="120">
        <f t="shared" si="41"/>
        <v>18</v>
      </c>
      <c r="B551" s="121" t="s">
        <v>2544</v>
      </c>
      <c r="C551" s="121">
        <v>4</v>
      </c>
      <c r="D551" s="89">
        <v>20</v>
      </c>
      <c r="E551" s="111">
        <v>20</v>
      </c>
      <c r="F551" s="89">
        <v>20</v>
      </c>
      <c r="G551" s="89">
        <v>20</v>
      </c>
      <c r="H551" s="89">
        <v>20</v>
      </c>
      <c r="I551" s="89">
        <v>20</v>
      </c>
      <c r="J551" s="710">
        <f>(VLOOKUP($C551,[2]Sheet1!$A$2:$P$18,$M551+1)/12)*12*D551</f>
        <v>4490859.5786073003</v>
      </c>
      <c r="K551" s="711"/>
      <c r="M551" s="62">
        <f t="shared" si="37"/>
        <v>5</v>
      </c>
    </row>
    <row r="552" spans="1:13">
      <c r="A552" s="120">
        <f t="shared" si="41"/>
        <v>19</v>
      </c>
      <c r="B552" s="121" t="s">
        <v>2181</v>
      </c>
      <c r="C552" s="121">
        <v>3</v>
      </c>
      <c r="D552" s="89">
        <v>10</v>
      </c>
      <c r="E552" s="111">
        <v>10</v>
      </c>
      <c r="F552" s="89">
        <v>10</v>
      </c>
      <c r="G552" s="89">
        <v>10</v>
      </c>
      <c r="H552" s="89">
        <v>10</v>
      </c>
      <c r="I552" s="89">
        <v>10</v>
      </c>
      <c r="J552" s="710">
        <f>(VLOOKUP($C552,[2]Sheet1!$A$2:$P$18,$M552+1)/12)*12*D552</f>
        <v>2193361.7893036497</v>
      </c>
      <c r="K552" s="711"/>
      <c r="M552" s="62">
        <f t="shared" si="37"/>
        <v>5</v>
      </c>
    </row>
    <row r="553" spans="1:13">
      <c r="A553" s="120">
        <f t="shared" si="41"/>
        <v>20</v>
      </c>
      <c r="B553" s="121" t="s">
        <v>2364</v>
      </c>
      <c r="C553" s="121">
        <v>2</v>
      </c>
      <c r="D553" s="89">
        <v>15</v>
      </c>
      <c r="E553" s="111">
        <v>15</v>
      </c>
      <c r="F553" s="89">
        <v>15</v>
      </c>
      <c r="G553" s="89">
        <v>15</v>
      </c>
      <c r="H553" s="89">
        <v>15</v>
      </c>
      <c r="I553" s="89">
        <v>15</v>
      </c>
      <c r="J553" s="710">
        <f>(VLOOKUP($C553,[2]Sheet1!$A$2:$P$18,$M553+1)/12)*12*D553</f>
        <v>3219860.6839554752</v>
      </c>
      <c r="K553" s="711"/>
      <c r="M553" s="62">
        <f t="shared" si="37"/>
        <v>5</v>
      </c>
    </row>
    <row r="554" spans="1:13">
      <c r="A554" s="120">
        <f t="shared" si="41"/>
        <v>21</v>
      </c>
      <c r="B554" s="121" t="s">
        <v>3452</v>
      </c>
      <c r="C554" s="121">
        <v>2</v>
      </c>
      <c r="D554" s="89">
        <v>130</v>
      </c>
      <c r="E554" s="111">
        <v>130</v>
      </c>
      <c r="F554" s="89">
        <v>130</v>
      </c>
      <c r="G554" s="89">
        <v>130</v>
      </c>
      <c r="H554" s="89">
        <v>130</v>
      </c>
      <c r="I554" s="89">
        <v>130</v>
      </c>
      <c r="J554" s="710">
        <f>(VLOOKUP($C554,[2]Sheet1!$A$2:$P$18,$M554+1)/12)*12*D554</f>
        <v>27905459.260947455</v>
      </c>
      <c r="K554" s="711"/>
      <c r="M554" s="62">
        <f t="shared" si="37"/>
        <v>5</v>
      </c>
    </row>
    <row r="555" spans="1:13">
      <c r="A555" s="120">
        <f t="shared" si="41"/>
        <v>22</v>
      </c>
      <c r="B555" s="121" t="s">
        <v>2171</v>
      </c>
      <c r="C555" s="121">
        <v>3</v>
      </c>
      <c r="D555" s="89">
        <v>0</v>
      </c>
      <c r="E555" s="111">
        <v>0</v>
      </c>
      <c r="F555" s="89">
        <v>0</v>
      </c>
      <c r="G555" s="89">
        <v>0</v>
      </c>
      <c r="H555" s="89">
        <v>0</v>
      </c>
      <c r="I555" s="89">
        <v>0</v>
      </c>
      <c r="J555" s="710">
        <f>(VLOOKUP($C555,[2]Sheet1!$A$2:$P$18,$M555+1)/12)*12*D555</f>
        <v>0</v>
      </c>
      <c r="K555" s="711"/>
      <c r="M555" s="62">
        <f t="shared" si="37"/>
        <v>5</v>
      </c>
    </row>
    <row r="556" spans="1:13">
      <c r="A556" s="120">
        <f t="shared" si="41"/>
        <v>23</v>
      </c>
      <c r="B556" s="121" t="s">
        <v>2172</v>
      </c>
      <c r="C556" s="121">
        <v>2</v>
      </c>
      <c r="D556" s="89">
        <v>0</v>
      </c>
      <c r="E556" s="111">
        <v>0</v>
      </c>
      <c r="F556" s="89">
        <v>0</v>
      </c>
      <c r="G556" s="89">
        <v>0</v>
      </c>
      <c r="H556" s="89">
        <v>0</v>
      </c>
      <c r="I556" s="89">
        <v>0</v>
      </c>
      <c r="J556" s="710">
        <f>(VLOOKUP($C556,[2]Sheet1!$A$2:$P$18,$M556+1)/12)*12*D556</f>
        <v>0</v>
      </c>
      <c r="K556" s="711"/>
      <c r="M556" s="62">
        <f t="shared" si="37"/>
        <v>5</v>
      </c>
    </row>
    <row r="557" spans="1:13" ht="18" customHeight="1">
      <c r="A557" s="120">
        <f t="shared" si="41"/>
        <v>24</v>
      </c>
      <c r="B557" s="121" t="s">
        <v>2563</v>
      </c>
      <c r="C557" s="121">
        <v>7</v>
      </c>
      <c r="D557" s="89">
        <v>0</v>
      </c>
      <c r="E557" s="111">
        <v>0</v>
      </c>
      <c r="F557" s="89">
        <v>0</v>
      </c>
      <c r="G557" s="89">
        <v>0</v>
      </c>
      <c r="H557" s="89">
        <v>0</v>
      </c>
      <c r="I557" s="89">
        <v>0</v>
      </c>
      <c r="J557" s="710">
        <f>(VLOOKUP($C557,[2]Sheet1!$A$2:$P$18,$M557+1)/12)*12*D557</f>
        <v>0</v>
      </c>
      <c r="K557" s="711"/>
      <c r="M557" s="62">
        <f t="shared" si="37"/>
        <v>3</v>
      </c>
    </row>
    <row r="558" spans="1:13">
      <c r="A558" s="120">
        <f t="shared" si="41"/>
        <v>25</v>
      </c>
      <c r="B558" s="121" t="s">
        <v>3453</v>
      </c>
      <c r="C558" s="121">
        <v>6</v>
      </c>
      <c r="D558" s="89">
        <v>0</v>
      </c>
      <c r="E558" s="111">
        <v>0</v>
      </c>
      <c r="F558" s="89">
        <v>0</v>
      </c>
      <c r="G558" s="89">
        <v>0</v>
      </c>
      <c r="H558" s="89">
        <v>0</v>
      </c>
      <c r="I558" s="89">
        <v>0</v>
      </c>
      <c r="J558" s="710">
        <f>(VLOOKUP($C558,[2]Sheet1!$A$2:$P$18,$M558+1)/12)*12*D558</f>
        <v>0</v>
      </c>
      <c r="K558" s="711"/>
      <c r="M558" s="62">
        <f t="shared" si="37"/>
        <v>5</v>
      </c>
    </row>
    <row r="559" spans="1:13">
      <c r="A559" s="120">
        <f t="shared" si="41"/>
        <v>26</v>
      </c>
      <c r="B559" s="121" t="s">
        <v>3454</v>
      </c>
      <c r="C559" s="121">
        <v>5</v>
      </c>
      <c r="D559" s="89">
        <v>0</v>
      </c>
      <c r="E559" s="111">
        <v>0</v>
      </c>
      <c r="F559" s="89">
        <v>0</v>
      </c>
      <c r="G559" s="89">
        <v>0</v>
      </c>
      <c r="H559" s="89">
        <v>0</v>
      </c>
      <c r="I559" s="89">
        <v>0</v>
      </c>
      <c r="J559" s="710">
        <f>(VLOOKUP($C559,[2]Sheet1!$A$2:$P$18,$M559+1)/12)*12*D559</f>
        <v>0</v>
      </c>
      <c r="K559" s="711"/>
      <c r="M559" s="62">
        <f t="shared" si="37"/>
        <v>5</v>
      </c>
    </row>
    <row r="560" spans="1:13">
      <c r="A560" s="120">
        <f t="shared" si="41"/>
        <v>27</v>
      </c>
      <c r="B560" s="121" t="s">
        <v>3455</v>
      </c>
      <c r="C560" s="121">
        <v>4</v>
      </c>
      <c r="D560" s="89">
        <v>0</v>
      </c>
      <c r="E560" s="111">
        <v>0</v>
      </c>
      <c r="F560" s="89">
        <v>0</v>
      </c>
      <c r="G560" s="89">
        <v>0</v>
      </c>
      <c r="H560" s="89">
        <v>0</v>
      </c>
      <c r="I560" s="89">
        <v>0</v>
      </c>
      <c r="J560" s="710">
        <f>(VLOOKUP($C560,[2]Sheet1!$A$2:$P$18,$M560+1)/12)*12*D560</f>
        <v>0</v>
      </c>
      <c r="K560" s="711"/>
      <c r="M560" s="62">
        <f t="shared" si="37"/>
        <v>5</v>
      </c>
    </row>
    <row r="561" spans="1:13">
      <c r="A561" s="120">
        <f t="shared" si="41"/>
        <v>28</v>
      </c>
      <c r="B561" s="121" t="s">
        <v>3456</v>
      </c>
      <c r="C561" s="121">
        <v>3</v>
      </c>
      <c r="D561" s="89">
        <v>20</v>
      </c>
      <c r="E561" s="111">
        <v>20</v>
      </c>
      <c r="F561" s="89">
        <v>20</v>
      </c>
      <c r="G561" s="89">
        <v>20</v>
      </c>
      <c r="H561" s="89">
        <v>20</v>
      </c>
      <c r="I561" s="89">
        <v>20</v>
      </c>
      <c r="J561" s="710">
        <f>(VLOOKUP($C561,[2]Sheet1!$A$2:$P$18,$M561+1)/12)*12*D561</f>
        <v>4386723.5786072994</v>
      </c>
      <c r="K561" s="711"/>
      <c r="M561" s="62">
        <f t="shared" si="37"/>
        <v>5</v>
      </c>
    </row>
    <row r="562" spans="1:13" ht="19.5" customHeight="1">
      <c r="A562" s="120">
        <f t="shared" si="41"/>
        <v>29</v>
      </c>
      <c r="B562" s="121" t="s">
        <v>486</v>
      </c>
      <c r="C562" s="121">
        <v>7</v>
      </c>
      <c r="D562" s="89">
        <v>29</v>
      </c>
      <c r="E562" s="111">
        <v>29</v>
      </c>
      <c r="F562" s="89">
        <v>29</v>
      </c>
      <c r="G562" s="89">
        <v>29</v>
      </c>
      <c r="H562" s="89">
        <v>29</v>
      </c>
      <c r="I562" s="89">
        <v>29</v>
      </c>
      <c r="J562" s="710">
        <f>(VLOOKUP($C562,[2]Sheet1!$A$2:$P$18,$M562+1)/12)*12*D562</f>
        <v>8923494.3696000017</v>
      </c>
      <c r="K562" s="711"/>
      <c r="M562" s="62">
        <f t="shared" ref="M562:M614" si="42">IF(C562&gt;6,3,5)</f>
        <v>3</v>
      </c>
    </row>
    <row r="563" spans="1:13">
      <c r="A563" s="88"/>
      <c r="B563" s="90" t="s">
        <v>3521</v>
      </c>
      <c r="C563" s="69"/>
      <c r="D563" s="89"/>
      <c r="E563" s="111"/>
      <c r="F563" s="69"/>
      <c r="G563" s="89"/>
      <c r="H563" s="89"/>
      <c r="I563" s="89"/>
      <c r="J563" s="710"/>
      <c r="K563" s="711"/>
      <c r="M563" s="62">
        <f t="shared" si="42"/>
        <v>5</v>
      </c>
    </row>
    <row r="564" spans="1:13">
      <c r="A564" s="88">
        <f>+A562+1</f>
        <v>30</v>
      </c>
      <c r="B564" s="69" t="s">
        <v>1982</v>
      </c>
      <c r="C564" s="69">
        <v>6</v>
      </c>
      <c r="D564" s="89">
        <v>1</v>
      </c>
      <c r="E564" s="111">
        <v>1</v>
      </c>
      <c r="F564" s="89">
        <v>1</v>
      </c>
      <c r="G564" s="89">
        <v>1</v>
      </c>
      <c r="H564" s="89">
        <v>1</v>
      </c>
      <c r="I564" s="89">
        <v>1</v>
      </c>
      <c r="J564" s="710">
        <f>(VLOOKUP($C564,[2]Sheet1!$A$2:$P$18,$M564+1)/12)*12*D564</f>
        <v>238099.37893036497</v>
      </c>
      <c r="K564" s="711"/>
      <c r="M564" s="62">
        <f t="shared" si="42"/>
        <v>5</v>
      </c>
    </row>
    <row r="565" spans="1:13">
      <c r="A565" s="88">
        <f>+A564+1</f>
        <v>31</v>
      </c>
      <c r="B565" s="69" t="s">
        <v>1250</v>
      </c>
      <c r="C565" s="69">
        <v>5</v>
      </c>
      <c r="D565" s="89">
        <v>1</v>
      </c>
      <c r="E565" s="111">
        <v>1</v>
      </c>
      <c r="F565" s="89">
        <v>1</v>
      </c>
      <c r="G565" s="89">
        <v>1</v>
      </c>
      <c r="H565" s="89">
        <v>1</v>
      </c>
      <c r="I565" s="89">
        <v>1</v>
      </c>
      <c r="J565" s="710">
        <f>(VLOOKUP($C565,[2]Sheet1!$A$2:$P$18,$M565+1)/12)*12*D565</f>
        <v>229569.77893036499</v>
      </c>
      <c r="K565" s="711"/>
      <c r="M565" s="62">
        <f t="shared" si="42"/>
        <v>5</v>
      </c>
    </row>
    <row r="566" spans="1:13">
      <c r="A566" s="88">
        <f>+A565+1</f>
        <v>32</v>
      </c>
      <c r="B566" s="69" t="s">
        <v>3458</v>
      </c>
      <c r="C566" s="69">
        <v>4</v>
      </c>
      <c r="D566" s="89">
        <v>1</v>
      </c>
      <c r="E566" s="111">
        <v>1</v>
      </c>
      <c r="F566" s="89">
        <v>1</v>
      </c>
      <c r="G566" s="89">
        <v>1</v>
      </c>
      <c r="H566" s="89">
        <v>1</v>
      </c>
      <c r="I566" s="89">
        <v>1</v>
      </c>
      <c r="J566" s="710">
        <f>(VLOOKUP($C566,[2]Sheet1!$A$2:$P$18,$M566+1)/12)*12*D566</f>
        <v>224542.978930365</v>
      </c>
      <c r="K566" s="711"/>
      <c r="M566" s="62">
        <f t="shared" si="42"/>
        <v>5</v>
      </c>
    </row>
    <row r="567" spans="1:13">
      <c r="A567" s="88">
        <f>+A566+1</f>
        <v>33</v>
      </c>
      <c r="B567" s="69" t="s">
        <v>4030</v>
      </c>
      <c r="C567" s="69">
        <v>3</v>
      </c>
      <c r="D567" s="89">
        <v>1</v>
      </c>
      <c r="E567" s="111">
        <v>1</v>
      </c>
      <c r="F567" s="89">
        <v>1</v>
      </c>
      <c r="G567" s="89">
        <v>1</v>
      </c>
      <c r="H567" s="89">
        <v>1</v>
      </c>
      <c r="I567" s="89">
        <v>1</v>
      </c>
      <c r="J567" s="710">
        <f>(VLOOKUP($C567,[2]Sheet1!$A$2:$P$18,$M567+1)/12)*12*D567</f>
        <v>219336.17893036499</v>
      </c>
      <c r="K567" s="711"/>
      <c r="M567" s="62">
        <f t="shared" si="42"/>
        <v>5</v>
      </c>
    </row>
    <row r="568" spans="1:13">
      <c r="A568" s="88"/>
      <c r="B568" s="90" t="s">
        <v>1158</v>
      </c>
      <c r="C568" s="69"/>
      <c r="D568" s="89"/>
      <c r="E568" s="111"/>
      <c r="F568" s="89"/>
      <c r="G568" s="89"/>
      <c r="H568" s="89"/>
      <c r="I568" s="89"/>
      <c r="J568" s="710"/>
      <c r="K568" s="711"/>
      <c r="M568" s="62">
        <f t="shared" si="42"/>
        <v>5</v>
      </c>
    </row>
    <row r="569" spans="1:13">
      <c r="A569" s="88">
        <f>+A567+1</f>
        <v>34</v>
      </c>
      <c r="B569" s="69" t="s">
        <v>1159</v>
      </c>
      <c r="C569" s="69">
        <v>14</v>
      </c>
      <c r="D569" s="89">
        <v>0</v>
      </c>
      <c r="E569" s="111">
        <v>0</v>
      </c>
      <c r="F569" s="89">
        <v>0</v>
      </c>
      <c r="G569" s="89">
        <v>0</v>
      </c>
      <c r="H569" s="89">
        <v>0</v>
      </c>
      <c r="I569" s="89">
        <v>0</v>
      </c>
      <c r="J569" s="710">
        <f>(VLOOKUP($C569,[2]Sheet1!$A$2:$P$18,$M569+1)/12)*12*D569</f>
        <v>0</v>
      </c>
      <c r="K569" s="711"/>
      <c r="M569" s="62">
        <f t="shared" si="42"/>
        <v>3</v>
      </c>
    </row>
    <row r="570" spans="1:13">
      <c r="A570" s="88">
        <f>+A569+1</f>
        <v>35</v>
      </c>
      <c r="B570" s="69" t="s">
        <v>4077</v>
      </c>
      <c r="C570" s="69">
        <v>14</v>
      </c>
      <c r="D570" s="89">
        <v>0</v>
      </c>
      <c r="E570" s="111">
        <v>0</v>
      </c>
      <c r="F570" s="89">
        <v>0</v>
      </c>
      <c r="G570" s="89">
        <v>0</v>
      </c>
      <c r="H570" s="89">
        <v>0</v>
      </c>
      <c r="I570" s="89">
        <v>0</v>
      </c>
      <c r="J570" s="710">
        <f>(VLOOKUP($C570,[2]Sheet1!$A$2:$P$18,$M570+1)/12)*12*D570</f>
        <v>0</v>
      </c>
      <c r="K570" s="711"/>
      <c r="M570" s="62">
        <f t="shared" si="42"/>
        <v>3</v>
      </c>
    </row>
    <row r="571" spans="1:13">
      <c r="A571" s="88">
        <f>+A570+1</f>
        <v>36</v>
      </c>
      <c r="B571" s="69" t="s">
        <v>4078</v>
      </c>
      <c r="C571" s="69">
        <v>14</v>
      </c>
      <c r="D571" s="89">
        <v>0</v>
      </c>
      <c r="E571" s="111">
        <v>0</v>
      </c>
      <c r="F571" s="89">
        <v>0</v>
      </c>
      <c r="G571" s="89">
        <v>0</v>
      </c>
      <c r="H571" s="89">
        <v>0</v>
      </c>
      <c r="I571" s="89">
        <v>0</v>
      </c>
      <c r="J571" s="710">
        <f>(VLOOKUP($C571,[2]Sheet1!$A$2:$P$18,$M571+1)/12)*12*D571</f>
        <v>0</v>
      </c>
      <c r="K571" s="711"/>
      <c r="M571" s="62">
        <f t="shared" si="42"/>
        <v>3</v>
      </c>
    </row>
    <row r="572" spans="1:13">
      <c r="A572" s="88">
        <f>+A571+1</f>
        <v>37</v>
      </c>
      <c r="B572" s="69" t="s">
        <v>1223</v>
      </c>
      <c r="C572" s="69">
        <v>14</v>
      </c>
      <c r="D572" s="89">
        <v>0</v>
      </c>
      <c r="E572" s="111">
        <v>0</v>
      </c>
      <c r="F572" s="89">
        <v>0</v>
      </c>
      <c r="G572" s="89">
        <v>0</v>
      </c>
      <c r="H572" s="89">
        <v>0</v>
      </c>
      <c r="I572" s="89">
        <v>0</v>
      </c>
      <c r="J572" s="710">
        <f>(VLOOKUP($C572,[2]Sheet1!$A$2:$P$18,$M572+1)/12)*12*D572</f>
        <v>0</v>
      </c>
      <c r="K572" s="711"/>
      <c r="M572" s="62">
        <f t="shared" si="42"/>
        <v>3</v>
      </c>
    </row>
    <row r="573" spans="1:13">
      <c r="A573" s="92"/>
      <c r="B573" s="93" t="s">
        <v>1684</v>
      </c>
      <c r="C573" s="94"/>
      <c r="D573" s="95">
        <f t="shared" ref="D573:J573" si="43">SUM(D534:D572)</f>
        <v>896</v>
      </c>
      <c r="E573" s="279">
        <f t="shared" si="43"/>
        <v>918</v>
      </c>
      <c r="F573" s="279">
        <f t="shared" si="43"/>
        <v>896</v>
      </c>
      <c r="G573" s="95">
        <f>SUM(G534:G572)</f>
        <v>896</v>
      </c>
      <c r="H573" s="95">
        <f t="shared" si="43"/>
        <v>918</v>
      </c>
      <c r="I573" s="95">
        <f t="shared" si="43"/>
        <v>896</v>
      </c>
      <c r="J573" s="96">
        <f t="shared" si="43"/>
        <v>211791878.99852282</v>
      </c>
      <c r="K573" s="376"/>
      <c r="M573" s="62">
        <f t="shared" si="42"/>
        <v>5</v>
      </c>
    </row>
    <row r="574" spans="1:13">
      <c r="A574" s="88"/>
      <c r="B574" s="97"/>
      <c r="C574" s="69"/>
      <c r="D574" s="98"/>
      <c r="E574" s="98"/>
      <c r="F574" s="126"/>
      <c r="G574" s="98"/>
      <c r="H574" s="98"/>
      <c r="I574" s="98"/>
      <c r="J574" s="713"/>
      <c r="K574" s="711"/>
      <c r="M574" s="62">
        <f t="shared" si="42"/>
        <v>5</v>
      </c>
    </row>
    <row r="575" spans="1:13">
      <c r="A575" s="88"/>
      <c r="B575" s="90" t="s">
        <v>1199</v>
      </c>
      <c r="C575" s="97"/>
      <c r="D575" s="98"/>
      <c r="E575" s="98"/>
      <c r="F575" s="125"/>
      <c r="G575" s="240" t="s">
        <v>243</v>
      </c>
      <c r="H575" s="240" t="s">
        <v>4130</v>
      </c>
      <c r="I575" s="240" t="s">
        <v>4202</v>
      </c>
      <c r="J575" s="241" t="s">
        <v>4200</v>
      </c>
      <c r="K575" s="375"/>
      <c r="M575" s="62">
        <f t="shared" si="42"/>
        <v>5</v>
      </c>
    </row>
    <row r="576" spans="1:13">
      <c r="A576" s="88">
        <v>1</v>
      </c>
      <c r="B576" s="69" t="s">
        <v>2786</v>
      </c>
      <c r="C576" s="69"/>
      <c r="D576" s="89"/>
      <c r="E576" s="89"/>
      <c r="F576" s="100"/>
      <c r="G576" s="100">
        <f>J573*0.2</f>
        <v>42358375.799704567</v>
      </c>
      <c r="H576" s="100">
        <f>G576*1.02</f>
        <v>43205543.315698661</v>
      </c>
      <c r="I576" s="100">
        <f>H576*1.02</f>
        <v>44069654.182012632</v>
      </c>
      <c r="J576" s="100">
        <f>SUM(G576:I576)</f>
        <v>129633573.29741587</v>
      </c>
      <c r="K576" s="114"/>
      <c r="M576" s="62">
        <f t="shared" si="42"/>
        <v>5</v>
      </c>
    </row>
    <row r="577" spans="1:13">
      <c r="A577" s="88">
        <f>+A576+1</f>
        <v>2</v>
      </c>
      <c r="B577" s="69" t="s">
        <v>2878</v>
      </c>
      <c r="C577" s="69"/>
      <c r="D577" s="89"/>
      <c r="E577" s="89"/>
      <c r="F577" s="100"/>
      <c r="G577" s="100">
        <f>G576/11</f>
        <v>3850761.4363367786</v>
      </c>
      <c r="H577" s="100">
        <f>G577*1.02</f>
        <v>3927776.6650635144</v>
      </c>
      <c r="I577" s="100">
        <f>H577*1.02</f>
        <v>4006332.1983647849</v>
      </c>
      <c r="J577" s="100">
        <f>SUM(G577:I577)</f>
        <v>11784870.299765078</v>
      </c>
      <c r="K577" s="114"/>
      <c r="M577" s="62">
        <f t="shared" si="42"/>
        <v>5</v>
      </c>
    </row>
    <row r="578" spans="1:13">
      <c r="A578" s="88"/>
      <c r="B578" s="69"/>
      <c r="C578" s="69"/>
      <c r="D578" s="89"/>
      <c r="E578" s="89"/>
      <c r="F578" s="100"/>
      <c r="G578" s="100"/>
      <c r="H578" s="100"/>
      <c r="I578" s="100"/>
      <c r="J578" s="100"/>
      <c r="K578" s="114"/>
      <c r="M578" s="62">
        <f t="shared" si="42"/>
        <v>5</v>
      </c>
    </row>
    <row r="579" spans="1:13">
      <c r="A579" s="92"/>
      <c r="B579" s="93" t="s">
        <v>1933</v>
      </c>
      <c r="C579" s="94"/>
      <c r="D579" s="101"/>
      <c r="E579" s="101"/>
      <c r="F579" s="95"/>
      <c r="G579" s="95">
        <f>SUM(G576:G578)</f>
        <v>46209137.236041345</v>
      </c>
      <c r="H579" s="95">
        <v>54944655.777082503</v>
      </c>
      <c r="I579" s="95">
        <f>SUM(I576:I578)</f>
        <v>48075986.380377419</v>
      </c>
      <c r="J579" s="95">
        <f>SUM(J576:J578)</f>
        <v>141418443.59718093</v>
      </c>
      <c r="K579" s="378"/>
      <c r="M579" s="62">
        <f t="shared" si="42"/>
        <v>5</v>
      </c>
    </row>
    <row r="580" spans="1:13">
      <c r="A580" s="88"/>
      <c r="B580" s="69"/>
      <c r="C580" s="69"/>
      <c r="D580" s="89"/>
      <c r="E580" s="89"/>
      <c r="F580" s="89"/>
      <c r="G580" s="89"/>
      <c r="H580" s="89"/>
      <c r="I580" s="89"/>
      <c r="J580" s="89"/>
      <c r="K580" s="114"/>
      <c r="M580" s="62">
        <f t="shared" si="42"/>
        <v>5</v>
      </c>
    </row>
    <row r="581" spans="1:13">
      <c r="A581" s="88">
        <v>1</v>
      </c>
      <c r="B581" s="69" t="s">
        <v>1934</v>
      </c>
      <c r="C581" s="69"/>
      <c r="D581" s="89"/>
      <c r="E581" s="89"/>
      <c r="F581" s="89"/>
      <c r="G581" s="100">
        <f>G579+J573</f>
        <v>258001016.23456416</v>
      </c>
      <c r="H581" s="100">
        <f>G581*1.02</f>
        <v>263161036.55925545</v>
      </c>
      <c r="I581" s="100">
        <f>G581*1.04</f>
        <v>268321056.88394672</v>
      </c>
      <c r="J581" s="100">
        <f>SUM(G581:I581)</f>
        <v>789483109.67776632</v>
      </c>
      <c r="K581" s="114"/>
      <c r="L581" s="112"/>
      <c r="M581" s="62">
        <f t="shared" si="42"/>
        <v>5</v>
      </c>
    </row>
    <row r="582" spans="1:13">
      <c r="A582" s="88">
        <f>+A581+1</f>
        <v>2</v>
      </c>
      <c r="B582" s="69" t="s">
        <v>129</v>
      </c>
      <c r="C582" s="69"/>
      <c r="D582" s="89"/>
      <c r="E582" s="89"/>
      <c r="F582" s="89"/>
      <c r="G582" s="89">
        <f>C609</f>
        <v>13100000</v>
      </c>
      <c r="H582" s="89">
        <f>D609</f>
        <v>54000000</v>
      </c>
      <c r="I582" s="89">
        <f>E609</f>
        <v>54000000</v>
      </c>
      <c r="J582" s="100">
        <f>SUM(G582:I582)</f>
        <v>121100000</v>
      </c>
      <c r="K582" s="114"/>
      <c r="M582" s="62">
        <f t="shared" si="42"/>
        <v>5</v>
      </c>
    </row>
    <row r="583" spans="1:13">
      <c r="A583" s="88"/>
      <c r="B583" s="69"/>
      <c r="C583" s="69"/>
      <c r="D583" s="89"/>
      <c r="E583" s="89"/>
      <c r="F583" s="89"/>
      <c r="G583" s="89"/>
      <c r="H583" s="89"/>
      <c r="I583" s="89"/>
      <c r="J583" s="89"/>
      <c r="K583" s="114"/>
      <c r="M583" s="62">
        <f t="shared" si="42"/>
        <v>5</v>
      </c>
    </row>
    <row r="584" spans="1:13" ht="13.5" thickBot="1">
      <c r="A584" s="102"/>
      <c r="B584" s="103" t="s">
        <v>2241</v>
      </c>
      <c r="C584" s="104"/>
      <c r="D584" s="105"/>
      <c r="E584" s="105"/>
      <c r="F584" s="129"/>
      <c r="G584" s="129">
        <f>SUM(G581:G583)</f>
        <v>271101016.23456419</v>
      </c>
      <c r="H584" s="129">
        <v>198081739.92748249</v>
      </c>
      <c r="I584" s="129">
        <f>SUM(I581:I583)</f>
        <v>322321056.88394672</v>
      </c>
      <c r="J584" s="129">
        <f>SUM(J581:J583)</f>
        <v>910583109.67776632</v>
      </c>
      <c r="K584" s="378"/>
      <c r="M584" s="62">
        <f t="shared" si="42"/>
        <v>5</v>
      </c>
    </row>
    <row r="585" spans="1:13" ht="15.75" thickTop="1">
      <c r="A585" s="113"/>
      <c r="B585" s="113"/>
      <c r="C585" s="77"/>
      <c r="D585" s="78" t="s">
        <v>5434</v>
      </c>
      <c r="E585" s="114"/>
      <c r="F585" s="114"/>
      <c r="G585" s="114"/>
      <c r="H585" s="114"/>
      <c r="I585" s="114"/>
      <c r="J585" s="584"/>
      <c r="K585" s="584"/>
      <c r="M585" s="62">
        <f t="shared" si="42"/>
        <v>5</v>
      </c>
    </row>
    <row r="586" spans="1:13" ht="15">
      <c r="A586" s="113"/>
      <c r="B586" s="113"/>
      <c r="C586" s="77"/>
      <c r="D586" s="78" t="s">
        <v>716</v>
      </c>
      <c r="E586" s="114"/>
      <c r="F586" s="114"/>
      <c r="G586" s="114"/>
      <c r="H586" s="114"/>
      <c r="I586" s="114"/>
      <c r="J586" s="584"/>
      <c r="K586" s="584"/>
      <c r="M586" s="62">
        <f t="shared" si="42"/>
        <v>5</v>
      </c>
    </row>
    <row r="587" spans="1:13" ht="15">
      <c r="A587" s="113"/>
      <c r="B587" s="113"/>
      <c r="C587" s="79" t="s">
        <v>717</v>
      </c>
      <c r="D587" s="78" t="s">
        <v>715</v>
      </c>
      <c r="E587" s="114"/>
      <c r="F587" s="114"/>
      <c r="G587" s="114"/>
      <c r="H587" s="114"/>
      <c r="I587" s="114"/>
      <c r="J587" s="584"/>
      <c r="K587" s="584"/>
      <c r="M587" s="62">
        <f t="shared" si="42"/>
        <v>3</v>
      </c>
    </row>
    <row r="588" spans="1:13" ht="15">
      <c r="A588" s="113"/>
      <c r="B588" s="113"/>
      <c r="C588" s="79" t="s">
        <v>718</v>
      </c>
      <c r="D588" s="78" t="s">
        <v>1308</v>
      </c>
      <c r="E588" s="114"/>
      <c r="F588" s="114"/>
      <c r="G588" s="114"/>
      <c r="H588" s="114"/>
      <c r="I588" s="114"/>
      <c r="J588" s="584"/>
      <c r="K588" s="584"/>
      <c r="M588" s="62">
        <f t="shared" si="42"/>
        <v>3</v>
      </c>
    </row>
    <row r="589" spans="1:13" ht="15">
      <c r="A589" s="634" t="s">
        <v>1839</v>
      </c>
      <c r="B589" s="635" t="s">
        <v>903</v>
      </c>
      <c r="C589" s="1037" t="s">
        <v>4127</v>
      </c>
      <c r="D589" s="1038"/>
      <c r="E589" s="1039"/>
      <c r="F589" s="635" t="s">
        <v>1684</v>
      </c>
      <c r="G589" s="1037" t="s">
        <v>4132</v>
      </c>
      <c r="H589" s="1038"/>
      <c r="I589" s="1039"/>
      <c r="J589" s="726"/>
      <c r="K589" s="727"/>
    </row>
    <row r="590" spans="1:13">
      <c r="A590" s="636" t="s">
        <v>1620</v>
      </c>
      <c r="B590" s="637"/>
      <c r="C590" s="635" t="s">
        <v>1841</v>
      </c>
      <c r="D590" s="635" t="s">
        <v>4133</v>
      </c>
      <c r="E590" s="635" t="s">
        <v>4133</v>
      </c>
      <c r="F590" s="1056" t="s">
        <v>4200</v>
      </c>
      <c r="G590" s="634" t="s">
        <v>4135</v>
      </c>
      <c r="H590" s="1051" t="s">
        <v>4182</v>
      </c>
      <c r="I590" s="634" t="s">
        <v>4135</v>
      </c>
      <c r="J590" s="728" t="s">
        <v>4136</v>
      </c>
      <c r="K590" s="727"/>
    </row>
    <row r="591" spans="1:13" ht="12.75" customHeight="1">
      <c r="A591" s="638" t="s">
        <v>387</v>
      </c>
      <c r="B591" s="639"/>
      <c r="C591" s="638">
        <v>2015</v>
      </c>
      <c r="D591" s="638">
        <v>2016</v>
      </c>
      <c r="E591" s="638">
        <v>2017</v>
      </c>
      <c r="F591" s="1057"/>
      <c r="G591" s="638" t="s">
        <v>4304</v>
      </c>
      <c r="H591" s="1052"/>
      <c r="I591" s="638" t="s">
        <v>4303</v>
      </c>
      <c r="J591" s="639"/>
      <c r="K591" s="729"/>
    </row>
    <row r="592" spans="1:13">
      <c r="A592" s="730"/>
      <c r="B592" s="730"/>
      <c r="C592" s="751"/>
      <c r="D592" s="751"/>
      <c r="E592" s="751"/>
      <c r="F592" s="751"/>
      <c r="G592" s="751"/>
      <c r="H592" s="751"/>
      <c r="I592" s="751"/>
      <c r="J592" s="751"/>
      <c r="K592" s="754"/>
      <c r="M592" s="62" t="e">
        <f>IF(#REF!&gt;6,3,5)</f>
        <v>#REF!</v>
      </c>
    </row>
    <row r="593" spans="1:13">
      <c r="A593" s="730">
        <v>2</v>
      </c>
      <c r="B593" s="730" t="s">
        <v>1695</v>
      </c>
      <c r="C593" s="390">
        <v>2000000</v>
      </c>
      <c r="D593" s="390">
        <v>5000000</v>
      </c>
      <c r="E593" s="390">
        <v>5000000</v>
      </c>
      <c r="F593" s="390">
        <f>SUM(C593:E593)</f>
        <v>12000000</v>
      </c>
      <c r="G593" s="390">
        <v>628000</v>
      </c>
      <c r="H593" s="390">
        <v>1500000</v>
      </c>
      <c r="I593" s="390">
        <v>678000</v>
      </c>
      <c r="J593" s="751"/>
      <c r="K593" s="754"/>
      <c r="M593" s="62" t="e">
        <f>IF(#REF!&gt;6,3,5)</f>
        <v>#REF!</v>
      </c>
    </row>
    <row r="594" spans="1:13">
      <c r="A594" s="730">
        <f t="shared" ref="A594:A605" si="44">+A593+1</f>
        <v>3</v>
      </c>
      <c r="B594" s="730" t="s">
        <v>1696</v>
      </c>
      <c r="C594" s="390" t="s">
        <v>1386</v>
      </c>
      <c r="D594" s="390">
        <v>3000000</v>
      </c>
      <c r="E594" s="390">
        <v>3000000</v>
      </c>
      <c r="F594" s="390">
        <f t="shared" ref="F594:F608" si="45">SUM(C594:E594)</f>
        <v>6000000</v>
      </c>
      <c r="G594" s="390">
        <v>167000</v>
      </c>
      <c r="H594" s="390" t="s">
        <v>1386</v>
      </c>
      <c r="I594" s="390">
        <v>0</v>
      </c>
      <c r="J594" s="751"/>
      <c r="K594" s="754"/>
      <c r="M594" s="62" t="e">
        <f>IF(#REF!&gt;6,3,5)</f>
        <v>#REF!</v>
      </c>
    </row>
    <row r="595" spans="1:13">
      <c r="A595" s="730">
        <f t="shared" si="44"/>
        <v>4</v>
      </c>
      <c r="B595" s="730" t="s">
        <v>1701</v>
      </c>
      <c r="C595" s="390" t="s">
        <v>1386</v>
      </c>
      <c r="D595" s="390" t="s">
        <v>3007</v>
      </c>
      <c r="E595" s="390" t="s">
        <v>3007</v>
      </c>
      <c r="F595" s="390">
        <f t="shared" si="45"/>
        <v>0</v>
      </c>
      <c r="G595" s="390"/>
      <c r="H595" s="390" t="s">
        <v>3007</v>
      </c>
      <c r="I595" s="390">
        <v>0</v>
      </c>
      <c r="J595" s="751"/>
      <c r="K595" s="754"/>
      <c r="M595" s="62" t="e">
        <f>IF(#REF!&gt;6,3,5)</f>
        <v>#REF!</v>
      </c>
    </row>
    <row r="596" spans="1:13">
      <c r="A596" s="730">
        <f t="shared" si="44"/>
        <v>5</v>
      </c>
      <c r="B596" s="730" t="s">
        <v>1702</v>
      </c>
      <c r="C596" s="390">
        <v>1000000</v>
      </c>
      <c r="D596" s="390">
        <v>2500000</v>
      </c>
      <c r="E596" s="390">
        <v>2500000</v>
      </c>
      <c r="F596" s="390">
        <f t="shared" si="45"/>
        <v>6000000</v>
      </c>
      <c r="G596" s="390">
        <v>73000</v>
      </c>
      <c r="H596" s="390">
        <v>500000</v>
      </c>
      <c r="I596" s="390">
        <v>143800</v>
      </c>
      <c r="J596" s="751"/>
      <c r="K596" s="754"/>
      <c r="M596" s="62" t="e">
        <f>IF(#REF!&gt;6,3,5)</f>
        <v>#REF!</v>
      </c>
    </row>
    <row r="597" spans="1:13">
      <c r="A597" s="730">
        <f t="shared" si="44"/>
        <v>6</v>
      </c>
      <c r="B597" s="730" t="s">
        <v>1544</v>
      </c>
      <c r="C597" s="390">
        <v>2500000</v>
      </c>
      <c r="D597" s="390">
        <v>1500000</v>
      </c>
      <c r="E597" s="390">
        <v>1500000</v>
      </c>
      <c r="F597" s="390">
        <f t="shared" si="45"/>
        <v>5500000</v>
      </c>
      <c r="G597" s="390">
        <v>217000</v>
      </c>
      <c r="H597" s="390">
        <v>1000000</v>
      </c>
      <c r="I597" s="390">
        <v>274300</v>
      </c>
      <c r="J597" s="751"/>
      <c r="K597" s="754"/>
      <c r="M597" s="62" t="e">
        <f>IF(#REF!&gt;6,3,5)</f>
        <v>#REF!</v>
      </c>
    </row>
    <row r="598" spans="1:13">
      <c r="A598" s="730">
        <f t="shared" si="44"/>
        <v>7</v>
      </c>
      <c r="B598" s="730" t="s">
        <v>897</v>
      </c>
      <c r="C598" s="390">
        <v>2000000</v>
      </c>
      <c r="D598" s="390">
        <v>5000000</v>
      </c>
      <c r="E598" s="390">
        <v>5000000</v>
      </c>
      <c r="F598" s="390">
        <f t="shared" si="45"/>
        <v>12000000</v>
      </c>
      <c r="G598" s="390">
        <v>1048000</v>
      </c>
      <c r="H598" s="390">
        <v>3000000</v>
      </c>
      <c r="I598" s="390">
        <v>1746200</v>
      </c>
      <c r="J598" s="751"/>
      <c r="K598" s="754"/>
      <c r="M598" s="62" t="e">
        <f>IF(#REF!&gt;6,3,5)</f>
        <v>#REF!</v>
      </c>
    </row>
    <row r="599" spans="1:13">
      <c r="A599" s="730">
        <f t="shared" si="44"/>
        <v>8</v>
      </c>
      <c r="B599" s="730" t="s">
        <v>1385</v>
      </c>
      <c r="C599" s="390" t="s">
        <v>3007</v>
      </c>
      <c r="D599" s="390">
        <v>2000000</v>
      </c>
      <c r="E599" s="390">
        <v>2000000</v>
      </c>
      <c r="F599" s="390">
        <f t="shared" si="45"/>
        <v>4000000</v>
      </c>
      <c r="G599" s="390"/>
      <c r="H599" s="390" t="s">
        <v>3007</v>
      </c>
      <c r="I599" s="390"/>
      <c r="J599" s="751"/>
      <c r="K599" s="754"/>
      <c r="M599" s="62" t="e">
        <f>IF(#REF!&gt;6,3,5)</f>
        <v>#REF!</v>
      </c>
    </row>
    <row r="600" spans="1:13">
      <c r="A600" s="730">
        <f t="shared" si="44"/>
        <v>9</v>
      </c>
      <c r="B600" s="730" t="s">
        <v>2061</v>
      </c>
      <c r="C600" s="390" t="s">
        <v>3007</v>
      </c>
      <c r="D600" s="390">
        <v>0</v>
      </c>
      <c r="E600" s="390">
        <v>0</v>
      </c>
      <c r="F600" s="390">
        <f t="shared" si="45"/>
        <v>0</v>
      </c>
      <c r="G600" s="390"/>
      <c r="H600" s="390" t="s">
        <v>3007</v>
      </c>
      <c r="I600" s="390"/>
      <c r="J600" s="751"/>
      <c r="K600" s="754"/>
      <c r="M600" s="62" t="e">
        <f>IF(#REF!&gt;6,3,5)</f>
        <v>#REF!</v>
      </c>
    </row>
    <row r="601" spans="1:13">
      <c r="A601" s="730">
        <f t="shared" si="44"/>
        <v>10</v>
      </c>
      <c r="B601" s="730" t="s">
        <v>1680</v>
      </c>
      <c r="C601" s="390">
        <v>700000</v>
      </c>
      <c r="D601" s="390">
        <v>3500000</v>
      </c>
      <c r="E601" s="390">
        <v>3500000</v>
      </c>
      <c r="F601" s="390">
        <f t="shared" si="45"/>
        <v>7700000</v>
      </c>
      <c r="G601" s="390">
        <v>198416</v>
      </c>
      <c r="H601" s="390">
        <v>500000</v>
      </c>
      <c r="I601" s="390">
        <v>130000</v>
      </c>
      <c r="J601" s="751"/>
      <c r="K601" s="754"/>
      <c r="M601" s="62" t="e">
        <f>IF(#REF!&gt;6,3,5)</f>
        <v>#REF!</v>
      </c>
    </row>
    <row r="602" spans="1:13">
      <c r="A602" s="730">
        <f t="shared" si="44"/>
        <v>11</v>
      </c>
      <c r="B602" s="730" t="s">
        <v>1681</v>
      </c>
      <c r="C602" s="390">
        <v>100000</v>
      </c>
      <c r="D602" s="390">
        <v>500000</v>
      </c>
      <c r="E602" s="390">
        <v>500000</v>
      </c>
      <c r="F602" s="390">
        <f t="shared" si="45"/>
        <v>1100000</v>
      </c>
      <c r="G602" s="390">
        <v>378000</v>
      </c>
      <c r="H602" s="390">
        <v>100000</v>
      </c>
      <c r="I602" s="390">
        <v>274000</v>
      </c>
      <c r="J602" s="751"/>
      <c r="K602" s="754"/>
      <c r="M602" s="62" t="e">
        <f>IF(#REF!&gt;6,3,5)</f>
        <v>#REF!</v>
      </c>
    </row>
    <row r="603" spans="1:13">
      <c r="A603" s="730">
        <f t="shared" si="44"/>
        <v>12</v>
      </c>
      <c r="B603" s="730" t="s">
        <v>1682</v>
      </c>
      <c r="C603" s="390">
        <v>2500000</v>
      </c>
      <c r="D603" s="390">
        <v>4000000</v>
      </c>
      <c r="E603" s="390">
        <v>4000000</v>
      </c>
      <c r="F603" s="390">
        <f t="shared" si="45"/>
        <v>10500000</v>
      </c>
      <c r="G603" s="390">
        <v>1917418</v>
      </c>
      <c r="H603" s="390">
        <v>3000000</v>
      </c>
      <c r="I603" s="390">
        <v>848700</v>
      </c>
      <c r="J603" s="751"/>
      <c r="K603" s="754"/>
      <c r="M603" s="62" t="e">
        <f>IF(#REF!&gt;6,3,5)</f>
        <v>#REF!</v>
      </c>
    </row>
    <row r="604" spans="1:13">
      <c r="A604" s="730">
        <f t="shared" si="44"/>
        <v>13</v>
      </c>
      <c r="B604" s="730" t="s">
        <v>2249</v>
      </c>
      <c r="C604" s="390">
        <v>100000</v>
      </c>
      <c r="D604" s="390">
        <v>500000</v>
      </c>
      <c r="E604" s="390">
        <v>500000</v>
      </c>
      <c r="F604" s="390">
        <f t="shared" si="45"/>
        <v>1100000</v>
      </c>
      <c r="G604" s="390">
        <v>30000</v>
      </c>
      <c r="H604" s="390">
        <v>100000</v>
      </c>
      <c r="I604" s="390">
        <v>100000</v>
      </c>
      <c r="J604" s="751"/>
      <c r="K604" s="754"/>
      <c r="M604" s="62" t="e">
        <f>IF(#REF!&gt;6,3,5)</f>
        <v>#REF!</v>
      </c>
    </row>
    <row r="605" spans="1:13">
      <c r="A605" s="730">
        <f t="shared" si="44"/>
        <v>14</v>
      </c>
      <c r="B605" s="730" t="s">
        <v>1336</v>
      </c>
      <c r="C605" s="390">
        <v>200000</v>
      </c>
      <c r="D605" s="390">
        <v>3000000</v>
      </c>
      <c r="E605" s="390">
        <v>3000000</v>
      </c>
      <c r="F605" s="390">
        <f t="shared" si="45"/>
        <v>6200000</v>
      </c>
      <c r="G605" s="390">
        <v>180000</v>
      </c>
      <c r="H605" s="390">
        <v>800000</v>
      </c>
      <c r="I605" s="390">
        <v>175000</v>
      </c>
      <c r="J605" s="751"/>
      <c r="K605" s="754"/>
      <c r="M605" s="62" t="e">
        <f>IF(#REF!&gt;6,3,5)</f>
        <v>#REF!</v>
      </c>
    </row>
    <row r="606" spans="1:13">
      <c r="A606" s="730">
        <v>15</v>
      </c>
      <c r="B606" s="730" t="s">
        <v>273</v>
      </c>
      <c r="C606" s="390" t="s">
        <v>1386</v>
      </c>
      <c r="D606" s="390">
        <v>2500000</v>
      </c>
      <c r="E606" s="390">
        <v>2500000</v>
      </c>
      <c r="F606" s="390">
        <f t="shared" si="45"/>
        <v>5000000</v>
      </c>
      <c r="G606" s="390"/>
      <c r="H606" s="390" t="s">
        <v>1386</v>
      </c>
      <c r="I606" s="390"/>
      <c r="J606" s="751"/>
      <c r="K606" s="754"/>
      <c r="M606" s="62" t="e">
        <f>IF(#REF!&gt;6,3,5)</f>
        <v>#REF!</v>
      </c>
    </row>
    <row r="607" spans="1:13">
      <c r="A607" s="730">
        <v>16</v>
      </c>
      <c r="B607" s="730" t="s">
        <v>1391</v>
      </c>
      <c r="C607" s="390" t="s">
        <v>1386</v>
      </c>
      <c r="D607" s="390">
        <v>6000000</v>
      </c>
      <c r="E607" s="390">
        <v>6000000</v>
      </c>
      <c r="F607" s="390">
        <f t="shared" si="45"/>
        <v>12000000</v>
      </c>
      <c r="G607" s="390"/>
      <c r="H607" s="390">
        <v>2000000</v>
      </c>
      <c r="I607" s="390"/>
      <c r="J607" s="751"/>
      <c r="K607" s="754"/>
    </row>
    <row r="608" spans="1:13">
      <c r="A608" s="730">
        <v>17</v>
      </c>
      <c r="B608" s="730" t="s">
        <v>9</v>
      </c>
      <c r="C608" s="390">
        <v>2000000</v>
      </c>
      <c r="D608" s="390">
        <v>15000000</v>
      </c>
      <c r="E608" s="390">
        <v>15000000</v>
      </c>
      <c r="F608" s="390">
        <f t="shared" si="45"/>
        <v>32000000</v>
      </c>
      <c r="G608" s="390"/>
      <c r="H608" s="390">
        <v>8000000</v>
      </c>
      <c r="I608" s="390"/>
      <c r="J608" s="751"/>
      <c r="K608" s="754"/>
      <c r="M608" s="62" t="e">
        <f>IF(#REF!&gt;6,3,5)</f>
        <v>#REF!</v>
      </c>
    </row>
    <row r="609" spans="1:13">
      <c r="A609" s="738"/>
      <c r="B609" s="738" t="s">
        <v>1684</v>
      </c>
      <c r="C609" s="739">
        <f t="shared" ref="C609:I609" si="46">SUM(C592:C608)</f>
        <v>13100000</v>
      </c>
      <c r="D609" s="739">
        <f t="shared" si="46"/>
        <v>54000000</v>
      </c>
      <c r="E609" s="739">
        <f t="shared" si="46"/>
        <v>54000000</v>
      </c>
      <c r="F609" s="739">
        <f t="shared" si="46"/>
        <v>121100000</v>
      </c>
      <c r="G609" s="739">
        <f>SUM(G592:G608)</f>
        <v>4836834</v>
      </c>
      <c r="H609" s="739">
        <f t="shared" si="46"/>
        <v>20500000</v>
      </c>
      <c r="I609" s="739">
        <f t="shared" si="46"/>
        <v>4370000</v>
      </c>
      <c r="J609" s="739"/>
      <c r="K609" s="740"/>
      <c r="M609" s="62" t="e">
        <f>IF(#REF!&gt;6,3,5)</f>
        <v>#REF!</v>
      </c>
    </row>
    <row r="610" spans="1:13" ht="15">
      <c r="A610" s="113"/>
      <c r="B610" s="113"/>
      <c r="C610" s="113"/>
      <c r="D610" s="114"/>
      <c r="E610" s="114"/>
      <c r="F610" s="114"/>
      <c r="G610" s="114"/>
      <c r="H610" s="114"/>
      <c r="I610" s="114"/>
      <c r="J610" s="584"/>
      <c r="K610" s="584"/>
      <c r="M610" s="62">
        <f t="shared" si="42"/>
        <v>5</v>
      </c>
    </row>
    <row r="611" spans="1:13" ht="15">
      <c r="C611" s="77"/>
      <c r="D611" s="78" t="s">
        <v>5434</v>
      </c>
      <c r="J611" s="584"/>
      <c r="K611" s="584"/>
      <c r="M611" s="62">
        <f t="shared" si="42"/>
        <v>5</v>
      </c>
    </row>
    <row r="612" spans="1:13" ht="15">
      <c r="C612" s="77"/>
      <c r="D612" s="78" t="s">
        <v>1693</v>
      </c>
      <c r="J612" s="584"/>
      <c r="K612" s="584"/>
      <c r="M612" s="62">
        <f t="shared" si="42"/>
        <v>5</v>
      </c>
    </row>
    <row r="613" spans="1:13" ht="15">
      <c r="C613" s="79" t="s">
        <v>717</v>
      </c>
      <c r="D613" s="78" t="s">
        <v>1724</v>
      </c>
      <c r="J613" s="584"/>
      <c r="K613" s="584"/>
      <c r="M613" s="62">
        <f t="shared" si="42"/>
        <v>3</v>
      </c>
    </row>
    <row r="614" spans="1:13" ht="15.75" thickBot="1">
      <c r="C614" s="79" t="s">
        <v>718</v>
      </c>
      <c r="D614" s="78" t="s">
        <v>1309</v>
      </c>
      <c r="J614" s="584"/>
      <c r="K614" s="584"/>
      <c r="M614" s="62">
        <f t="shared" si="42"/>
        <v>3</v>
      </c>
    </row>
    <row r="615" spans="1:13" ht="15.75" thickTop="1">
      <c r="A615" s="1047" t="s">
        <v>2791</v>
      </c>
      <c r="B615" s="1049" t="s">
        <v>4126</v>
      </c>
      <c r="C615" s="1049" t="s">
        <v>854</v>
      </c>
      <c r="D615" s="1040" t="s">
        <v>4127</v>
      </c>
      <c r="E615" s="1041"/>
      <c r="F615" s="1041"/>
      <c r="G615" s="1040" t="s">
        <v>904</v>
      </c>
      <c r="H615" s="1041"/>
      <c r="I615" s="1042"/>
      <c r="J615" s="1035" t="s">
        <v>855</v>
      </c>
      <c r="K615" s="389"/>
    </row>
    <row r="616" spans="1:13" ht="26.25" thickBot="1">
      <c r="A616" s="1048"/>
      <c r="B616" s="1050"/>
      <c r="C616" s="1050"/>
      <c r="D616" s="285" t="s">
        <v>5505</v>
      </c>
      <c r="E616" s="285" t="s">
        <v>4485</v>
      </c>
      <c r="F616" s="285" t="s">
        <v>4486</v>
      </c>
      <c r="G616" s="287" t="s">
        <v>4487</v>
      </c>
      <c r="H616" s="285" t="s">
        <v>4488</v>
      </c>
      <c r="I616" s="287" t="s">
        <v>4489</v>
      </c>
      <c r="J616" s="1036"/>
      <c r="K616" s="712"/>
    </row>
    <row r="617" spans="1:13" ht="13.5" thickTop="1">
      <c r="A617" s="120">
        <v>1</v>
      </c>
      <c r="B617" s="121" t="s">
        <v>1982</v>
      </c>
      <c r="C617" s="121">
        <v>6</v>
      </c>
      <c r="D617" s="122">
        <v>0</v>
      </c>
      <c r="E617" s="295">
        <v>1</v>
      </c>
      <c r="F617" s="122">
        <v>0</v>
      </c>
      <c r="G617" s="122">
        <v>0</v>
      </c>
      <c r="H617" s="122">
        <v>0</v>
      </c>
      <c r="I617" s="122">
        <v>0</v>
      </c>
      <c r="J617" s="710">
        <f>(VLOOKUP($C617,[2]Sheet1!$A$2:$P$18,$M617+1)/12)*12*D617</f>
        <v>0</v>
      </c>
      <c r="K617" s="711"/>
      <c r="M617" s="62">
        <f t="shared" ref="M617:M681" si="47">IF(C617&gt;6,3,5)</f>
        <v>5</v>
      </c>
    </row>
    <row r="618" spans="1:13">
      <c r="A618" s="120">
        <f>+A617+1</f>
        <v>2</v>
      </c>
      <c r="B618" s="121" t="s">
        <v>1983</v>
      </c>
      <c r="C618" s="121">
        <v>5</v>
      </c>
      <c r="D618" s="122">
        <v>0</v>
      </c>
      <c r="E618" s="295">
        <v>0</v>
      </c>
      <c r="F618" s="122">
        <v>0</v>
      </c>
      <c r="G618" s="122">
        <v>0</v>
      </c>
      <c r="H618" s="122">
        <v>0</v>
      </c>
      <c r="I618" s="122">
        <v>0</v>
      </c>
      <c r="J618" s="710">
        <f>(VLOOKUP($C618,[2]Sheet1!$A$2:$P$18,$M618+1)/12)*12*D618</f>
        <v>0</v>
      </c>
      <c r="K618" s="711"/>
      <c r="M618" s="62">
        <f t="shared" si="47"/>
        <v>5</v>
      </c>
    </row>
    <row r="619" spans="1:13">
      <c r="A619" s="120">
        <f t="shared" ref="A619:A640" si="48">+A618+1</f>
        <v>3</v>
      </c>
      <c r="B619" s="121" t="s">
        <v>2360</v>
      </c>
      <c r="C619" s="121">
        <v>4</v>
      </c>
      <c r="D619" s="122">
        <v>0</v>
      </c>
      <c r="E619" s="295">
        <v>2</v>
      </c>
      <c r="F619" s="122">
        <v>0</v>
      </c>
      <c r="G619" s="122">
        <v>0</v>
      </c>
      <c r="H619" s="122">
        <v>0</v>
      </c>
      <c r="I619" s="122">
        <v>0</v>
      </c>
      <c r="J619" s="710">
        <f>(VLOOKUP($C619,[2]Sheet1!$A$2:$P$18,$M619+1)/12)*12*D619</f>
        <v>0</v>
      </c>
      <c r="K619" s="711"/>
      <c r="M619" s="62">
        <f t="shared" si="47"/>
        <v>5</v>
      </c>
    </row>
    <row r="620" spans="1:13">
      <c r="A620" s="120">
        <f t="shared" si="48"/>
        <v>4</v>
      </c>
      <c r="B620" s="121" t="s">
        <v>4030</v>
      </c>
      <c r="C620" s="121">
        <v>3</v>
      </c>
      <c r="D620" s="89">
        <v>2</v>
      </c>
      <c r="E620" s="111">
        <v>2</v>
      </c>
      <c r="F620" s="89">
        <v>2</v>
      </c>
      <c r="G620" s="89">
        <v>2</v>
      </c>
      <c r="H620" s="89">
        <v>2</v>
      </c>
      <c r="I620" s="89">
        <v>2</v>
      </c>
      <c r="J620" s="710">
        <f>(VLOOKUP($C620,[2]Sheet1!$A$2:$P$18,$M620+1)/12)*12*D620</f>
        <v>438672.35786072997</v>
      </c>
      <c r="K620" s="711"/>
      <c r="M620" s="62">
        <f t="shared" si="47"/>
        <v>5</v>
      </c>
    </row>
    <row r="621" spans="1:13">
      <c r="A621" s="120">
        <f t="shared" si="48"/>
        <v>5</v>
      </c>
      <c r="B621" s="121" t="s">
        <v>3896</v>
      </c>
      <c r="C621" s="121">
        <v>6</v>
      </c>
      <c r="D621" s="89">
        <v>1</v>
      </c>
      <c r="E621" s="111">
        <v>1</v>
      </c>
      <c r="F621" s="89">
        <v>1</v>
      </c>
      <c r="G621" s="89">
        <v>1</v>
      </c>
      <c r="H621" s="89">
        <v>1</v>
      </c>
      <c r="I621" s="89">
        <v>1</v>
      </c>
      <c r="J621" s="710">
        <f>(VLOOKUP($C621,[2]Sheet1!$A$2:$P$18,$M621+1)/12)*12*D621</f>
        <v>238099.37893036497</v>
      </c>
      <c r="K621" s="711"/>
      <c r="M621" s="62">
        <f t="shared" si="47"/>
        <v>5</v>
      </c>
    </row>
    <row r="622" spans="1:13">
      <c r="A622" s="120">
        <f t="shared" si="48"/>
        <v>6</v>
      </c>
      <c r="B622" s="121" t="s">
        <v>3898</v>
      </c>
      <c r="C622" s="121">
        <v>4</v>
      </c>
      <c r="D622" s="89">
        <v>1</v>
      </c>
      <c r="E622" s="111">
        <v>1</v>
      </c>
      <c r="F622" s="89">
        <v>1</v>
      </c>
      <c r="G622" s="89">
        <v>1</v>
      </c>
      <c r="H622" s="89">
        <v>1</v>
      </c>
      <c r="I622" s="89">
        <v>1</v>
      </c>
      <c r="J622" s="710">
        <f>(VLOOKUP($C622,[2]Sheet1!$A$2:$P$18,$M622+1)/12)*12*D622</f>
        <v>224542.978930365</v>
      </c>
      <c r="K622" s="711"/>
      <c r="M622" s="62">
        <f t="shared" si="47"/>
        <v>5</v>
      </c>
    </row>
    <row r="623" spans="1:13">
      <c r="A623" s="120">
        <f t="shared" si="48"/>
        <v>7</v>
      </c>
      <c r="B623" s="121" t="s">
        <v>3745</v>
      </c>
      <c r="C623" s="121">
        <v>5</v>
      </c>
      <c r="D623" s="89">
        <v>0</v>
      </c>
      <c r="E623" s="111"/>
      <c r="F623" s="89">
        <v>0</v>
      </c>
      <c r="G623" s="89">
        <v>0</v>
      </c>
      <c r="H623" s="89">
        <v>0</v>
      </c>
      <c r="I623" s="89">
        <v>0</v>
      </c>
      <c r="J623" s="710">
        <f>(VLOOKUP($C623,[2]Sheet1!$A$2:$P$18,$M623+1)/12)*12*D623</f>
        <v>0</v>
      </c>
      <c r="K623" s="711"/>
      <c r="M623" s="62">
        <f t="shared" si="47"/>
        <v>5</v>
      </c>
    </row>
    <row r="624" spans="1:13">
      <c r="A624" s="120">
        <f t="shared" si="48"/>
        <v>8</v>
      </c>
      <c r="B624" s="121" t="s">
        <v>2403</v>
      </c>
      <c r="C624" s="121">
        <v>6</v>
      </c>
      <c r="D624" s="89">
        <v>0</v>
      </c>
      <c r="E624" s="111"/>
      <c r="F624" s="89">
        <v>0</v>
      </c>
      <c r="G624" s="89">
        <v>0</v>
      </c>
      <c r="H624" s="89">
        <v>0</v>
      </c>
      <c r="I624" s="89">
        <v>0</v>
      </c>
      <c r="J624" s="710">
        <f>(VLOOKUP($C624,[2]Sheet1!$A$2:$P$18,$M624+1)/12)*12*D624</f>
        <v>0</v>
      </c>
      <c r="K624" s="711"/>
      <c r="M624" s="62">
        <f t="shared" si="47"/>
        <v>5</v>
      </c>
    </row>
    <row r="625" spans="1:13">
      <c r="A625" s="120">
        <f t="shared" si="48"/>
        <v>9</v>
      </c>
      <c r="B625" s="121" t="s">
        <v>2556</v>
      </c>
      <c r="C625" s="121">
        <v>3</v>
      </c>
      <c r="D625" s="89">
        <v>0</v>
      </c>
      <c r="E625" s="111">
        <v>0</v>
      </c>
      <c r="F625" s="89">
        <v>0</v>
      </c>
      <c r="G625" s="89">
        <v>0</v>
      </c>
      <c r="H625" s="89">
        <v>0</v>
      </c>
      <c r="I625" s="89">
        <v>0</v>
      </c>
      <c r="J625" s="710">
        <f>(VLOOKUP($C625,[2]Sheet1!$A$2:$P$18,$M625+1)/12)*12*D625</f>
        <v>0</v>
      </c>
      <c r="K625" s="711"/>
      <c r="M625" s="62">
        <f t="shared" si="47"/>
        <v>5</v>
      </c>
    </row>
    <row r="626" spans="1:13">
      <c r="A626" s="120">
        <f t="shared" si="48"/>
        <v>10</v>
      </c>
      <c r="B626" s="121" t="s">
        <v>2361</v>
      </c>
      <c r="C626" s="121">
        <v>4</v>
      </c>
      <c r="D626" s="89">
        <v>0</v>
      </c>
      <c r="E626" s="111">
        <v>0</v>
      </c>
      <c r="F626" s="89">
        <v>0</v>
      </c>
      <c r="G626" s="89">
        <v>0</v>
      </c>
      <c r="H626" s="89">
        <v>0</v>
      </c>
      <c r="I626" s="89">
        <v>0</v>
      </c>
      <c r="J626" s="710">
        <f>(VLOOKUP($C626,[2]Sheet1!$A$2:$P$18,$M626+1)/12)*12*D626</f>
        <v>0</v>
      </c>
      <c r="K626" s="711"/>
      <c r="M626" s="62">
        <f t="shared" si="47"/>
        <v>5</v>
      </c>
    </row>
    <row r="627" spans="1:13">
      <c r="A627" s="120">
        <f t="shared" si="48"/>
        <v>11</v>
      </c>
      <c r="B627" s="121" t="s">
        <v>2439</v>
      </c>
      <c r="C627" s="121">
        <v>2</v>
      </c>
      <c r="D627" s="89">
        <v>0</v>
      </c>
      <c r="E627" s="111"/>
      <c r="F627" s="89">
        <v>0</v>
      </c>
      <c r="G627" s="89">
        <v>0</v>
      </c>
      <c r="H627" s="89">
        <v>0</v>
      </c>
      <c r="I627" s="89">
        <v>0</v>
      </c>
      <c r="J627" s="710">
        <f>(VLOOKUP($C627,[2]Sheet1!$A$2:$P$18,$M627+1)/12)*12*D627</f>
        <v>0</v>
      </c>
      <c r="K627" s="711"/>
      <c r="M627" s="62">
        <f t="shared" si="47"/>
        <v>5</v>
      </c>
    </row>
    <row r="628" spans="1:13">
      <c r="A628" s="120">
        <f t="shared" si="48"/>
        <v>12</v>
      </c>
      <c r="B628" s="121" t="s">
        <v>2544</v>
      </c>
      <c r="C628" s="121">
        <v>4</v>
      </c>
      <c r="D628" s="89">
        <v>0</v>
      </c>
      <c r="E628" s="111"/>
      <c r="F628" s="89">
        <v>0</v>
      </c>
      <c r="G628" s="89">
        <v>0</v>
      </c>
      <c r="H628" s="89">
        <v>0</v>
      </c>
      <c r="I628" s="89">
        <v>0</v>
      </c>
      <c r="J628" s="710">
        <f>(VLOOKUP($C628,[2]Sheet1!$A$2:$P$18,$M628+1)/12)*12*D628</f>
        <v>0</v>
      </c>
      <c r="K628" s="711"/>
      <c r="M628" s="62">
        <f t="shared" si="47"/>
        <v>5</v>
      </c>
    </row>
    <row r="629" spans="1:13">
      <c r="A629" s="120">
        <f t="shared" si="48"/>
        <v>13</v>
      </c>
      <c r="B629" s="121" t="s">
        <v>2181</v>
      </c>
      <c r="C629" s="121">
        <v>3</v>
      </c>
      <c r="D629" s="89">
        <v>0</v>
      </c>
      <c r="E629" s="111"/>
      <c r="F629" s="89">
        <v>0</v>
      </c>
      <c r="G629" s="89">
        <v>0</v>
      </c>
      <c r="H629" s="89">
        <v>0</v>
      </c>
      <c r="I629" s="89">
        <v>0</v>
      </c>
      <c r="J629" s="710">
        <f>(VLOOKUP($C629,[2]Sheet1!$A$2:$P$18,$M629+1)/12)*12*D629</f>
        <v>0</v>
      </c>
      <c r="K629" s="711"/>
      <c r="M629" s="62">
        <f t="shared" si="47"/>
        <v>5</v>
      </c>
    </row>
    <row r="630" spans="1:13">
      <c r="A630" s="120">
        <f t="shared" si="48"/>
        <v>14</v>
      </c>
      <c r="B630" s="121" t="s">
        <v>2364</v>
      </c>
      <c r="C630" s="121">
        <v>2</v>
      </c>
      <c r="D630" s="89">
        <v>0</v>
      </c>
      <c r="E630" s="111">
        <v>1</v>
      </c>
      <c r="F630" s="89">
        <v>0</v>
      </c>
      <c r="G630" s="89">
        <v>0</v>
      </c>
      <c r="H630" s="89">
        <v>0</v>
      </c>
      <c r="I630" s="89">
        <v>0</v>
      </c>
      <c r="J630" s="710">
        <f>(VLOOKUP($C630,[2]Sheet1!$A$2:$P$18,$M630+1)/12)*12*D630</f>
        <v>0</v>
      </c>
      <c r="K630" s="711"/>
      <c r="M630" s="62">
        <f t="shared" si="47"/>
        <v>5</v>
      </c>
    </row>
    <row r="631" spans="1:13">
      <c r="A631" s="120">
        <f t="shared" si="48"/>
        <v>15</v>
      </c>
      <c r="B631" s="121" t="s">
        <v>3452</v>
      </c>
      <c r="C631" s="121">
        <v>2</v>
      </c>
      <c r="D631" s="89">
        <v>3</v>
      </c>
      <c r="E631" s="111">
        <v>3</v>
      </c>
      <c r="F631" s="89">
        <v>3</v>
      </c>
      <c r="G631" s="89">
        <v>3</v>
      </c>
      <c r="H631" s="89">
        <v>3</v>
      </c>
      <c r="I631" s="89">
        <v>3</v>
      </c>
      <c r="J631" s="710">
        <f>(VLOOKUP($C631,[2]Sheet1!$A$2:$P$18,$M631+1)/12)*12*D631</f>
        <v>643972.13679109514</v>
      </c>
      <c r="K631" s="711"/>
      <c r="M631" s="62">
        <f t="shared" si="47"/>
        <v>5</v>
      </c>
    </row>
    <row r="632" spans="1:13">
      <c r="A632" s="120">
        <f t="shared" si="48"/>
        <v>16</v>
      </c>
      <c r="B632" s="121" t="s">
        <v>952</v>
      </c>
      <c r="C632" s="121">
        <v>2</v>
      </c>
      <c r="D632" s="89">
        <v>0</v>
      </c>
      <c r="E632" s="111">
        <v>1</v>
      </c>
      <c r="F632" s="89">
        <v>0</v>
      </c>
      <c r="G632" s="89">
        <v>0</v>
      </c>
      <c r="H632" s="89">
        <v>0</v>
      </c>
      <c r="I632" s="89">
        <v>0</v>
      </c>
      <c r="J632" s="710">
        <f>(VLOOKUP($C632,[2]Sheet1!$A$2:$P$18,$M632+1)/12)*12*D632</f>
        <v>0</v>
      </c>
      <c r="K632" s="711"/>
      <c r="M632" s="62">
        <f t="shared" si="47"/>
        <v>5</v>
      </c>
    </row>
    <row r="633" spans="1:13">
      <c r="A633" s="120">
        <f t="shared" si="48"/>
        <v>17</v>
      </c>
      <c r="B633" s="121" t="s">
        <v>2171</v>
      </c>
      <c r="C633" s="121">
        <v>2</v>
      </c>
      <c r="D633" s="89">
        <v>2</v>
      </c>
      <c r="E633" s="111">
        <v>2</v>
      </c>
      <c r="F633" s="89">
        <v>2</v>
      </c>
      <c r="G633" s="89">
        <v>2</v>
      </c>
      <c r="H633" s="89">
        <v>2</v>
      </c>
      <c r="I633" s="89">
        <v>2</v>
      </c>
      <c r="J633" s="710">
        <f>(VLOOKUP($C633,[2]Sheet1!$A$2:$P$18,$M633+1)/12)*12*D633</f>
        <v>429314.75786073005</v>
      </c>
      <c r="K633" s="711"/>
      <c r="M633" s="62">
        <f t="shared" si="47"/>
        <v>5</v>
      </c>
    </row>
    <row r="634" spans="1:13">
      <c r="A634" s="120">
        <f t="shared" si="48"/>
        <v>18</v>
      </c>
      <c r="B634" s="121" t="s">
        <v>2172</v>
      </c>
      <c r="C634" s="121">
        <v>1</v>
      </c>
      <c r="D634" s="89">
        <v>0</v>
      </c>
      <c r="E634" s="111">
        <v>0</v>
      </c>
      <c r="F634" s="89">
        <v>0</v>
      </c>
      <c r="G634" s="89">
        <v>0</v>
      </c>
      <c r="H634" s="89">
        <v>0</v>
      </c>
      <c r="I634" s="89">
        <v>0</v>
      </c>
      <c r="J634" s="710">
        <f>(VLOOKUP($C634,[2]Sheet1!$A$2:$P$18,$M634+1)/12)*12*D634</f>
        <v>0</v>
      </c>
      <c r="K634" s="711"/>
      <c r="M634" s="62">
        <f t="shared" si="47"/>
        <v>5</v>
      </c>
    </row>
    <row r="635" spans="1:13">
      <c r="A635" s="120">
        <f t="shared" si="48"/>
        <v>19</v>
      </c>
      <c r="B635" s="121" t="s">
        <v>2563</v>
      </c>
      <c r="C635" s="121">
        <v>7</v>
      </c>
      <c r="D635" s="89">
        <v>0</v>
      </c>
      <c r="E635" s="111">
        <v>0</v>
      </c>
      <c r="F635" s="89">
        <v>0</v>
      </c>
      <c r="G635" s="89">
        <v>0</v>
      </c>
      <c r="H635" s="89">
        <v>0</v>
      </c>
      <c r="I635" s="89">
        <v>0</v>
      </c>
      <c r="J635" s="710">
        <f>(VLOOKUP($C635,[2]Sheet1!$A$2:$P$18,$M635+1)/12)*12*D635</f>
        <v>0</v>
      </c>
      <c r="K635" s="711"/>
      <c r="M635" s="62">
        <f t="shared" si="47"/>
        <v>3</v>
      </c>
    </row>
    <row r="636" spans="1:13">
      <c r="A636" s="120">
        <f t="shared" si="48"/>
        <v>20</v>
      </c>
      <c r="B636" s="121" t="s">
        <v>3453</v>
      </c>
      <c r="C636" s="121">
        <v>6</v>
      </c>
      <c r="D636" s="89">
        <v>0</v>
      </c>
      <c r="E636" s="111">
        <v>0</v>
      </c>
      <c r="F636" s="89">
        <v>0</v>
      </c>
      <c r="G636" s="89">
        <v>0</v>
      </c>
      <c r="H636" s="89">
        <v>0</v>
      </c>
      <c r="I636" s="89">
        <v>0</v>
      </c>
      <c r="J636" s="710">
        <f>(VLOOKUP($C636,[2]Sheet1!$A$2:$P$18,$M636+1)/12)*12*D636</f>
        <v>0</v>
      </c>
      <c r="K636" s="711"/>
      <c r="M636" s="62">
        <f t="shared" si="47"/>
        <v>5</v>
      </c>
    </row>
    <row r="637" spans="1:13">
      <c r="A637" s="120">
        <f t="shared" si="48"/>
        <v>21</v>
      </c>
      <c r="B637" s="121" t="s">
        <v>3454</v>
      </c>
      <c r="C637" s="121">
        <v>5</v>
      </c>
      <c r="D637" s="89">
        <v>0</v>
      </c>
      <c r="E637" s="111">
        <v>0</v>
      </c>
      <c r="F637" s="89">
        <v>0</v>
      </c>
      <c r="G637" s="89">
        <v>0</v>
      </c>
      <c r="H637" s="89">
        <v>0</v>
      </c>
      <c r="I637" s="89">
        <v>0</v>
      </c>
      <c r="J637" s="710">
        <f>(VLOOKUP($C637,[2]Sheet1!$A$2:$P$18,$M637+1)/12)*12*D637</f>
        <v>0</v>
      </c>
      <c r="K637" s="711"/>
      <c r="M637" s="62">
        <f t="shared" si="47"/>
        <v>5</v>
      </c>
    </row>
    <row r="638" spans="1:13">
      <c r="A638" s="120">
        <f t="shared" si="48"/>
        <v>22</v>
      </c>
      <c r="B638" s="121" t="s">
        <v>3455</v>
      </c>
      <c r="C638" s="121">
        <v>4</v>
      </c>
      <c r="D638" s="89">
        <v>0</v>
      </c>
      <c r="E638" s="111">
        <v>0</v>
      </c>
      <c r="F638" s="89">
        <v>0</v>
      </c>
      <c r="G638" s="89">
        <v>0</v>
      </c>
      <c r="H638" s="89">
        <v>0</v>
      </c>
      <c r="I638" s="89">
        <v>0</v>
      </c>
      <c r="J638" s="710">
        <f>(VLOOKUP($C638,[2]Sheet1!$A$2:$P$18,$M638+1)/12)*12*D638</f>
        <v>0</v>
      </c>
      <c r="K638" s="711"/>
      <c r="M638" s="62">
        <f t="shared" si="47"/>
        <v>5</v>
      </c>
    </row>
    <row r="639" spans="1:13">
      <c r="A639" s="120">
        <f t="shared" si="48"/>
        <v>23</v>
      </c>
      <c r="B639" s="121" t="s">
        <v>3456</v>
      </c>
      <c r="C639" s="121">
        <v>3</v>
      </c>
      <c r="D639" s="89">
        <v>0</v>
      </c>
      <c r="E639" s="111">
        <v>0</v>
      </c>
      <c r="F639" s="89">
        <v>0</v>
      </c>
      <c r="G639" s="89">
        <v>0</v>
      </c>
      <c r="H639" s="89">
        <v>0</v>
      </c>
      <c r="I639" s="89">
        <v>0</v>
      </c>
      <c r="J639" s="710">
        <f>(VLOOKUP($C639,[2]Sheet1!$A$2:$P$18,$M639+1)/12)*12*D639</f>
        <v>0</v>
      </c>
      <c r="K639" s="711"/>
      <c r="M639" s="62">
        <f t="shared" si="47"/>
        <v>5</v>
      </c>
    </row>
    <row r="640" spans="1:13">
      <c r="A640" s="120">
        <f t="shared" si="48"/>
        <v>24</v>
      </c>
      <c r="B640" s="121" t="s">
        <v>486</v>
      </c>
      <c r="C640" s="121">
        <v>7</v>
      </c>
      <c r="D640" s="89">
        <v>0</v>
      </c>
      <c r="E640" s="111">
        <v>0</v>
      </c>
      <c r="F640" s="89">
        <v>0</v>
      </c>
      <c r="G640" s="89">
        <v>0</v>
      </c>
      <c r="H640" s="89">
        <v>0</v>
      </c>
      <c r="I640" s="89">
        <v>0</v>
      </c>
      <c r="J640" s="710">
        <f>(VLOOKUP($C640,[2]Sheet1!$A$2:$P$18,$M640+1)/12)*12*D640</f>
        <v>0</v>
      </c>
      <c r="K640" s="711"/>
      <c r="M640" s="62">
        <f t="shared" si="47"/>
        <v>3</v>
      </c>
    </row>
    <row r="641" spans="1:13">
      <c r="A641" s="120"/>
      <c r="B641" s="128" t="s">
        <v>1253</v>
      </c>
      <c r="C641" s="121"/>
      <c r="D641" s="89"/>
      <c r="E641" s="111"/>
      <c r="F641" s="89"/>
      <c r="G641" s="89"/>
      <c r="H641" s="89"/>
      <c r="I641" s="89"/>
      <c r="J641" s="710"/>
      <c r="K641" s="711"/>
      <c r="M641" s="62">
        <f t="shared" si="47"/>
        <v>5</v>
      </c>
    </row>
    <row r="642" spans="1:13">
      <c r="A642" s="120">
        <f>+A640+1</f>
        <v>25</v>
      </c>
      <c r="B642" s="121" t="s">
        <v>3532</v>
      </c>
      <c r="C642" s="121">
        <v>16</v>
      </c>
      <c r="D642" s="89">
        <v>0</v>
      </c>
      <c r="E642" s="111">
        <v>0</v>
      </c>
      <c r="F642" s="89">
        <v>0</v>
      </c>
      <c r="G642" s="89">
        <v>0</v>
      </c>
      <c r="H642" s="89">
        <v>0</v>
      </c>
      <c r="I642" s="89">
        <v>0</v>
      </c>
      <c r="J642" s="710">
        <f>(VLOOKUP($C642,[2]Sheet1!$A$2:$P$18,$M642+1)/12)*12*D642</f>
        <v>0</v>
      </c>
      <c r="K642" s="711"/>
      <c r="M642" s="62">
        <f t="shared" si="47"/>
        <v>3</v>
      </c>
    </row>
    <row r="643" spans="1:13">
      <c r="A643" s="120">
        <f t="shared" ref="A643:A674" si="49">+A642+1</f>
        <v>26</v>
      </c>
      <c r="B643" s="121" t="s">
        <v>1099</v>
      </c>
      <c r="C643" s="121">
        <v>15</v>
      </c>
      <c r="D643" s="89">
        <v>0</v>
      </c>
      <c r="E643" s="111">
        <v>1</v>
      </c>
      <c r="F643" s="89">
        <v>0</v>
      </c>
      <c r="G643" s="89">
        <v>0</v>
      </c>
      <c r="H643" s="89">
        <v>0</v>
      </c>
      <c r="I643" s="89">
        <v>0</v>
      </c>
      <c r="J643" s="710">
        <f>(VLOOKUP($C643,[2]Sheet1!$A$2:$P$18,$M643+1)/12)*12*D643</f>
        <v>0</v>
      </c>
      <c r="K643" s="711"/>
      <c r="M643" s="62">
        <f t="shared" si="47"/>
        <v>3</v>
      </c>
    </row>
    <row r="644" spans="1:13">
      <c r="A644" s="120">
        <f t="shared" si="49"/>
        <v>27</v>
      </c>
      <c r="B644" s="121" t="s">
        <v>3533</v>
      </c>
      <c r="C644" s="121">
        <v>14</v>
      </c>
      <c r="D644" s="89">
        <v>1</v>
      </c>
      <c r="E644" s="111">
        <v>1</v>
      </c>
      <c r="F644" s="89">
        <v>1</v>
      </c>
      <c r="G644" s="89">
        <v>1</v>
      </c>
      <c r="H644" s="89">
        <v>1</v>
      </c>
      <c r="I644" s="89">
        <v>1</v>
      </c>
      <c r="J644" s="710">
        <f>(VLOOKUP($C644,[2]Sheet1!$A$2:$P$18,$M644+1)/12)*12*D644</f>
        <v>669099.40824000002</v>
      </c>
      <c r="K644" s="711"/>
      <c r="M644" s="62">
        <f t="shared" si="47"/>
        <v>3</v>
      </c>
    </row>
    <row r="645" spans="1:13">
      <c r="A645" s="120">
        <f t="shared" si="49"/>
        <v>28</v>
      </c>
      <c r="B645" s="121" t="s">
        <v>1100</v>
      </c>
      <c r="C645" s="121">
        <v>12</v>
      </c>
      <c r="D645" s="89">
        <v>0</v>
      </c>
      <c r="E645" s="111">
        <v>0</v>
      </c>
      <c r="F645" s="89">
        <v>0</v>
      </c>
      <c r="G645" s="89">
        <v>0</v>
      </c>
      <c r="H645" s="89">
        <v>0</v>
      </c>
      <c r="I645" s="89">
        <v>0</v>
      </c>
      <c r="J645" s="710">
        <f>(VLOOKUP($C645,[2]Sheet1!$A$2:$P$18,$M645+1)/12)*12*D645</f>
        <v>0</v>
      </c>
      <c r="K645" s="711"/>
      <c r="M645" s="62">
        <f t="shared" si="47"/>
        <v>3</v>
      </c>
    </row>
    <row r="646" spans="1:13">
      <c r="A646" s="120">
        <f t="shared" si="49"/>
        <v>29</v>
      </c>
      <c r="B646" s="121" t="s">
        <v>1728</v>
      </c>
      <c r="C646" s="121">
        <v>12</v>
      </c>
      <c r="D646" s="89">
        <v>0</v>
      </c>
      <c r="E646" s="111">
        <v>0</v>
      </c>
      <c r="F646" s="89">
        <v>0</v>
      </c>
      <c r="G646" s="89">
        <v>0</v>
      </c>
      <c r="H646" s="89">
        <v>0</v>
      </c>
      <c r="I646" s="89">
        <v>0</v>
      </c>
      <c r="J646" s="710">
        <f>(VLOOKUP($C646,[2]Sheet1!$A$2:$P$18,$M646+1)/12)*12*D646</f>
        <v>0</v>
      </c>
      <c r="K646" s="711"/>
      <c r="M646" s="62">
        <f t="shared" si="47"/>
        <v>3</v>
      </c>
    </row>
    <row r="647" spans="1:13">
      <c r="A647" s="120">
        <f t="shared" si="49"/>
        <v>30</v>
      </c>
      <c r="B647" s="121" t="s">
        <v>1658</v>
      </c>
      <c r="C647" s="121">
        <v>12</v>
      </c>
      <c r="D647" s="89">
        <v>0</v>
      </c>
      <c r="E647" s="111">
        <v>0</v>
      </c>
      <c r="F647" s="89">
        <v>0</v>
      </c>
      <c r="G647" s="89">
        <v>0</v>
      </c>
      <c r="H647" s="89">
        <v>0</v>
      </c>
      <c r="I647" s="89">
        <v>0</v>
      </c>
      <c r="J647" s="710">
        <f>(VLOOKUP($C647,[2]Sheet1!$A$2:$P$18,$M647+1)/12)*12*D647</f>
        <v>0</v>
      </c>
      <c r="K647" s="711"/>
      <c r="M647" s="62">
        <f t="shared" si="47"/>
        <v>3</v>
      </c>
    </row>
    <row r="648" spans="1:13">
      <c r="A648" s="120">
        <f t="shared" si="49"/>
        <v>31</v>
      </c>
      <c r="B648" s="121" t="s">
        <v>1659</v>
      </c>
      <c r="C648" s="121">
        <v>10</v>
      </c>
      <c r="D648" s="89">
        <v>0</v>
      </c>
      <c r="E648" s="111">
        <v>0</v>
      </c>
      <c r="F648" s="89">
        <v>0</v>
      </c>
      <c r="G648" s="89">
        <v>0</v>
      </c>
      <c r="H648" s="89">
        <v>0</v>
      </c>
      <c r="I648" s="89">
        <v>0</v>
      </c>
      <c r="J648" s="710">
        <f>(VLOOKUP($C648,[2]Sheet1!$A$2:$P$18,$M648+1)/12)*12*D648</f>
        <v>0</v>
      </c>
      <c r="K648" s="711"/>
      <c r="M648" s="62">
        <f t="shared" si="47"/>
        <v>3</v>
      </c>
    </row>
    <row r="649" spans="1:13">
      <c r="A649" s="120">
        <f t="shared" si="49"/>
        <v>32</v>
      </c>
      <c r="B649" s="121" t="s">
        <v>1660</v>
      </c>
      <c r="C649" s="121">
        <v>10</v>
      </c>
      <c r="D649" s="89">
        <v>0</v>
      </c>
      <c r="E649" s="111">
        <v>0</v>
      </c>
      <c r="F649" s="89">
        <v>0</v>
      </c>
      <c r="G649" s="89">
        <v>0</v>
      </c>
      <c r="H649" s="89">
        <v>0</v>
      </c>
      <c r="I649" s="89">
        <v>0</v>
      </c>
      <c r="J649" s="710">
        <f>(VLOOKUP($C649,[2]Sheet1!$A$2:$P$18,$M649+1)/12)*12*D649</f>
        <v>0</v>
      </c>
      <c r="K649" s="711"/>
      <c r="M649" s="62">
        <f t="shared" si="47"/>
        <v>3</v>
      </c>
    </row>
    <row r="650" spans="1:13">
      <c r="A650" s="120">
        <f t="shared" si="49"/>
        <v>33</v>
      </c>
      <c r="B650" s="121" t="s">
        <v>2862</v>
      </c>
      <c r="C650" s="121">
        <v>10</v>
      </c>
      <c r="D650" s="89">
        <v>0</v>
      </c>
      <c r="E650" s="111">
        <v>0</v>
      </c>
      <c r="F650" s="89">
        <v>0</v>
      </c>
      <c r="G650" s="89">
        <v>0</v>
      </c>
      <c r="H650" s="89">
        <v>0</v>
      </c>
      <c r="I650" s="89">
        <v>0</v>
      </c>
      <c r="J650" s="710">
        <f>(VLOOKUP($C650,[2]Sheet1!$A$2:$P$18,$M650+1)/12)*12*D650</f>
        <v>0</v>
      </c>
      <c r="K650" s="711"/>
      <c r="M650" s="62">
        <f t="shared" si="47"/>
        <v>3</v>
      </c>
    </row>
    <row r="651" spans="1:13">
      <c r="A651" s="120">
        <f t="shared" si="49"/>
        <v>34</v>
      </c>
      <c r="B651" s="121" t="s">
        <v>2863</v>
      </c>
      <c r="C651" s="121">
        <v>8</v>
      </c>
      <c r="D651" s="89">
        <v>0</v>
      </c>
      <c r="E651" s="111">
        <v>0</v>
      </c>
      <c r="F651" s="89">
        <v>0</v>
      </c>
      <c r="G651" s="89">
        <v>0</v>
      </c>
      <c r="H651" s="89">
        <v>0</v>
      </c>
      <c r="I651" s="89">
        <v>0</v>
      </c>
      <c r="J651" s="710">
        <f>(VLOOKUP($C651,[2]Sheet1!$A$2:$P$18,$M651+1)/12)*12*D651</f>
        <v>0</v>
      </c>
      <c r="K651" s="711"/>
      <c r="M651" s="62">
        <f t="shared" si="47"/>
        <v>3</v>
      </c>
    </row>
    <row r="652" spans="1:13">
      <c r="A652" s="120">
        <f t="shared" si="49"/>
        <v>35</v>
      </c>
      <c r="B652" s="121" t="s">
        <v>2864</v>
      </c>
      <c r="C652" s="121">
        <v>8</v>
      </c>
      <c r="D652" s="89">
        <v>0</v>
      </c>
      <c r="E652" s="111">
        <v>0</v>
      </c>
      <c r="F652" s="89">
        <v>0</v>
      </c>
      <c r="G652" s="89">
        <v>0</v>
      </c>
      <c r="H652" s="89">
        <v>0</v>
      </c>
      <c r="I652" s="89">
        <v>0</v>
      </c>
      <c r="J652" s="710">
        <f>(VLOOKUP($C652,[2]Sheet1!$A$2:$P$18,$M652+1)/12)*12*D652</f>
        <v>0</v>
      </c>
      <c r="K652" s="711"/>
      <c r="M652" s="62">
        <f t="shared" si="47"/>
        <v>3</v>
      </c>
    </row>
    <row r="653" spans="1:13" ht="13.5" thickBot="1">
      <c r="A653" s="120">
        <f t="shared" si="49"/>
        <v>36</v>
      </c>
      <c r="B653" s="121" t="s">
        <v>658</v>
      </c>
      <c r="C653" s="121">
        <v>8</v>
      </c>
      <c r="D653" s="89">
        <v>0</v>
      </c>
      <c r="E653" s="111">
        <v>0</v>
      </c>
      <c r="F653" s="89">
        <v>0</v>
      </c>
      <c r="G653" s="89">
        <v>0</v>
      </c>
      <c r="H653" s="89">
        <v>0</v>
      </c>
      <c r="I653" s="89">
        <v>0</v>
      </c>
      <c r="J653" s="710">
        <f>(VLOOKUP($C653,[2]Sheet1!$A$2:$P$18,$M653+1)/12)*12*D653</f>
        <v>0</v>
      </c>
      <c r="K653" s="711"/>
      <c r="M653" s="62">
        <f t="shared" si="47"/>
        <v>3</v>
      </c>
    </row>
    <row r="654" spans="1:13" ht="15.75" thickTop="1">
      <c r="A654" s="1047" t="s">
        <v>2791</v>
      </c>
      <c r="B654" s="1049" t="s">
        <v>4126</v>
      </c>
      <c r="C654" s="1049" t="s">
        <v>854</v>
      </c>
      <c r="D654" s="1040" t="s">
        <v>4127</v>
      </c>
      <c r="E654" s="1041"/>
      <c r="F654" s="1041"/>
      <c r="G654" s="1040" t="s">
        <v>904</v>
      </c>
      <c r="H654" s="1041"/>
      <c r="I654" s="1042"/>
      <c r="J654" s="1035" t="s">
        <v>855</v>
      </c>
      <c r="K654" s="389"/>
    </row>
    <row r="655" spans="1:13" ht="26.25" thickBot="1">
      <c r="A655" s="1048"/>
      <c r="B655" s="1050"/>
      <c r="C655" s="1050"/>
      <c r="D655" s="285" t="s">
        <v>5505</v>
      </c>
      <c r="E655" s="285" t="s">
        <v>4485</v>
      </c>
      <c r="F655" s="285" t="s">
        <v>4486</v>
      </c>
      <c r="G655" s="287" t="s">
        <v>4487</v>
      </c>
      <c r="H655" s="285" t="s">
        <v>4488</v>
      </c>
      <c r="I655" s="287" t="s">
        <v>4489</v>
      </c>
      <c r="J655" s="1036"/>
      <c r="K655" s="712"/>
    </row>
    <row r="656" spans="1:13" ht="13.5" thickTop="1">
      <c r="A656" s="120">
        <f>+A653+1</f>
        <v>37</v>
      </c>
      <c r="B656" s="121" t="s">
        <v>659</v>
      </c>
      <c r="C656" s="121">
        <v>6</v>
      </c>
      <c r="D656" s="89">
        <v>0</v>
      </c>
      <c r="E656" s="111">
        <v>0</v>
      </c>
      <c r="F656" s="89">
        <v>0</v>
      </c>
      <c r="G656" s="89">
        <v>0</v>
      </c>
      <c r="H656" s="89">
        <v>0</v>
      </c>
      <c r="I656" s="89">
        <v>0</v>
      </c>
      <c r="J656" s="710">
        <f>(VLOOKUP($C656,[2]Sheet1!$A$2:$P$18,$M656+1)/12)*12*D656</f>
        <v>0</v>
      </c>
      <c r="K656" s="711"/>
      <c r="M656" s="62">
        <f>IF(C656&gt;6,3,5)</f>
        <v>5</v>
      </c>
    </row>
    <row r="657" spans="1:13">
      <c r="A657" s="120">
        <f>+A656+1</f>
        <v>38</v>
      </c>
      <c r="B657" s="121" t="s">
        <v>660</v>
      </c>
      <c r="C657" s="121">
        <v>6</v>
      </c>
      <c r="D657" s="89">
        <v>0</v>
      </c>
      <c r="E657" s="111">
        <v>0</v>
      </c>
      <c r="F657" s="89">
        <v>0</v>
      </c>
      <c r="G657" s="89">
        <v>0</v>
      </c>
      <c r="H657" s="89">
        <v>0</v>
      </c>
      <c r="I657" s="89">
        <v>0</v>
      </c>
      <c r="J657" s="710">
        <f>(VLOOKUP($C657,[2]Sheet1!$A$2:$P$18,$M657+1)/12)*12*D657</f>
        <v>0</v>
      </c>
      <c r="K657" s="711"/>
      <c r="M657" s="62">
        <f t="shared" si="47"/>
        <v>5</v>
      </c>
    </row>
    <row r="658" spans="1:13">
      <c r="A658" s="120">
        <f t="shared" si="49"/>
        <v>39</v>
      </c>
      <c r="B658" s="121" t="s">
        <v>661</v>
      </c>
      <c r="C658" s="121">
        <v>6</v>
      </c>
      <c r="D658" s="89">
        <v>0</v>
      </c>
      <c r="E658" s="111">
        <v>0</v>
      </c>
      <c r="F658" s="89">
        <v>0</v>
      </c>
      <c r="G658" s="89">
        <v>0</v>
      </c>
      <c r="H658" s="89">
        <v>0</v>
      </c>
      <c r="I658" s="89">
        <v>0</v>
      </c>
      <c r="J658" s="710">
        <f>(VLOOKUP($C658,[2]Sheet1!$A$2:$P$18,$M658+1)/12)*12*D658</f>
        <v>0</v>
      </c>
      <c r="K658" s="711"/>
      <c r="M658" s="62">
        <f t="shared" si="47"/>
        <v>5</v>
      </c>
    </row>
    <row r="659" spans="1:13" ht="18" customHeight="1">
      <c r="A659" s="120">
        <f t="shared" si="49"/>
        <v>40</v>
      </c>
      <c r="B659" s="121" t="s">
        <v>3740</v>
      </c>
      <c r="C659" s="121">
        <v>6</v>
      </c>
      <c r="D659" s="89">
        <v>0</v>
      </c>
      <c r="E659" s="111">
        <v>0</v>
      </c>
      <c r="F659" s="89">
        <v>0</v>
      </c>
      <c r="G659" s="89">
        <v>0</v>
      </c>
      <c r="H659" s="89">
        <v>0</v>
      </c>
      <c r="I659" s="89">
        <v>0</v>
      </c>
      <c r="J659" s="710">
        <f>(VLOOKUP($C659,[2]Sheet1!$A$2:$P$18,$M659+1)/12)*12*D659</f>
        <v>0</v>
      </c>
      <c r="K659" s="711"/>
      <c r="M659" s="62">
        <f t="shared" si="47"/>
        <v>5</v>
      </c>
    </row>
    <row r="660" spans="1:13">
      <c r="A660" s="120">
        <f t="shared" si="49"/>
        <v>41</v>
      </c>
      <c r="B660" s="121" t="s">
        <v>3741</v>
      </c>
      <c r="C660" s="121">
        <v>6</v>
      </c>
      <c r="D660" s="89">
        <v>0</v>
      </c>
      <c r="E660" s="111">
        <v>0</v>
      </c>
      <c r="F660" s="89">
        <v>0</v>
      </c>
      <c r="G660" s="89">
        <v>0</v>
      </c>
      <c r="H660" s="89">
        <v>0</v>
      </c>
      <c r="I660" s="89">
        <v>0</v>
      </c>
      <c r="J660" s="710">
        <f>(VLOOKUP($C660,[2]Sheet1!$A$2:$P$18,$M660+1)/12)*12*D660</f>
        <v>0</v>
      </c>
      <c r="K660" s="711"/>
      <c r="M660" s="62">
        <f t="shared" si="47"/>
        <v>5</v>
      </c>
    </row>
    <row r="661" spans="1:13">
      <c r="A661" s="120">
        <f t="shared" si="49"/>
        <v>42</v>
      </c>
      <c r="B661" s="121" t="s">
        <v>3896</v>
      </c>
      <c r="C661" s="121">
        <v>4</v>
      </c>
      <c r="D661" s="89">
        <v>0</v>
      </c>
      <c r="E661" s="111">
        <v>0</v>
      </c>
      <c r="F661" s="89">
        <v>0</v>
      </c>
      <c r="G661" s="89">
        <v>0</v>
      </c>
      <c r="H661" s="89">
        <v>0</v>
      </c>
      <c r="I661" s="89">
        <v>0</v>
      </c>
      <c r="J661" s="710">
        <f>(VLOOKUP($C661,[2]Sheet1!$A$2:$P$18,$M661+1)/12)*12*D661</f>
        <v>0</v>
      </c>
      <c r="K661" s="711"/>
      <c r="M661" s="62">
        <f t="shared" si="47"/>
        <v>5</v>
      </c>
    </row>
    <row r="662" spans="1:13">
      <c r="A662" s="120">
        <f t="shared" si="49"/>
        <v>43</v>
      </c>
      <c r="B662" s="121" t="s">
        <v>3742</v>
      </c>
      <c r="C662" s="121">
        <v>4</v>
      </c>
      <c r="D662" s="89">
        <v>0</v>
      </c>
      <c r="E662" s="111">
        <v>0</v>
      </c>
      <c r="F662" s="89">
        <v>0</v>
      </c>
      <c r="G662" s="89">
        <v>0</v>
      </c>
      <c r="H662" s="89">
        <v>0</v>
      </c>
      <c r="I662" s="89">
        <v>0</v>
      </c>
      <c r="J662" s="710">
        <f>(VLOOKUP($C662,[2]Sheet1!$A$2:$P$18,$M662+1)/12)*12*D662</f>
        <v>0</v>
      </c>
      <c r="K662" s="711"/>
      <c r="M662" s="62">
        <f t="shared" si="47"/>
        <v>5</v>
      </c>
    </row>
    <row r="663" spans="1:13">
      <c r="A663" s="120">
        <f t="shared" si="49"/>
        <v>44</v>
      </c>
      <c r="B663" s="121" t="s">
        <v>3843</v>
      </c>
      <c r="C663" s="121">
        <v>2</v>
      </c>
      <c r="D663" s="89">
        <v>0</v>
      </c>
      <c r="E663" s="111">
        <v>0</v>
      </c>
      <c r="F663" s="89">
        <v>0</v>
      </c>
      <c r="G663" s="89">
        <v>0</v>
      </c>
      <c r="H663" s="89">
        <v>0</v>
      </c>
      <c r="I663" s="89">
        <v>0</v>
      </c>
      <c r="J663" s="710">
        <f>(VLOOKUP($C663,[2]Sheet1!$A$2:$P$18,$M663+1)/12)*12*D663</f>
        <v>0</v>
      </c>
      <c r="K663" s="711"/>
      <c r="M663" s="62">
        <f t="shared" si="47"/>
        <v>5</v>
      </c>
    </row>
    <row r="664" spans="1:13">
      <c r="A664" s="120"/>
      <c r="B664" s="128" t="s">
        <v>3727</v>
      </c>
      <c r="C664" s="121"/>
      <c r="D664" s="89"/>
      <c r="E664" s="111"/>
      <c r="F664" s="89"/>
      <c r="G664" s="89"/>
      <c r="H664" s="89"/>
      <c r="I664" s="89"/>
      <c r="J664" s="710"/>
      <c r="K664" s="711"/>
      <c r="M664" s="62">
        <f t="shared" si="47"/>
        <v>5</v>
      </c>
    </row>
    <row r="665" spans="1:13">
      <c r="A665" s="120">
        <f>+A663+1</f>
        <v>45</v>
      </c>
      <c r="B665" s="121" t="s">
        <v>3532</v>
      </c>
      <c r="C665" s="121">
        <v>16</v>
      </c>
      <c r="D665" s="89">
        <v>0</v>
      </c>
      <c r="E665" s="111">
        <v>1</v>
      </c>
      <c r="F665" s="89">
        <v>0</v>
      </c>
      <c r="G665" s="89">
        <v>0</v>
      </c>
      <c r="H665" s="89">
        <v>1</v>
      </c>
      <c r="I665" s="89">
        <v>0</v>
      </c>
      <c r="J665" s="710">
        <f>(VLOOKUP($C665,[2]Sheet1!$A$2:$P$18,$M665+1)/12)*12*D665</f>
        <v>0</v>
      </c>
      <c r="K665" s="711"/>
      <c r="M665" s="62">
        <f t="shared" si="47"/>
        <v>3</v>
      </c>
    </row>
    <row r="666" spans="1:13">
      <c r="A666" s="120">
        <f t="shared" si="49"/>
        <v>46</v>
      </c>
      <c r="B666" s="121" t="s">
        <v>1099</v>
      </c>
      <c r="C666" s="121">
        <v>15</v>
      </c>
      <c r="D666" s="89">
        <v>1</v>
      </c>
      <c r="E666" s="111">
        <v>1</v>
      </c>
      <c r="F666" s="89">
        <v>1</v>
      </c>
      <c r="G666" s="89">
        <v>1</v>
      </c>
      <c r="H666" s="89">
        <v>1</v>
      </c>
      <c r="I666" s="89">
        <v>1</v>
      </c>
      <c r="J666" s="710">
        <f>(VLOOKUP($C666,[2]Sheet1!$A$2:$P$18,$M666+1)/12)*12*D666</f>
        <v>658331.89992</v>
      </c>
      <c r="K666" s="711"/>
      <c r="M666" s="62">
        <f t="shared" si="47"/>
        <v>3</v>
      </c>
    </row>
    <row r="667" spans="1:13">
      <c r="A667" s="120">
        <f t="shared" si="49"/>
        <v>47</v>
      </c>
      <c r="B667" s="121" t="s">
        <v>3533</v>
      </c>
      <c r="C667" s="121">
        <v>14</v>
      </c>
      <c r="D667" s="89">
        <v>1</v>
      </c>
      <c r="E667" s="111">
        <v>1</v>
      </c>
      <c r="F667" s="89">
        <v>1</v>
      </c>
      <c r="G667" s="89">
        <v>1</v>
      </c>
      <c r="H667" s="89">
        <v>1</v>
      </c>
      <c r="I667" s="89">
        <v>1</v>
      </c>
      <c r="J667" s="710">
        <f>(VLOOKUP($C667,[2]Sheet1!$A$2:$P$18,$M667+1)/12)*12*D667</f>
        <v>669099.40824000002</v>
      </c>
      <c r="K667" s="711"/>
      <c r="M667" s="62">
        <f t="shared" si="47"/>
        <v>3</v>
      </c>
    </row>
    <row r="668" spans="1:13">
      <c r="A668" s="120">
        <f t="shared" si="49"/>
        <v>48</v>
      </c>
      <c r="B668" s="121" t="s">
        <v>3728</v>
      </c>
      <c r="C668" s="121">
        <v>13</v>
      </c>
      <c r="D668" s="89">
        <v>1</v>
      </c>
      <c r="E668" s="111">
        <v>1</v>
      </c>
      <c r="F668" s="89">
        <v>1</v>
      </c>
      <c r="G668" s="89">
        <v>1</v>
      </c>
      <c r="H668" s="89">
        <v>1</v>
      </c>
      <c r="I668" s="89">
        <v>1</v>
      </c>
      <c r="J668" s="710">
        <f>(VLOOKUP($C668,[2]Sheet1!$A$2:$P$18,$M668+1)/12)*12*D668</f>
        <v>628759.53804000001</v>
      </c>
      <c r="K668" s="711"/>
      <c r="M668" s="62">
        <f t="shared" si="47"/>
        <v>3</v>
      </c>
    </row>
    <row r="669" spans="1:13">
      <c r="A669" s="120">
        <f t="shared" si="49"/>
        <v>49</v>
      </c>
      <c r="B669" s="121" t="s">
        <v>2523</v>
      </c>
      <c r="C669" s="121">
        <v>12</v>
      </c>
      <c r="D669" s="89">
        <v>1</v>
      </c>
      <c r="E669" s="111">
        <v>1</v>
      </c>
      <c r="F669" s="89">
        <v>1</v>
      </c>
      <c r="G669" s="89">
        <v>1</v>
      </c>
      <c r="H669" s="89">
        <v>1</v>
      </c>
      <c r="I669" s="89">
        <v>1</v>
      </c>
      <c r="J669" s="710">
        <f>(VLOOKUP($C669,[2]Sheet1!$A$2:$P$18,$M669+1)/12)*12*D669</f>
        <v>552685.0537200002</v>
      </c>
      <c r="K669" s="711"/>
      <c r="M669" s="62">
        <f t="shared" si="47"/>
        <v>3</v>
      </c>
    </row>
    <row r="670" spans="1:13">
      <c r="A670" s="120">
        <f t="shared" si="49"/>
        <v>50</v>
      </c>
      <c r="B670" s="121" t="s">
        <v>2524</v>
      </c>
      <c r="C670" s="121">
        <v>12</v>
      </c>
      <c r="D670" s="89">
        <v>1</v>
      </c>
      <c r="E670" s="111">
        <v>1</v>
      </c>
      <c r="F670" s="89">
        <v>1</v>
      </c>
      <c r="G670" s="89">
        <v>1</v>
      </c>
      <c r="H670" s="89">
        <v>1</v>
      </c>
      <c r="I670" s="89">
        <v>1</v>
      </c>
      <c r="J670" s="710">
        <f>(VLOOKUP($C670,[2]Sheet1!$A$2:$P$18,$M670+1)/12)*12*D670</f>
        <v>552685.0537200002</v>
      </c>
      <c r="K670" s="711"/>
      <c r="M670" s="62">
        <f t="shared" si="47"/>
        <v>3</v>
      </c>
    </row>
    <row r="671" spans="1:13">
      <c r="A671" s="120">
        <f t="shared" si="49"/>
        <v>51</v>
      </c>
      <c r="B671" s="121" t="s">
        <v>2525</v>
      </c>
      <c r="C671" s="121">
        <v>9</v>
      </c>
      <c r="D671" s="89">
        <v>1</v>
      </c>
      <c r="E671" s="111">
        <v>1</v>
      </c>
      <c r="F671" s="89">
        <v>1</v>
      </c>
      <c r="G671" s="89">
        <v>1</v>
      </c>
      <c r="H671" s="89">
        <v>1</v>
      </c>
      <c r="I671" s="89">
        <v>1</v>
      </c>
      <c r="J671" s="710">
        <f>(VLOOKUP($C671,[2]Sheet1!$A$2:$P$18,$M671+1)/12)*12*D671</f>
        <v>409681.90619999997</v>
      </c>
      <c r="K671" s="711"/>
      <c r="M671" s="62">
        <f t="shared" si="47"/>
        <v>3</v>
      </c>
    </row>
    <row r="672" spans="1:13">
      <c r="A672" s="120">
        <f t="shared" si="49"/>
        <v>52</v>
      </c>
      <c r="B672" s="121" t="s">
        <v>2526</v>
      </c>
      <c r="C672" s="121">
        <v>8</v>
      </c>
      <c r="D672" s="89">
        <v>1</v>
      </c>
      <c r="E672" s="111">
        <v>1</v>
      </c>
      <c r="F672" s="89">
        <v>1</v>
      </c>
      <c r="G672" s="89">
        <v>1</v>
      </c>
      <c r="H672" s="89">
        <v>1</v>
      </c>
      <c r="I672" s="89">
        <v>1</v>
      </c>
      <c r="J672" s="710">
        <f>(VLOOKUP($C672,[2]Sheet1!$A$2:$P$18,$M672+1)/12)*12*D672</f>
        <v>342141.27408</v>
      </c>
      <c r="K672" s="711"/>
      <c r="M672" s="62">
        <f t="shared" si="47"/>
        <v>3</v>
      </c>
    </row>
    <row r="673" spans="1:13">
      <c r="A673" s="120">
        <f t="shared" si="49"/>
        <v>53</v>
      </c>
      <c r="B673" s="121" t="s">
        <v>1832</v>
      </c>
      <c r="C673" s="121">
        <v>6</v>
      </c>
      <c r="D673" s="89">
        <v>1</v>
      </c>
      <c r="E673" s="111">
        <v>1</v>
      </c>
      <c r="F673" s="89">
        <v>1</v>
      </c>
      <c r="G673" s="89">
        <v>1</v>
      </c>
      <c r="H673" s="89">
        <v>1</v>
      </c>
      <c r="I673" s="89">
        <v>1</v>
      </c>
      <c r="J673" s="710">
        <f>(VLOOKUP($C673,[2]Sheet1!$A$2:$P$18,$M673+1)/12)*12*D673</f>
        <v>238099.37893036497</v>
      </c>
      <c r="K673" s="711"/>
      <c r="M673" s="62">
        <f t="shared" si="47"/>
        <v>5</v>
      </c>
    </row>
    <row r="674" spans="1:13">
      <c r="A674" s="120">
        <f t="shared" si="49"/>
        <v>54</v>
      </c>
      <c r="B674" s="121" t="s">
        <v>2557</v>
      </c>
      <c r="C674" s="121">
        <v>10</v>
      </c>
      <c r="D674" s="89">
        <v>1</v>
      </c>
      <c r="E674" s="111">
        <v>1</v>
      </c>
      <c r="F674" s="89">
        <v>1</v>
      </c>
      <c r="G674" s="89">
        <v>1</v>
      </c>
      <c r="H674" s="89">
        <v>1</v>
      </c>
      <c r="I674" s="89">
        <v>1</v>
      </c>
      <c r="J674" s="710">
        <f>(VLOOKUP($C674,[2]Sheet1!$A$2:$P$18,$M674+1)/12)*12*D674</f>
        <v>483974.5687200001</v>
      </c>
      <c r="K674" s="711"/>
      <c r="M674" s="62">
        <f t="shared" si="47"/>
        <v>3</v>
      </c>
    </row>
    <row r="675" spans="1:13">
      <c r="A675" s="120"/>
      <c r="B675" s="128" t="s">
        <v>1382</v>
      </c>
      <c r="C675" s="121"/>
      <c r="D675" s="89"/>
      <c r="E675" s="111"/>
      <c r="F675" s="89"/>
      <c r="G675" s="89"/>
      <c r="H675" s="89"/>
      <c r="I675" s="89"/>
      <c r="J675" s="710"/>
      <c r="K675" s="711"/>
      <c r="M675" s="62">
        <f t="shared" si="47"/>
        <v>5</v>
      </c>
    </row>
    <row r="676" spans="1:13">
      <c r="A676" s="120">
        <f>+A674+1</f>
        <v>55</v>
      </c>
      <c r="B676" s="121" t="s">
        <v>3532</v>
      </c>
      <c r="C676" s="121">
        <v>16</v>
      </c>
      <c r="D676" s="89">
        <v>0</v>
      </c>
      <c r="E676" s="111">
        <v>0</v>
      </c>
      <c r="F676" s="89">
        <v>0</v>
      </c>
      <c r="G676" s="89">
        <v>0</v>
      </c>
      <c r="H676" s="89">
        <v>0</v>
      </c>
      <c r="I676" s="89">
        <v>0</v>
      </c>
      <c r="J676" s="710">
        <f>(VLOOKUP($C676,[2]Sheet1!$A$2:$P$18,$M676+1)/12)*12*D676</f>
        <v>0</v>
      </c>
      <c r="K676" s="711"/>
      <c r="M676" s="62">
        <f t="shared" si="47"/>
        <v>3</v>
      </c>
    </row>
    <row r="677" spans="1:13">
      <c r="A677" s="120">
        <f>+A676+1</f>
        <v>56</v>
      </c>
      <c r="B677" s="121" t="s">
        <v>1099</v>
      </c>
      <c r="C677" s="121">
        <v>15</v>
      </c>
      <c r="D677" s="89">
        <v>0</v>
      </c>
      <c r="E677" s="111">
        <v>0</v>
      </c>
      <c r="F677" s="89">
        <v>0</v>
      </c>
      <c r="G677" s="89">
        <v>0</v>
      </c>
      <c r="H677" s="89">
        <v>0</v>
      </c>
      <c r="I677" s="89">
        <v>0</v>
      </c>
      <c r="J677" s="710">
        <f>(VLOOKUP($C677,[2]Sheet1!$A$2:$P$18,$M677+1)/12)*12*D677</f>
        <v>0</v>
      </c>
      <c r="K677" s="711"/>
      <c r="M677" s="62">
        <f t="shared" si="47"/>
        <v>3</v>
      </c>
    </row>
    <row r="678" spans="1:13">
      <c r="A678" s="120">
        <f>+A677+1</f>
        <v>57</v>
      </c>
      <c r="B678" s="121" t="s">
        <v>3533</v>
      </c>
      <c r="C678" s="121">
        <v>14</v>
      </c>
      <c r="D678" s="89">
        <v>0</v>
      </c>
      <c r="E678" s="111">
        <v>0</v>
      </c>
      <c r="F678" s="89">
        <v>0</v>
      </c>
      <c r="G678" s="89">
        <v>0</v>
      </c>
      <c r="H678" s="89">
        <v>0</v>
      </c>
      <c r="I678" s="89">
        <v>0</v>
      </c>
      <c r="J678" s="710">
        <f>(VLOOKUP($C678,[2]Sheet1!$A$2:$P$18,$M678+1)/12)*12*D678</f>
        <v>0</v>
      </c>
      <c r="K678" s="711"/>
      <c r="M678" s="62">
        <f t="shared" si="47"/>
        <v>3</v>
      </c>
    </row>
    <row r="679" spans="1:13">
      <c r="A679" s="120">
        <f>+A678+1</f>
        <v>58</v>
      </c>
      <c r="B679" s="121" t="s">
        <v>1383</v>
      </c>
      <c r="C679" s="121">
        <v>13</v>
      </c>
      <c r="D679" s="89">
        <v>0</v>
      </c>
      <c r="E679" s="111">
        <v>0</v>
      </c>
      <c r="F679" s="89">
        <v>0</v>
      </c>
      <c r="G679" s="89">
        <v>0</v>
      </c>
      <c r="H679" s="89">
        <v>0</v>
      </c>
      <c r="I679" s="89">
        <v>0</v>
      </c>
      <c r="J679" s="710">
        <f>(VLOOKUP($C679,[2]Sheet1!$A$2:$P$18,$M679+1)/12)*12*D679</f>
        <v>0</v>
      </c>
      <c r="K679" s="711"/>
      <c r="M679" s="62">
        <f t="shared" si="47"/>
        <v>3</v>
      </c>
    </row>
    <row r="680" spans="1:13">
      <c r="A680" s="120">
        <f>+A679+1</f>
        <v>59</v>
      </c>
      <c r="B680" s="121" t="s">
        <v>1224</v>
      </c>
      <c r="C680" s="121">
        <v>8</v>
      </c>
      <c r="D680" s="89">
        <v>0</v>
      </c>
      <c r="E680" s="111">
        <v>0</v>
      </c>
      <c r="F680" s="89">
        <v>0</v>
      </c>
      <c r="G680" s="89">
        <v>0</v>
      </c>
      <c r="H680" s="89">
        <v>0</v>
      </c>
      <c r="I680" s="89">
        <v>0</v>
      </c>
      <c r="J680" s="710">
        <f>(VLOOKUP($C680,[2]Sheet1!$A$2:$P$18,$M680+1)/12)*12*D680</f>
        <v>0</v>
      </c>
      <c r="K680" s="711"/>
      <c r="M680" s="62">
        <f t="shared" si="47"/>
        <v>3</v>
      </c>
    </row>
    <row r="681" spans="1:13">
      <c r="A681" s="120">
        <f>+A680+1</f>
        <v>60</v>
      </c>
      <c r="B681" s="121" t="s">
        <v>1832</v>
      </c>
      <c r="C681" s="121">
        <v>6</v>
      </c>
      <c r="D681" s="89">
        <v>0</v>
      </c>
      <c r="E681" s="111">
        <v>0</v>
      </c>
      <c r="F681" s="89">
        <v>0</v>
      </c>
      <c r="G681" s="89">
        <v>0</v>
      </c>
      <c r="H681" s="89">
        <v>0</v>
      </c>
      <c r="I681" s="89">
        <v>0</v>
      </c>
      <c r="J681" s="710">
        <f>(VLOOKUP($C681,[2]Sheet1!$A$2:$P$18,$M681+1)/12)*12*D681</f>
        <v>0</v>
      </c>
      <c r="K681" s="711"/>
      <c r="M681" s="62">
        <f t="shared" si="47"/>
        <v>5</v>
      </c>
    </row>
    <row r="682" spans="1:13">
      <c r="A682" s="88"/>
      <c r="B682" s="90" t="s">
        <v>3521</v>
      </c>
      <c r="C682" s="69"/>
      <c r="D682" s="89"/>
      <c r="E682" s="111"/>
      <c r="F682" s="89"/>
      <c r="G682" s="89"/>
      <c r="H682" s="89"/>
      <c r="I682" s="89"/>
      <c r="J682" s="710"/>
      <c r="K682" s="711"/>
      <c r="M682" s="62">
        <f t="shared" ref="M682:M729" si="50">IF(C682&gt;6,3,5)</f>
        <v>5</v>
      </c>
    </row>
    <row r="683" spans="1:13">
      <c r="A683" s="120">
        <v>62</v>
      </c>
      <c r="B683" s="121" t="s">
        <v>3532</v>
      </c>
      <c r="C683" s="69">
        <v>16</v>
      </c>
      <c r="D683" s="89">
        <v>0</v>
      </c>
      <c r="E683" s="111">
        <v>0</v>
      </c>
      <c r="F683" s="89">
        <v>0</v>
      </c>
      <c r="G683" s="89">
        <v>0</v>
      </c>
      <c r="H683" s="89">
        <v>0</v>
      </c>
      <c r="I683" s="89">
        <v>0</v>
      </c>
      <c r="J683" s="710">
        <f>(VLOOKUP($C683,[2]Sheet1!$A$2:$P$18,$M683+1)/12)*12*D683</f>
        <v>0</v>
      </c>
      <c r="K683" s="711"/>
      <c r="M683" s="62">
        <f t="shared" si="50"/>
        <v>3</v>
      </c>
    </row>
    <row r="684" spans="1:13">
      <c r="A684" s="88">
        <f t="shared" ref="A684:A689" si="51">+A683+1</f>
        <v>63</v>
      </c>
      <c r="B684" s="121" t="s">
        <v>1099</v>
      </c>
      <c r="C684" s="69">
        <v>15</v>
      </c>
      <c r="D684" s="89">
        <v>0</v>
      </c>
      <c r="E684" s="111">
        <v>0</v>
      </c>
      <c r="F684" s="89">
        <v>0</v>
      </c>
      <c r="G684" s="89">
        <v>0</v>
      </c>
      <c r="H684" s="89">
        <v>0</v>
      </c>
      <c r="I684" s="89">
        <v>0</v>
      </c>
      <c r="J684" s="710">
        <f>(VLOOKUP($C684,[2]Sheet1!$A$2:$P$18,$M684+1)/12)*12*D684</f>
        <v>0</v>
      </c>
      <c r="K684" s="711"/>
      <c r="M684" s="62">
        <f t="shared" si="50"/>
        <v>3</v>
      </c>
    </row>
    <row r="685" spans="1:13">
      <c r="A685" s="88">
        <f t="shared" si="51"/>
        <v>64</v>
      </c>
      <c r="B685" s="121" t="s">
        <v>3533</v>
      </c>
      <c r="C685" s="69">
        <v>14</v>
      </c>
      <c r="D685" s="89">
        <v>0</v>
      </c>
      <c r="E685" s="111">
        <v>0</v>
      </c>
      <c r="F685" s="89">
        <v>0</v>
      </c>
      <c r="G685" s="89">
        <v>0</v>
      </c>
      <c r="H685" s="89">
        <v>0</v>
      </c>
      <c r="I685" s="89">
        <v>0</v>
      </c>
      <c r="J685" s="710">
        <f>(VLOOKUP($C685,[2]Sheet1!$A$2:$P$18,$M685+1)/12)*12*D685</f>
        <v>0</v>
      </c>
      <c r="K685" s="711"/>
      <c r="M685" s="62">
        <f t="shared" si="50"/>
        <v>3</v>
      </c>
    </row>
    <row r="686" spans="1:13">
      <c r="A686" s="88">
        <f t="shared" si="51"/>
        <v>65</v>
      </c>
      <c r="B686" s="69" t="s">
        <v>2492</v>
      </c>
      <c r="C686" s="69">
        <v>8</v>
      </c>
      <c r="D686" s="89">
        <v>0</v>
      </c>
      <c r="E686" s="111">
        <v>0</v>
      </c>
      <c r="F686" s="89">
        <v>0</v>
      </c>
      <c r="G686" s="89">
        <v>0</v>
      </c>
      <c r="H686" s="89">
        <v>0</v>
      </c>
      <c r="I686" s="89">
        <v>0</v>
      </c>
      <c r="J686" s="710">
        <f>(VLOOKUP($C686,[2]Sheet1!$A$2:$P$18,$M686+1)/12)*12*D686</f>
        <v>0</v>
      </c>
      <c r="K686" s="711"/>
      <c r="M686" s="62">
        <f t="shared" si="50"/>
        <v>3</v>
      </c>
    </row>
    <row r="687" spans="1:13">
      <c r="A687" s="88">
        <f t="shared" si="51"/>
        <v>66</v>
      </c>
      <c r="B687" s="69" t="s">
        <v>1982</v>
      </c>
      <c r="C687" s="69">
        <v>7</v>
      </c>
      <c r="D687" s="89">
        <v>0</v>
      </c>
      <c r="E687" s="111">
        <v>0</v>
      </c>
      <c r="F687" s="89">
        <v>0</v>
      </c>
      <c r="G687" s="89">
        <v>0</v>
      </c>
      <c r="H687" s="89">
        <v>0</v>
      </c>
      <c r="I687" s="89">
        <v>0</v>
      </c>
      <c r="J687" s="710">
        <f>(VLOOKUP($C687,[2]Sheet1!$A$2:$P$18,$M687+1)/12)*12*D687</f>
        <v>0</v>
      </c>
      <c r="K687" s="711"/>
      <c r="M687" s="62">
        <f t="shared" si="50"/>
        <v>3</v>
      </c>
    </row>
    <row r="688" spans="1:13">
      <c r="A688" s="88">
        <f t="shared" si="51"/>
        <v>67</v>
      </c>
      <c r="B688" s="69" t="s">
        <v>2493</v>
      </c>
      <c r="C688" s="69">
        <v>7</v>
      </c>
      <c r="D688" s="89">
        <v>0</v>
      </c>
      <c r="E688" s="111">
        <v>0</v>
      </c>
      <c r="F688" s="89">
        <v>0</v>
      </c>
      <c r="G688" s="89">
        <v>0</v>
      </c>
      <c r="H688" s="89">
        <v>0</v>
      </c>
      <c r="I688" s="89">
        <v>0</v>
      </c>
      <c r="J688" s="710">
        <f>(VLOOKUP($C688,[2]Sheet1!$A$2:$P$18,$M688+1)/12)*12*D688</f>
        <v>0</v>
      </c>
      <c r="K688" s="711"/>
      <c r="M688" s="62">
        <f t="shared" si="50"/>
        <v>3</v>
      </c>
    </row>
    <row r="689" spans="1:13">
      <c r="A689" s="88">
        <f t="shared" si="51"/>
        <v>68</v>
      </c>
      <c r="B689" s="69" t="s">
        <v>3896</v>
      </c>
      <c r="C689" s="69">
        <v>6</v>
      </c>
      <c r="D689" s="89">
        <v>1</v>
      </c>
      <c r="E689" s="111">
        <v>1</v>
      </c>
      <c r="F689" s="89">
        <v>1</v>
      </c>
      <c r="G689" s="89">
        <v>1</v>
      </c>
      <c r="H689" s="89">
        <v>1</v>
      </c>
      <c r="I689" s="89">
        <v>1</v>
      </c>
      <c r="J689" s="710">
        <f>(VLOOKUP($C689,[2]Sheet1!$A$2:$P$18,$M689+1)/12)*12*D689</f>
        <v>238099.37893036497</v>
      </c>
      <c r="K689" s="711"/>
      <c r="M689" s="62">
        <f t="shared" si="50"/>
        <v>5</v>
      </c>
    </row>
    <row r="690" spans="1:13">
      <c r="A690" s="92"/>
      <c r="B690" s="93" t="s">
        <v>1684</v>
      </c>
      <c r="C690" s="94"/>
      <c r="D690" s="95">
        <f t="shared" ref="D690:J690" si="52">SUM(D617:D689)</f>
        <v>20</v>
      </c>
      <c r="E690" s="279">
        <f t="shared" si="52"/>
        <v>27</v>
      </c>
      <c r="F690" s="95">
        <f t="shared" si="52"/>
        <v>20</v>
      </c>
      <c r="G690" s="95">
        <f>SUM(G617:G689)</f>
        <v>20</v>
      </c>
      <c r="H690" s="95">
        <f t="shared" si="52"/>
        <v>21</v>
      </c>
      <c r="I690" s="95">
        <f t="shared" si="52"/>
        <v>20</v>
      </c>
      <c r="J690" s="95">
        <f t="shared" si="52"/>
        <v>7417258.4791140147</v>
      </c>
      <c r="K690" s="378"/>
      <c r="M690" s="62">
        <f t="shared" si="50"/>
        <v>5</v>
      </c>
    </row>
    <row r="691" spans="1:13">
      <c r="A691" s="88"/>
      <c r="B691" s="90" t="s">
        <v>1199</v>
      </c>
      <c r="C691" s="97"/>
      <c r="D691" s="98"/>
      <c r="E691" s="98"/>
      <c r="F691" s="98"/>
      <c r="G691" s="240" t="s">
        <v>243</v>
      </c>
      <c r="H691" s="240" t="s">
        <v>4130</v>
      </c>
      <c r="I691" s="240" t="s">
        <v>4202</v>
      </c>
      <c r="J691" s="241" t="s">
        <v>4200</v>
      </c>
      <c r="K691" s="375"/>
      <c r="M691" s="62">
        <f t="shared" si="50"/>
        <v>5</v>
      </c>
    </row>
    <row r="692" spans="1:13">
      <c r="A692" s="88">
        <v>1</v>
      </c>
      <c r="B692" s="69" t="s">
        <v>2786</v>
      </c>
      <c r="C692" s="69"/>
      <c r="D692" s="89"/>
      <c r="E692" s="89"/>
      <c r="F692" s="89"/>
      <c r="G692" s="100">
        <f>J690*0.2</f>
        <v>1483451.6958228031</v>
      </c>
      <c r="H692" s="100">
        <f>G692*1.02</f>
        <v>1513120.7297392592</v>
      </c>
      <c r="I692" s="100">
        <f>G692*1.04</f>
        <v>1542789.7636557152</v>
      </c>
      <c r="J692" s="100">
        <f>SUM(G692:I692)</f>
        <v>4539362.1892177779</v>
      </c>
      <c r="K692" s="114"/>
      <c r="M692" s="62">
        <f t="shared" si="50"/>
        <v>5</v>
      </c>
    </row>
    <row r="693" spans="1:13">
      <c r="A693" s="92"/>
      <c r="B693" s="93" t="s">
        <v>1933</v>
      </c>
      <c r="C693" s="94"/>
      <c r="D693" s="101"/>
      <c r="E693" s="101"/>
      <c r="F693" s="101"/>
      <c r="G693" s="95">
        <f>SUM(G692:G692)</f>
        <v>1483451.6958228031</v>
      </c>
      <c r="H693" s="95">
        <v>3305490.9872400006</v>
      </c>
      <c r="I693" s="95">
        <f>SUM(I692:I692)</f>
        <v>1542789.7636557152</v>
      </c>
      <c r="J693" s="95">
        <f>SUM(J692:J692)</f>
        <v>4539362.1892177779</v>
      </c>
      <c r="K693" s="378"/>
      <c r="M693" s="62">
        <f t="shared" si="50"/>
        <v>5</v>
      </c>
    </row>
    <row r="694" spans="1:13">
      <c r="A694" s="88">
        <v>1</v>
      </c>
      <c r="B694" s="69" t="s">
        <v>1934</v>
      </c>
      <c r="C694" s="69"/>
      <c r="D694" s="89"/>
      <c r="E694" s="89"/>
      <c r="F694" s="89"/>
      <c r="G694" s="100">
        <f>G693+J690</f>
        <v>8900710.174936818</v>
      </c>
      <c r="H694" s="100">
        <f>G694*1.02</f>
        <v>9078724.378435554</v>
      </c>
      <c r="I694" s="100">
        <f>G694*1.04</f>
        <v>9256738.5819342919</v>
      </c>
      <c r="J694" s="100">
        <f>SUM(G694:I694)</f>
        <v>27236173.135306664</v>
      </c>
      <c r="K694" s="114"/>
      <c r="L694" s="112"/>
      <c r="M694" s="62">
        <f t="shared" si="50"/>
        <v>5</v>
      </c>
    </row>
    <row r="695" spans="1:13">
      <c r="A695" s="88">
        <f>+A694+1</f>
        <v>2</v>
      </c>
      <c r="B695" s="69" t="s">
        <v>129</v>
      </c>
      <c r="C695" s="69"/>
      <c r="D695" s="89"/>
      <c r="E695" s="89"/>
      <c r="F695" s="89"/>
      <c r="G695" s="89">
        <f>C722</f>
        <v>6800000</v>
      </c>
      <c r="H695" s="89">
        <f>D722</f>
        <v>15500000</v>
      </c>
      <c r="I695" s="89">
        <f>E722</f>
        <v>15500000</v>
      </c>
      <c r="J695" s="100">
        <f>SUM(G695:I695)</f>
        <v>37800000</v>
      </c>
      <c r="K695" s="114"/>
      <c r="M695" s="62">
        <f t="shared" si="50"/>
        <v>5</v>
      </c>
    </row>
    <row r="696" spans="1:13" ht="13.5" thickBot="1">
      <c r="A696" s="102"/>
      <c r="B696" s="103" t="s">
        <v>2241</v>
      </c>
      <c r="C696" s="104"/>
      <c r="D696" s="105"/>
      <c r="E696" s="105"/>
      <c r="F696" s="105"/>
      <c r="G696" s="106">
        <f>+G695+G694</f>
        <v>15700710.174936818</v>
      </c>
      <c r="H696" s="106">
        <v>23140561.134440001</v>
      </c>
      <c r="I696" s="106">
        <f>+I695+I694</f>
        <v>24756738.581934292</v>
      </c>
      <c r="J696" s="106">
        <f>+J695+J694</f>
        <v>65036173.135306664</v>
      </c>
      <c r="K696" s="378"/>
      <c r="M696" s="62">
        <f t="shared" si="50"/>
        <v>5</v>
      </c>
    </row>
    <row r="697" spans="1:13" ht="15.75" thickTop="1">
      <c r="A697" s="113"/>
      <c r="B697" s="113"/>
      <c r="C697" s="77"/>
      <c r="D697" s="78" t="s">
        <v>5434</v>
      </c>
      <c r="E697" s="114"/>
      <c r="F697" s="114"/>
      <c r="G697" s="114"/>
      <c r="H697" s="114"/>
      <c r="I697" s="114"/>
      <c r="J697" s="584"/>
      <c r="K697" s="584"/>
      <c r="M697" s="62">
        <f t="shared" si="50"/>
        <v>5</v>
      </c>
    </row>
    <row r="698" spans="1:13" ht="15">
      <c r="A698" s="113"/>
      <c r="B698" s="113"/>
      <c r="C698" s="77"/>
      <c r="D698" s="78" t="s">
        <v>716</v>
      </c>
      <c r="E698" s="114"/>
      <c r="F698" s="114"/>
      <c r="G698" s="114"/>
      <c r="H698" s="114"/>
      <c r="I698" s="114"/>
      <c r="J698" s="584"/>
      <c r="K698" s="584"/>
      <c r="M698" s="62">
        <f t="shared" si="50"/>
        <v>5</v>
      </c>
    </row>
    <row r="699" spans="1:13" ht="15">
      <c r="A699" s="113"/>
      <c r="B699" s="113"/>
      <c r="C699" s="79" t="s">
        <v>717</v>
      </c>
      <c r="D699" s="78" t="s">
        <v>394</v>
      </c>
      <c r="E699" s="114"/>
      <c r="F699" s="114"/>
      <c r="G699" s="114"/>
      <c r="H699" s="114"/>
      <c r="I699" s="114"/>
      <c r="J699" s="584"/>
      <c r="K699" s="584"/>
      <c r="M699" s="62">
        <f t="shared" si="50"/>
        <v>3</v>
      </c>
    </row>
    <row r="700" spans="1:13" ht="15">
      <c r="A700" s="113"/>
      <c r="B700" s="113"/>
      <c r="C700" s="79" t="s">
        <v>718</v>
      </c>
      <c r="D700" s="78" t="s">
        <v>1309</v>
      </c>
      <c r="E700" s="114"/>
      <c r="F700" s="114"/>
      <c r="G700" s="114"/>
      <c r="H700" s="114"/>
      <c r="I700" s="114"/>
      <c r="J700" s="584"/>
      <c r="K700" s="584"/>
      <c r="M700" s="62">
        <f t="shared" si="50"/>
        <v>3</v>
      </c>
    </row>
    <row r="701" spans="1:13" ht="15">
      <c r="A701" s="634" t="s">
        <v>1839</v>
      </c>
      <c r="B701" s="635" t="s">
        <v>903</v>
      </c>
      <c r="C701" s="1037" t="s">
        <v>4127</v>
      </c>
      <c r="D701" s="1038"/>
      <c r="E701" s="1039"/>
      <c r="F701" s="635" t="s">
        <v>1684</v>
      </c>
      <c r="G701" s="1037" t="s">
        <v>4132</v>
      </c>
      <c r="H701" s="1038"/>
      <c r="I701" s="1039"/>
      <c r="J701" s="726"/>
      <c r="K701" s="727"/>
    </row>
    <row r="702" spans="1:13">
      <c r="A702" s="636" t="s">
        <v>1620</v>
      </c>
      <c r="B702" s="637"/>
      <c r="C702" s="635" t="s">
        <v>1841</v>
      </c>
      <c r="D702" s="635" t="s">
        <v>4133</v>
      </c>
      <c r="E702" s="635" t="s">
        <v>4133</v>
      </c>
      <c r="F702" s="1056" t="s">
        <v>4200</v>
      </c>
      <c r="G702" s="634" t="s">
        <v>4135</v>
      </c>
      <c r="H702" s="1051" t="s">
        <v>4182</v>
      </c>
      <c r="I702" s="634" t="s">
        <v>4135</v>
      </c>
      <c r="J702" s="728" t="s">
        <v>4136</v>
      </c>
      <c r="K702" s="727"/>
    </row>
    <row r="703" spans="1:13" ht="12.75" customHeight="1">
      <c r="A703" s="638" t="s">
        <v>387</v>
      </c>
      <c r="B703" s="639"/>
      <c r="C703" s="638">
        <v>2015</v>
      </c>
      <c r="D703" s="638">
        <v>2016</v>
      </c>
      <c r="E703" s="638">
        <v>2017</v>
      </c>
      <c r="F703" s="1057"/>
      <c r="G703" s="638" t="s">
        <v>4304</v>
      </c>
      <c r="H703" s="1052"/>
      <c r="I703" s="638" t="s">
        <v>4303</v>
      </c>
      <c r="J703" s="639"/>
      <c r="K703" s="729"/>
    </row>
    <row r="704" spans="1:13">
      <c r="A704" s="730"/>
      <c r="B704" s="730"/>
      <c r="C704" s="751"/>
      <c r="D704" s="751"/>
      <c r="E704" s="751"/>
      <c r="F704" s="751"/>
      <c r="G704" s="751"/>
      <c r="H704" s="751"/>
      <c r="I704" s="751"/>
      <c r="J704" s="751"/>
      <c r="K704" s="754"/>
      <c r="M704" s="62" t="e">
        <f>IF(#REF!&gt;6,3,5)</f>
        <v>#REF!</v>
      </c>
    </row>
    <row r="705" spans="1:13">
      <c r="A705" s="730">
        <v>2</v>
      </c>
      <c r="B705" s="730" t="s">
        <v>1695</v>
      </c>
      <c r="C705" s="751">
        <v>1000000</v>
      </c>
      <c r="D705" s="751">
        <v>1300000</v>
      </c>
      <c r="E705" s="751">
        <v>1300000</v>
      </c>
      <c r="F705" s="751">
        <f>SUM(C705:E705)</f>
        <v>3600000</v>
      </c>
      <c r="G705" s="751">
        <v>378000</v>
      </c>
      <c r="H705" s="751">
        <v>1000000</v>
      </c>
      <c r="I705" s="751">
        <v>30000</v>
      </c>
      <c r="J705" s="751"/>
      <c r="K705" s="754"/>
      <c r="M705" s="62" t="e">
        <f>IF(#REF!&gt;6,3,5)</f>
        <v>#REF!</v>
      </c>
    </row>
    <row r="706" spans="1:13">
      <c r="A706" s="730">
        <f t="shared" ref="A706:A720" si="53">+A705+1</f>
        <v>3</v>
      </c>
      <c r="B706" s="730" t="s">
        <v>1696</v>
      </c>
      <c r="C706" s="751" t="s">
        <v>1386</v>
      </c>
      <c r="D706" s="751" t="s">
        <v>1386</v>
      </c>
      <c r="E706" s="751" t="s">
        <v>1386</v>
      </c>
      <c r="F706" s="751">
        <f t="shared" ref="F706:F721" si="54">SUM(C706:E706)</f>
        <v>0</v>
      </c>
      <c r="G706" s="751"/>
      <c r="H706" s="751" t="s">
        <v>1386</v>
      </c>
      <c r="I706" s="751"/>
      <c r="J706" s="751"/>
      <c r="K706" s="754"/>
      <c r="M706" s="62" t="e">
        <f>IF(#REF!&gt;6,3,5)</f>
        <v>#REF!</v>
      </c>
    </row>
    <row r="707" spans="1:13">
      <c r="A707" s="730">
        <f t="shared" si="53"/>
        <v>4</v>
      </c>
      <c r="B707" s="730" t="s">
        <v>1701</v>
      </c>
      <c r="C707" s="751" t="s">
        <v>1386</v>
      </c>
      <c r="D707" s="751" t="s">
        <v>1386</v>
      </c>
      <c r="E707" s="751" t="s">
        <v>1386</v>
      </c>
      <c r="F707" s="751">
        <f t="shared" si="54"/>
        <v>0</v>
      </c>
      <c r="G707" s="751"/>
      <c r="H707" s="751" t="s">
        <v>1386</v>
      </c>
      <c r="I707" s="751"/>
      <c r="J707" s="751"/>
      <c r="K707" s="754"/>
      <c r="M707" s="62" t="e">
        <f>IF(#REF!&gt;6,3,5)</f>
        <v>#REF!</v>
      </c>
    </row>
    <row r="708" spans="1:13">
      <c r="A708" s="730">
        <f t="shared" si="53"/>
        <v>5</v>
      </c>
      <c r="B708" s="730" t="s">
        <v>1702</v>
      </c>
      <c r="C708" s="751">
        <v>200000</v>
      </c>
      <c r="D708" s="751">
        <v>400000</v>
      </c>
      <c r="E708" s="751">
        <v>400000</v>
      </c>
      <c r="F708" s="751">
        <f t="shared" si="54"/>
        <v>1000000</v>
      </c>
      <c r="G708" s="751">
        <v>55000</v>
      </c>
      <c r="H708" s="751">
        <v>400000</v>
      </c>
      <c r="I708" s="751">
        <v>60000</v>
      </c>
      <c r="J708" s="751"/>
      <c r="K708" s="754"/>
      <c r="M708" s="62" t="e">
        <f>IF(#REF!&gt;6,3,5)</f>
        <v>#REF!</v>
      </c>
    </row>
    <row r="709" spans="1:13">
      <c r="A709" s="730">
        <f t="shared" si="53"/>
        <v>6</v>
      </c>
      <c r="B709" s="730" t="s">
        <v>1544</v>
      </c>
      <c r="C709" s="751">
        <v>100000</v>
      </c>
      <c r="D709" s="751">
        <v>300000</v>
      </c>
      <c r="E709" s="751">
        <v>300000</v>
      </c>
      <c r="F709" s="751">
        <f t="shared" si="54"/>
        <v>700000</v>
      </c>
      <c r="G709" s="751">
        <v>155000</v>
      </c>
      <c r="H709" s="751">
        <v>300000</v>
      </c>
      <c r="I709" s="751">
        <v>0</v>
      </c>
      <c r="J709" s="751"/>
      <c r="K709" s="754"/>
      <c r="M709" s="62" t="e">
        <f>IF(#REF!&gt;6,3,5)</f>
        <v>#REF!</v>
      </c>
    </row>
    <row r="710" spans="1:13">
      <c r="A710" s="730">
        <f t="shared" si="53"/>
        <v>7</v>
      </c>
      <c r="B710" s="730" t="s">
        <v>897</v>
      </c>
      <c r="C710" s="751">
        <v>500000</v>
      </c>
      <c r="D710" s="751">
        <v>800000</v>
      </c>
      <c r="E710" s="751">
        <v>800000</v>
      </c>
      <c r="F710" s="751">
        <f t="shared" si="54"/>
        <v>2100000</v>
      </c>
      <c r="G710" s="751">
        <v>25000</v>
      </c>
      <c r="H710" s="751">
        <v>300000</v>
      </c>
      <c r="I710" s="751">
        <v>0</v>
      </c>
      <c r="J710" s="751"/>
      <c r="K710" s="754"/>
      <c r="M710" s="62" t="e">
        <f>IF(#REF!&gt;6,3,5)</f>
        <v>#REF!</v>
      </c>
    </row>
    <row r="711" spans="1:13">
      <c r="A711" s="730">
        <f t="shared" si="53"/>
        <v>8</v>
      </c>
      <c r="B711" s="730" t="s">
        <v>1385</v>
      </c>
      <c r="C711" s="751" t="s">
        <v>1386</v>
      </c>
      <c r="D711" s="751" t="s">
        <v>1386</v>
      </c>
      <c r="E711" s="751" t="s">
        <v>1386</v>
      </c>
      <c r="F711" s="751">
        <f t="shared" si="54"/>
        <v>0</v>
      </c>
      <c r="G711" s="751"/>
      <c r="H711" s="751" t="s">
        <v>1386</v>
      </c>
      <c r="I711" s="751"/>
      <c r="J711" s="751"/>
      <c r="K711" s="754"/>
      <c r="M711" s="62" t="e">
        <f>IF(#REF!&gt;6,3,5)</f>
        <v>#REF!</v>
      </c>
    </row>
    <row r="712" spans="1:13">
      <c r="A712" s="730">
        <f t="shared" si="53"/>
        <v>9</v>
      </c>
      <c r="B712" s="730" t="s">
        <v>2061</v>
      </c>
      <c r="C712" s="751" t="s">
        <v>1386</v>
      </c>
      <c r="D712" s="751" t="s">
        <v>1386</v>
      </c>
      <c r="E712" s="751" t="s">
        <v>1386</v>
      </c>
      <c r="F712" s="751">
        <f t="shared" si="54"/>
        <v>0</v>
      </c>
      <c r="G712" s="751"/>
      <c r="H712" s="751" t="s">
        <v>1386</v>
      </c>
      <c r="I712" s="751"/>
      <c r="J712" s="751"/>
      <c r="K712" s="754"/>
      <c r="M712" s="62" t="e">
        <f>IF(#REF!&gt;6,3,5)</f>
        <v>#REF!</v>
      </c>
    </row>
    <row r="713" spans="1:13">
      <c r="A713" s="730">
        <f t="shared" si="53"/>
        <v>10</v>
      </c>
      <c r="B713" s="730" t="s">
        <v>1680</v>
      </c>
      <c r="C713" s="751">
        <v>100000</v>
      </c>
      <c r="D713" s="751">
        <v>500000</v>
      </c>
      <c r="E713" s="751">
        <v>500000</v>
      </c>
      <c r="F713" s="751">
        <f t="shared" si="54"/>
        <v>1100000</v>
      </c>
      <c r="G713" s="751">
        <v>360000</v>
      </c>
      <c r="H713" s="751">
        <v>300000</v>
      </c>
      <c r="I713" s="751">
        <v>109750</v>
      </c>
      <c r="J713" s="751"/>
      <c r="K713" s="754"/>
      <c r="M713" s="62" t="e">
        <f>IF(#REF!&gt;6,3,5)</f>
        <v>#REF!</v>
      </c>
    </row>
    <row r="714" spans="1:13">
      <c r="A714" s="730">
        <f t="shared" si="53"/>
        <v>11</v>
      </c>
      <c r="B714" s="730" t="s">
        <v>1681</v>
      </c>
      <c r="C714" s="751">
        <v>100000</v>
      </c>
      <c r="D714" s="751">
        <v>100000</v>
      </c>
      <c r="E714" s="751">
        <v>100000</v>
      </c>
      <c r="F714" s="751">
        <f t="shared" si="54"/>
        <v>300000</v>
      </c>
      <c r="G714" s="751">
        <v>1485.75</v>
      </c>
      <c r="H714" s="751">
        <v>100000</v>
      </c>
      <c r="I714" s="751">
        <v>978000</v>
      </c>
      <c r="J714" s="751"/>
      <c r="K714" s="754"/>
      <c r="M714" s="62" t="e">
        <f>IF(#REF!&gt;6,3,5)</f>
        <v>#REF!</v>
      </c>
    </row>
    <row r="715" spans="1:13">
      <c r="A715" s="730">
        <f t="shared" si="53"/>
        <v>12</v>
      </c>
      <c r="B715" s="730" t="s">
        <v>1682</v>
      </c>
      <c r="C715" s="751">
        <v>2000000</v>
      </c>
      <c r="D715" s="751">
        <v>2500000</v>
      </c>
      <c r="E715" s="751">
        <v>2500000</v>
      </c>
      <c r="F715" s="751">
        <f t="shared" si="54"/>
        <v>7000000</v>
      </c>
      <c r="G715" s="751">
        <v>223000</v>
      </c>
      <c r="H715" s="751">
        <v>2000000</v>
      </c>
      <c r="I715" s="751">
        <v>0</v>
      </c>
      <c r="J715" s="751"/>
      <c r="K715" s="754"/>
      <c r="M715" s="62" t="e">
        <f>IF(#REF!&gt;6,3,5)</f>
        <v>#REF!</v>
      </c>
    </row>
    <row r="716" spans="1:13">
      <c r="A716" s="730">
        <f t="shared" si="53"/>
        <v>13</v>
      </c>
      <c r="B716" s="730" t="s">
        <v>2249</v>
      </c>
      <c r="C716" s="751">
        <v>100000</v>
      </c>
      <c r="D716" s="751">
        <v>100000</v>
      </c>
      <c r="E716" s="751">
        <v>100000</v>
      </c>
      <c r="F716" s="751">
        <f t="shared" si="54"/>
        <v>300000</v>
      </c>
      <c r="G716" s="751"/>
      <c r="H716" s="751">
        <v>100000</v>
      </c>
      <c r="I716" s="751"/>
      <c r="J716" s="751"/>
      <c r="K716" s="754"/>
      <c r="M716" s="62" t="e">
        <f>IF(#REF!&gt;6,3,5)</f>
        <v>#REF!</v>
      </c>
    </row>
    <row r="717" spans="1:13">
      <c r="A717" s="730">
        <f t="shared" si="53"/>
        <v>14</v>
      </c>
      <c r="B717" s="730" t="s">
        <v>3018</v>
      </c>
      <c r="C717" s="751">
        <v>200000</v>
      </c>
      <c r="D717" s="751">
        <v>1000000</v>
      </c>
      <c r="E717" s="751">
        <v>1000000</v>
      </c>
      <c r="F717" s="751">
        <f t="shared" si="54"/>
        <v>2200000</v>
      </c>
      <c r="G717" s="751"/>
      <c r="H717" s="751">
        <v>500000</v>
      </c>
      <c r="I717" s="751"/>
      <c r="J717" s="751"/>
      <c r="K717" s="754"/>
      <c r="M717" s="62" t="e">
        <f>IF(#REF!&gt;6,3,5)</f>
        <v>#REF!</v>
      </c>
    </row>
    <row r="718" spans="1:13">
      <c r="A718" s="730">
        <f t="shared" si="53"/>
        <v>15</v>
      </c>
      <c r="B718" s="730" t="s">
        <v>4315</v>
      </c>
      <c r="C718" s="751">
        <v>1000000</v>
      </c>
      <c r="D718" s="751">
        <v>3500000</v>
      </c>
      <c r="E718" s="751">
        <v>3500000</v>
      </c>
      <c r="F718" s="751">
        <f t="shared" si="54"/>
        <v>8000000</v>
      </c>
      <c r="G718" s="751">
        <v>55000</v>
      </c>
      <c r="H718" s="751">
        <v>2000000</v>
      </c>
      <c r="I718" s="751">
        <v>1022000</v>
      </c>
      <c r="J718" s="751"/>
      <c r="K718" s="754"/>
      <c r="M718" s="62" t="e">
        <f>IF(#REF!&gt;6,3,5)</f>
        <v>#REF!</v>
      </c>
    </row>
    <row r="719" spans="1:13">
      <c r="A719" s="730">
        <f t="shared" si="53"/>
        <v>16</v>
      </c>
      <c r="B719" s="730" t="s">
        <v>75</v>
      </c>
      <c r="C719" s="751" t="s">
        <v>1386</v>
      </c>
      <c r="D719" s="751" t="s">
        <v>1386</v>
      </c>
      <c r="E719" s="751" t="s">
        <v>1386</v>
      </c>
      <c r="F719" s="751">
        <f t="shared" si="54"/>
        <v>0</v>
      </c>
      <c r="G719" s="751"/>
      <c r="H719" s="751" t="s">
        <v>1386</v>
      </c>
      <c r="I719" s="751"/>
      <c r="J719" s="751"/>
      <c r="K719" s="754"/>
      <c r="M719" s="62" t="e">
        <f>IF(#REF!&gt;6,3,5)</f>
        <v>#REF!</v>
      </c>
    </row>
    <row r="720" spans="1:13" ht="25.5">
      <c r="A720" s="759">
        <f t="shared" si="53"/>
        <v>17</v>
      </c>
      <c r="B720" s="745" t="s">
        <v>2453</v>
      </c>
      <c r="C720" s="751">
        <v>1500000</v>
      </c>
      <c r="D720" s="751">
        <v>5000000</v>
      </c>
      <c r="E720" s="751">
        <v>5000000</v>
      </c>
      <c r="F720" s="751">
        <f t="shared" si="54"/>
        <v>11500000</v>
      </c>
      <c r="G720" s="751">
        <v>455000</v>
      </c>
      <c r="H720" s="751">
        <v>3000000</v>
      </c>
      <c r="I720" s="751">
        <v>1735000</v>
      </c>
      <c r="J720" s="751"/>
      <c r="K720" s="754"/>
      <c r="M720" s="62" t="e">
        <f>IF(#REF!&gt;6,3,5)</f>
        <v>#REF!</v>
      </c>
    </row>
    <row r="721" spans="1:13">
      <c r="A721" s="730"/>
      <c r="B721" s="730"/>
      <c r="C721" s="751"/>
      <c r="D721" s="751"/>
      <c r="E721" s="751"/>
      <c r="F721" s="751">
        <f t="shared" si="54"/>
        <v>0</v>
      </c>
      <c r="G721" s="751"/>
      <c r="H721" s="751"/>
      <c r="I721" s="751"/>
      <c r="J721" s="751"/>
      <c r="K721" s="754"/>
      <c r="M721" s="62" t="e">
        <f>IF(#REF!&gt;6,3,5)</f>
        <v>#REF!</v>
      </c>
    </row>
    <row r="722" spans="1:13">
      <c r="A722" s="738"/>
      <c r="B722" s="738" t="s">
        <v>1684</v>
      </c>
      <c r="C722" s="739">
        <f t="shared" ref="C722:I722" si="55">SUM(C704:C721)</f>
        <v>6800000</v>
      </c>
      <c r="D722" s="739">
        <f t="shared" si="55"/>
        <v>15500000</v>
      </c>
      <c r="E722" s="739">
        <f t="shared" si="55"/>
        <v>15500000</v>
      </c>
      <c r="F722" s="739">
        <f t="shared" si="55"/>
        <v>37800000</v>
      </c>
      <c r="G722" s="739">
        <f>SUM(G704:G721)</f>
        <v>1707485.75</v>
      </c>
      <c r="H722" s="739">
        <f t="shared" si="55"/>
        <v>10000000</v>
      </c>
      <c r="I722" s="739">
        <f t="shared" si="55"/>
        <v>3934750</v>
      </c>
      <c r="J722" s="739"/>
      <c r="K722" s="740"/>
      <c r="M722" s="62" t="e">
        <f>IF(#REF!&gt;6,3,5)</f>
        <v>#REF!</v>
      </c>
    </row>
    <row r="723" spans="1:13" ht="15">
      <c r="C723" s="77"/>
      <c r="D723" s="78" t="s">
        <v>5434</v>
      </c>
      <c r="J723" s="584"/>
      <c r="K723" s="584"/>
      <c r="M723" s="62">
        <f t="shared" si="50"/>
        <v>5</v>
      </c>
    </row>
    <row r="724" spans="1:13" ht="15">
      <c r="C724" s="77"/>
      <c r="D724" s="78" t="s">
        <v>1693</v>
      </c>
      <c r="J724" s="584"/>
      <c r="K724" s="584"/>
      <c r="M724" s="62">
        <f t="shared" si="50"/>
        <v>5</v>
      </c>
    </row>
    <row r="725" spans="1:13" ht="15">
      <c r="C725" s="79" t="s">
        <v>717</v>
      </c>
      <c r="D725" s="78" t="s">
        <v>327</v>
      </c>
      <c r="J725" s="584"/>
      <c r="K725" s="584"/>
      <c r="M725" s="62">
        <f t="shared" si="50"/>
        <v>3</v>
      </c>
    </row>
    <row r="726" spans="1:13" ht="15.75" thickBot="1">
      <c r="C726" s="79" t="s">
        <v>718</v>
      </c>
      <c r="D726" s="78" t="s">
        <v>1345</v>
      </c>
      <c r="J726" s="584"/>
      <c r="K726" s="584"/>
      <c r="M726" s="62">
        <f t="shared" si="50"/>
        <v>3</v>
      </c>
    </row>
    <row r="727" spans="1:13" ht="15.75" thickTop="1">
      <c r="A727" s="1047" t="s">
        <v>2791</v>
      </c>
      <c r="B727" s="1049" t="s">
        <v>4126</v>
      </c>
      <c r="C727" s="1049" t="s">
        <v>854</v>
      </c>
      <c r="D727" s="1040" t="s">
        <v>4127</v>
      </c>
      <c r="E727" s="1041"/>
      <c r="F727" s="1041"/>
      <c r="G727" s="1040" t="s">
        <v>904</v>
      </c>
      <c r="H727" s="1041"/>
      <c r="I727" s="1042"/>
      <c r="J727" s="1035" t="s">
        <v>855</v>
      </c>
      <c r="K727" s="389"/>
    </row>
    <row r="728" spans="1:13" ht="26.25" thickBot="1">
      <c r="A728" s="1048"/>
      <c r="B728" s="1050"/>
      <c r="C728" s="1050"/>
      <c r="D728" s="285" t="s">
        <v>5505</v>
      </c>
      <c r="E728" s="285" t="s">
        <v>4485</v>
      </c>
      <c r="F728" s="285" t="s">
        <v>4486</v>
      </c>
      <c r="G728" s="287" t="s">
        <v>4487</v>
      </c>
      <c r="H728" s="285" t="s">
        <v>4488</v>
      </c>
      <c r="I728" s="287" t="s">
        <v>4489</v>
      </c>
      <c r="J728" s="1036"/>
      <c r="K728" s="712"/>
    </row>
    <row r="729" spans="1:13" ht="13.5" thickTop="1">
      <c r="A729" s="88" t="s">
        <v>1840</v>
      </c>
      <c r="B729" s="97" t="s">
        <v>549</v>
      </c>
      <c r="C729" s="69"/>
      <c r="D729" s="89"/>
      <c r="E729" s="111"/>
      <c r="F729" s="69"/>
      <c r="G729" s="89"/>
      <c r="H729" s="296"/>
      <c r="I729" s="89"/>
      <c r="J729" s="713"/>
      <c r="K729" s="711"/>
      <c r="M729" s="62">
        <f t="shared" si="50"/>
        <v>5</v>
      </c>
    </row>
    <row r="730" spans="1:13">
      <c r="A730" s="88">
        <v>1</v>
      </c>
      <c r="B730" s="69" t="s">
        <v>550</v>
      </c>
      <c r="C730" s="69">
        <v>7</v>
      </c>
      <c r="D730" s="89">
        <v>0</v>
      </c>
      <c r="E730" s="111">
        <v>0</v>
      </c>
      <c r="F730" s="89">
        <v>0</v>
      </c>
      <c r="G730" s="89">
        <v>0</v>
      </c>
      <c r="H730" s="296">
        <v>0</v>
      </c>
      <c r="I730" s="89">
        <v>0</v>
      </c>
      <c r="J730" s="710">
        <f>(VLOOKUP($C730,[2]Sheet1!$A$2:$P$18,$M730+1)/12)*12*D730</f>
        <v>0</v>
      </c>
      <c r="K730" s="711"/>
      <c r="M730" s="62">
        <f t="shared" ref="M730:M793" si="56">IF(C730&gt;6,3,5)</f>
        <v>3</v>
      </c>
    </row>
    <row r="731" spans="1:13">
      <c r="A731" s="88">
        <f t="shared" ref="A731:A794" si="57">+A730+1</f>
        <v>2</v>
      </c>
      <c r="B731" s="69" t="s">
        <v>2914</v>
      </c>
      <c r="C731" s="69">
        <v>6</v>
      </c>
      <c r="D731" s="89">
        <v>0</v>
      </c>
      <c r="E731" s="111">
        <v>0</v>
      </c>
      <c r="F731" s="89">
        <v>0</v>
      </c>
      <c r="G731" s="89">
        <v>0</v>
      </c>
      <c r="H731" s="296">
        <v>0</v>
      </c>
      <c r="I731" s="89">
        <v>0</v>
      </c>
      <c r="J731" s="710">
        <f>(VLOOKUP($C731,[2]Sheet1!$A$2:$P$18,$M731+1)/12)*12*D731</f>
        <v>0</v>
      </c>
      <c r="K731" s="711"/>
      <c r="M731" s="62">
        <f t="shared" si="56"/>
        <v>5</v>
      </c>
    </row>
    <row r="732" spans="1:13">
      <c r="A732" s="88">
        <f t="shared" si="57"/>
        <v>3</v>
      </c>
      <c r="B732" s="69" t="s">
        <v>1473</v>
      </c>
      <c r="C732" s="69">
        <v>5</v>
      </c>
      <c r="D732" s="89">
        <v>2</v>
      </c>
      <c r="E732" s="111">
        <v>2</v>
      </c>
      <c r="F732" s="89">
        <v>2</v>
      </c>
      <c r="G732" s="89">
        <v>2</v>
      </c>
      <c r="H732" s="296">
        <v>2</v>
      </c>
      <c r="I732" s="89">
        <v>2</v>
      </c>
      <c r="J732" s="710">
        <f>(VLOOKUP($C732,[2]Sheet1!$A$2:$P$18,$M732+1)/12)*12*D732</f>
        <v>459139.55786072998</v>
      </c>
      <c r="K732" s="711"/>
      <c r="M732" s="62">
        <f t="shared" si="56"/>
        <v>5</v>
      </c>
    </row>
    <row r="733" spans="1:13">
      <c r="A733" s="88">
        <f t="shared" si="57"/>
        <v>4</v>
      </c>
      <c r="B733" s="69" t="s">
        <v>134</v>
      </c>
      <c r="C733" s="69">
        <v>4</v>
      </c>
      <c r="D733" s="89">
        <v>0</v>
      </c>
      <c r="E733" s="111">
        <v>1</v>
      </c>
      <c r="F733" s="89">
        <v>0</v>
      </c>
      <c r="G733" s="89">
        <v>0</v>
      </c>
      <c r="H733" s="296">
        <v>1</v>
      </c>
      <c r="I733" s="89">
        <v>0</v>
      </c>
      <c r="J733" s="710">
        <f>(VLOOKUP($C733,[2]Sheet1!$A$2:$P$18,$M733+1)/12)*12*D733</f>
        <v>0</v>
      </c>
      <c r="K733" s="711"/>
      <c r="M733" s="62">
        <f t="shared" si="56"/>
        <v>5</v>
      </c>
    </row>
    <row r="734" spans="1:13">
      <c r="A734" s="88">
        <f t="shared" si="57"/>
        <v>5</v>
      </c>
      <c r="B734" s="69" t="s">
        <v>135</v>
      </c>
      <c r="C734" s="69">
        <v>3</v>
      </c>
      <c r="D734" s="89">
        <v>3</v>
      </c>
      <c r="E734" s="111">
        <v>3</v>
      </c>
      <c r="F734" s="89">
        <v>3</v>
      </c>
      <c r="G734" s="89">
        <v>3</v>
      </c>
      <c r="H734" s="296">
        <v>2</v>
      </c>
      <c r="I734" s="89">
        <v>3</v>
      </c>
      <c r="J734" s="710">
        <f>(VLOOKUP($C734,[2]Sheet1!$A$2:$P$18,$M734+1)/12)*12*D734</f>
        <v>658008.53679109493</v>
      </c>
      <c r="K734" s="711"/>
      <c r="M734" s="62">
        <f t="shared" si="56"/>
        <v>5</v>
      </c>
    </row>
    <row r="735" spans="1:13">
      <c r="A735" s="88">
        <f t="shared" si="57"/>
        <v>6</v>
      </c>
      <c r="B735" s="69" t="s">
        <v>3818</v>
      </c>
      <c r="C735" s="69">
        <v>9</v>
      </c>
      <c r="D735" s="89">
        <v>0</v>
      </c>
      <c r="E735" s="111">
        <v>0</v>
      </c>
      <c r="F735" s="89">
        <v>0</v>
      </c>
      <c r="G735" s="89">
        <v>0</v>
      </c>
      <c r="H735" s="296">
        <v>0</v>
      </c>
      <c r="I735" s="89">
        <v>0</v>
      </c>
      <c r="J735" s="710">
        <f>(VLOOKUP($C735,[2]Sheet1!$A$2:$P$18,$M735+1)/12)*12*D735</f>
        <v>0</v>
      </c>
      <c r="K735" s="711"/>
      <c r="M735" s="62">
        <f t="shared" si="56"/>
        <v>3</v>
      </c>
    </row>
    <row r="736" spans="1:13">
      <c r="A736" s="88">
        <f t="shared" si="57"/>
        <v>7</v>
      </c>
      <c r="B736" s="69" t="s">
        <v>233</v>
      </c>
      <c r="C736" s="69">
        <v>8</v>
      </c>
      <c r="D736" s="89">
        <v>0</v>
      </c>
      <c r="E736" s="111">
        <v>0</v>
      </c>
      <c r="F736" s="89">
        <v>0</v>
      </c>
      <c r="G736" s="89">
        <v>0</v>
      </c>
      <c r="H736" s="296">
        <v>0</v>
      </c>
      <c r="I736" s="89">
        <v>0</v>
      </c>
      <c r="J736" s="710">
        <f>(VLOOKUP($C736,[2]Sheet1!$A$2:$P$18,$M736+1)/12)*12*D736</f>
        <v>0</v>
      </c>
      <c r="K736" s="711"/>
      <c r="M736" s="62">
        <f t="shared" si="56"/>
        <v>3</v>
      </c>
    </row>
    <row r="737" spans="1:13">
      <c r="A737" s="88">
        <f t="shared" si="57"/>
        <v>8</v>
      </c>
      <c r="B737" s="69" t="s">
        <v>1793</v>
      </c>
      <c r="C737" s="69">
        <v>7</v>
      </c>
      <c r="D737" s="89">
        <v>0</v>
      </c>
      <c r="E737" s="111">
        <v>0</v>
      </c>
      <c r="F737" s="89">
        <v>0</v>
      </c>
      <c r="G737" s="89">
        <v>0</v>
      </c>
      <c r="H737" s="296">
        <v>0</v>
      </c>
      <c r="I737" s="89">
        <v>0</v>
      </c>
      <c r="J737" s="710">
        <f>(VLOOKUP($C737,[2]Sheet1!$A$2:$P$18,$M737+1)/12)*12*D737</f>
        <v>0</v>
      </c>
      <c r="K737" s="711"/>
      <c r="M737" s="62">
        <f t="shared" si="56"/>
        <v>3</v>
      </c>
    </row>
    <row r="738" spans="1:13">
      <c r="A738" s="88">
        <f t="shared" si="57"/>
        <v>9</v>
      </c>
      <c r="B738" s="69" t="s">
        <v>1729</v>
      </c>
      <c r="C738" s="69">
        <v>6</v>
      </c>
      <c r="D738" s="89">
        <v>0</v>
      </c>
      <c r="E738" s="111">
        <v>0</v>
      </c>
      <c r="F738" s="89">
        <v>0</v>
      </c>
      <c r="G738" s="89">
        <v>0</v>
      </c>
      <c r="H738" s="296">
        <v>0</v>
      </c>
      <c r="I738" s="89">
        <v>0</v>
      </c>
      <c r="J738" s="710">
        <f>(VLOOKUP($C738,[2]Sheet1!$A$2:$P$18,$M738+1)/12)*12*D738</f>
        <v>0</v>
      </c>
      <c r="K738" s="711"/>
      <c r="M738" s="62">
        <f t="shared" si="56"/>
        <v>5</v>
      </c>
    </row>
    <row r="739" spans="1:13">
      <c r="A739" s="88">
        <f t="shared" si="57"/>
        <v>10</v>
      </c>
      <c r="B739" s="69" t="s">
        <v>2571</v>
      </c>
      <c r="C739" s="69">
        <v>5</v>
      </c>
      <c r="D739" s="89">
        <v>0</v>
      </c>
      <c r="E739" s="111">
        <v>0</v>
      </c>
      <c r="F739" s="89">
        <v>0</v>
      </c>
      <c r="G739" s="89">
        <v>0</v>
      </c>
      <c r="H739" s="296">
        <v>0</v>
      </c>
      <c r="I739" s="89">
        <v>0</v>
      </c>
      <c r="J739" s="710">
        <f>(VLOOKUP($C739,[2]Sheet1!$A$2:$P$18,$M739+1)/12)*12*D739</f>
        <v>0</v>
      </c>
      <c r="K739" s="711"/>
      <c r="M739" s="62">
        <f t="shared" si="56"/>
        <v>5</v>
      </c>
    </row>
    <row r="740" spans="1:13">
      <c r="A740" s="88">
        <f t="shared" si="57"/>
        <v>11</v>
      </c>
      <c r="B740" s="69" t="s">
        <v>2572</v>
      </c>
      <c r="C740" s="69">
        <v>7</v>
      </c>
      <c r="D740" s="89">
        <v>0</v>
      </c>
      <c r="E740" s="111">
        <v>0</v>
      </c>
      <c r="F740" s="89">
        <v>0</v>
      </c>
      <c r="G740" s="89">
        <v>0</v>
      </c>
      <c r="H740" s="296">
        <v>0</v>
      </c>
      <c r="I740" s="89">
        <v>0</v>
      </c>
      <c r="J740" s="710">
        <f>(VLOOKUP($C740,[2]Sheet1!$A$2:$P$18,$M740+1)/12)*12*D740</f>
        <v>0</v>
      </c>
      <c r="K740" s="711"/>
      <c r="M740" s="62">
        <f t="shared" si="56"/>
        <v>3</v>
      </c>
    </row>
    <row r="741" spans="1:13">
      <c r="A741" s="88">
        <f t="shared" si="57"/>
        <v>12</v>
      </c>
      <c r="B741" s="69" t="s">
        <v>60</v>
      </c>
      <c r="C741" s="69">
        <v>6</v>
      </c>
      <c r="D741" s="89">
        <v>0</v>
      </c>
      <c r="E741" s="111">
        <v>0</v>
      </c>
      <c r="F741" s="89">
        <v>0</v>
      </c>
      <c r="G741" s="89">
        <v>0</v>
      </c>
      <c r="H741" s="296">
        <v>0</v>
      </c>
      <c r="I741" s="89">
        <v>0</v>
      </c>
      <c r="J741" s="710">
        <f>(VLOOKUP($C741,[2]Sheet1!$A$2:$P$18,$M741+1)/12)*12*D741</f>
        <v>0</v>
      </c>
      <c r="K741" s="711"/>
      <c r="M741" s="62">
        <f t="shared" si="56"/>
        <v>5</v>
      </c>
    </row>
    <row r="742" spans="1:13">
      <c r="A742" s="88">
        <f t="shared" si="57"/>
        <v>13</v>
      </c>
      <c r="B742" s="69" t="s">
        <v>3796</v>
      </c>
      <c r="C742" s="69">
        <v>5</v>
      </c>
      <c r="D742" s="89">
        <v>0</v>
      </c>
      <c r="E742" s="111">
        <v>0</v>
      </c>
      <c r="F742" s="89">
        <v>0</v>
      </c>
      <c r="G742" s="89">
        <v>0</v>
      </c>
      <c r="H742" s="296">
        <v>0</v>
      </c>
      <c r="I742" s="89">
        <v>0</v>
      </c>
      <c r="J742" s="710">
        <f>(VLOOKUP($C742,[2]Sheet1!$A$2:$P$18,$M742+1)/12)*12*D742</f>
        <v>0</v>
      </c>
      <c r="K742" s="711"/>
      <c r="M742" s="62">
        <f t="shared" si="56"/>
        <v>5</v>
      </c>
    </row>
    <row r="743" spans="1:13">
      <c r="A743" s="88">
        <f t="shared" si="57"/>
        <v>14</v>
      </c>
      <c r="B743" s="69" t="s">
        <v>3797</v>
      </c>
      <c r="C743" s="69">
        <v>4</v>
      </c>
      <c r="D743" s="89">
        <v>0</v>
      </c>
      <c r="E743" s="111">
        <v>0</v>
      </c>
      <c r="F743" s="89">
        <v>0</v>
      </c>
      <c r="G743" s="89">
        <v>0</v>
      </c>
      <c r="H743" s="296">
        <v>0</v>
      </c>
      <c r="I743" s="89">
        <v>0</v>
      </c>
      <c r="J743" s="710">
        <f>(VLOOKUP($C743,[2]Sheet1!$A$2:$P$18,$M743+1)/12)*12*D743</f>
        <v>0</v>
      </c>
      <c r="K743" s="711"/>
      <c r="M743" s="62">
        <f t="shared" si="56"/>
        <v>5</v>
      </c>
    </row>
    <row r="744" spans="1:13">
      <c r="A744" s="88">
        <f t="shared" si="57"/>
        <v>15</v>
      </c>
      <c r="B744" s="69" t="s">
        <v>3798</v>
      </c>
      <c r="C744" s="69">
        <v>3</v>
      </c>
      <c r="D744" s="89">
        <v>0</v>
      </c>
      <c r="E744" s="111">
        <v>0</v>
      </c>
      <c r="F744" s="89">
        <v>0</v>
      </c>
      <c r="G744" s="89">
        <v>0</v>
      </c>
      <c r="H744" s="296">
        <v>0</v>
      </c>
      <c r="I744" s="89">
        <v>0</v>
      </c>
      <c r="J744" s="710">
        <f>(VLOOKUP($C744,[2]Sheet1!$A$2:$P$18,$M744+1)/12)*12*D744</f>
        <v>0</v>
      </c>
      <c r="K744" s="711"/>
      <c r="M744" s="62">
        <f t="shared" si="56"/>
        <v>5</v>
      </c>
    </row>
    <row r="745" spans="1:13">
      <c r="A745" s="88">
        <f t="shared" si="57"/>
        <v>16</v>
      </c>
      <c r="B745" s="69" t="s">
        <v>2179</v>
      </c>
      <c r="C745" s="69">
        <v>4</v>
      </c>
      <c r="D745" s="89">
        <v>0</v>
      </c>
      <c r="E745" s="111">
        <v>0</v>
      </c>
      <c r="F745" s="89">
        <v>0</v>
      </c>
      <c r="G745" s="89">
        <v>0</v>
      </c>
      <c r="H745" s="296">
        <v>0</v>
      </c>
      <c r="I745" s="89">
        <v>0</v>
      </c>
      <c r="J745" s="710">
        <f>(VLOOKUP($C745,[2]Sheet1!$A$2:$P$18,$M745+1)/12)*12*D745</f>
        <v>0</v>
      </c>
      <c r="K745" s="711"/>
      <c r="M745" s="62">
        <f t="shared" si="56"/>
        <v>5</v>
      </c>
    </row>
    <row r="746" spans="1:13">
      <c r="A746" s="88">
        <f t="shared" si="57"/>
        <v>17</v>
      </c>
      <c r="B746" s="69" t="s">
        <v>2542</v>
      </c>
      <c r="C746" s="69">
        <v>3</v>
      </c>
      <c r="D746" s="89">
        <v>2</v>
      </c>
      <c r="E746" s="111">
        <v>4</v>
      </c>
      <c r="F746" s="89">
        <v>2</v>
      </c>
      <c r="G746" s="89">
        <v>2</v>
      </c>
      <c r="H746" s="296">
        <v>3</v>
      </c>
      <c r="I746" s="89">
        <v>2</v>
      </c>
      <c r="J746" s="710">
        <f>(VLOOKUP($C746,[2]Sheet1!$A$2:$P$18,$M746+1)/12)*12*D746</f>
        <v>438672.35786072997</v>
      </c>
      <c r="K746" s="711"/>
      <c r="M746" s="62">
        <f t="shared" si="56"/>
        <v>5</v>
      </c>
    </row>
    <row r="747" spans="1:13">
      <c r="A747" s="88">
        <f t="shared" si="57"/>
        <v>18</v>
      </c>
      <c r="B747" s="69" t="s">
        <v>2543</v>
      </c>
      <c r="C747" s="69">
        <v>2</v>
      </c>
      <c r="D747" s="89">
        <v>2</v>
      </c>
      <c r="E747" s="111">
        <v>2</v>
      </c>
      <c r="F747" s="89">
        <v>2</v>
      </c>
      <c r="G747" s="89">
        <v>2</v>
      </c>
      <c r="H747" s="296">
        <v>1</v>
      </c>
      <c r="I747" s="89">
        <v>2</v>
      </c>
      <c r="J747" s="710">
        <f>(VLOOKUP($C747,[2]Sheet1!$A$2:$P$18,$M747+1)/12)*12*D747</f>
        <v>429314.75786073005</v>
      </c>
      <c r="K747" s="711"/>
      <c r="M747" s="62">
        <f t="shared" si="56"/>
        <v>5</v>
      </c>
    </row>
    <row r="748" spans="1:13">
      <c r="A748" s="88">
        <f t="shared" si="57"/>
        <v>19</v>
      </c>
      <c r="B748" s="69" t="s">
        <v>2971</v>
      </c>
      <c r="C748" s="69">
        <v>2</v>
      </c>
      <c r="D748" s="89">
        <v>0</v>
      </c>
      <c r="E748" s="111">
        <v>0</v>
      </c>
      <c r="F748" s="89">
        <v>0</v>
      </c>
      <c r="G748" s="89">
        <v>0</v>
      </c>
      <c r="H748" s="296">
        <v>0</v>
      </c>
      <c r="I748" s="89">
        <v>0</v>
      </c>
      <c r="J748" s="710">
        <f>(VLOOKUP($C748,[2]Sheet1!$A$2:$P$18,$M748+1)/12)*12*D748</f>
        <v>0</v>
      </c>
      <c r="K748" s="711"/>
      <c r="M748" s="62">
        <f t="shared" si="56"/>
        <v>5</v>
      </c>
    </row>
    <row r="749" spans="1:13">
      <c r="A749" s="88">
        <f t="shared" si="57"/>
        <v>20</v>
      </c>
      <c r="B749" s="69" t="s">
        <v>2172</v>
      </c>
      <c r="C749" s="69">
        <v>2</v>
      </c>
      <c r="D749" s="89">
        <v>2</v>
      </c>
      <c r="E749" s="111">
        <v>2</v>
      </c>
      <c r="F749" s="89">
        <v>2</v>
      </c>
      <c r="G749" s="89">
        <v>2</v>
      </c>
      <c r="H749" s="296">
        <v>2</v>
      </c>
      <c r="I749" s="89">
        <v>2</v>
      </c>
      <c r="J749" s="710">
        <f>(VLOOKUP($C749,[2]Sheet1!$A$2:$P$18,$M749+1)/12)*12*D749</f>
        <v>429314.75786073005</v>
      </c>
      <c r="K749" s="711"/>
      <c r="M749" s="62">
        <f t="shared" si="56"/>
        <v>5</v>
      </c>
    </row>
    <row r="750" spans="1:13">
      <c r="A750" s="88">
        <f t="shared" si="57"/>
        <v>21</v>
      </c>
      <c r="B750" s="69" t="s">
        <v>2563</v>
      </c>
      <c r="C750" s="69">
        <v>7</v>
      </c>
      <c r="D750" s="89">
        <v>0</v>
      </c>
      <c r="E750" s="111">
        <v>0</v>
      </c>
      <c r="F750" s="89">
        <v>0</v>
      </c>
      <c r="G750" s="89">
        <v>0</v>
      </c>
      <c r="H750" s="296">
        <v>0</v>
      </c>
      <c r="I750" s="89">
        <v>0</v>
      </c>
      <c r="J750" s="710">
        <f>(VLOOKUP($C750,[2]Sheet1!$A$2:$P$18,$M750+1)/12)*12*D750</f>
        <v>0</v>
      </c>
      <c r="K750" s="711"/>
      <c r="M750" s="62">
        <f t="shared" si="56"/>
        <v>3</v>
      </c>
    </row>
    <row r="751" spans="1:13">
      <c r="A751" s="88">
        <f t="shared" si="57"/>
        <v>22</v>
      </c>
      <c r="B751" s="69" t="s">
        <v>2972</v>
      </c>
      <c r="C751" s="69">
        <v>6</v>
      </c>
      <c r="D751" s="89">
        <v>0</v>
      </c>
      <c r="E751" s="111">
        <v>0</v>
      </c>
      <c r="F751" s="89">
        <v>0</v>
      </c>
      <c r="G751" s="89">
        <v>0</v>
      </c>
      <c r="H751" s="296">
        <v>0</v>
      </c>
      <c r="I751" s="89">
        <v>0</v>
      </c>
      <c r="J751" s="710">
        <f>(VLOOKUP($C751,[2]Sheet1!$A$2:$P$18,$M751+1)/12)*12*D751</f>
        <v>0</v>
      </c>
      <c r="K751" s="711"/>
      <c r="M751" s="62">
        <f t="shared" si="56"/>
        <v>5</v>
      </c>
    </row>
    <row r="752" spans="1:13">
      <c r="A752" s="88">
        <f t="shared" si="57"/>
        <v>23</v>
      </c>
      <c r="B752" s="69" t="s">
        <v>1794</v>
      </c>
      <c r="C752" s="69">
        <v>5</v>
      </c>
      <c r="D752" s="89">
        <v>0</v>
      </c>
      <c r="E752" s="111">
        <v>0</v>
      </c>
      <c r="F752" s="89">
        <v>0</v>
      </c>
      <c r="G752" s="89">
        <v>0</v>
      </c>
      <c r="H752" s="296">
        <v>0</v>
      </c>
      <c r="I752" s="89">
        <v>0</v>
      </c>
      <c r="J752" s="710">
        <f>(VLOOKUP($C752,[2]Sheet1!$A$2:$P$18,$M752+1)/12)*12*D752</f>
        <v>0</v>
      </c>
      <c r="K752" s="711"/>
      <c r="M752" s="62">
        <f t="shared" si="56"/>
        <v>5</v>
      </c>
    </row>
    <row r="753" spans="1:13">
      <c r="A753" s="88">
        <f t="shared" si="57"/>
        <v>24</v>
      </c>
      <c r="B753" s="69" t="s">
        <v>2231</v>
      </c>
      <c r="C753" s="69">
        <v>4</v>
      </c>
      <c r="D753" s="89">
        <v>0</v>
      </c>
      <c r="E753" s="111">
        <v>2</v>
      </c>
      <c r="F753" s="89">
        <v>0</v>
      </c>
      <c r="G753" s="89">
        <v>0</v>
      </c>
      <c r="H753" s="296">
        <v>1</v>
      </c>
      <c r="I753" s="89">
        <v>0</v>
      </c>
      <c r="J753" s="710">
        <f>(VLOOKUP($C753,[2]Sheet1!$A$2:$P$18,$M753+1)/12)*12*D753</f>
        <v>0</v>
      </c>
      <c r="K753" s="711"/>
      <c r="M753" s="62">
        <f t="shared" si="56"/>
        <v>5</v>
      </c>
    </row>
    <row r="754" spans="1:13">
      <c r="A754" s="88">
        <f t="shared" si="57"/>
        <v>25</v>
      </c>
      <c r="B754" s="69" t="s">
        <v>4028</v>
      </c>
      <c r="C754" s="69">
        <v>3</v>
      </c>
      <c r="D754" s="89">
        <v>1</v>
      </c>
      <c r="E754" s="111">
        <v>1</v>
      </c>
      <c r="F754" s="89">
        <v>1</v>
      </c>
      <c r="G754" s="89">
        <v>1</v>
      </c>
      <c r="H754" s="296">
        <v>1</v>
      </c>
      <c r="I754" s="89">
        <v>1</v>
      </c>
      <c r="J754" s="710">
        <f>(VLOOKUP($C754,[2]Sheet1!$A$2:$P$18,$M754+1)/12)*12*D754</f>
        <v>219336.17893036499</v>
      </c>
      <c r="K754" s="711"/>
      <c r="M754" s="62">
        <f t="shared" si="56"/>
        <v>5</v>
      </c>
    </row>
    <row r="755" spans="1:13">
      <c r="A755" s="88">
        <f t="shared" si="57"/>
        <v>26</v>
      </c>
      <c r="B755" s="69" t="s">
        <v>2232</v>
      </c>
      <c r="C755" s="69">
        <v>2</v>
      </c>
      <c r="D755" s="89">
        <v>0</v>
      </c>
      <c r="E755" s="111">
        <v>0</v>
      </c>
      <c r="F755" s="89">
        <v>0</v>
      </c>
      <c r="G755" s="89">
        <v>0</v>
      </c>
      <c r="H755" s="296">
        <v>0</v>
      </c>
      <c r="I755" s="89">
        <v>0</v>
      </c>
      <c r="J755" s="710">
        <f>(VLOOKUP($C755,[2]Sheet1!$A$2:$P$18,$M755+1)/12)*12*D755</f>
        <v>0</v>
      </c>
      <c r="K755" s="711"/>
      <c r="M755" s="62">
        <f t="shared" si="56"/>
        <v>5</v>
      </c>
    </row>
    <row r="756" spans="1:13">
      <c r="A756" s="88"/>
      <c r="B756" s="90" t="s">
        <v>3666</v>
      </c>
      <c r="C756" s="69"/>
      <c r="D756" s="89"/>
      <c r="E756" s="111"/>
      <c r="F756" s="89"/>
      <c r="G756" s="89"/>
      <c r="H756" s="296"/>
      <c r="I756" s="89"/>
      <c r="J756" s="710"/>
      <c r="K756" s="711"/>
      <c r="M756" s="62">
        <f t="shared" si="56"/>
        <v>5</v>
      </c>
    </row>
    <row r="757" spans="1:13">
      <c r="A757" s="88">
        <f>+A755+1</f>
        <v>27</v>
      </c>
      <c r="B757" s="69" t="s">
        <v>3532</v>
      </c>
      <c r="C757" s="69">
        <v>16</v>
      </c>
      <c r="D757" s="89">
        <v>0</v>
      </c>
      <c r="E757" s="111">
        <v>0</v>
      </c>
      <c r="F757" s="89">
        <v>0</v>
      </c>
      <c r="G757" s="89">
        <v>0</v>
      </c>
      <c r="H757" s="296">
        <v>0</v>
      </c>
      <c r="I757" s="89">
        <v>0</v>
      </c>
      <c r="J757" s="710">
        <f>(VLOOKUP($C757,[2]Sheet1!$A$2:$P$18,$M757+1)/12)*12*D757</f>
        <v>0</v>
      </c>
      <c r="K757" s="711"/>
      <c r="M757" s="62">
        <f t="shared" si="56"/>
        <v>3</v>
      </c>
    </row>
    <row r="758" spans="1:13">
      <c r="A758" s="88">
        <f t="shared" si="57"/>
        <v>28</v>
      </c>
      <c r="B758" s="69" t="s">
        <v>1256</v>
      </c>
      <c r="C758" s="69">
        <v>15</v>
      </c>
      <c r="D758" s="89">
        <v>0</v>
      </c>
      <c r="E758" s="111">
        <v>0</v>
      </c>
      <c r="F758" s="89">
        <v>0</v>
      </c>
      <c r="G758" s="89">
        <v>0</v>
      </c>
      <c r="H758" s="296">
        <v>0</v>
      </c>
      <c r="I758" s="89">
        <v>0</v>
      </c>
      <c r="J758" s="710">
        <f>(VLOOKUP($C758,[2]Sheet1!$A$2:$P$18,$M758+1)/12)*12*D758</f>
        <v>0</v>
      </c>
      <c r="K758" s="711"/>
      <c r="M758" s="62">
        <f t="shared" si="56"/>
        <v>3</v>
      </c>
    </row>
    <row r="759" spans="1:13">
      <c r="A759" s="88">
        <f t="shared" si="57"/>
        <v>29</v>
      </c>
      <c r="B759" s="69" t="s">
        <v>2011</v>
      </c>
      <c r="C759" s="69">
        <v>14</v>
      </c>
      <c r="D759" s="89">
        <v>0</v>
      </c>
      <c r="E759" s="111">
        <v>0</v>
      </c>
      <c r="F759" s="89">
        <v>0</v>
      </c>
      <c r="G759" s="89">
        <v>0</v>
      </c>
      <c r="H759" s="296">
        <v>0</v>
      </c>
      <c r="I759" s="89">
        <v>0</v>
      </c>
      <c r="J759" s="710">
        <f>(VLOOKUP($C759,[2]Sheet1!$A$2:$P$18,$M759+1)/12)*12*D759</f>
        <v>0</v>
      </c>
      <c r="K759" s="711"/>
      <c r="M759" s="62">
        <f t="shared" si="56"/>
        <v>3</v>
      </c>
    </row>
    <row r="760" spans="1:13">
      <c r="A760" s="88">
        <f t="shared" si="57"/>
        <v>30</v>
      </c>
      <c r="B760" s="69" t="s">
        <v>2012</v>
      </c>
      <c r="C760" s="69">
        <v>13</v>
      </c>
      <c r="D760" s="89">
        <v>0</v>
      </c>
      <c r="E760" s="111">
        <v>0</v>
      </c>
      <c r="F760" s="89">
        <v>0</v>
      </c>
      <c r="G760" s="89">
        <v>0</v>
      </c>
      <c r="H760" s="296">
        <v>0</v>
      </c>
      <c r="I760" s="89">
        <v>0</v>
      </c>
      <c r="J760" s="710">
        <f>(VLOOKUP($C760,[2]Sheet1!$A$2:$P$18,$M760+1)/12)*12*D760</f>
        <v>0</v>
      </c>
      <c r="K760" s="711"/>
      <c r="M760" s="62">
        <f t="shared" si="56"/>
        <v>3</v>
      </c>
    </row>
    <row r="761" spans="1:13">
      <c r="A761" s="88">
        <f t="shared" si="57"/>
        <v>31</v>
      </c>
      <c r="B761" s="69" t="s">
        <v>3514</v>
      </c>
      <c r="C761" s="69">
        <v>12</v>
      </c>
      <c r="D761" s="89">
        <v>0</v>
      </c>
      <c r="E761" s="111">
        <v>0</v>
      </c>
      <c r="F761" s="89">
        <v>0</v>
      </c>
      <c r="G761" s="89">
        <v>0</v>
      </c>
      <c r="H761" s="296">
        <v>0</v>
      </c>
      <c r="I761" s="89">
        <v>0</v>
      </c>
      <c r="J761" s="710">
        <f>(VLOOKUP($C761,[2]Sheet1!$A$2:$P$18,$M761+1)/12)*12*D761</f>
        <v>0</v>
      </c>
      <c r="K761" s="711"/>
      <c r="M761" s="62">
        <f t="shared" si="56"/>
        <v>3</v>
      </c>
    </row>
    <row r="762" spans="1:13">
      <c r="A762" s="88">
        <f t="shared" si="57"/>
        <v>32</v>
      </c>
      <c r="B762" s="69" t="s">
        <v>3515</v>
      </c>
      <c r="C762" s="69">
        <v>10</v>
      </c>
      <c r="D762" s="89">
        <v>0</v>
      </c>
      <c r="E762" s="111">
        <v>0</v>
      </c>
      <c r="F762" s="89">
        <v>0</v>
      </c>
      <c r="G762" s="89">
        <v>0</v>
      </c>
      <c r="H762" s="296">
        <v>0</v>
      </c>
      <c r="I762" s="89">
        <v>0</v>
      </c>
      <c r="J762" s="710">
        <f>(VLOOKUP($C762,[2]Sheet1!$A$2:$P$18,$M762+1)/12)*12*D762</f>
        <v>0</v>
      </c>
      <c r="K762" s="711"/>
      <c r="M762" s="62">
        <f t="shared" si="56"/>
        <v>3</v>
      </c>
    </row>
    <row r="763" spans="1:13">
      <c r="A763" s="88">
        <f t="shared" si="57"/>
        <v>33</v>
      </c>
      <c r="B763" s="69" t="s">
        <v>1756</v>
      </c>
      <c r="C763" s="69">
        <v>9</v>
      </c>
      <c r="D763" s="89">
        <v>0</v>
      </c>
      <c r="E763" s="111">
        <v>0</v>
      </c>
      <c r="F763" s="89">
        <v>0</v>
      </c>
      <c r="G763" s="89">
        <v>0</v>
      </c>
      <c r="H763" s="296">
        <v>0</v>
      </c>
      <c r="I763" s="89">
        <v>0</v>
      </c>
      <c r="J763" s="710">
        <f>(VLOOKUP($C763,[2]Sheet1!$A$2:$P$18,$M763+1)/12)*12*D763</f>
        <v>0</v>
      </c>
      <c r="K763" s="711"/>
      <c r="M763" s="62">
        <f t="shared" si="56"/>
        <v>3</v>
      </c>
    </row>
    <row r="764" spans="1:13">
      <c r="A764" s="88">
        <f t="shared" si="57"/>
        <v>34</v>
      </c>
      <c r="B764" s="69" t="s">
        <v>2450</v>
      </c>
      <c r="C764" s="69">
        <v>8</v>
      </c>
      <c r="D764" s="89">
        <v>0</v>
      </c>
      <c r="E764" s="111">
        <v>0</v>
      </c>
      <c r="F764" s="89">
        <v>0</v>
      </c>
      <c r="G764" s="89">
        <v>0</v>
      </c>
      <c r="H764" s="296">
        <v>0</v>
      </c>
      <c r="I764" s="89">
        <v>0</v>
      </c>
      <c r="J764" s="710">
        <f>(VLOOKUP($C764,[2]Sheet1!$A$2:$P$18,$M764+1)/12)*12*D764</f>
        <v>0</v>
      </c>
      <c r="K764" s="711"/>
      <c r="M764" s="62">
        <f t="shared" si="56"/>
        <v>3</v>
      </c>
    </row>
    <row r="765" spans="1:13" ht="13.5" thickBot="1">
      <c r="A765" s="88">
        <f t="shared" si="57"/>
        <v>35</v>
      </c>
      <c r="B765" s="69" t="s">
        <v>2451</v>
      </c>
      <c r="C765" s="69">
        <v>6</v>
      </c>
      <c r="D765" s="89">
        <v>0</v>
      </c>
      <c r="E765" s="111">
        <v>0</v>
      </c>
      <c r="F765" s="89">
        <v>0</v>
      </c>
      <c r="G765" s="89">
        <v>0</v>
      </c>
      <c r="H765" s="296">
        <v>0</v>
      </c>
      <c r="I765" s="89">
        <v>0</v>
      </c>
      <c r="J765" s="710">
        <f>(VLOOKUP($C765,[2]Sheet1!$A$2:$P$18,$M765+1)/12)*12*D765</f>
        <v>0</v>
      </c>
      <c r="K765" s="711"/>
      <c r="M765" s="62">
        <f t="shared" si="56"/>
        <v>5</v>
      </c>
    </row>
    <row r="766" spans="1:13" ht="15.75" thickTop="1">
      <c r="A766" s="1047" t="s">
        <v>2791</v>
      </c>
      <c r="B766" s="1049" t="s">
        <v>4126</v>
      </c>
      <c r="C766" s="1049" t="s">
        <v>854</v>
      </c>
      <c r="D766" s="1040" t="s">
        <v>4127</v>
      </c>
      <c r="E766" s="1041"/>
      <c r="F766" s="1041"/>
      <c r="G766" s="1040" t="s">
        <v>904</v>
      </c>
      <c r="H766" s="1041"/>
      <c r="I766" s="1042"/>
      <c r="J766" s="1035" t="s">
        <v>855</v>
      </c>
      <c r="K766" s="389"/>
    </row>
    <row r="767" spans="1:13" ht="26.25" thickBot="1">
      <c r="A767" s="1048"/>
      <c r="B767" s="1050"/>
      <c r="C767" s="1050"/>
      <c r="D767" s="285" t="s">
        <v>5505</v>
      </c>
      <c r="E767" s="285" t="s">
        <v>4485</v>
      </c>
      <c r="F767" s="285" t="s">
        <v>4486</v>
      </c>
      <c r="G767" s="287" t="s">
        <v>4487</v>
      </c>
      <c r="H767" s="285" t="s">
        <v>4488</v>
      </c>
      <c r="I767" s="287" t="s">
        <v>4489</v>
      </c>
      <c r="J767" s="1036"/>
      <c r="K767" s="712"/>
    </row>
    <row r="768" spans="1:13" ht="13.5" thickTop="1">
      <c r="A768" s="88">
        <f>+A765+1</f>
        <v>36</v>
      </c>
      <c r="B768" s="69" t="s">
        <v>3516</v>
      </c>
      <c r="C768" s="69">
        <v>5</v>
      </c>
      <c r="D768" s="89">
        <v>0</v>
      </c>
      <c r="E768" s="111">
        <v>0</v>
      </c>
      <c r="F768" s="89">
        <v>0</v>
      </c>
      <c r="G768" s="89">
        <v>0</v>
      </c>
      <c r="H768" s="296">
        <v>0</v>
      </c>
      <c r="I768" s="89">
        <v>0</v>
      </c>
      <c r="J768" s="710">
        <f>(VLOOKUP($C768,[2]Sheet1!$A$2:$P$18,$M768+1)/12)*12*D768</f>
        <v>0</v>
      </c>
      <c r="K768" s="711"/>
      <c r="M768" s="62">
        <f t="shared" si="56"/>
        <v>5</v>
      </c>
    </row>
    <row r="769" spans="1:13">
      <c r="A769" s="88">
        <f t="shared" si="57"/>
        <v>37</v>
      </c>
      <c r="B769" s="69" t="s">
        <v>2452</v>
      </c>
      <c r="C769" s="69">
        <v>4</v>
      </c>
      <c r="D769" s="89">
        <v>0</v>
      </c>
      <c r="E769" s="111">
        <v>1</v>
      </c>
      <c r="F769" s="89">
        <v>0</v>
      </c>
      <c r="G769" s="89">
        <v>0</v>
      </c>
      <c r="H769" s="296">
        <v>1</v>
      </c>
      <c r="I769" s="89">
        <v>0</v>
      </c>
      <c r="J769" s="710">
        <f>(VLOOKUP($C769,[2]Sheet1!$A$2:$P$18,$M769+1)/12)*12*D769</f>
        <v>0</v>
      </c>
      <c r="K769" s="711"/>
      <c r="M769" s="62">
        <f t="shared" si="56"/>
        <v>5</v>
      </c>
    </row>
    <row r="770" spans="1:13">
      <c r="A770" s="88">
        <f t="shared" si="57"/>
        <v>38</v>
      </c>
      <c r="B770" s="69" t="s">
        <v>2613</v>
      </c>
      <c r="C770" s="69">
        <v>3</v>
      </c>
      <c r="D770" s="89">
        <v>3</v>
      </c>
      <c r="E770" s="111">
        <v>3</v>
      </c>
      <c r="F770" s="89">
        <v>3</v>
      </c>
      <c r="G770" s="89">
        <v>3</v>
      </c>
      <c r="H770" s="296">
        <v>2</v>
      </c>
      <c r="I770" s="89">
        <v>3</v>
      </c>
      <c r="J770" s="710">
        <f>(VLOOKUP($C770,[2]Sheet1!$A$2:$P$18,$M770+1)/12)*12*D770</f>
        <v>658008.53679109493</v>
      </c>
      <c r="K770" s="711"/>
      <c r="M770" s="62">
        <f t="shared" si="56"/>
        <v>5</v>
      </c>
    </row>
    <row r="771" spans="1:13">
      <c r="A771" s="88"/>
      <c r="B771" s="90" t="s">
        <v>1123</v>
      </c>
      <c r="C771" s="69"/>
      <c r="D771" s="89"/>
      <c r="E771" s="111"/>
      <c r="F771" s="89"/>
      <c r="G771" s="89"/>
      <c r="H771" s="296"/>
      <c r="I771" s="89"/>
      <c r="J771" s="710"/>
      <c r="K771" s="711"/>
      <c r="M771" s="62">
        <f t="shared" si="56"/>
        <v>5</v>
      </c>
    </row>
    <row r="772" spans="1:13">
      <c r="A772" s="88">
        <f>+A770+1</f>
        <v>39</v>
      </c>
      <c r="B772" s="69" t="s">
        <v>3532</v>
      </c>
      <c r="C772" s="69">
        <v>16</v>
      </c>
      <c r="D772" s="89">
        <v>0</v>
      </c>
      <c r="E772" s="111">
        <v>0</v>
      </c>
      <c r="F772" s="89">
        <v>0</v>
      </c>
      <c r="G772" s="89">
        <v>0</v>
      </c>
      <c r="H772" s="296">
        <v>0</v>
      </c>
      <c r="I772" s="89">
        <v>0</v>
      </c>
      <c r="J772" s="710">
        <f>(VLOOKUP($C772,[2]Sheet1!$A$2:$P$18,$M772+1)/12)*12*D772</f>
        <v>0</v>
      </c>
      <c r="K772" s="711"/>
      <c r="M772" s="62">
        <f t="shared" si="56"/>
        <v>3</v>
      </c>
    </row>
    <row r="773" spans="1:13">
      <c r="A773" s="88">
        <f t="shared" si="57"/>
        <v>40</v>
      </c>
      <c r="B773" s="69" t="s">
        <v>3336</v>
      </c>
      <c r="C773" s="69">
        <v>15</v>
      </c>
      <c r="D773" s="89">
        <v>0</v>
      </c>
      <c r="E773" s="111">
        <v>0</v>
      </c>
      <c r="F773" s="89">
        <v>0</v>
      </c>
      <c r="G773" s="89">
        <v>0</v>
      </c>
      <c r="H773" s="296">
        <v>0</v>
      </c>
      <c r="I773" s="89">
        <v>0</v>
      </c>
      <c r="J773" s="710">
        <f>(VLOOKUP($C773,[2]Sheet1!$A$2:$P$18,$M773+1)/12)*12*D773</f>
        <v>0</v>
      </c>
      <c r="K773" s="711"/>
      <c r="M773" s="62">
        <f t="shared" si="56"/>
        <v>3</v>
      </c>
    </row>
    <row r="774" spans="1:13">
      <c r="A774" s="88">
        <f t="shared" si="57"/>
        <v>41</v>
      </c>
      <c r="B774" s="69" t="s">
        <v>3337</v>
      </c>
      <c r="C774" s="69">
        <v>14</v>
      </c>
      <c r="D774" s="89">
        <v>0</v>
      </c>
      <c r="E774" s="111">
        <v>0</v>
      </c>
      <c r="F774" s="89">
        <v>0</v>
      </c>
      <c r="G774" s="89">
        <v>0</v>
      </c>
      <c r="H774" s="296">
        <v>0</v>
      </c>
      <c r="I774" s="89">
        <v>0</v>
      </c>
      <c r="J774" s="710">
        <f>(VLOOKUP($C774,[2]Sheet1!$A$2:$P$18,$M774+1)/12)*12*D774</f>
        <v>0</v>
      </c>
      <c r="K774" s="711"/>
      <c r="M774" s="62">
        <f t="shared" si="56"/>
        <v>3</v>
      </c>
    </row>
    <row r="775" spans="1:13">
      <c r="A775" s="88">
        <f t="shared" si="57"/>
        <v>42</v>
      </c>
      <c r="B775" s="69" t="s">
        <v>3338</v>
      </c>
      <c r="C775" s="69">
        <v>13</v>
      </c>
      <c r="D775" s="89">
        <v>0</v>
      </c>
      <c r="E775" s="111">
        <v>0</v>
      </c>
      <c r="F775" s="89">
        <v>0</v>
      </c>
      <c r="G775" s="89">
        <v>0</v>
      </c>
      <c r="H775" s="296">
        <v>0</v>
      </c>
      <c r="I775" s="89">
        <v>0</v>
      </c>
      <c r="J775" s="710">
        <f>(VLOOKUP($C775,[2]Sheet1!$A$2:$P$18,$M775+1)/12)*12*D775</f>
        <v>0</v>
      </c>
      <c r="K775" s="711"/>
      <c r="M775" s="62">
        <f t="shared" si="56"/>
        <v>3</v>
      </c>
    </row>
    <row r="776" spans="1:13">
      <c r="A776" s="88">
        <f t="shared" si="57"/>
        <v>43</v>
      </c>
      <c r="B776" s="69" t="s">
        <v>3195</v>
      </c>
      <c r="C776" s="69">
        <v>12</v>
      </c>
      <c r="D776" s="89">
        <v>0</v>
      </c>
      <c r="E776" s="111">
        <v>0</v>
      </c>
      <c r="F776" s="89">
        <v>0</v>
      </c>
      <c r="G776" s="89">
        <v>0</v>
      </c>
      <c r="H776" s="296">
        <v>0</v>
      </c>
      <c r="I776" s="89">
        <v>0</v>
      </c>
      <c r="J776" s="710">
        <f>(VLOOKUP($C776,[2]Sheet1!$A$2:$P$18,$M776+1)/12)*12*D776</f>
        <v>0</v>
      </c>
      <c r="K776" s="711"/>
      <c r="M776" s="62">
        <f t="shared" si="56"/>
        <v>3</v>
      </c>
    </row>
    <row r="777" spans="1:13">
      <c r="A777" s="88">
        <f t="shared" si="57"/>
        <v>44</v>
      </c>
      <c r="B777" s="69" t="s">
        <v>3196</v>
      </c>
      <c r="C777" s="69">
        <v>10</v>
      </c>
      <c r="D777" s="89">
        <v>0</v>
      </c>
      <c r="E777" s="111">
        <v>1</v>
      </c>
      <c r="F777" s="89">
        <v>0</v>
      </c>
      <c r="G777" s="89">
        <v>0</v>
      </c>
      <c r="H777" s="296">
        <v>1</v>
      </c>
      <c r="I777" s="89">
        <v>0</v>
      </c>
      <c r="J777" s="710">
        <f>(VLOOKUP($C777,[2]Sheet1!$A$2:$P$18,$M777+1)/12)*12*D777</f>
        <v>0</v>
      </c>
      <c r="K777" s="711"/>
      <c r="M777" s="62">
        <f t="shared" si="56"/>
        <v>3</v>
      </c>
    </row>
    <row r="778" spans="1:13">
      <c r="A778" s="88">
        <f t="shared" si="57"/>
        <v>45</v>
      </c>
      <c r="B778" s="69" t="s">
        <v>1160</v>
      </c>
      <c r="C778" s="69">
        <v>9</v>
      </c>
      <c r="D778" s="89">
        <v>1</v>
      </c>
      <c r="E778" s="111">
        <v>1</v>
      </c>
      <c r="F778" s="89">
        <v>1</v>
      </c>
      <c r="G778" s="89">
        <v>1</v>
      </c>
      <c r="H778" s="296">
        <v>1</v>
      </c>
      <c r="I778" s="89">
        <v>1</v>
      </c>
      <c r="J778" s="710">
        <f>(VLOOKUP($C778,[2]Sheet1!$A$2:$P$18,$M778+1)/12)*12*D778</f>
        <v>409681.90619999997</v>
      </c>
      <c r="K778" s="711"/>
      <c r="M778" s="62">
        <f t="shared" si="56"/>
        <v>3</v>
      </c>
    </row>
    <row r="779" spans="1:13">
      <c r="D779" s="62"/>
      <c r="E779" s="62"/>
      <c r="F779" s="62"/>
      <c r="G779" s="62"/>
      <c r="H779" s="62"/>
      <c r="I779" s="62"/>
      <c r="J779" s="710"/>
      <c r="K779" s="711"/>
      <c r="M779" s="62" t="e">
        <f>IF(#REF!&gt;6,3,5)</f>
        <v>#REF!</v>
      </c>
    </row>
    <row r="780" spans="1:13">
      <c r="A780" s="88">
        <f>+A778+1</f>
        <v>46</v>
      </c>
      <c r="B780" s="69" t="s">
        <v>3204</v>
      </c>
      <c r="C780" s="69">
        <v>8</v>
      </c>
      <c r="D780" s="89">
        <v>0</v>
      </c>
      <c r="E780" s="111">
        <v>0</v>
      </c>
      <c r="F780" s="89">
        <v>0</v>
      </c>
      <c r="G780" s="89">
        <v>0</v>
      </c>
      <c r="H780" s="296">
        <v>0</v>
      </c>
      <c r="I780" s="89">
        <v>0</v>
      </c>
      <c r="J780" s="710">
        <f>(VLOOKUP($C780,[2]Sheet1!$A$2:$P$18,$M780+1)/12)*12*D780</f>
        <v>0</v>
      </c>
      <c r="K780" s="711"/>
      <c r="M780" s="62">
        <f t="shared" si="56"/>
        <v>3</v>
      </c>
    </row>
    <row r="781" spans="1:13">
      <c r="A781" s="88">
        <f t="shared" si="57"/>
        <v>47</v>
      </c>
      <c r="B781" s="69" t="s">
        <v>3860</v>
      </c>
      <c r="C781" s="69">
        <v>6</v>
      </c>
      <c r="D781" s="89">
        <v>1</v>
      </c>
      <c r="E781" s="111">
        <v>1</v>
      </c>
      <c r="F781" s="89">
        <v>1</v>
      </c>
      <c r="G781" s="89">
        <v>1</v>
      </c>
      <c r="H781" s="296">
        <v>1</v>
      </c>
      <c r="I781" s="89">
        <v>1</v>
      </c>
      <c r="J781" s="710">
        <f>(VLOOKUP($C781,[2]Sheet1!$A$2:$P$18,$M781+1)/12)*12*D781</f>
        <v>238099.37893036497</v>
      </c>
      <c r="K781" s="711"/>
      <c r="M781" s="62">
        <f t="shared" si="56"/>
        <v>5</v>
      </c>
    </row>
    <row r="782" spans="1:13">
      <c r="A782" s="88">
        <f t="shared" si="57"/>
        <v>48</v>
      </c>
      <c r="B782" s="69" t="s">
        <v>3510</v>
      </c>
      <c r="C782" s="69">
        <v>4</v>
      </c>
      <c r="D782" s="89">
        <v>2</v>
      </c>
      <c r="E782" s="111">
        <v>2</v>
      </c>
      <c r="F782" s="89">
        <v>2</v>
      </c>
      <c r="G782" s="89">
        <v>2</v>
      </c>
      <c r="H782" s="296">
        <v>1</v>
      </c>
      <c r="I782" s="89">
        <v>2</v>
      </c>
      <c r="J782" s="710">
        <f>(VLOOKUP($C782,[2]Sheet1!$A$2:$P$18,$M782+1)/12)*12*D782</f>
        <v>449085.95786073001</v>
      </c>
      <c r="K782" s="711"/>
      <c r="M782" s="62">
        <f t="shared" si="56"/>
        <v>5</v>
      </c>
    </row>
    <row r="783" spans="1:13">
      <c r="A783" s="88">
        <f t="shared" si="57"/>
        <v>49</v>
      </c>
      <c r="B783" s="69" t="s">
        <v>3511</v>
      </c>
      <c r="C783" s="69">
        <v>3</v>
      </c>
      <c r="D783" s="89">
        <v>0</v>
      </c>
      <c r="E783" s="111">
        <v>0</v>
      </c>
      <c r="F783" s="89">
        <v>0</v>
      </c>
      <c r="G783" s="89">
        <v>0</v>
      </c>
      <c r="H783" s="296">
        <v>0</v>
      </c>
      <c r="I783" s="89">
        <v>0</v>
      </c>
      <c r="J783" s="710">
        <f>(VLOOKUP($C783,[2]Sheet1!$A$2:$P$18,$M783+1)/12)*12*D783</f>
        <v>0</v>
      </c>
      <c r="K783" s="711"/>
      <c r="M783" s="62">
        <f t="shared" si="56"/>
        <v>5</v>
      </c>
    </row>
    <row r="784" spans="1:13">
      <c r="A784" s="88">
        <f t="shared" si="57"/>
        <v>50</v>
      </c>
      <c r="B784" s="69" t="s">
        <v>3512</v>
      </c>
      <c r="C784" s="69">
        <v>5</v>
      </c>
      <c r="D784" s="89">
        <v>1</v>
      </c>
      <c r="E784" s="111">
        <v>1</v>
      </c>
      <c r="F784" s="89">
        <v>1</v>
      </c>
      <c r="G784" s="89">
        <v>1</v>
      </c>
      <c r="H784" s="296">
        <v>1</v>
      </c>
      <c r="I784" s="89">
        <v>1</v>
      </c>
      <c r="J784" s="710">
        <f>(VLOOKUP($C784,[2]Sheet1!$A$2:$P$18,$M784+1)/12)*12*D784</f>
        <v>229569.77893036499</v>
      </c>
      <c r="K784" s="711"/>
      <c r="M784" s="62">
        <f t="shared" si="56"/>
        <v>5</v>
      </c>
    </row>
    <row r="785" spans="1:13">
      <c r="A785" s="88"/>
      <c r="B785" s="90" t="s">
        <v>3333</v>
      </c>
      <c r="C785" s="69"/>
      <c r="D785" s="89"/>
      <c r="E785" s="111"/>
      <c r="F785" s="89"/>
      <c r="G785" s="89"/>
      <c r="H785" s="296"/>
      <c r="I785" s="89"/>
      <c r="J785" s="710"/>
      <c r="K785" s="711"/>
      <c r="M785" s="62">
        <f t="shared" si="56"/>
        <v>5</v>
      </c>
    </row>
    <row r="786" spans="1:13">
      <c r="A786" s="88">
        <f>+A783+1</f>
        <v>50</v>
      </c>
      <c r="B786" s="69" t="s">
        <v>1256</v>
      </c>
      <c r="C786" s="69">
        <v>15</v>
      </c>
      <c r="D786" s="89">
        <v>0</v>
      </c>
      <c r="E786" s="111">
        <v>1</v>
      </c>
      <c r="F786" s="89">
        <v>0</v>
      </c>
      <c r="G786" s="89">
        <v>0</v>
      </c>
      <c r="H786" s="296">
        <v>1</v>
      </c>
      <c r="I786" s="89">
        <v>0</v>
      </c>
      <c r="J786" s="710">
        <f>(VLOOKUP($C786,[2]Sheet1!$A$2:$P$18,$M786+1)/12)*12*D786</f>
        <v>0</v>
      </c>
      <c r="K786" s="711"/>
      <c r="M786" s="62">
        <f t="shared" si="56"/>
        <v>3</v>
      </c>
    </row>
    <row r="787" spans="1:13">
      <c r="A787" s="88">
        <f t="shared" si="57"/>
        <v>51</v>
      </c>
      <c r="B787" s="69" t="s">
        <v>2011</v>
      </c>
      <c r="C787" s="69">
        <v>14</v>
      </c>
      <c r="D787" s="89">
        <v>1</v>
      </c>
      <c r="E787" s="111">
        <v>1</v>
      </c>
      <c r="F787" s="89">
        <v>1</v>
      </c>
      <c r="G787" s="89">
        <v>1</v>
      </c>
      <c r="H787" s="296">
        <v>1</v>
      </c>
      <c r="I787" s="89">
        <v>1</v>
      </c>
      <c r="J787" s="710">
        <f>(VLOOKUP($C787,[2]Sheet1!$A$2:$P$18,$M787+1)/12)*12*D787</f>
        <v>669099.40824000002</v>
      </c>
      <c r="K787" s="711"/>
      <c r="M787" s="62">
        <f t="shared" si="56"/>
        <v>3</v>
      </c>
    </row>
    <row r="788" spans="1:13">
      <c r="A788" s="88">
        <f t="shared" si="57"/>
        <v>52</v>
      </c>
      <c r="B788" s="69" t="s">
        <v>3334</v>
      </c>
      <c r="C788" s="69">
        <v>13</v>
      </c>
      <c r="D788" s="89">
        <v>0</v>
      </c>
      <c r="E788" s="111">
        <v>0</v>
      </c>
      <c r="F788" s="89">
        <v>0</v>
      </c>
      <c r="G788" s="89">
        <v>0</v>
      </c>
      <c r="H788" s="296">
        <v>0</v>
      </c>
      <c r="I788" s="89">
        <v>0</v>
      </c>
      <c r="J788" s="710">
        <f>(VLOOKUP($C788,[2]Sheet1!$A$2:$P$18,$M788+1)/12)*12*D788</f>
        <v>0</v>
      </c>
      <c r="K788" s="711"/>
      <c r="M788" s="62">
        <f t="shared" si="56"/>
        <v>3</v>
      </c>
    </row>
    <row r="789" spans="1:13">
      <c r="A789" s="88">
        <f t="shared" si="57"/>
        <v>53</v>
      </c>
      <c r="B789" s="69" t="s">
        <v>3335</v>
      </c>
      <c r="C789" s="69">
        <v>9</v>
      </c>
      <c r="D789" s="89">
        <v>0</v>
      </c>
      <c r="E789" s="111">
        <v>0</v>
      </c>
      <c r="F789" s="89">
        <v>0</v>
      </c>
      <c r="G789" s="89">
        <v>0</v>
      </c>
      <c r="H789" s="296">
        <v>0</v>
      </c>
      <c r="I789" s="89">
        <v>0</v>
      </c>
      <c r="J789" s="710">
        <f>(VLOOKUP($C789,[2]Sheet1!$A$2:$P$18,$M789+1)/12)*12*D789</f>
        <v>0</v>
      </c>
      <c r="K789" s="711"/>
      <c r="M789" s="62">
        <f t="shared" si="56"/>
        <v>3</v>
      </c>
    </row>
    <row r="790" spans="1:13">
      <c r="A790" s="88">
        <f t="shared" si="57"/>
        <v>54</v>
      </c>
      <c r="B790" s="69" t="s">
        <v>2956</v>
      </c>
      <c r="C790" s="69">
        <v>8</v>
      </c>
      <c r="D790" s="89">
        <v>0</v>
      </c>
      <c r="E790" s="111">
        <v>0</v>
      </c>
      <c r="F790" s="89">
        <v>0</v>
      </c>
      <c r="G790" s="89">
        <v>0</v>
      </c>
      <c r="H790" s="296">
        <v>0</v>
      </c>
      <c r="I790" s="89">
        <v>0</v>
      </c>
      <c r="J790" s="710">
        <f>(VLOOKUP($C790,[2]Sheet1!$A$2:$P$18,$M790+1)/12)*12*D790</f>
        <v>0</v>
      </c>
      <c r="K790" s="711"/>
      <c r="M790" s="62">
        <f t="shared" si="56"/>
        <v>3</v>
      </c>
    </row>
    <row r="791" spans="1:13">
      <c r="A791" s="88">
        <f t="shared" si="57"/>
        <v>55</v>
      </c>
      <c r="B791" s="69" t="s">
        <v>1147</v>
      </c>
      <c r="C791" s="69">
        <v>7</v>
      </c>
      <c r="D791" s="89">
        <v>0</v>
      </c>
      <c r="E791" s="111">
        <v>0</v>
      </c>
      <c r="F791" s="89">
        <v>0</v>
      </c>
      <c r="G791" s="89">
        <v>0</v>
      </c>
      <c r="H791" s="296">
        <v>0</v>
      </c>
      <c r="I791" s="89">
        <v>0</v>
      </c>
      <c r="J791" s="710">
        <f>(VLOOKUP($C791,[2]Sheet1!$A$2:$P$18,$M791+1)/12)*12*D791</f>
        <v>0</v>
      </c>
      <c r="K791" s="711"/>
      <c r="M791" s="62">
        <f t="shared" si="56"/>
        <v>3</v>
      </c>
    </row>
    <row r="792" spans="1:13">
      <c r="A792" s="88">
        <f>+A791+1</f>
        <v>56</v>
      </c>
      <c r="B792" s="69" t="s">
        <v>592</v>
      </c>
      <c r="C792" s="69">
        <v>6</v>
      </c>
      <c r="D792" s="89">
        <v>0</v>
      </c>
      <c r="E792" s="111">
        <v>0</v>
      </c>
      <c r="F792" s="89">
        <v>0</v>
      </c>
      <c r="G792" s="89">
        <v>0</v>
      </c>
      <c r="H792" s="296">
        <v>0</v>
      </c>
      <c r="I792" s="89">
        <v>0</v>
      </c>
      <c r="J792" s="710">
        <f>(VLOOKUP($C792,[2]Sheet1!$A$2:$P$18,$M792+1)/12)*12*D792</f>
        <v>0</v>
      </c>
      <c r="K792" s="711"/>
      <c r="M792" s="62">
        <f t="shared" si="56"/>
        <v>5</v>
      </c>
    </row>
    <row r="793" spans="1:13">
      <c r="A793" s="88">
        <f t="shared" si="57"/>
        <v>57</v>
      </c>
      <c r="B793" s="69" t="s">
        <v>3204</v>
      </c>
      <c r="C793" s="69">
        <v>7</v>
      </c>
      <c r="D793" s="89">
        <v>0</v>
      </c>
      <c r="E793" s="111">
        <v>0</v>
      </c>
      <c r="F793" s="89">
        <v>0</v>
      </c>
      <c r="G793" s="89">
        <v>0</v>
      </c>
      <c r="H793" s="296">
        <v>0</v>
      </c>
      <c r="I793" s="89">
        <v>0</v>
      </c>
      <c r="J793" s="710">
        <f>(VLOOKUP($C793,[2]Sheet1!$A$2:$P$18,$M793+1)/12)*12*D793</f>
        <v>0</v>
      </c>
      <c r="K793" s="711"/>
      <c r="M793" s="62">
        <f t="shared" si="56"/>
        <v>3</v>
      </c>
    </row>
    <row r="794" spans="1:13">
      <c r="A794" s="88">
        <f t="shared" si="57"/>
        <v>58</v>
      </c>
      <c r="B794" s="69" t="s">
        <v>3860</v>
      </c>
      <c r="C794" s="69">
        <v>6</v>
      </c>
      <c r="D794" s="89">
        <v>0</v>
      </c>
      <c r="E794" s="111">
        <v>0</v>
      </c>
      <c r="F794" s="89">
        <v>0</v>
      </c>
      <c r="G794" s="89">
        <v>0</v>
      </c>
      <c r="H794" s="296">
        <v>0</v>
      </c>
      <c r="I794" s="89">
        <v>0</v>
      </c>
      <c r="J794" s="710">
        <f>(VLOOKUP($C794,[2]Sheet1!$A$2:$P$18,$M794+1)/12)*12*D794</f>
        <v>0</v>
      </c>
      <c r="K794" s="711"/>
      <c r="M794" s="62">
        <f t="shared" ref="M794:M825" si="58">IF(C794&gt;6,3,5)</f>
        <v>5</v>
      </c>
    </row>
    <row r="795" spans="1:13">
      <c r="A795" s="88">
        <f t="shared" ref="A795:A808" si="59">+A794+1</f>
        <v>59</v>
      </c>
      <c r="B795" s="69" t="s">
        <v>593</v>
      </c>
      <c r="C795" s="69">
        <v>5</v>
      </c>
      <c r="D795" s="89">
        <v>0</v>
      </c>
      <c r="E795" s="111">
        <v>0</v>
      </c>
      <c r="F795" s="89">
        <v>0</v>
      </c>
      <c r="G795" s="89">
        <v>0</v>
      </c>
      <c r="H795" s="296">
        <v>0</v>
      </c>
      <c r="I795" s="89">
        <v>0</v>
      </c>
      <c r="J795" s="710">
        <f>(VLOOKUP($C795,[2]Sheet1!$A$2:$P$18,$M795+1)/12)*12*D795</f>
        <v>0</v>
      </c>
      <c r="K795" s="711"/>
      <c r="M795" s="62">
        <f t="shared" si="58"/>
        <v>5</v>
      </c>
    </row>
    <row r="796" spans="1:13">
      <c r="A796" s="88">
        <f t="shared" si="59"/>
        <v>60</v>
      </c>
      <c r="B796" s="69" t="s">
        <v>625</v>
      </c>
      <c r="C796" s="69">
        <v>4</v>
      </c>
      <c r="D796" s="89">
        <v>0</v>
      </c>
      <c r="E796" s="111">
        <v>0</v>
      </c>
      <c r="F796" s="89">
        <v>0</v>
      </c>
      <c r="G796" s="89">
        <v>0</v>
      </c>
      <c r="H796" s="296">
        <v>0</v>
      </c>
      <c r="I796" s="89">
        <v>0</v>
      </c>
      <c r="J796" s="710">
        <f>(VLOOKUP($C796,[2]Sheet1!$A$2:$P$18,$M796+1)/12)*12*D796</f>
        <v>0</v>
      </c>
      <c r="K796" s="711"/>
      <c r="M796" s="62">
        <f t="shared" si="58"/>
        <v>5</v>
      </c>
    </row>
    <row r="797" spans="1:13">
      <c r="A797" s="88">
        <f t="shared" si="59"/>
        <v>61</v>
      </c>
      <c r="B797" s="69" t="s">
        <v>796</v>
      </c>
      <c r="C797" s="69">
        <v>3</v>
      </c>
      <c r="D797" s="89">
        <v>0</v>
      </c>
      <c r="E797" s="111">
        <v>0</v>
      </c>
      <c r="F797" s="89">
        <v>0</v>
      </c>
      <c r="G797" s="89">
        <v>0</v>
      </c>
      <c r="H797" s="296">
        <v>0</v>
      </c>
      <c r="I797" s="89">
        <v>0</v>
      </c>
      <c r="J797" s="710">
        <f>(VLOOKUP($C797,[2]Sheet1!$A$2:$P$18,$M797+1)/12)*12*D797</f>
        <v>0</v>
      </c>
      <c r="K797" s="711"/>
      <c r="M797" s="62">
        <f t="shared" si="58"/>
        <v>5</v>
      </c>
    </row>
    <row r="798" spans="1:13">
      <c r="A798" s="88">
        <f t="shared" si="59"/>
        <v>62</v>
      </c>
      <c r="B798" s="69" t="s">
        <v>959</v>
      </c>
      <c r="C798" s="69">
        <v>2</v>
      </c>
      <c r="D798" s="89">
        <v>0</v>
      </c>
      <c r="E798" s="111">
        <v>0</v>
      </c>
      <c r="F798" s="89">
        <v>0</v>
      </c>
      <c r="G798" s="89">
        <v>0</v>
      </c>
      <c r="H798" s="296">
        <v>0</v>
      </c>
      <c r="I798" s="89">
        <v>0</v>
      </c>
      <c r="J798" s="710">
        <f>(VLOOKUP($C798,[2]Sheet1!$A$2:$P$18,$M798+1)/12)*12*D798</f>
        <v>0</v>
      </c>
      <c r="K798" s="711"/>
      <c r="M798" s="62">
        <f t="shared" si="58"/>
        <v>5</v>
      </c>
    </row>
    <row r="799" spans="1:13">
      <c r="A799" s="88"/>
      <c r="B799" s="90" t="s">
        <v>1851</v>
      </c>
      <c r="C799" s="69"/>
      <c r="D799" s="89"/>
      <c r="E799" s="111"/>
      <c r="F799" s="89"/>
      <c r="G799" s="89"/>
      <c r="H799" s="296"/>
      <c r="I799" s="89"/>
      <c r="J799" s="710"/>
      <c r="K799" s="711"/>
      <c r="M799" s="62">
        <f t="shared" si="58"/>
        <v>5</v>
      </c>
    </row>
    <row r="800" spans="1:13">
      <c r="A800" s="88">
        <f>+A798+1</f>
        <v>63</v>
      </c>
      <c r="B800" s="69" t="s">
        <v>1852</v>
      </c>
      <c r="C800" s="69">
        <v>6</v>
      </c>
      <c r="D800" s="89">
        <v>1</v>
      </c>
      <c r="E800" s="111">
        <v>1</v>
      </c>
      <c r="F800" s="89">
        <v>1</v>
      </c>
      <c r="G800" s="89">
        <v>1</v>
      </c>
      <c r="H800" s="296">
        <v>1</v>
      </c>
      <c r="I800" s="89">
        <v>1</v>
      </c>
      <c r="J800" s="710">
        <f>(VLOOKUP($C800,[2]Sheet1!$A$2:$P$18,$M800+1)/12)*12*D800</f>
        <v>238099.37893036497</v>
      </c>
      <c r="K800" s="711"/>
      <c r="M800" s="62">
        <f t="shared" si="58"/>
        <v>5</v>
      </c>
    </row>
    <row r="801" spans="1:13">
      <c r="A801" s="88">
        <f t="shared" si="59"/>
        <v>64</v>
      </c>
      <c r="B801" s="69" t="s">
        <v>2932</v>
      </c>
      <c r="C801" s="69">
        <v>5</v>
      </c>
      <c r="D801" s="89">
        <v>0</v>
      </c>
      <c r="E801" s="111">
        <v>0</v>
      </c>
      <c r="F801" s="89">
        <v>0</v>
      </c>
      <c r="G801" s="89">
        <v>0</v>
      </c>
      <c r="H801" s="296">
        <v>0</v>
      </c>
      <c r="I801" s="89">
        <v>0</v>
      </c>
      <c r="J801" s="710">
        <f>(VLOOKUP($C801,[2]Sheet1!$A$2:$P$18,$M801+1)/12)*12*D801</f>
        <v>0</v>
      </c>
      <c r="K801" s="711"/>
      <c r="M801" s="62">
        <f t="shared" si="58"/>
        <v>5</v>
      </c>
    </row>
    <row r="802" spans="1:13">
      <c r="A802" s="88">
        <f t="shared" si="59"/>
        <v>65</v>
      </c>
      <c r="B802" s="69" t="s">
        <v>1854</v>
      </c>
      <c r="C802" s="69">
        <v>4</v>
      </c>
      <c r="D802" s="89">
        <v>0</v>
      </c>
      <c r="E802" s="111">
        <v>0</v>
      </c>
      <c r="F802" s="89">
        <v>0</v>
      </c>
      <c r="G802" s="89">
        <v>0</v>
      </c>
      <c r="H802" s="296">
        <v>0</v>
      </c>
      <c r="I802" s="89">
        <v>0</v>
      </c>
      <c r="J802" s="710">
        <f>(VLOOKUP($C802,[2]Sheet1!$A$2:$P$18,$M802+1)/12)*12*D802</f>
        <v>0</v>
      </c>
      <c r="K802" s="711"/>
      <c r="M802" s="62">
        <f t="shared" si="58"/>
        <v>5</v>
      </c>
    </row>
    <row r="803" spans="1:13">
      <c r="A803" s="88">
        <f t="shared" si="59"/>
        <v>66</v>
      </c>
      <c r="B803" s="69" t="s">
        <v>3778</v>
      </c>
      <c r="C803" s="69">
        <v>3</v>
      </c>
      <c r="D803" s="89">
        <v>0</v>
      </c>
      <c r="E803" s="111">
        <v>0</v>
      </c>
      <c r="F803" s="89">
        <v>0</v>
      </c>
      <c r="G803" s="89">
        <v>0</v>
      </c>
      <c r="H803" s="296">
        <v>0</v>
      </c>
      <c r="I803" s="89">
        <v>0</v>
      </c>
      <c r="J803" s="710">
        <f>(VLOOKUP($C803,[2]Sheet1!$A$2:$P$18,$M803+1)/12)*12*D803</f>
        <v>0</v>
      </c>
      <c r="K803" s="711"/>
      <c r="M803" s="62">
        <f t="shared" si="58"/>
        <v>5</v>
      </c>
    </row>
    <row r="804" spans="1:13">
      <c r="A804" s="88">
        <f t="shared" si="59"/>
        <v>67</v>
      </c>
      <c r="B804" s="69" t="s">
        <v>2784</v>
      </c>
      <c r="C804" s="69">
        <v>7</v>
      </c>
      <c r="D804" s="89">
        <v>0</v>
      </c>
      <c r="E804" s="111">
        <v>0</v>
      </c>
      <c r="F804" s="89">
        <v>0</v>
      </c>
      <c r="G804" s="89">
        <v>0</v>
      </c>
      <c r="H804" s="296">
        <v>0</v>
      </c>
      <c r="I804" s="89">
        <v>0</v>
      </c>
      <c r="J804" s="710">
        <f>(VLOOKUP($C804,[2]Sheet1!$A$2:$P$18,$M804+1)/12)*12*D804</f>
        <v>0</v>
      </c>
      <c r="K804" s="711"/>
      <c r="M804" s="62">
        <f t="shared" si="58"/>
        <v>3</v>
      </c>
    </row>
    <row r="805" spans="1:13">
      <c r="A805" s="88">
        <f t="shared" si="59"/>
        <v>68</v>
      </c>
      <c r="B805" s="69" t="s">
        <v>2874</v>
      </c>
      <c r="C805" s="69">
        <v>4</v>
      </c>
      <c r="D805" s="89">
        <v>0</v>
      </c>
      <c r="E805" s="111">
        <v>0</v>
      </c>
      <c r="F805" s="89">
        <v>0</v>
      </c>
      <c r="G805" s="89">
        <v>0</v>
      </c>
      <c r="H805" s="296">
        <v>0</v>
      </c>
      <c r="I805" s="89">
        <v>0</v>
      </c>
      <c r="J805" s="710">
        <f>(VLOOKUP($C805,[2]Sheet1!$A$2:$P$18,$M805+1)/12)*12*D805</f>
        <v>0</v>
      </c>
      <c r="K805" s="711"/>
      <c r="M805" s="62">
        <f t="shared" si="58"/>
        <v>5</v>
      </c>
    </row>
    <row r="806" spans="1:13">
      <c r="A806" s="88">
        <f t="shared" si="59"/>
        <v>69</v>
      </c>
      <c r="B806" s="69" t="s">
        <v>2416</v>
      </c>
      <c r="C806" s="69">
        <v>3</v>
      </c>
      <c r="D806" s="89">
        <v>0</v>
      </c>
      <c r="E806" s="111">
        <v>0</v>
      </c>
      <c r="F806" s="89">
        <v>0</v>
      </c>
      <c r="G806" s="89">
        <v>0</v>
      </c>
      <c r="H806" s="296">
        <v>0</v>
      </c>
      <c r="I806" s="89">
        <v>0</v>
      </c>
      <c r="J806" s="710">
        <f>(VLOOKUP($C806,[2]Sheet1!$A$2:$P$18,$M806+1)/12)*12*D806</f>
        <v>0</v>
      </c>
      <c r="K806" s="711"/>
      <c r="M806" s="62">
        <f t="shared" si="58"/>
        <v>5</v>
      </c>
    </row>
    <row r="807" spans="1:13">
      <c r="A807" s="88">
        <f t="shared" si="59"/>
        <v>70</v>
      </c>
      <c r="B807" s="69" t="s">
        <v>1699</v>
      </c>
      <c r="C807" s="69">
        <v>6</v>
      </c>
      <c r="D807" s="89">
        <v>0</v>
      </c>
      <c r="E807" s="111">
        <v>0</v>
      </c>
      <c r="F807" s="89">
        <v>0</v>
      </c>
      <c r="G807" s="89">
        <v>0</v>
      </c>
      <c r="H807" s="296">
        <v>0</v>
      </c>
      <c r="I807" s="89">
        <v>0</v>
      </c>
      <c r="J807" s="710">
        <f>(VLOOKUP($C807,[2]Sheet1!$A$2:$P$18,$M807+1)/12)*12*D807</f>
        <v>0</v>
      </c>
      <c r="K807" s="711"/>
      <c r="M807" s="62">
        <f t="shared" si="58"/>
        <v>5</v>
      </c>
    </row>
    <row r="808" spans="1:13">
      <c r="A808" s="88">
        <f t="shared" si="59"/>
        <v>71</v>
      </c>
      <c r="B808" s="69" t="s">
        <v>1700</v>
      </c>
      <c r="C808" s="69">
        <v>3</v>
      </c>
      <c r="D808" s="89">
        <v>0</v>
      </c>
      <c r="E808" s="111">
        <v>0</v>
      </c>
      <c r="F808" s="89">
        <v>0</v>
      </c>
      <c r="G808" s="89">
        <v>0</v>
      </c>
      <c r="H808" s="296">
        <v>0</v>
      </c>
      <c r="I808" s="89">
        <v>0</v>
      </c>
      <c r="J808" s="710">
        <f>(VLOOKUP($C808,[2]Sheet1!$A$2:$P$18,$M808+1)/12)*12*D808</f>
        <v>0</v>
      </c>
      <c r="K808" s="711"/>
      <c r="M808" s="62">
        <f t="shared" si="58"/>
        <v>5</v>
      </c>
    </row>
    <row r="809" spans="1:13">
      <c r="A809" s="92"/>
      <c r="B809" s="93" t="s">
        <v>1684</v>
      </c>
      <c r="C809" s="94"/>
      <c r="D809" s="123">
        <f t="shared" ref="D809:J809" si="60">SUM(D729:D808)</f>
        <v>22</v>
      </c>
      <c r="E809" s="279">
        <f t="shared" si="60"/>
        <v>30</v>
      </c>
      <c r="F809" s="279">
        <f t="shared" si="60"/>
        <v>22</v>
      </c>
      <c r="G809" s="123">
        <f>SUM(G729:G808)</f>
        <v>22</v>
      </c>
      <c r="H809" s="297">
        <f t="shared" si="60"/>
        <v>24</v>
      </c>
      <c r="I809" s="123">
        <f t="shared" si="60"/>
        <v>22</v>
      </c>
      <c r="J809" s="124">
        <f t="shared" si="60"/>
        <v>5525430.4930472989</v>
      </c>
      <c r="K809" s="376"/>
      <c r="M809" s="62">
        <f t="shared" si="58"/>
        <v>5</v>
      </c>
    </row>
    <row r="810" spans="1:13">
      <c r="A810" s="88" t="s">
        <v>1840</v>
      </c>
      <c r="B810" s="69"/>
      <c r="C810" s="69"/>
      <c r="D810" s="89"/>
      <c r="E810" s="111"/>
      <c r="F810" s="89"/>
      <c r="G810" s="89"/>
      <c r="H810" s="296"/>
      <c r="I810" s="89"/>
      <c r="J810" s="89"/>
      <c r="K810" s="114"/>
      <c r="M810" s="62">
        <f t="shared" si="58"/>
        <v>5</v>
      </c>
    </row>
    <row r="811" spans="1:13">
      <c r="A811" s="88" t="s">
        <v>1840</v>
      </c>
      <c r="B811" s="97" t="s">
        <v>1199</v>
      </c>
      <c r="C811" s="69"/>
      <c r="D811" s="89"/>
      <c r="E811" s="111"/>
      <c r="F811" s="125"/>
      <c r="G811" s="240" t="s">
        <v>243</v>
      </c>
      <c r="H811" s="240" t="s">
        <v>4130</v>
      </c>
      <c r="I811" s="240" t="s">
        <v>4202</v>
      </c>
      <c r="J811" s="241" t="s">
        <v>4200</v>
      </c>
      <c r="K811" s="375"/>
      <c r="M811" s="62">
        <f t="shared" si="58"/>
        <v>5</v>
      </c>
    </row>
    <row r="812" spans="1:13">
      <c r="A812" s="88">
        <v>1</v>
      </c>
      <c r="B812" s="69" t="s">
        <v>2786</v>
      </c>
      <c r="C812" s="69"/>
      <c r="D812" s="89"/>
      <c r="E812" s="89"/>
      <c r="F812" s="100"/>
      <c r="G812" s="100">
        <f>J809*0.2</f>
        <v>1105086.0986094598</v>
      </c>
      <c r="H812" s="100">
        <v>2677939.9712000005</v>
      </c>
      <c r="I812" s="100">
        <v>2677939.9712000005</v>
      </c>
      <c r="J812" s="100">
        <f>SUM(G812:I812)</f>
        <v>6460966.0410094606</v>
      </c>
      <c r="K812" s="114"/>
      <c r="M812" s="62">
        <f t="shared" si="58"/>
        <v>5</v>
      </c>
    </row>
    <row r="813" spans="1:13">
      <c r="A813" s="88">
        <f>+A812+1</f>
        <v>2</v>
      </c>
      <c r="B813" s="69" t="s">
        <v>2877</v>
      </c>
      <c r="C813" s="69"/>
      <c r="D813" s="89"/>
      <c r="E813" s="89"/>
      <c r="F813" s="100"/>
      <c r="G813" s="100">
        <f>G812</f>
        <v>1105086.0986094598</v>
      </c>
      <c r="H813" s="100">
        <v>409484.99280000007</v>
      </c>
      <c r="I813" s="100">
        <v>409484.99280000007</v>
      </c>
      <c r="J813" s="100">
        <f>SUM(G813:I813)</f>
        <v>1924056.0842094601</v>
      </c>
      <c r="K813" s="114"/>
      <c r="M813" s="62">
        <f t="shared" si="58"/>
        <v>5</v>
      </c>
    </row>
    <row r="814" spans="1:13">
      <c r="A814" s="88"/>
      <c r="B814" s="69"/>
      <c r="C814" s="69"/>
      <c r="D814" s="89"/>
      <c r="E814" s="89"/>
      <c r="F814" s="89"/>
      <c r="G814" s="111"/>
      <c r="H814" s="111"/>
      <c r="I814" s="111"/>
      <c r="J814" s="111"/>
      <c r="K814" s="114"/>
      <c r="M814" s="62">
        <f t="shared" si="58"/>
        <v>5</v>
      </c>
    </row>
    <row r="815" spans="1:13">
      <c r="A815" s="92" t="s">
        <v>1840</v>
      </c>
      <c r="B815" s="93" t="s">
        <v>1684</v>
      </c>
      <c r="C815" s="94"/>
      <c r="D815" s="101"/>
      <c r="E815" s="101"/>
      <c r="F815" s="123"/>
      <c r="G815" s="123">
        <f>SUM(G812:G814)</f>
        <v>2210172.1972189196</v>
      </c>
      <c r="H815" s="123">
        <v>5157532.3956000004</v>
      </c>
      <c r="I815" s="123">
        <f>SUM(I812:I814)</f>
        <v>3087424.9640000006</v>
      </c>
      <c r="J815" s="123">
        <f>SUM(J812:J814)</f>
        <v>8385022.1252189204</v>
      </c>
      <c r="K815" s="378"/>
      <c r="M815" s="62">
        <f t="shared" si="58"/>
        <v>5</v>
      </c>
    </row>
    <row r="816" spans="1:13">
      <c r="A816" s="88"/>
      <c r="B816" s="97"/>
      <c r="C816" s="69"/>
      <c r="D816" s="89"/>
      <c r="E816" s="89"/>
      <c r="F816" s="126"/>
      <c r="G816" s="126"/>
      <c r="H816" s="126"/>
      <c r="I816" s="126"/>
      <c r="J816" s="126"/>
      <c r="K816" s="132"/>
      <c r="M816" s="62">
        <f t="shared" si="58"/>
        <v>5</v>
      </c>
    </row>
    <row r="817" spans="1:13">
      <c r="A817" s="88" t="s">
        <v>1840</v>
      </c>
      <c r="B817" s="69" t="s">
        <v>1119</v>
      </c>
      <c r="C817" s="69"/>
      <c r="D817" s="89"/>
      <c r="E817" s="89"/>
      <c r="F817" s="89"/>
      <c r="G817" s="100">
        <f>G815+J809</f>
        <v>7735602.690266218</v>
      </c>
      <c r="H817" s="100">
        <v>8147232.251600001</v>
      </c>
      <c r="I817" s="100">
        <f>G817*1.04</f>
        <v>8045026.7978768675</v>
      </c>
      <c r="J817" s="100">
        <f>SUM(G817:I817)</f>
        <v>23927861.739743087</v>
      </c>
      <c r="K817" s="114"/>
      <c r="L817" s="112"/>
      <c r="M817" s="62">
        <f t="shared" si="58"/>
        <v>5</v>
      </c>
    </row>
    <row r="818" spans="1:13">
      <c r="A818" s="88" t="s">
        <v>1840</v>
      </c>
      <c r="B818" s="69" t="s">
        <v>3944</v>
      </c>
      <c r="C818" s="69"/>
      <c r="D818" s="89"/>
      <c r="E818" s="89"/>
      <c r="F818" s="89"/>
      <c r="G818" s="89">
        <f>C859</f>
        <v>12800000</v>
      </c>
      <c r="H818" s="89">
        <f>D859</f>
        <v>16200000</v>
      </c>
      <c r="I818" s="89">
        <f>E859</f>
        <v>16200000</v>
      </c>
      <c r="J818" s="100">
        <f>SUM(G818:I818)</f>
        <v>45200000</v>
      </c>
      <c r="K818" s="114"/>
      <c r="M818" s="62">
        <f t="shared" si="58"/>
        <v>5</v>
      </c>
    </row>
    <row r="819" spans="1:13">
      <c r="A819" s="88" t="s">
        <v>1840</v>
      </c>
      <c r="B819" s="97"/>
      <c r="C819" s="69"/>
      <c r="D819" s="89"/>
      <c r="E819" s="89"/>
      <c r="F819" s="89"/>
      <c r="G819" s="89"/>
      <c r="H819" s="89"/>
      <c r="I819" s="89"/>
      <c r="J819" s="89"/>
      <c r="K819" s="114"/>
      <c r="M819" s="62">
        <f t="shared" si="58"/>
        <v>5</v>
      </c>
    </row>
    <row r="820" spans="1:13">
      <c r="A820" s="92" t="s">
        <v>1840</v>
      </c>
      <c r="B820" s="93" t="s">
        <v>2843</v>
      </c>
      <c r="C820" s="94"/>
      <c r="D820" s="101"/>
      <c r="E820" s="101"/>
      <c r="F820" s="123"/>
      <c r="G820" s="123">
        <f>SUM(G817:G819)</f>
        <v>20535602.690266218</v>
      </c>
      <c r="H820" s="123">
        <v>24347232.251600001</v>
      </c>
      <c r="I820" s="123">
        <f>SUM(I817:I819)</f>
        <v>24245026.797876868</v>
      </c>
      <c r="J820" s="123">
        <f>SUM(J817:J819)</f>
        <v>69127861.739743084</v>
      </c>
      <c r="K820" s="378"/>
      <c r="M820" s="62">
        <f t="shared" si="58"/>
        <v>5</v>
      </c>
    </row>
    <row r="821" spans="1:13" ht="15">
      <c r="A821" s="113"/>
      <c r="B821" s="113"/>
      <c r="C821" s="113"/>
      <c r="D821" s="114"/>
      <c r="E821" s="114"/>
      <c r="F821" s="114"/>
      <c r="G821" s="114"/>
      <c r="H821" s="114"/>
      <c r="I821" s="114"/>
      <c r="J821" s="584"/>
      <c r="K821" s="584"/>
      <c r="M821" s="62">
        <f t="shared" si="58"/>
        <v>5</v>
      </c>
    </row>
    <row r="822" spans="1:13" ht="15">
      <c r="C822" s="77"/>
      <c r="D822" s="78" t="s">
        <v>5434</v>
      </c>
      <c r="J822" s="584"/>
      <c r="K822" s="584"/>
      <c r="M822" s="62">
        <f t="shared" si="58"/>
        <v>5</v>
      </c>
    </row>
    <row r="823" spans="1:13" ht="15">
      <c r="A823" s="723"/>
      <c r="B823" s="724"/>
      <c r="C823" s="77"/>
      <c r="D823" s="78" t="s">
        <v>716</v>
      </c>
      <c r="E823" s="723"/>
      <c r="F823" s="725"/>
      <c r="G823" s="725"/>
      <c r="H823" s="725"/>
      <c r="I823" s="725"/>
      <c r="J823" s="584"/>
      <c r="K823" s="584"/>
      <c r="M823" s="62">
        <f t="shared" si="58"/>
        <v>5</v>
      </c>
    </row>
    <row r="824" spans="1:13" ht="15">
      <c r="A824" s="723"/>
      <c r="B824" s="724"/>
      <c r="C824" s="79" t="s">
        <v>717</v>
      </c>
      <c r="D824" s="78" t="s">
        <v>327</v>
      </c>
      <c r="E824" s="723"/>
      <c r="F824" s="725"/>
      <c r="G824" s="725"/>
      <c r="H824" s="725"/>
      <c r="I824" s="725"/>
      <c r="J824" s="584"/>
      <c r="K824" s="584"/>
      <c r="M824" s="62">
        <f t="shared" si="58"/>
        <v>3</v>
      </c>
    </row>
    <row r="825" spans="1:13" ht="15">
      <c r="A825" s="723"/>
      <c r="B825" s="723"/>
      <c r="C825" s="79" t="s">
        <v>718</v>
      </c>
      <c r="D825" s="78" t="s">
        <v>1345</v>
      </c>
      <c r="E825" s="723"/>
      <c r="F825" s="725"/>
      <c r="G825" s="725"/>
      <c r="H825" s="725"/>
      <c r="I825" s="725"/>
      <c r="J825" s="584"/>
      <c r="K825" s="584"/>
      <c r="M825" s="62">
        <f t="shared" si="58"/>
        <v>3</v>
      </c>
    </row>
    <row r="826" spans="1:13" ht="15">
      <c r="A826" s="634" t="s">
        <v>1839</v>
      </c>
      <c r="B826" s="635" t="s">
        <v>903</v>
      </c>
      <c r="C826" s="1037" t="s">
        <v>4127</v>
      </c>
      <c r="D826" s="1038"/>
      <c r="E826" s="1039"/>
      <c r="F826" s="635" t="s">
        <v>1684</v>
      </c>
      <c r="G826" s="1037" t="s">
        <v>4132</v>
      </c>
      <c r="H826" s="1038"/>
      <c r="I826" s="1039"/>
      <c r="J826" s="726"/>
      <c r="K826" s="727"/>
    </row>
    <row r="827" spans="1:13">
      <c r="A827" s="636" t="s">
        <v>1620</v>
      </c>
      <c r="B827" s="637"/>
      <c r="C827" s="635" t="s">
        <v>1841</v>
      </c>
      <c r="D827" s="635" t="s">
        <v>4133</v>
      </c>
      <c r="E827" s="635" t="s">
        <v>4133</v>
      </c>
      <c r="F827" s="1056" t="s">
        <v>4200</v>
      </c>
      <c r="G827" s="634" t="s">
        <v>4135</v>
      </c>
      <c r="H827" s="1051" t="s">
        <v>4182</v>
      </c>
      <c r="I827" s="634" t="s">
        <v>4135</v>
      </c>
      <c r="J827" s="728" t="s">
        <v>4136</v>
      </c>
      <c r="K827" s="727"/>
    </row>
    <row r="828" spans="1:13" ht="12.75" customHeight="1">
      <c r="A828" s="638" t="s">
        <v>387</v>
      </c>
      <c r="B828" s="639"/>
      <c r="C828" s="638">
        <v>2015</v>
      </c>
      <c r="D828" s="638">
        <v>2016</v>
      </c>
      <c r="E828" s="638">
        <v>2017</v>
      </c>
      <c r="F828" s="1057"/>
      <c r="G828" s="638" t="s">
        <v>4304</v>
      </c>
      <c r="H828" s="1052"/>
      <c r="I828" s="638" t="s">
        <v>4303</v>
      </c>
      <c r="J828" s="639"/>
      <c r="K828" s="729"/>
    </row>
    <row r="829" spans="1:13">
      <c r="A829" s="730"/>
      <c r="B829" s="730"/>
      <c r="C829" s="390"/>
      <c r="D829" s="390"/>
      <c r="E829" s="390"/>
      <c r="F829" s="390"/>
      <c r="G829" s="390"/>
      <c r="H829" s="390"/>
      <c r="I829" s="390"/>
      <c r="J829" s="390"/>
      <c r="K829" s="734"/>
      <c r="M829" s="62" t="e">
        <f>IF(#REF!&gt;6,3,5)</f>
        <v>#REF!</v>
      </c>
    </row>
    <row r="830" spans="1:13">
      <c r="A830" s="730">
        <v>2</v>
      </c>
      <c r="B830" s="730" t="s">
        <v>1695</v>
      </c>
      <c r="C830" s="390">
        <v>3000000</v>
      </c>
      <c r="D830" s="390">
        <v>2000000</v>
      </c>
      <c r="E830" s="390">
        <v>2000000</v>
      </c>
      <c r="F830" s="390">
        <f>SUM(C830:E830)</f>
        <v>7000000</v>
      </c>
      <c r="G830" s="390">
        <v>1224000</v>
      </c>
      <c r="H830" s="390">
        <v>2000000</v>
      </c>
      <c r="I830" s="390">
        <v>2200000</v>
      </c>
      <c r="J830" s="390"/>
      <c r="K830" s="734"/>
      <c r="M830" s="62" t="e">
        <f>IF(#REF!&gt;6,3,5)</f>
        <v>#REF!</v>
      </c>
    </row>
    <row r="831" spans="1:13">
      <c r="A831" s="730">
        <f t="shared" ref="A831:A855" si="61">+A830+1</f>
        <v>3</v>
      </c>
      <c r="B831" s="730" t="s">
        <v>1696</v>
      </c>
      <c r="C831" s="390" t="s">
        <v>3007</v>
      </c>
      <c r="D831" s="390" t="s">
        <v>3007</v>
      </c>
      <c r="E831" s="390" t="s">
        <v>3007</v>
      </c>
      <c r="F831" s="390">
        <f t="shared" ref="F831:F858" si="62">SUM(C831:E831)</f>
        <v>0</v>
      </c>
      <c r="G831" s="390"/>
      <c r="H831" s="390" t="s">
        <v>3007</v>
      </c>
      <c r="I831" s="390"/>
      <c r="J831" s="390"/>
      <c r="K831" s="734"/>
      <c r="M831" s="62" t="e">
        <f>IF(#REF!&gt;6,3,5)</f>
        <v>#REF!</v>
      </c>
    </row>
    <row r="832" spans="1:13">
      <c r="A832" s="730">
        <f t="shared" si="61"/>
        <v>4</v>
      </c>
      <c r="B832" s="730" t="s">
        <v>1701</v>
      </c>
      <c r="C832" s="390" t="s">
        <v>3007</v>
      </c>
      <c r="D832" s="390" t="s">
        <v>3007</v>
      </c>
      <c r="E832" s="390" t="s">
        <v>3007</v>
      </c>
      <c r="F832" s="390">
        <f t="shared" si="62"/>
        <v>0</v>
      </c>
      <c r="G832" s="390"/>
      <c r="H832" s="390" t="s">
        <v>3007</v>
      </c>
      <c r="I832" s="390"/>
      <c r="J832" s="390"/>
      <c r="K832" s="734"/>
      <c r="M832" s="62" t="e">
        <f>IF(#REF!&gt;6,3,5)</f>
        <v>#REF!</v>
      </c>
    </row>
    <row r="833" spans="1:13">
      <c r="A833" s="730">
        <f t="shared" si="61"/>
        <v>5</v>
      </c>
      <c r="B833" s="733" t="s">
        <v>1702</v>
      </c>
      <c r="C833" s="390">
        <v>500000</v>
      </c>
      <c r="D833" s="390">
        <v>700000</v>
      </c>
      <c r="E833" s="390">
        <v>700000</v>
      </c>
      <c r="F833" s="390">
        <f t="shared" si="62"/>
        <v>1900000</v>
      </c>
      <c r="G833" s="390">
        <v>106000</v>
      </c>
      <c r="H833" s="390">
        <v>700000</v>
      </c>
      <c r="I833" s="390">
        <v>150000</v>
      </c>
      <c r="J833" s="390"/>
      <c r="K833" s="734"/>
      <c r="M833" s="62" t="e">
        <f>IF(#REF!&gt;6,3,5)</f>
        <v>#REF!</v>
      </c>
    </row>
    <row r="834" spans="1:13" ht="25.5">
      <c r="A834" s="730">
        <f t="shared" si="61"/>
        <v>6</v>
      </c>
      <c r="B834" s="733" t="s">
        <v>1544</v>
      </c>
      <c r="C834" s="390">
        <v>1000000</v>
      </c>
      <c r="D834" s="390">
        <v>1000000</v>
      </c>
      <c r="E834" s="390">
        <v>1000000</v>
      </c>
      <c r="F834" s="390">
        <f t="shared" si="62"/>
        <v>3000000</v>
      </c>
      <c r="G834" s="390">
        <v>35000</v>
      </c>
      <c r="H834" s="390">
        <v>1000000</v>
      </c>
      <c r="I834" s="390"/>
      <c r="J834" s="390"/>
      <c r="K834" s="734"/>
      <c r="M834" s="62" t="e">
        <f>IF(#REF!&gt;6,3,5)</f>
        <v>#REF!</v>
      </c>
    </row>
    <row r="835" spans="1:13">
      <c r="A835" s="730">
        <f t="shared" si="61"/>
        <v>7</v>
      </c>
      <c r="B835" s="733" t="s">
        <v>897</v>
      </c>
      <c r="C835" s="390">
        <v>1000000</v>
      </c>
      <c r="D835" s="390">
        <v>2000000</v>
      </c>
      <c r="E835" s="390">
        <v>2000000</v>
      </c>
      <c r="F835" s="390">
        <f t="shared" si="62"/>
        <v>5000000</v>
      </c>
      <c r="G835" s="390">
        <v>765200</v>
      </c>
      <c r="H835" s="390">
        <v>2000000</v>
      </c>
      <c r="I835" s="390">
        <v>103000</v>
      </c>
      <c r="J835" s="390"/>
      <c r="K835" s="734"/>
      <c r="M835" s="62" t="e">
        <f>IF(#REF!&gt;6,3,5)</f>
        <v>#REF!</v>
      </c>
    </row>
    <row r="836" spans="1:13">
      <c r="A836" s="730">
        <f t="shared" si="61"/>
        <v>8</v>
      </c>
      <c r="B836" s="733" t="s">
        <v>1385</v>
      </c>
      <c r="C836" s="390" t="s">
        <v>3007</v>
      </c>
      <c r="D836" s="390" t="s">
        <v>3007</v>
      </c>
      <c r="E836" s="390" t="s">
        <v>3007</v>
      </c>
      <c r="F836" s="390">
        <f t="shared" si="62"/>
        <v>0</v>
      </c>
      <c r="G836" s="390"/>
      <c r="H836" s="390" t="s">
        <v>3007</v>
      </c>
      <c r="I836" s="390">
        <v>770000</v>
      </c>
      <c r="J836" s="390"/>
      <c r="K836" s="734"/>
      <c r="M836" s="62" t="e">
        <f>IF(#REF!&gt;6,3,5)</f>
        <v>#REF!</v>
      </c>
    </row>
    <row r="837" spans="1:13">
      <c r="A837" s="730">
        <f t="shared" si="61"/>
        <v>9</v>
      </c>
      <c r="B837" s="733" t="s">
        <v>2061</v>
      </c>
      <c r="C837" s="390" t="s">
        <v>3007</v>
      </c>
      <c r="D837" s="390" t="s">
        <v>3007</v>
      </c>
      <c r="E837" s="390" t="s">
        <v>3007</v>
      </c>
      <c r="F837" s="390">
        <f t="shared" si="62"/>
        <v>0</v>
      </c>
      <c r="G837" s="390"/>
      <c r="H837" s="390" t="s">
        <v>3007</v>
      </c>
      <c r="I837" s="390"/>
      <c r="J837" s="390"/>
      <c r="K837" s="734"/>
      <c r="M837" s="62" t="e">
        <f>IF(#REF!&gt;6,3,5)</f>
        <v>#REF!</v>
      </c>
    </row>
    <row r="838" spans="1:13">
      <c r="A838" s="730">
        <f t="shared" si="61"/>
        <v>10</v>
      </c>
      <c r="B838" s="733" t="s">
        <v>1680</v>
      </c>
      <c r="C838" s="390">
        <v>300000</v>
      </c>
      <c r="D838" s="390">
        <v>100000</v>
      </c>
      <c r="E838" s="390">
        <v>100000</v>
      </c>
      <c r="F838" s="390">
        <f t="shared" si="62"/>
        <v>500000</v>
      </c>
      <c r="G838" s="390"/>
      <c r="H838" s="390">
        <v>100000</v>
      </c>
      <c r="I838" s="390"/>
      <c r="J838" s="390"/>
      <c r="K838" s="734"/>
      <c r="M838" s="62" t="e">
        <f>IF(#REF!&gt;6,3,5)</f>
        <v>#REF!</v>
      </c>
    </row>
    <row r="839" spans="1:13">
      <c r="A839" s="730">
        <f t="shared" si="61"/>
        <v>11</v>
      </c>
      <c r="B839" s="733" t="s">
        <v>1681</v>
      </c>
      <c r="C839" s="390">
        <v>100000</v>
      </c>
      <c r="D839" s="390">
        <v>100000</v>
      </c>
      <c r="E839" s="390">
        <v>100000</v>
      </c>
      <c r="F839" s="390">
        <f t="shared" si="62"/>
        <v>300000</v>
      </c>
      <c r="G839" s="390"/>
      <c r="H839" s="390">
        <v>100000</v>
      </c>
      <c r="I839" s="390"/>
      <c r="J839" s="390"/>
      <c r="K839" s="734"/>
      <c r="M839" s="62" t="e">
        <f>IF(#REF!&gt;6,3,5)</f>
        <v>#REF!</v>
      </c>
    </row>
    <row r="840" spans="1:13">
      <c r="A840" s="730">
        <f t="shared" si="61"/>
        <v>12</v>
      </c>
      <c r="B840" s="733" t="s">
        <v>1682</v>
      </c>
      <c r="C840" s="390">
        <v>4000000</v>
      </c>
      <c r="D840" s="390">
        <v>4000000</v>
      </c>
      <c r="E840" s="390">
        <v>4000000</v>
      </c>
      <c r="F840" s="390">
        <f t="shared" si="62"/>
        <v>12000000</v>
      </c>
      <c r="G840" s="390">
        <v>2837489</v>
      </c>
      <c r="H840" s="390">
        <v>4000000</v>
      </c>
      <c r="I840" s="390">
        <v>4059172.44</v>
      </c>
      <c r="J840" s="390"/>
      <c r="K840" s="734"/>
      <c r="M840" s="62" t="e">
        <f>IF(#REF!&gt;6,3,5)</f>
        <v>#REF!</v>
      </c>
    </row>
    <row r="841" spans="1:13">
      <c r="A841" s="730">
        <f t="shared" si="61"/>
        <v>13</v>
      </c>
      <c r="B841" s="733" t="s">
        <v>2249</v>
      </c>
      <c r="C841" s="390">
        <v>100000</v>
      </c>
      <c r="D841" s="390">
        <v>100000</v>
      </c>
      <c r="E841" s="390">
        <v>100000</v>
      </c>
      <c r="F841" s="390">
        <f t="shared" si="62"/>
        <v>300000</v>
      </c>
      <c r="G841" s="390"/>
      <c r="H841" s="390">
        <v>100000</v>
      </c>
      <c r="I841" s="390"/>
      <c r="J841" s="390"/>
      <c r="K841" s="734"/>
      <c r="M841" s="62" t="e">
        <f>IF(#REF!&gt;6,3,5)</f>
        <v>#REF!</v>
      </c>
    </row>
    <row r="842" spans="1:13">
      <c r="A842" s="730">
        <f t="shared" si="61"/>
        <v>14</v>
      </c>
      <c r="B842" s="733" t="s">
        <v>520</v>
      </c>
      <c r="C842" s="390">
        <v>800000</v>
      </c>
      <c r="D842" s="390">
        <v>800000</v>
      </c>
      <c r="E842" s="390">
        <v>800000</v>
      </c>
      <c r="F842" s="390">
        <f t="shared" si="62"/>
        <v>2400000</v>
      </c>
      <c r="G842" s="390"/>
      <c r="H842" s="390">
        <v>800000</v>
      </c>
      <c r="I842" s="390"/>
      <c r="J842" s="390"/>
      <c r="K842" s="734"/>
      <c r="M842" s="62" t="e">
        <f>IF(#REF!&gt;6,3,5)</f>
        <v>#REF!</v>
      </c>
    </row>
    <row r="843" spans="1:13">
      <c r="A843" s="730">
        <f t="shared" si="61"/>
        <v>15</v>
      </c>
      <c r="B843" s="733" t="s">
        <v>521</v>
      </c>
      <c r="C843" s="390">
        <v>200000</v>
      </c>
      <c r="D843" s="390">
        <v>100000</v>
      </c>
      <c r="E843" s="390">
        <v>100000</v>
      </c>
      <c r="F843" s="390">
        <f t="shared" si="62"/>
        <v>400000</v>
      </c>
      <c r="G843" s="390"/>
      <c r="H843" s="390">
        <v>100000</v>
      </c>
      <c r="I843" s="390"/>
      <c r="J843" s="390"/>
      <c r="K843" s="734"/>
      <c r="M843" s="62" t="e">
        <f>IF(#REF!&gt;6,3,5)</f>
        <v>#REF!</v>
      </c>
    </row>
    <row r="844" spans="1:13">
      <c r="A844" s="730">
        <f t="shared" si="61"/>
        <v>16</v>
      </c>
      <c r="B844" s="733" t="s">
        <v>3520</v>
      </c>
      <c r="C844" s="390">
        <v>800000</v>
      </c>
      <c r="D844" s="390">
        <v>2000000</v>
      </c>
      <c r="E844" s="390">
        <v>2000000</v>
      </c>
      <c r="F844" s="390">
        <f t="shared" si="62"/>
        <v>4800000</v>
      </c>
      <c r="G844" s="390">
        <v>740000</v>
      </c>
      <c r="H844" s="390">
        <v>2000000</v>
      </c>
      <c r="I844" s="390"/>
      <c r="J844" s="390"/>
      <c r="K844" s="734"/>
      <c r="M844" s="62" t="e">
        <f>IF(#REF!&gt;6,3,5)</f>
        <v>#REF!</v>
      </c>
    </row>
    <row r="845" spans="1:13">
      <c r="A845" s="730">
        <f t="shared" si="61"/>
        <v>17</v>
      </c>
      <c r="B845" s="733" t="s">
        <v>847</v>
      </c>
      <c r="C845" s="390" t="s">
        <v>3007</v>
      </c>
      <c r="D845" s="390" t="s">
        <v>3007</v>
      </c>
      <c r="E845" s="390" t="s">
        <v>3007</v>
      </c>
      <c r="F845" s="390">
        <f t="shared" si="62"/>
        <v>0</v>
      </c>
      <c r="G845" s="390"/>
      <c r="H845" s="390" t="s">
        <v>3007</v>
      </c>
      <c r="I845" s="390"/>
      <c r="J845" s="390"/>
      <c r="K845" s="734"/>
      <c r="M845" s="62" t="e">
        <f>IF(#REF!&gt;6,3,5)</f>
        <v>#REF!</v>
      </c>
    </row>
    <row r="846" spans="1:13">
      <c r="A846" s="730">
        <f t="shared" si="61"/>
        <v>18</v>
      </c>
      <c r="B846" s="733" t="s">
        <v>680</v>
      </c>
      <c r="C846" s="390" t="s">
        <v>3007</v>
      </c>
      <c r="D846" s="390">
        <v>2000000</v>
      </c>
      <c r="E846" s="390">
        <v>2000000</v>
      </c>
      <c r="F846" s="390">
        <f t="shared" si="62"/>
        <v>4000000</v>
      </c>
      <c r="G846" s="390"/>
      <c r="H846" s="390" t="s">
        <v>3007</v>
      </c>
      <c r="I846" s="390"/>
      <c r="J846" s="390"/>
      <c r="K846" s="734"/>
      <c r="M846" s="62" t="e">
        <f>IF(#REF!&gt;6,3,5)</f>
        <v>#REF!</v>
      </c>
    </row>
    <row r="847" spans="1:13">
      <c r="A847" s="730">
        <f t="shared" si="61"/>
        <v>19</v>
      </c>
      <c r="B847" s="733" t="s">
        <v>2733</v>
      </c>
      <c r="C847" s="390" t="s">
        <v>3007</v>
      </c>
      <c r="D847" s="390" t="s">
        <v>3007</v>
      </c>
      <c r="E847" s="390" t="s">
        <v>3007</v>
      </c>
      <c r="F847" s="390">
        <f t="shared" si="62"/>
        <v>0</v>
      </c>
      <c r="G847" s="390"/>
      <c r="H847" s="390" t="s">
        <v>3007</v>
      </c>
      <c r="I847" s="390"/>
      <c r="J847" s="390"/>
      <c r="K847" s="734"/>
      <c r="M847" s="62" t="e">
        <f>IF(#REF!&gt;6,3,5)</f>
        <v>#REF!</v>
      </c>
    </row>
    <row r="848" spans="1:13">
      <c r="A848" s="730">
        <f t="shared" si="61"/>
        <v>20</v>
      </c>
      <c r="B848" s="733" t="s">
        <v>2734</v>
      </c>
      <c r="C848" s="390">
        <v>1000000</v>
      </c>
      <c r="D848" s="390">
        <v>1300000</v>
      </c>
      <c r="E848" s="390">
        <v>1300000</v>
      </c>
      <c r="F848" s="390">
        <f t="shared" si="62"/>
        <v>3600000</v>
      </c>
      <c r="G848" s="390"/>
      <c r="H848" s="390">
        <v>1300000</v>
      </c>
      <c r="I848" s="390"/>
      <c r="J848" s="390"/>
      <c r="K848" s="734"/>
      <c r="M848" s="62" t="e">
        <f>IF(#REF!&gt;6,3,5)</f>
        <v>#REF!</v>
      </c>
    </row>
    <row r="849" spans="1:13">
      <c r="A849" s="730">
        <f t="shared" si="61"/>
        <v>21</v>
      </c>
      <c r="B849" s="733" t="s">
        <v>2735</v>
      </c>
      <c r="C849" s="390" t="s">
        <v>3007</v>
      </c>
      <c r="D849" s="390" t="s">
        <v>3007</v>
      </c>
      <c r="E849" s="390" t="s">
        <v>3007</v>
      </c>
      <c r="F849" s="390">
        <f t="shared" si="62"/>
        <v>0</v>
      </c>
      <c r="G849" s="390"/>
      <c r="H849" s="390" t="s">
        <v>3007</v>
      </c>
      <c r="I849" s="390"/>
      <c r="J849" s="390"/>
      <c r="K849" s="734"/>
      <c r="M849" s="62" t="e">
        <f>IF(#REF!&gt;6,3,5)</f>
        <v>#REF!</v>
      </c>
    </row>
    <row r="850" spans="1:13" ht="25.5">
      <c r="A850" s="730">
        <f t="shared" si="61"/>
        <v>22</v>
      </c>
      <c r="B850" s="733" t="s">
        <v>2841</v>
      </c>
      <c r="C850" s="390" t="s">
        <v>3007</v>
      </c>
      <c r="D850" s="390" t="s">
        <v>3007</v>
      </c>
      <c r="E850" s="390" t="s">
        <v>3007</v>
      </c>
      <c r="F850" s="390">
        <f t="shared" si="62"/>
        <v>0</v>
      </c>
      <c r="G850" s="390"/>
      <c r="H850" s="390" t="s">
        <v>3007</v>
      </c>
      <c r="I850" s="390"/>
      <c r="J850" s="390"/>
      <c r="K850" s="734"/>
      <c r="M850" s="62" t="e">
        <f>IF(#REF!&gt;6,3,5)</f>
        <v>#REF!</v>
      </c>
    </row>
    <row r="851" spans="1:13">
      <c r="A851" s="730">
        <f t="shared" si="61"/>
        <v>23</v>
      </c>
      <c r="B851" s="733" t="s">
        <v>1969</v>
      </c>
      <c r="C851" s="390" t="s">
        <v>3007</v>
      </c>
      <c r="D851" s="390" t="s">
        <v>3007</v>
      </c>
      <c r="E851" s="390" t="s">
        <v>3007</v>
      </c>
      <c r="F851" s="390">
        <f t="shared" si="62"/>
        <v>0</v>
      </c>
      <c r="G851" s="390"/>
      <c r="H851" s="390" t="s">
        <v>3007</v>
      </c>
      <c r="I851" s="390"/>
      <c r="J851" s="390"/>
      <c r="K851" s="734"/>
      <c r="M851" s="62" t="e">
        <f>IF(#REF!&gt;6,3,5)</f>
        <v>#REF!</v>
      </c>
    </row>
    <row r="852" spans="1:13">
      <c r="A852" s="730">
        <f t="shared" si="61"/>
        <v>24</v>
      </c>
      <c r="B852" s="733" t="s">
        <v>1970</v>
      </c>
      <c r="C852" s="390" t="s">
        <v>3007</v>
      </c>
      <c r="D852" s="390" t="s">
        <v>3007</v>
      </c>
      <c r="E852" s="390" t="s">
        <v>3007</v>
      </c>
      <c r="F852" s="390">
        <f t="shared" si="62"/>
        <v>0</v>
      </c>
      <c r="G852" s="390"/>
      <c r="H852" s="390" t="s">
        <v>3007</v>
      </c>
      <c r="I852" s="390"/>
      <c r="J852" s="390"/>
      <c r="K852" s="734"/>
      <c r="M852" s="62" t="e">
        <f>IF(#REF!&gt;6,3,5)</f>
        <v>#REF!</v>
      </c>
    </row>
    <row r="853" spans="1:13" ht="25.5">
      <c r="A853" s="730">
        <f t="shared" si="61"/>
        <v>25</v>
      </c>
      <c r="B853" s="733" t="s">
        <v>2719</v>
      </c>
      <c r="C853" s="390" t="s">
        <v>3007</v>
      </c>
      <c r="D853" s="390" t="s">
        <v>3007</v>
      </c>
      <c r="E853" s="390" t="s">
        <v>3007</v>
      </c>
      <c r="F853" s="390">
        <f t="shared" si="62"/>
        <v>0</v>
      </c>
      <c r="G853" s="390"/>
      <c r="H853" s="390" t="s">
        <v>3007</v>
      </c>
      <c r="I853" s="390"/>
      <c r="J853" s="390"/>
      <c r="K853" s="734"/>
      <c r="M853" s="62" t="e">
        <f>IF(#REF!&gt;6,3,5)</f>
        <v>#REF!</v>
      </c>
    </row>
    <row r="854" spans="1:13" ht="25.5">
      <c r="A854" s="730">
        <f t="shared" si="61"/>
        <v>26</v>
      </c>
      <c r="B854" s="733" t="s">
        <v>2720</v>
      </c>
      <c r="C854" s="390" t="s">
        <v>3007</v>
      </c>
      <c r="D854" s="390" t="s">
        <v>3007</v>
      </c>
      <c r="E854" s="390" t="s">
        <v>3007</v>
      </c>
      <c r="F854" s="390">
        <f t="shared" si="62"/>
        <v>0</v>
      </c>
      <c r="G854" s="390"/>
      <c r="H854" s="390" t="s">
        <v>3007</v>
      </c>
      <c r="I854" s="390"/>
      <c r="J854" s="390"/>
      <c r="K854" s="734"/>
      <c r="M854" s="62" t="e">
        <f>IF(#REF!&gt;6,3,5)</f>
        <v>#REF!</v>
      </c>
    </row>
    <row r="855" spans="1:13">
      <c r="A855" s="730">
        <f t="shared" si="61"/>
        <v>27</v>
      </c>
      <c r="B855" s="733" t="s">
        <v>127</v>
      </c>
      <c r="C855" s="390" t="s">
        <v>3007</v>
      </c>
      <c r="D855" s="390" t="s">
        <v>3007</v>
      </c>
      <c r="E855" s="390" t="s">
        <v>3007</v>
      </c>
      <c r="F855" s="390">
        <f t="shared" si="62"/>
        <v>0</v>
      </c>
      <c r="G855" s="390"/>
      <c r="H855" s="390" t="s">
        <v>3007</v>
      </c>
      <c r="I855" s="390"/>
      <c r="J855" s="390"/>
      <c r="K855" s="734"/>
      <c r="M855" s="62" t="e">
        <f>IF(#REF!&gt;6,3,5)</f>
        <v>#REF!</v>
      </c>
    </row>
    <row r="856" spans="1:13">
      <c r="A856" s="730">
        <v>28</v>
      </c>
      <c r="B856" s="733" t="s">
        <v>3413</v>
      </c>
      <c r="C856" s="390" t="s">
        <v>3007</v>
      </c>
      <c r="D856" s="390" t="s">
        <v>3007</v>
      </c>
      <c r="E856" s="390" t="s">
        <v>3007</v>
      </c>
      <c r="F856" s="390">
        <f t="shared" si="62"/>
        <v>0</v>
      </c>
      <c r="G856" s="390"/>
      <c r="H856" s="390" t="s">
        <v>3007</v>
      </c>
      <c r="I856" s="390"/>
      <c r="J856" s="390"/>
      <c r="K856" s="734"/>
    </row>
    <row r="857" spans="1:13" ht="25.5">
      <c r="A857" s="730">
        <v>29</v>
      </c>
      <c r="B857" s="733" t="s">
        <v>234</v>
      </c>
      <c r="C857" s="390" t="s">
        <v>3007</v>
      </c>
      <c r="D857" s="390" t="s">
        <v>3007</v>
      </c>
      <c r="E857" s="390" t="s">
        <v>3007</v>
      </c>
      <c r="F857" s="390">
        <f t="shared" si="62"/>
        <v>0</v>
      </c>
      <c r="G857" s="390"/>
      <c r="H857" s="390" t="s">
        <v>3007</v>
      </c>
      <c r="I857" s="390"/>
      <c r="J857" s="390"/>
      <c r="K857" s="734"/>
    </row>
    <row r="858" spans="1:13" ht="25.5">
      <c r="A858" s="730">
        <v>30</v>
      </c>
      <c r="B858" s="733" t="s">
        <v>3341</v>
      </c>
      <c r="C858" s="390" t="s">
        <v>3007</v>
      </c>
      <c r="D858" s="390" t="s">
        <v>3007</v>
      </c>
      <c r="E858" s="390" t="s">
        <v>3007</v>
      </c>
      <c r="F858" s="390">
        <f t="shared" si="62"/>
        <v>0</v>
      </c>
      <c r="G858" s="390"/>
      <c r="H858" s="390" t="s">
        <v>3007</v>
      </c>
      <c r="I858" s="390"/>
      <c r="J858" s="390"/>
      <c r="K858" s="734"/>
      <c r="M858" s="62" t="e">
        <f>IF(#REF!&gt;6,3,5)</f>
        <v>#REF!</v>
      </c>
    </row>
    <row r="859" spans="1:13">
      <c r="A859" s="738"/>
      <c r="B859" s="760" t="s">
        <v>1684</v>
      </c>
      <c r="C859" s="739">
        <f t="shared" ref="C859:I859" si="63">SUM(C829:C858)</f>
        <v>12800000</v>
      </c>
      <c r="D859" s="739">
        <f t="shared" si="63"/>
        <v>16200000</v>
      </c>
      <c r="E859" s="739">
        <f t="shared" si="63"/>
        <v>16200000</v>
      </c>
      <c r="F859" s="739">
        <f t="shared" si="63"/>
        <v>45200000</v>
      </c>
      <c r="G859" s="739">
        <f>SUM(G829:G858)</f>
        <v>5707689</v>
      </c>
      <c r="H859" s="739">
        <f>SUM(H829:H858)</f>
        <v>14200000</v>
      </c>
      <c r="I859" s="739">
        <f t="shared" si="63"/>
        <v>7282172.4399999995</v>
      </c>
      <c r="J859" s="739"/>
      <c r="K859" s="740"/>
      <c r="M859" s="62" t="e">
        <f>IF(#REF!&gt;6,3,5)</f>
        <v>#REF!</v>
      </c>
    </row>
    <row r="860" spans="1:13" ht="15">
      <c r="C860" s="77"/>
      <c r="D860" s="78" t="s">
        <v>5434</v>
      </c>
      <c r="J860" s="584"/>
      <c r="K860" s="584"/>
      <c r="M860" s="62">
        <f t="shared" ref="M860:M920" si="64">IF(C860&gt;6,3,5)</f>
        <v>5</v>
      </c>
    </row>
    <row r="861" spans="1:13">
      <c r="C861" s="77"/>
      <c r="D861" s="78" t="s">
        <v>1693</v>
      </c>
      <c r="G861" s="62"/>
      <c r="H861" s="62"/>
      <c r="I861" s="62"/>
      <c r="M861" s="62">
        <f t="shared" si="64"/>
        <v>5</v>
      </c>
    </row>
    <row r="862" spans="1:13">
      <c r="C862" s="79" t="s">
        <v>717</v>
      </c>
      <c r="D862" s="78" t="s">
        <v>3824</v>
      </c>
      <c r="E862" s="62"/>
      <c r="G862" s="79"/>
      <c r="H862" s="79"/>
      <c r="I862" s="79"/>
      <c r="J862" s="78"/>
      <c r="K862" s="78"/>
    </row>
    <row r="863" spans="1:13" ht="13.5" thickBot="1">
      <c r="C863" s="79" t="s">
        <v>718</v>
      </c>
      <c r="D863" s="78" t="s">
        <v>3825</v>
      </c>
      <c r="G863" s="79"/>
      <c r="H863" s="79"/>
      <c r="I863" s="79"/>
      <c r="J863" s="78"/>
      <c r="K863" s="78"/>
    </row>
    <row r="864" spans="1:13" ht="15.75" thickTop="1">
      <c r="A864" s="1047" t="s">
        <v>2791</v>
      </c>
      <c r="B864" s="1049" t="s">
        <v>4126</v>
      </c>
      <c r="C864" s="1049" t="s">
        <v>854</v>
      </c>
      <c r="D864" s="1040" t="s">
        <v>4127</v>
      </c>
      <c r="E864" s="1041"/>
      <c r="F864" s="1041"/>
      <c r="G864" s="1040" t="s">
        <v>904</v>
      </c>
      <c r="H864" s="1041"/>
      <c r="I864" s="1042"/>
      <c r="J864" s="1035" t="s">
        <v>855</v>
      </c>
      <c r="K864" s="389"/>
    </row>
    <row r="865" spans="1:13" ht="26.25" thickBot="1">
      <c r="A865" s="1048"/>
      <c r="B865" s="1050"/>
      <c r="C865" s="1050"/>
      <c r="D865" s="285" t="s">
        <v>5505</v>
      </c>
      <c r="E865" s="285" t="s">
        <v>4485</v>
      </c>
      <c r="F865" s="285" t="s">
        <v>4486</v>
      </c>
      <c r="G865" s="287" t="s">
        <v>4487</v>
      </c>
      <c r="H865" s="285" t="s">
        <v>4488</v>
      </c>
      <c r="I865" s="287" t="s">
        <v>4489</v>
      </c>
      <c r="J865" s="1036"/>
      <c r="K865" s="712"/>
    </row>
    <row r="866" spans="1:13" ht="13.5" thickTop="1">
      <c r="A866" s="88" t="s">
        <v>1840</v>
      </c>
      <c r="B866" s="97" t="s">
        <v>549</v>
      </c>
      <c r="C866" s="69"/>
      <c r="D866" s="89"/>
      <c r="E866" s="89"/>
      <c r="F866" s="69"/>
      <c r="G866" s="89"/>
      <c r="H866" s="89"/>
      <c r="I866" s="89"/>
      <c r="J866" s="713"/>
      <c r="K866" s="711"/>
      <c r="M866" s="62">
        <f t="shared" si="64"/>
        <v>5</v>
      </c>
    </row>
    <row r="867" spans="1:13">
      <c r="A867" s="88">
        <v>1</v>
      </c>
      <c r="B867" s="69" t="s">
        <v>2781</v>
      </c>
      <c r="C867" s="69">
        <v>8</v>
      </c>
      <c r="D867" s="89">
        <v>0</v>
      </c>
      <c r="E867" s="89">
        <v>0</v>
      </c>
      <c r="F867" s="89">
        <v>0</v>
      </c>
      <c r="G867" s="89">
        <v>0</v>
      </c>
      <c r="H867" s="89">
        <v>0</v>
      </c>
      <c r="I867" s="89">
        <v>0</v>
      </c>
      <c r="J867" s="710">
        <f>(VLOOKUP($C867,[2]Sheet1!$A$2:$P$18,$M867+1)/12)*12*D867</f>
        <v>0</v>
      </c>
      <c r="K867" s="711"/>
      <c r="M867" s="62">
        <f t="shared" si="64"/>
        <v>3</v>
      </c>
    </row>
    <row r="868" spans="1:13">
      <c r="A868" s="88">
        <f t="shared" ref="A868:A929" si="65">+A867+1</f>
        <v>2</v>
      </c>
      <c r="B868" s="69" t="s">
        <v>2782</v>
      </c>
      <c r="C868" s="69">
        <v>7</v>
      </c>
      <c r="D868" s="89">
        <v>0</v>
      </c>
      <c r="E868" s="89">
        <v>0</v>
      </c>
      <c r="F868" s="89">
        <v>0</v>
      </c>
      <c r="G868" s="89">
        <v>0</v>
      </c>
      <c r="H868" s="89">
        <v>0</v>
      </c>
      <c r="I868" s="89">
        <v>0</v>
      </c>
      <c r="J868" s="710">
        <f>(VLOOKUP($C868,[2]Sheet1!$A$2:$P$18,$M868+1)/12)*12*D868</f>
        <v>0</v>
      </c>
      <c r="K868" s="711"/>
      <c r="M868" s="62">
        <f t="shared" si="64"/>
        <v>3</v>
      </c>
    </row>
    <row r="869" spans="1:13">
      <c r="A869" s="88">
        <f t="shared" si="65"/>
        <v>3</v>
      </c>
      <c r="B869" s="69" t="s">
        <v>2434</v>
      </c>
      <c r="C869" s="69">
        <v>6</v>
      </c>
      <c r="D869" s="89">
        <v>0</v>
      </c>
      <c r="E869" s="89">
        <v>0</v>
      </c>
      <c r="F869" s="89">
        <v>0</v>
      </c>
      <c r="G869" s="89">
        <v>0</v>
      </c>
      <c r="H869" s="89">
        <v>0</v>
      </c>
      <c r="I869" s="89">
        <v>0</v>
      </c>
      <c r="J869" s="710">
        <f>(VLOOKUP($C869,[2]Sheet1!$A$2:$P$18,$M869+1)/12)*12*D869</f>
        <v>0</v>
      </c>
      <c r="K869" s="711"/>
      <c r="M869" s="62">
        <f t="shared" si="64"/>
        <v>5</v>
      </c>
    </row>
    <row r="870" spans="1:13">
      <c r="A870" s="88">
        <f t="shared" si="65"/>
        <v>4</v>
      </c>
      <c r="B870" s="69" t="s">
        <v>1250</v>
      </c>
      <c r="C870" s="69">
        <v>5</v>
      </c>
      <c r="D870" s="89">
        <v>2</v>
      </c>
      <c r="E870" s="89">
        <v>2</v>
      </c>
      <c r="F870" s="89">
        <v>2</v>
      </c>
      <c r="G870" s="89">
        <v>2</v>
      </c>
      <c r="H870" s="89">
        <v>2</v>
      </c>
      <c r="I870" s="89">
        <v>2</v>
      </c>
      <c r="J870" s="710">
        <f>(VLOOKUP($C870,[2]Sheet1!$A$2:$P$18,$M870+1)/12)*12*D870</f>
        <v>459139.55786072998</v>
      </c>
      <c r="K870" s="711"/>
      <c r="M870" s="62">
        <f t="shared" si="64"/>
        <v>5</v>
      </c>
    </row>
    <row r="871" spans="1:13">
      <c r="A871" s="88">
        <f t="shared" si="65"/>
        <v>5</v>
      </c>
      <c r="B871" s="69" t="s">
        <v>2360</v>
      </c>
      <c r="C871" s="69">
        <v>4</v>
      </c>
      <c r="D871" s="89">
        <v>5</v>
      </c>
      <c r="E871" s="89">
        <v>5</v>
      </c>
      <c r="F871" s="89">
        <v>5</v>
      </c>
      <c r="G871" s="89">
        <v>5</v>
      </c>
      <c r="H871" s="89">
        <v>5</v>
      </c>
      <c r="I871" s="89">
        <v>5</v>
      </c>
      <c r="J871" s="710">
        <f>(VLOOKUP($C871,[2]Sheet1!$A$2:$P$18,$M871+1)/12)*12*D871</f>
        <v>1122714.8946518251</v>
      </c>
      <c r="K871" s="711"/>
      <c r="M871" s="62">
        <f t="shared" si="64"/>
        <v>5</v>
      </c>
    </row>
    <row r="872" spans="1:13">
      <c r="A872" s="88">
        <f t="shared" si="65"/>
        <v>6</v>
      </c>
      <c r="B872" s="69" t="s">
        <v>4030</v>
      </c>
      <c r="C872" s="69">
        <v>3</v>
      </c>
      <c r="D872" s="89">
        <v>5</v>
      </c>
      <c r="E872" s="89">
        <v>5</v>
      </c>
      <c r="F872" s="89">
        <v>5</v>
      </c>
      <c r="G872" s="89">
        <v>5</v>
      </c>
      <c r="H872" s="89">
        <v>5</v>
      </c>
      <c r="I872" s="89">
        <v>5</v>
      </c>
      <c r="J872" s="710">
        <f>(VLOOKUP($C872,[2]Sheet1!$A$2:$P$18,$M872+1)/12)*12*D872</f>
        <v>1096680.8946518248</v>
      </c>
      <c r="K872" s="711"/>
      <c r="M872" s="62">
        <f t="shared" si="64"/>
        <v>5</v>
      </c>
    </row>
    <row r="873" spans="1:13">
      <c r="A873" s="88">
        <f t="shared" si="65"/>
        <v>7</v>
      </c>
      <c r="B873" s="69" t="s">
        <v>3896</v>
      </c>
      <c r="C873" s="69">
        <v>3</v>
      </c>
      <c r="D873" s="89">
        <v>0</v>
      </c>
      <c r="E873" s="89">
        <v>0</v>
      </c>
      <c r="F873" s="89">
        <v>0</v>
      </c>
      <c r="G873" s="89">
        <v>0</v>
      </c>
      <c r="H873" s="89">
        <v>0</v>
      </c>
      <c r="I873" s="89">
        <v>0</v>
      </c>
      <c r="J873" s="710">
        <f>(VLOOKUP($C873,[2]Sheet1!$A$2:$P$18,$M873+1)/12)*12*D873</f>
        <v>0</v>
      </c>
      <c r="K873" s="711"/>
      <c r="M873" s="62">
        <f t="shared" si="64"/>
        <v>5</v>
      </c>
    </row>
    <row r="874" spans="1:13">
      <c r="A874" s="88">
        <f t="shared" si="65"/>
        <v>8</v>
      </c>
      <c r="B874" s="69" t="s">
        <v>1441</v>
      </c>
      <c r="C874" s="69">
        <v>8</v>
      </c>
      <c r="D874" s="89">
        <v>0</v>
      </c>
      <c r="E874" s="89">
        <v>0</v>
      </c>
      <c r="F874" s="89">
        <v>0</v>
      </c>
      <c r="G874" s="89">
        <v>0</v>
      </c>
      <c r="H874" s="89">
        <v>0</v>
      </c>
      <c r="I874" s="89">
        <v>0</v>
      </c>
      <c r="J874" s="710">
        <f>(VLOOKUP($C874,[2]Sheet1!$A$2:$P$18,$M874+1)/12)*12*D874</f>
        <v>0</v>
      </c>
      <c r="K874" s="711"/>
      <c r="M874" s="62">
        <f t="shared" si="64"/>
        <v>3</v>
      </c>
    </row>
    <row r="875" spans="1:13">
      <c r="A875" s="88">
        <f t="shared" si="65"/>
        <v>9</v>
      </c>
      <c r="B875" s="69" t="s">
        <v>2572</v>
      </c>
      <c r="C875" s="69">
        <v>7</v>
      </c>
      <c r="D875" s="89">
        <v>0</v>
      </c>
      <c r="E875" s="89">
        <v>0</v>
      </c>
      <c r="F875" s="89">
        <v>0</v>
      </c>
      <c r="G875" s="89">
        <v>0</v>
      </c>
      <c r="H875" s="89">
        <v>0</v>
      </c>
      <c r="I875" s="89">
        <v>0</v>
      </c>
      <c r="J875" s="710">
        <f>(VLOOKUP($C875,[2]Sheet1!$A$2:$P$18,$M875+1)/12)*12*D875</f>
        <v>0</v>
      </c>
      <c r="K875" s="711"/>
      <c r="M875" s="62">
        <f t="shared" si="64"/>
        <v>3</v>
      </c>
    </row>
    <row r="876" spans="1:13">
      <c r="A876" s="88">
        <f t="shared" si="65"/>
        <v>10</v>
      </c>
      <c r="B876" s="69" t="s">
        <v>1749</v>
      </c>
      <c r="C876" s="69">
        <v>6</v>
      </c>
      <c r="D876" s="89">
        <v>0</v>
      </c>
      <c r="E876" s="89">
        <v>0</v>
      </c>
      <c r="F876" s="89">
        <v>0</v>
      </c>
      <c r="G876" s="89">
        <v>0</v>
      </c>
      <c r="H876" s="89">
        <v>0</v>
      </c>
      <c r="I876" s="89">
        <v>0</v>
      </c>
      <c r="J876" s="710">
        <f>(VLOOKUP($C876,[2]Sheet1!$A$2:$P$18,$M876+1)/12)*12*D876</f>
        <v>0</v>
      </c>
      <c r="K876" s="711"/>
      <c r="M876" s="62">
        <f t="shared" si="64"/>
        <v>5</v>
      </c>
    </row>
    <row r="877" spans="1:13">
      <c r="A877" s="88">
        <f t="shared" si="65"/>
        <v>11</v>
      </c>
      <c r="B877" s="69" t="s">
        <v>3796</v>
      </c>
      <c r="C877" s="69">
        <v>5</v>
      </c>
      <c r="D877" s="89">
        <v>0</v>
      </c>
      <c r="E877" s="89">
        <v>0</v>
      </c>
      <c r="F877" s="89">
        <v>0</v>
      </c>
      <c r="G877" s="89">
        <v>0</v>
      </c>
      <c r="H877" s="89">
        <v>0</v>
      </c>
      <c r="I877" s="89">
        <v>0</v>
      </c>
      <c r="J877" s="710">
        <f>(VLOOKUP($C877,[2]Sheet1!$A$2:$P$18,$M877+1)/12)*12*D877</f>
        <v>0</v>
      </c>
      <c r="K877" s="711"/>
      <c r="M877" s="62">
        <f t="shared" si="64"/>
        <v>5</v>
      </c>
    </row>
    <row r="878" spans="1:13">
      <c r="A878" s="88">
        <f t="shared" si="65"/>
        <v>12</v>
      </c>
      <c r="B878" s="69" t="s">
        <v>3797</v>
      </c>
      <c r="C878" s="69">
        <v>4</v>
      </c>
      <c r="D878" s="89">
        <v>0</v>
      </c>
      <c r="E878" s="89">
        <v>0</v>
      </c>
      <c r="F878" s="89">
        <v>0</v>
      </c>
      <c r="G878" s="89">
        <v>0</v>
      </c>
      <c r="H878" s="89">
        <v>0</v>
      </c>
      <c r="I878" s="89">
        <v>0</v>
      </c>
      <c r="J878" s="710">
        <f>(VLOOKUP($C878,[2]Sheet1!$A$2:$P$18,$M878+1)/12)*12*D878</f>
        <v>0</v>
      </c>
      <c r="K878" s="711"/>
      <c r="M878" s="62">
        <f t="shared" si="64"/>
        <v>5</v>
      </c>
    </row>
    <row r="879" spans="1:13">
      <c r="A879" s="88">
        <f t="shared" si="65"/>
        <v>13</v>
      </c>
      <c r="B879" s="69" t="s">
        <v>3249</v>
      </c>
      <c r="C879" s="69">
        <v>3</v>
      </c>
      <c r="D879" s="89">
        <v>2</v>
      </c>
      <c r="E879" s="89">
        <v>2</v>
      </c>
      <c r="F879" s="89">
        <v>2</v>
      </c>
      <c r="G879" s="89">
        <v>2</v>
      </c>
      <c r="H879" s="89">
        <v>2</v>
      </c>
      <c r="I879" s="89">
        <v>2</v>
      </c>
      <c r="J879" s="710">
        <f>(VLOOKUP($C879,[2]Sheet1!$A$2:$P$18,$M879+1)/12)*12*D879</f>
        <v>438672.35786072997</v>
      </c>
      <c r="K879" s="711"/>
      <c r="M879" s="62">
        <f t="shared" si="64"/>
        <v>5</v>
      </c>
    </row>
    <row r="880" spans="1:13">
      <c r="A880" s="88">
        <f t="shared" si="65"/>
        <v>14</v>
      </c>
      <c r="B880" s="69" t="s">
        <v>3250</v>
      </c>
      <c r="C880" s="69">
        <v>7</v>
      </c>
      <c r="D880" s="89">
        <v>1</v>
      </c>
      <c r="E880" s="89">
        <v>1</v>
      </c>
      <c r="F880" s="89">
        <v>1</v>
      </c>
      <c r="G880" s="89">
        <v>1</v>
      </c>
      <c r="H880" s="89">
        <v>1</v>
      </c>
      <c r="I880" s="89">
        <v>1</v>
      </c>
      <c r="J880" s="710">
        <f>(VLOOKUP($C880,[2]Sheet1!$A$2:$P$18,$M880+1)/12)*12*D880</f>
        <v>307706.70240000007</v>
      </c>
      <c r="K880" s="711"/>
      <c r="M880" s="62">
        <f t="shared" si="64"/>
        <v>3</v>
      </c>
    </row>
    <row r="881" spans="1:13">
      <c r="A881" s="88">
        <f t="shared" si="65"/>
        <v>15</v>
      </c>
      <c r="B881" s="69" t="s">
        <v>3251</v>
      </c>
      <c r="C881" s="69">
        <v>5</v>
      </c>
      <c r="D881" s="89">
        <v>3</v>
      </c>
      <c r="E881" s="89">
        <v>3</v>
      </c>
      <c r="F881" s="89">
        <v>3</v>
      </c>
      <c r="G881" s="89">
        <v>3</v>
      </c>
      <c r="H881" s="89">
        <v>3</v>
      </c>
      <c r="I881" s="89">
        <v>3</v>
      </c>
      <c r="J881" s="710">
        <f>(VLOOKUP($C881,[2]Sheet1!$A$2:$P$18,$M881+1)/12)*12*D881</f>
        <v>688709.33679109497</v>
      </c>
      <c r="K881" s="711"/>
      <c r="M881" s="62">
        <f t="shared" si="64"/>
        <v>5</v>
      </c>
    </row>
    <row r="882" spans="1:13">
      <c r="A882" s="88">
        <f t="shared" si="65"/>
        <v>16</v>
      </c>
      <c r="B882" s="69" t="s">
        <v>3252</v>
      </c>
      <c r="C882" s="69">
        <v>3</v>
      </c>
      <c r="D882" s="89">
        <v>6</v>
      </c>
      <c r="E882" s="89">
        <v>6</v>
      </c>
      <c r="F882" s="89">
        <v>6</v>
      </c>
      <c r="G882" s="89">
        <v>6</v>
      </c>
      <c r="H882" s="89">
        <v>6</v>
      </c>
      <c r="I882" s="89">
        <v>6</v>
      </c>
      <c r="J882" s="710">
        <f>(VLOOKUP($C882,[2]Sheet1!$A$2:$P$18,$M882+1)/12)*12*D882</f>
        <v>1316017.0735821899</v>
      </c>
      <c r="K882" s="711"/>
      <c r="M882" s="62">
        <f t="shared" si="64"/>
        <v>5</v>
      </c>
    </row>
    <row r="883" spans="1:13">
      <c r="A883" s="88">
        <f t="shared" si="65"/>
        <v>17</v>
      </c>
      <c r="B883" s="69" t="s">
        <v>2179</v>
      </c>
      <c r="C883" s="69">
        <v>2</v>
      </c>
      <c r="D883" s="89">
        <v>7</v>
      </c>
      <c r="E883" s="89">
        <v>7</v>
      </c>
      <c r="F883" s="89">
        <v>7</v>
      </c>
      <c r="G883" s="89">
        <v>7</v>
      </c>
      <c r="H883" s="89">
        <v>7</v>
      </c>
      <c r="I883" s="89">
        <v>7</v>
      </c>
      <c r="J883" s="710">
        <f>(VLOOKUP($C883,[2]Sheet1!$A$2:$P$18,$M883+1)/12)*12*D883</f>
        <v>1502601.6525125552</v>
      </c>
      <c r="K883" s="711"/>
      <c r="M883" s="62">
        <f t="shared" si="64"/>
        <v>5</v>
      </c>
    </row>
    <row r="884" spans="1:13">
      <c r="A884" s="88">
        <f t="shared" si="65"/>
        <v>18</v>
      </c>
      <c r="B884" s="69" t="s">
        <v>2542</v>
      </c>
      <c r="C884" s="69">
        <v>2</v>
      </c>
      <c r="D884" s="89">
        <v>1</v>
      </c>
      <c r="E884" s="89">
        <v>1</v>
      </c>
      <c r="F884" s="89">
        <v>1</v>
      </c>
      <c r="G884" s="89">
        <v>1</v>
      </c>
      <c r="H884" s="89">
        <v>1</v>
      </c>
      <c r="I884" s="89">
        <v>1</v>
      </c>
      <c r="J884" s="710">
        <f>(VLOOKUP($C884,[2]Sheet1!$A$2:$P$18,$M884+1)/12)*12*D884</f>
        <v>214657.37893036503</v>
      </c>
      <c r="K884" s="711"/>
      <c r="M884" s="62">
        <f t="shared" si="64"/>
        <v>5</v>
      </c>
    </row>
    <row r="885" spans="1:13">
      <c r="A885" s="88">
        <f t="shared" si="65"/>
        <v>19</v>
      </c>
      <c r="B885" s="69" t="s">
        <v>2543</v>
      </c>
      <c r="C885" s="69">
        <v>2</v>
      </c>
      <c r="D885" s="89">
        <v>8</v>
      </c>
      <c r="E885" s="89">
        <v>8</v>
      </c>
      <c r="F885" s="89">
        <v>8</v>
      </c>
      <c r="G885" s="89">
        <v>8</v>
      </c>
      <c r="H885" s="89">
        <v>8</v>
      </c>
      <c r="I885" s="89">
        <v>8</v>
      </c>
      <c r="J885" s="710">
        <f>(VLOOKUP($C885,[2]Sheet1!$A$2:$P$18,$M885+1)/12)*12*D885</f>
        <v>1717259.0314429202</v>
      </c>
      <c r="K885" s="711"/>
      <c r="M885" s="62">
        <f t="shared" si="64"/>
        <v>5</v>
      </c>
    </row>
    <row r="886" spans="1:13">
      <c r="A886" s="88">
        <f t="shared" si="65"/>
        <v>20</v>
      </c>
      <c r="B886" s="69" t="s">
        <v>2364</v>
      </c>
      <c r="C886" s="69">
        <v>2</v>
      </c>
      <c r="D886" s="89">
        <v>2</v>
      </c>
      <c r="E886" s="89">
        <v>2</v>
      </c>
      <c r="F886" s="89">
        <v>2</v>
      </c>
      <c r="G886" s="89">
        <v>2</v>
      </c>
      <c r="H886" s="89">
        <v>2</v>
      </c>
      <c r="I886" s="89">
        <v>2</v>
      </c>
      <c r="J886" s="710">
        <f>(VLOOKUP($C886,[2]Sheet1!$A$2:$P$18,$M886+1)/12)*12*D886</f>
        <v>429314.75786073005</v>
      </c>
      <c r="K886" s="711"/>
      <c r="M886" s="62">
        <f t="shared" si="64"/>
        <v>5</v>
      </c>
    </row>
    <row r="887" spans="1:13">
      <c r="A887" s="88">
        <f t="shared" si="65"/>
        <v>21</v>
      </c>
      <c r="B887" s="69" t="s">
        <v>3253</v>
      </c>
      <c r="C887" s="69">
        <v>2</v>
      </c>
      <c r="D887" s="89">
        <v>2</v>
      </c>
      <c r="E887" s="89">
        <v>2</v>
      </c>
      <c r="F887" s="89">
        <v>2</v>
      </c>
      <c r="G887" s="89">
        <v>2</v>
      </c>
      <c r="H887" s="89">
        <v>2</v>
      </c>
      <c r="I887" s="89">
        <v>2</v>
      </c>
      <c r="J887" s="710">
        <f>(VLOOKUP($C887,[2]Sheet1!$A$2:$P$18,$M887+1)/12)*12*D887</f>
        <v>429314.75786073005</v>
      </c>
      <c r="K887" s="711"/>
      <c r="M887" s="62">
        <f t="shared" si="64"/>
        <v>5</v>
      </c>
    </row>
    <row r="888" spans="1:13">
      <c r="A888" s="88">
        <f t="shared" si="65"/>
        <v>22</v>
      </c>
      <c r="B888" s="69" t="s">
        <v>3020</v>
      </c>
      <c r="C888" s="69">
        <v>7</v>
      </c>
      <c r="D888" s="89">
        <v>2</v>
      </c>
      <c r="E888" s="89">
        <v>2</v>
      </c>
      <c r="F888" s="89">
        <v>2</v>
      </c>
      <c r="G888" s="89">
        <v>2</v>
      </c>
      <c r="H888" s="89">
        <v>2</v>
      </c>
      <c r="I888" s="89">
        <v>2</v>
      </c>
      <c r="J888" s="710">
        <f>(VLOOKUP($C888,[2]Sheet1!$A$2:$P$18,$M888+1)/12)*12*D888</f>
        <v>615413.40480000013</v>
      </c>
      <c r="K888" s="711"/>
      <c r="M888" s="62">
        <f t="shared" si="64"/>
        <v>3</v>
      </c>
    </row>
    <row r="889" spans="1:13">
      <c r="A889" s="88">
        <f t="shared" si="65"/>
        <v>23</v>
      </c>
      <c r="B889" s="69" t="s">
        <v>3019</v>
      </c>
      <c r="C889" s="69">
        <v>4</v>
      </c>
      <c r="D889" s="89">
        <v>2</v>
      </c>
      <c r="E889" s="89">
        <v>2</v>
      </c>
      <c r="F889" s="89">
        <v>2</v>
      </c>
      <c r="G889" s="89">
        <v>2</v>
      </c>
      <c r="H889" s="89">
        <v>2</v>
      </c>
      <c r="I889" s="89">
        <v>2</v>
      </c>
      <c r="J889" s="710">
        <f>(VLOOKUP($C889,[2]Sheet1!$A$2:$P$18,$M889+1)/12)*12*D889</f>
        <v>449085.95786073001</v>
      </c>
      <c r="K889" s="711"/>
      <c r="M889" s="62">
        <f t="shared" si="64"/>
        <v>5</v>
      </c>
    </row>
    <row r="890" spans="1:13">
      <c r="A890" s="88">
        <f t="shared" si="65"/>
        <v>24</v>
      </c>
      <c r="B890" s="69" t="s">
        <v>3254</v>
      </c>
      <c r="C890" s="69">
        <v>2</v>
      </c>
      <c r="D890" s="89">
        <v>2</v>
      </c>
      <c r="E890" s="89">
        <v>2</v>
      </c>
      <c r="F890" s="89">
        <v>2</v>
      </c>
      <c r="G890" s="89">
        <v>2</v>
      </c>
      <c r="H890" s="89">
        <v>2</v>
      </c>
      <c r="I890" s="89">
        <v>2</v>
      </c>
      <c r="J890" s="710">
        <f>(VLOOKUP($C890,[2]Sheet1!$A$2:$P$18,$M890+1)/12)*12*D890</f>
        <v>429314.75786073005</v>
      </c>
      <c r="K890" s="711"/>
      <c r="M890" s="62">
        <f t="shared" si="64"/>
        <v>5</v>
      </c>
    </row>
    <row r="891" spans="1:13">
      <c r="A891" s="88">
        <f t="shared" si="65"/>
        <v>25</v>
      </c>
      <c r="B891" s="69" t="s">
        <v>3255</v>
      </c>
      <c r="C891" s="69">
        <v>3</v>
      </c>
      <c r="D891" s="89">
        <v>2</v>
      </c>
      <c r="E891" s="89">
        <v>2</v>
      </c>
      <c r="F891" s="89">
        <v>2</v>
      </c>
      <c r="G891" s="89">
        <v>2</v>
      </c>
      <c r="H891" s="89">
        <v>2</v>
      </c>
      <c r="I891" s="89">
        <v>2</v>
      </c>
      <c r="J891" s="710">
        <f>(VLOOKUP($C891,[2]Sheet1!$A$2:$P$18,$M891+1)/12)*12*D891</f>
        <v>438672.35786072997</v>
      </c>
      <c r="K891" s="711"/>
      <c r="M891" s="62">
        <f t="shared" si="64"/>
        <v>5</v>
      </c>
    </row>
    <row r="892" spans="1:13">
      <c r="A892" s="88">
        <f t="shared" si="65"/>
        <v>26</v>
      </c>
      <c r="B892" s="69" t="s">
        <v>3256</v>
      </c>
      <c r="C892" s="69">
        <v>3</v>
      </c>
      <c r="D892" s="89">
        <v>2</v>
      </c>
      <c r="E892" s="89">
        <v>2</v>
      </c>
      <c r="F892" s="89">
        <v>2</v>
      </c>
      <c r="G892" s="89">
        <v>2</v>
      </c>
      <c r="H892" s="89">
        <v>2</v>
      </c>
      <c r="I892" s="89">
        <v>2</v>
      </c>
      <c r="J892" s="710">
        <f>(VLOOKUP($C892,[2]Sheet1!$A$2:$P$18,$M892+1)/12)*12*D892</f>
        <v>438672.35786072997</v>
      </c>
      <c r="K892" s="711"/>
      <c r="M892" s="62">
        <f t="shared" si="64"/>
        <v>5</v>
      </c>
    </row>
    <row r="893" spans="1:13">
      <c r="A893" s="88">
        <f t="shared" si="65"/>
        <v>27</v>
      </c>
      <c r="B893" s="69" t="s">
        <v>3257</v>
      </c>
      <c r="C893" s="69">
        <v>2</v>
      </c>
      <c r="D893" s="89">
        <v>2</v>
      </c>
      <c r="E893" s="89">
        <v>2</v>
      </c>
      <c r="F893" s="89">
        <v>2</v>
      </c>
      <c r="G893" s="89">
        <v>2</v>
      </c>
      <c r="H893" s="89">
        <v>2</v>
      </c>
      <c r="I893" s="89">
        <v>2</v>
      </c>
      <c r="J893" s="710">
        <f>(VLOOKUP($C893,[2]Sheet1!$A$2:$P$18,$M893+1)/12)*12*D893</f>
        <v>429314.75786073005</v>
      </c>
      <c r="K893" s="711"/>
      <c r="M893" s="62">
        <f t="shared" si="64"/>
        <v>5</v>
      </c>
    </row>
    <row r="894" spans="1:13">
      <c r="A894" s="88">
        <f t="shared" si="65"/>
        <v>28</v>
      </c>
      <c r="B894" s="69" t="s">
        <v>1595</v>
      </c>
      <c r="C894" s="69">
        <v>3</v>
      </c>
      <c r="D894" s="89">
        <v>2</v>
      </c>
      <c r="E894" s="89">
        <v>2</v>
      </c>
      <c r="F894" s="89">
        <v>2</v>
      </c>
      <c r="G894" s="89">
        <v>2</v>
      </c>
      <c r="H894" s="89">
        <v>2</v>
      </c>
      <c r="I894" s="89">
        <v>2</v>
      </c>
      <c r="J894" s="710">
        <f>(VLOOKUP($C894,[2]Sheet1!$A$2:$P$18,$M894+1)/12)*12*D894</f>
        <v>438672.35786072997</v>
      </c>
      <c r="K894" s="711"/>
      <c r="M894" s="62">
        <f t="shared" si="64"/>
        <v>5</v>
      </c>
    </row>
    <row r="895" spans="1:13">
      <c r="A895" s="88">
        <f t="shared" si="65"/>
        <v>29</v>
      </c>
      <c r="B895" s="69" t="s">
        <v>1596</v>
      </c>
      <c r="C895" s="69">
        <v>4</v>
      </c>
      <c r="D895" s="89">
        <v>1</v>
      </c>
      <c r="E895" s="89">
        <v>1</v>
      </c>
      <c r="F895" s="89">
        <v>1</v>
      </c>
      <c r="G895" s="89">
        <v>1</v>
      </c>
      <c r="H895" s="89">
        <v>1</v>
      </c>
      <c r="I895" s="89">
        <v>1</v>
      </c>
      <c r="J895" s="710">
        <f>(VLOOKUP($C895,[2]Sheet1!$A$2:$P$18,$M895+1)/12)*12*D895</f>
        <v>224542.978930365</v>
      </c>
      <c r="K895" s="711"/>
      <c r="M895" s="62">
        <f t="shared" si="64"/>
        <v>5</v>
      </c>
    </row>
    <row r="896" spans="1:13">
      <c r="A896" s="88">
        <f t="shared" si="65"/>
        <v>30</v>
      </c>
      <c r="B896" s="69" t="s">
        <v>3674</v>
      </c>
      <c r="C896" s="69">
        <v>2</v>
      </c>
      <c r="D896" s="89">
        <v>3</v>
      </c>
      <c r="E896" s="89">
        <v>3</v>
      </c>
      <c r="F896" s="89">
        <v>3</v>
      </c>
      <c r="G896" s="89">
        <v>3</v>
      </c>
      <c r="H896" s="89">
        <v>3</v>
      </c>
      <c r="I896" s="89">
        <v>3</v>
      </c>
      <c r="J896" s="710">
        <f>(VLOOKUP($C896,[2]Sheet1!$A$2:$P$18,$M896+1)/12)*12*D896</f>
        <v>643972.13679109514</v>
      </c>
      <c r="K896" s="711"/>
      <c r="M896" s="62">
        <f t="shared" si="64"/>
        <v>5</v>
      </c>
    </row>
    <row r="897" spans="1:13">
      <c r="A897" s="88">
        <v>31</v>
      </c>
      <c r="B897" s="90" t="s">
        <v>1289</v>
      </c>
      <c r="C897" s="69"/>
      <c r="D897" s="89"/>
      <c r="E897" s="89"/>
      <c r="F897" s="89"/>
      <c r="G897" s="89"/>
      <c r="H897" s="89"/>
      <c r="I897" s="89"/>
      <c r="J897" s="710"/>
      <c r="K897" s="711"/>
      <c r="M897" s="62">
        <f t="shared" si="64"/>
        <v>5</v>
      </c>
    </row>
    <row r="898" spans="1:13">
      <c r="A898" s="88">
        <f t="shared" si="65"/>
        <v>32</v>
      </c>
      <c r="B898" s="69" t="s">
        <v>1290</v>
      </c>
      <c r="C898" s="69">
        <v>14</v>
      </c>
      <c r="D898" s="89">
        <v>2</v>
      </c>
      <c r="E898" s="89">
        <v>1</v>
      </c>
      <c r="F898" s="89">
        <v>1</v>
      </c>
      <c r="G898" s="89">
        <v>1</v>
      </c>
      <c r="H898" s="89">
        <v>1</v>
      </c>
      <c r="I898" s="89">
        <v>2</v>
      </c>
      <c r="J898" s="710">
        <f>(VLOOKUP($C898,[2]Sheet1!$A$2:$P$18,$M898+1)/12)*12*D898</f>
        <v>1338198.81648</v>
      </c>
      <c r="K898" s="711"/>
      <c r="M898" s="62">
        <f t="shared" si="64"/>
        <v>3</v>
      </c>
    </row>
    <row r="899" spans="1:13">
      <c r="A899" s="88">
        <f t="shared" si="65"/>
        <v>33</v>
      </c>
      <c r="B899" s="69" t="s">
        <v>1256</v>
      </c>
      <c r="C899" s="69">
        <v>13</v>
      </c>
      <c r="D899" s="89">
        <v>1</v>
      </c>
      <c r="E899" s="89">
        <v>1</v>
      </c>
      <c r="F899" s="89">
        <v>1</v>
      </c>
      <c r="G899" s="89">
        <v>1</v>
      </c>
      <c r="H899" s="89">
        <v>1</v>
      </c>
      <c r="I899" s="89">
        <v>1</v>
      </c>
      <c r="J899" s="710">
        <f>(VLOOKUP($C899,[2]Sheet1!$A$2:$P$18,$M899+1)/12)*12*D899</f>
        <v>628759.53804000001</v>
      </c>
      <c r="K899" s="711"/>
      <c r="M899" s="62">
        <f t="shared" si="64"/>
        <v>3</v>
      </c>
    </row>
    <row r="900" spans="1:13">
      <c r="A900" s="88">
        <f t="shared" si="65"/>
        <v>34</v>
      </c>
      <c r="B900" s="69" t="s">
        <v>1291</v>
      </c>
      <c r="C900" s="69">
        <v>9</v>
      </c>
      <c r="D900" s="89">
        <v>1</v>
      </c>
      <c r="E900" s="89">
        <v>0</v>
      </c>
      <c r="F900" s="89">
        <v>0</v>
      </c>
      <c r="G900" s="89">
        <v>0</v>
      </c>
      <c r="H900" s="89">
        <v>0</v>
      </c>
      <c r="I900" s="89">
        <v>1</v>
      </c>
      <c r="J900" s="710">
        <f>(VLOOKUP($C900,[2]Sheet1!$A$2:$P$18,$M900+1)/12)*12*D900</f>
        <v>409681.90619999997</v>
      </c>
      <c r="K900" s="711"/>
      <c r="M900" s="62">
        <f t="shared" si="64"/>
        <v>3</v>
      </c>
    </row>
    <row r="901" spans="1:13">
      <c r="A901" s="88">
        <f t="shared" si="65"/>
        <v>35</v>
      </c>
      <c r="B901" s="69" t="s">
        <v>1598</v>
      </c>
      <c r="C901" s="69">
        <v>8</v>
      </c>
      <c r="D901" s="89">
        <v>4</v>
      </c>
      <c r="E901" s="89">
        <v>4</v>
      </c>
      <c r="F901" s="89">
        <v>4</v>
      </c>
      <c r="G901" s="89">
        <v>4</v>
      </c>
      <c r="H901" s="89">
        <v>4</v>
      </c>
      <c r="I901" s="89">
        <v>4</v>
      </c>
      <c r="J901" s="710">
        <f>(VLOOKUP($C901,[2]Sheet1!$A$2:$P$18,$M901+1)/12)*12*D901</f>
        <v>1368565.09632</v>
      </c>
      <c r="K901" s="711"/>
      <c r="M901" s="62">
        <f t="shared" si="64"/>
        <v>3</v>
      </c>
    </row>
    <row r="902" spans="1:13" ht="13.5" thickBot="1">
      <c r="A902" s="88">
        <f t="shared" si="65"/>
        <v>36</v>
      </c>
      <c r="B902" s="69" t="s">
        <v>3340</v>
      </c>
      <c r="C902" s="69">
        <v>3</v>
      </c>
      <c r="D902" s="89">
        <v>8</v>
      </c>
      <c r="E902" s="89">
        <v>8</v>
      </c>
      <c r="F902" s="89">
        <v>8</v>
      </c>
      <c r="G902" s="89">
        <v>8</v>
      </c>
      <c r="H902" s="89">
        <v>8</v>
      </c>
      <c r="I902" s="89">
        <v>8</v>
      </c>
      <c r="J902" s="710">
        <f>(VLOOKUP($C902,[2]Sheet1!$A$2:$P$18,$M902+1)/12)*12*D902</f>
        <v>1754689.4314429199</v>
      </c>
      <c r="K902" s="711"/>
      <c r="M902" s="62">
        <f t="shared" si="64"/>
        <v>5</v>
      </c>
    </row>
    <row r="903" spans="1:13" ht="15.75" thickTop="1">
      <c r="A903" s="1047" t="s">
        <v>2791</v>
      </c>
      <c r="B903" s="1049" t="s">
        <v>4126</v>
      </c>
      <c r="C903" s="1049" t="s">
        <v>854</v>
      </c>
      <c r="D903" s="1040" t="s">
        <v>4127</v>
      </c>
      <c r="E903" s="1041"/>
      <c r="F903" s="1041"/>
      <c r="G903" s="1040" t="s">
        <v>904</v>
      </c>
      <c r="H903" s="1041"/>
      <c r="I903" s="1042"/>
      <c r="J903" s="1035" t="s">
        <v>855</v>
      </c>
      <c r="K903" s="389"/>
    </row>
    <row r="904" spans="1:13" ht="26.25" thickBot="1">
      <c r="A904" s="1048"/>
      <c r="B904" s="1050"/>
      <c r="C904" s="1050"/>
      <c r="D904" s="285" t="s">
        <v>5505</v>
      </c>
      <c r="E904" s="285" t="s">
        <v>4485</v>
      </c>
      <c r="F904" s="285" t="s">
        <v>4486</v>
      </c>
      <c r="G904" s="287" t="s">
        <v>4487</v>
      </c>
      <c r="H904" s="285" t="s">
        <v>4488</v>
      </c>
      <c r="I904" s="287" t="s">
        <v>4489</v>
      </c>
      <c r="J904" s="1036"/>
      <c r="K904" s="712"/>
    </row>
    <row r="905" spans="1:13" ht="13.5" thickTop="1">
      <c r="A905" s="88">
        <f>+A902+1</f>
        <v>37</v>
      </c>
      <c r="B905" s="69" t="s">
        <v>3190</v>
      </c>
      <c r="C905" s="69">
        <v>4</v>
      </c>
      <c r="D905" s="89">
        <v>8</v>
      </c>
      <c r="E905" s="89">
        <v>8</v>
      </c>
      <c r="F905" s="89">
        <v>8</v>
      </c>
      <c r="G905" s="89">
        <v>8</v>
      </c>
      <c r="H905" s="89">
        <v>8</v>
      </c>
      <c r="I905" s="89">
        <v>8</v>
      </c>
      <c r="J905" s="710">
        <f>(VLOOKUP($C905,[2]Sheet1!$A$2:$P$18,$M905+1)/12)*12*D905</f>
        <v>1796343.83144292</v>
      </c>
      <c r="K905" s="711"/>
      <c r="M905" s="62">
        <f t="shared" si="64"/>
        <v>5</v>
      </c>
    </row>
    <row r="906" spans="1:13">
      <c r="A906" s="88"/>
      <c r="B906" s="90" t="s">
        <v>3191</v>
      </c>
      <c r="C906" s="69"/>
      <c r="D906" s="89"/>
      <c r="E906" s="89"/>
      <c r="F906" s="69"/>
      <c r="G906" s="89"/>
      <c r="H906" s="89"/>
      <c r="I906" s="89"/>
      <c r="J906" s="713"/>
      <c r="K906" s="711"/>
      <c r="M906" s="62">
        <f t="shared" si="64"/>
        <v>5</v>
      </c>
    </row>
    <row r="907" spans="1:13">
      <c r="A907" s="88">
        <v>38</v>
      </c>
      <c r="B907" s="69" t="s">
        <v>3192</v>
      </c>
      <c r="C907" s="69">
        <v>16</v>
      </c>
      <c r="D907" s="89">
        <v>1</v>
      </c>
      <c r="E907" s="89">
        <v>1</v>
      </c>
      <c r="F907" s="89">
        <v>1</v>
      </c>
      <c r="G907" s="89">
        <v>1</v>
      </c>
      <c r="H907" s="89">
        <v>1</v>
      </c>
      <c r="I907" s="89">
        <v>1</v>
      </c>
      <c r="J907" s="710">
        <f>(VLOOKUP($C907,[2]Sheet1!$A$2:$P$18,$M907+1)/12)*12*D907</f>
        <v>677281.26084</v>
      </c>
      <c r="K907" s="711"/>
      <c r="M907" s="62">
        <f t="shared" si="64"/>
        <v>3</v>
      </c>
    </row>
    <row r="908" spans="1:13">
      <c r="A908" s="88">
        <f t="shared" ref="A908:A919" si="66">+A907+1</f>
        <v>39</v>
      </c>
      <c r="B908" s="69" t="s">
        <v>3193</v>
      </c>
      <c r="C908" s="69">
        <v>15</v>
      </c>
      <c r="D908" s="89">
        <v>1</v>
      </c>
      <c r="E908" s="89">
        <v>1</v>
      </c>
      <c r="F908" s="89">
        <v>1</v>
      </c>
      <c r="G908" s="89">
        <v>1</v>
      </c>
      <c r="H908" s="89">
        <v>1</v>
      </c>
      <c r="I908" s="89">
        <v>1</v>
      </c>
      <c r="J908" s="710">
        <f>(VLOOKUP($C908,[2]Sheet1!$A$2:$P$18,$M908+1)/12)*12*D908</f>
        <v>658331.89992</v>
      </c>
      <c r="K908" s="711"/>
      <c r="M908" s="62">
        <f t="shared" si="64"/>
        <v>3</v>
      </c>
    </row>
    <row r="909" spans="1:13">
      <c r="A909" s="88">
        <f t="shared" si="66"/>
        <v>40</v>
      </c>
      <c r="B909" s="69" t="s">
        <v>3192</v>
      </c>
      <c r="C909" s="69">
        <v>14</v>
      </c>
      <c r="D909" s="89">
        <v>7</v>
      </c>
      <c r="E909" s="89">
        <v>1</v>
      </c>
      <c r="F909" s="89">
        <v>1</v>
      </c>
      <c r="G909" s="89">
        <v>1</v>
      </c>
      <c r="H909" s="89">
        <v>1</v>
      </c>
      <c r="I909" s="89">
        <v>7</v>
      </c>
      <c r="J909" s="710">
        <f>(VLOOKUP($C909,[2]Sheet1!$A$2:$P$18,$M909+1)/12)*12*D909</f>
        <v>4683695.8576800004</v>
      </c>
      <c r="K909" s="711"/>
      <c r="M909" s="62">
        <f t="shared" si="64"/>
        <v>3</v>
      </c>
    </row>
    <row r="910" spans="1:13">
      <c r="A910" s="88">
        <f t="shared" si="66"/>
        <v>41</v>
      </c>
      <c r="B910" s="69" t="s">
        <v>3190</v>
      </c>
      <c r="C910" s="69">
        <v>13</v>
      </c>
      <c r="D910" s="89">
        <v>1</v>
      </c>
      <c r="E910" s="89">
        <v>0</v>
      </c>
      <c r="F910" s="89">
        <v>0</v>
      </c>
      <c r="G910" s="89">
        <v>0</v>
      </c>
      <c r="H910" s="89">
        <v>0</v>
      </c>
      <c r="I910" s="89">
        <v>1</v>
      </c>
      <c r="J910" s="710">
        <f>(VLOOKUP($C910,[2]Sheet1!$A$2:$P$18,$M910+1)/12)*12*D910</f>
        <v>628759.53804000001</v>
      </c>
      <c r="K910" s="711"/>
      <c r="M910" s="62">
        <f t="shared" si="64"/>
        <v>3</v>
      </c>
    </row>
    <row r="911" spans="1:13">
      <c r="A911" s="88">
        <f t="shared" si="66"/>
        <v>42</v>
      </c>
      <c r="B911" s="69" t="s">
        <v>3687</v>
      </c>
      <c r="C911" s="69">
        <v>12</v>
      </c>
      <c r="D911" s="89">
        <v>1</v>
      </c>
      <c r="E911" s="89">
        <v>0</v>
      </c>
      <c r="F911" s="89">
        <v>0</v>
      </c>
      <c r="G911" s="89">
        <v>0</v>
      </c>
      <c r="H911" s="89">
        <v>0</v>
      </c>
      <c r="I911" s="89">
        <v>1</v>
      </c>
      <c r="J911" s="710">
        <f>(VLOOKUP($C911,[2]Sheet1!$A$2:$P$18,$M911+1)/12)*12*D911</f>
        <v>552685.0537200002</v>
      </c>
      <c r="K911" s="711"/>
      <c r="M911" s="62">
        <f t="shared" si="64"/>
        <v>3</v>
      </c>
    </row>
    <row r="912" spans="1:13">
      <c r="A912" s="88">
        <f t="shared" si="66"/>
        <v>43</v>
      </c>
      <c r="B912" s="69" t="s">
        <v>3688</v>
      </c>
      <c r="C912" s="69">
        <v>10</v>
      </c>
      <c r="D912" s="89">
        <v>1</v>
      </c>
      <c r="E912" s="89">
        <v>1</v>
      </c>
      <c r="F912" s="89">
        <v>1</v>
      </c>
      <c r="G912" s="89">
        <v>1</v>
      </c>
      <c r="H912" s="89">
        <v>1</v>
      </c>
      <c r="I912" s="89">
        <v>1</v>
      </c>
      <c r="J912" s="710">
        <f>(VLOOKUP($C912,[2]Sheet1!$A$2:$P$18,$M912+1)/12)*12*D912</f>
        <v>483974.5687200001</v>
      </c>
      <c r="K912" s="711"/>
      <c r="M912" s="62">
        <f t="shared" si="64"/>
        <v>3</v>
      </c>
    </row>
    <row r="913" spans="1:13">
      <c r="A913" s="88">
        <f t="shared" si="66"/>
        <v>44</v>
      </c>
      <c r="B913" s="69" t="s">
        <v>3689</v>
      </c>
      <c r="C913" s="69">
        <v>10</v>
      </c>
      <c r="D913" s="89">
        <v>1</v>
      </c>
      <c r="E913" s="89">
        <v>1</v>
      </c>
      <c r="F913" s="89">
        <v>1</v>
      </c>
      <c r="G913" s="89">
        <v>1</v>
      </c>
      <c r="H913" s="89">
        <v>1</v>
      </c>
      <c r="I913" s="89">
        <v>1</v>
      </c>
      <c r="J913" s="710">
        <f>(VLOOKUP($C913,[2]Sheet1!$A$2:$P$18,$M913+1)/12)*12*D913</f>
        <v>483974.5687200001</v>
      </c>
      <c r="K913" s="711"/>
      <c r="M913" s="62">
        <f t="shared" si="64"/>
        <v>3</v>
      </c>
    </row>
    <row r="914" spans="1:13">
      <c r="A914" s="88">
        <f t="shared" si="66"/>
        <v>45</v>
      </c>
      <c r="B914" s="69" t="s">
        <v>3690</v>
      </c>
      <c r="C914" s="69">
        <v>6</v>
      </c>
      <c r="D914" s="89">
        <v>1</v>
      </c>
      <c r="E914" s="89">
        <v>1</v>
      </c>
      <c r="F914" s="89">
        <v>1</v>
      </c>
      <c r="G914" s="89">
        <v>1</v>
      </c>
      <c r="H914" s="89">
        <v>1</v>
      </c>
      <c r="I914" s="89">
        <v>1</v>
      </c>
      <c r="J914" s="710">
        <f>(VLOOKUP($C914,[2]Sheet1!$A$2:$P$18,$M914+1)/12)*12*D914</f>
        <v>238099.37893036497</v>
      </c>
      <c r="K914" s="711"/>
      <c r="M914" s="62">
        <f t="shared" si="64"/>
        <v>5</v>
      </c>
    </row>
    <row r="915" spans="1:13">
      <c r="A915" s="88">
        <f t="shared" si="66"/>
        <v>46</v>
      </c>
      <c r="B915" s="69" t="s">
        <v>1294</v>
      </c>
      <c r="C915" s="69">
        <v>10</v>
      </c>
      <c r="D915" s="89">
        <v>1</v>
      </c>
      <c r="E915" s="89">
        <v>1</v>
      </c>
      <c r="F915" s="89">
        <v>1</v>
      </c>
      <c r="G915" s="89">
        <v>1</v>
      </c>
      <c r="H915" s="89">
        <v>1</v>
      </c>
      <c r="I915" s="89">
        <v>1</v>
      </c>
      <c r="J915" s="710">
        <f>(VLOOKUP($C915,[2]Sheet1!$A$2:$P$18,$M915+1)/12)*12*D915</f>
        <v>483974.5687200001</v>
      </c>
      <c r="K915" s="711"/>
      <c r="M915" s="62">
        <f>IF(C915&gt;6,3,5)</f>
        <v>3</v>
      </c>
    </row>
    <row r="916" spans="1:13">
      <c r="A916" s="88"/>
      <c r="B916" s="90" t="s">
        <v>3691</v>
      </c>
      <c r="C916" s="69"/>
      <c r="D916" s="89"/>
      <c r="E916" s="89"/>
      <c r="F916" s="89"/>
      <c r="G916" s="89"/>
      <c r="H916" s="89"/>
      <c r="I916" s="89"/>
      <c r="J916" s="710"/>
      <c r="K916" s="711"/>
      <c r="M916" s="62">
        <f t="shared" si="64"/>
        <v>5</v>
      </c>
    </row>
    <row r="917" spans="1:13">
      <c r="A917" s="88">
        <v>47</v>
      </c>
      <c r="B917" s="69" t="s">
        <v>3042</v>
      </c>
      <c r="C917" s="69">
        <v>14</v>
      </c>
      <c r="D917" s="89">
        <v>1</v>
      </c>
      <c r="E917" s="89">
        <v>1</v>
      </c>
      <c r="F917" s="89">
        <v>1</v>
      </c>
      <c r="G917" s="89">
        <v>1</v>
      </c>
      <c r="H917" s="89">
        <v>1</v>
      </c>
      <c r="I917" s="89">
        <v>1</v>
      </c>
      <c r="J917" s="710">
        <f>(VLOOKUP($C917,[2]Sheet1!$A$2:$P$18,$M917+1)/12)*12*D917</f>
        <v>669099.40824000002</v>
      </c>
      <c r="K917" s="711"/>
      <c r="M917" s="62">
        <f t="shared" si="64"/>
        <v>3</v>
      </c>
    </row>
    <row r="918" spans="1:13">
      <c r="A918" s="88">
        <f t="shared" si="66"/>
        <v>48</v>
      </c>
      <c r="B918" s="69" t="s">
        <v>3043</v>
      </c>
      <c r="C918" s="69">
        <v>13</v>
      </c>
      <c r="D918" s="89">
        <v>1</v>
      </c>
      <c r="E918" s="89">
        <v>1</v>
      </c>
      <c r="F918" s="89">
        <v>1</v>
      </c>
      <c r="G918" s="89">
        <v>1</v>
      </c>
      <c r="H918" s="89">
        <v>1</v>
      </c>
      <c r="I918" s="89">
        <v>1</v>
      </c>
      <c r="J918" s="710">
        <f>(VLOOKUP($C918,[2]Sheet1!$A$2:$P$18,$M918+1)/12)*12*D918</f>
        <v>628759.53804000001</v>
      </c>
      <c r="K918" s="711"/>
      <c r="M918" s="62">
        <f t="shared" si="64"/>
        <v>3</v>
      </c>
    </row>
    <row r="919" spans="1:13">
      <c r="A919" s="88">
        <f t="shared" si="66"/>
        <v>49</v>
      </c>
      <c r="B919" s="69" t="s">
        <v>3044</v>
      </c>
      <c r="C919" s="69">
        <v>8</v>
      </c>
      <c r="D919" s="89">
        <v>1</v>
      </c>
      <c r="E919" s="89">
        <v>1</v>
      </c>
      <c r="F919" s="89">
        <v>1</v>
      </c>
      <c r="G919" s="89">
        <v>1</v>
      </c>
      <c r="H919" s="89">
        <v>1</v>
      </c>
      <c r="I919" s="89">
        <v>1</v>
      </c>
      <c r="J919" s="710">
        <f>(VLOOKUP($C919,[2]Sheet1!$A$2:$P$18,$M919+1)/12)*12*D919</f>
        <v>342141.27408</v>
      </c>
      <c r="K919" s="711"/>
      <c r="M919" s="62">
        <f t="shared" si="64"/>
        <v>3</v>
      </c>
    </row>
    <row r="920" spans="1:13">
      <c r="A920" s="88">
        <f>+A919+1</f>
        <v>50</v>
      </c>
      <c r="B920" s="69" t="s">
        <v>3862</v>
      </c>
      <c r="C920" s="69">
        <v>4</v>
      </c>
      <c r="D920" s="89">
        <v>1</v>
      </c>
      <c r="E920" s="89">
        <v>1</v>
      </c>
      <c r="F920" s="89">
        <v>1</v>
      </c>
      <c r="G920" s="89">
        <v>1</v>
      </c>
      <c r="H920" s="89">
        <v>1</v>
      </c>
      <c r="I920" s="89">
        <v>1</v>
      </c>
      <c r="J920" s="710">
        <f>(VLOOKUP($C920,[2]Sheet1!$A$2:$P$18,$M920+1)/12)*12*D920</f>
        <v>224542.978930365</v>
      </c>
      <c r="K920" s="711"/>
      <c r="M920" s="62">
        <f t="shared" si="64"/>
        <v>5</v>
      </c>
    </row>
    <row r="921" spans="1:13">
      <c r="A921" s="88">
        <f>+A920+1</f>
        <v>51</v>
      </c>
      <c r="B921" s="69" t="s">
        <v>3045</v>
      </c>
      <c r="C921" s="69">
        <v>3</v>
      </c>
      <c r="D921" s="89">
        <v>0</v>
      </c>
      <c r="E921" s="89">
        <v>0</v>
      </c>
      <c r="F921" s="89">
        <v>0</v>
      </c>
      <c r="G921" s="89">
        <v>0</v>
      </c>
      <c r="H921" s="89">
        <v>0</v>
      </c>
      <c r="I921" s="89">
        <v>0</v>
      </c>
      <c r="J921" s="710">
        <f>(VLOOKUP($C921,[2]Sheet1!$A$2:$P$18,$M921+1)/12)*12*D921</f>
        <v>0</v>
      </c>
      <c r="K921" s="711"/>
      <c r="M921" s="62">
        <f t="shared" ref="M921:M945" si="67">IF(C921&gt;6,3,5)</f>
        <v>5</v>
      </c>
    </row>
    <row r="922" spans="1:13">
      <c r="A922" s="88"/>
      <c r="B922" s="90" t="s">
        <v>1487</v>
      </c>
      <c r="C922" s="69"/>
      <c r="D922" s="89"/>
      <c r="E922" s="89"/>
      <c r="F922" s="89"/>
      <c r="G922" s="89"/>
      <c r="H922" s="89"/>
      <c r="I922" s="89"/>
      <c r="J922" s="710"/>
      <c r="K922" s="711"/>
      <c r="M922" s="62">
        <f t="shared" si="67"/>
        <v>5</v>
      </c>
    </row>
    <row r="923" spans="1:13">
      <c r="A923" s="88">
        <v>56</v>
      </c>
      <c r="B923" s="69" t="s">
        <v>2932</v>
      </c>
      <c r="C923" s="69">
        <v>6</v>
      </c>
      <c r="D923" s="89">
        <v>1</v>
      </c>
      <c r="E923" s="89">
        <v>1</v>
      </c>
      <c r="F923" s="89">
        <v>1</v>
      </c>
      <c r="G923" s="89">
        <v>1</v>
      </c>
      <c r="H923" s="89">
        <v>1</v>
      </c>
      <c r="I923" s="89">
        <v>1</v>
      </c>
      <c r="J923" s="710">
        <f>(VLOOKUP($C923,[2]Sheet1!$A$2:$P$18,$M923+1)/12)*12*D923</f>
        <v>238099.37893036497</v>
      </c>
      <c r="K923" s="711"/>
      <c r="M923" s="62">
        <f t="shared" si="67"/>
        <v>5</v>
      </c>
    </row>
    <row r="924" spans="1:13">
      <c r="A924" s="88">
        <f t="shared" si="65"/>
        <v>57</v>
      </c>
      <c r="B924" s="69" t="s">
        <v>1854</v>
      </c>
      <c r="C924" s="69">
        <v>5</v>
      </c>
      <c r="D924" s="89">
        <v>1</v>
      </c>
      <c r="E924" s="89">
        <v>0</v>
      </c>
      <c r="F924" s="89">
        <v>0</v>
      </c>
      <c r="G924" s="89">
        <v>0</v>
      </c>
      <c r="H924" s="89">
        <v>0</v>
      </c>
      <c r="I924" s="89">
        <v>1</v>
      </c>
      <c r="J924" s="710">
        <f>(VLOOKUP($C924,[2]Sheet1!$A$2:$P$18,$M924+1)/12)*12*D924</f>
        <v>229569.77893036499</v>
      </c>
      <c r="K924" s="711"/>
      <c r="M924" s="62">
        <f t="shared" si="67"/>
        <v>5</v>
      </c>
    </row>
    <row r="925" spans="1:13">
      <c r="A925" s="88">
        <f t="shared" si="65"/>
        <v>58</v>
      </c>
      <c r="B925" s="69" t="s">
        <v>3620</v>
      </c>
      <c r="C925" s="69">
        <v>3</v>
      </c>
      <c r="D925" s="89">
        <v>1</v>
      </c>
      <c r="E925" s="89">
        <v>2</v>
      </c>
      <c r="F925" s="89">
        <v>2</v>
      </c>
      <c r="G925" s="89">
        <v>2</v>
      </c>
      <c r="H925" s="89">
        <v>2</v>
      </c>
      <c r="I925" s="89">
        <v>1</v>
      </c>
      <c r="J925" s="710">
        <f>(VLOOKUP($C925,[2]Sheet1!$A$2:$P$18,$M925+1)/12)*12*D925</f>
        <v>219336.17893036499</v>
      </c>
      <c r="K925" s="711"/>
      <c r="M925" s="62">
        <f t="shared" si="67"/>
        <v>5</v>
      </c>
    </row>
    <row r="926" spans="1:13">
      <c r="A926" s="88">
        <f t="shared" si="65"/>
        <v>59</v>
      </c>
      <c r="B926" s="69" t="s">
        <v>2784</v>
      </c>
      <c r="C926" s="69">
        <v>7</v>
      </c>
      <c r="D926" s="89">
        <v>1</v>
      </c>
      <c r="E926" s="89">
        <v>1</v>
      </c>
      <c r="F926" s="89">
        <v>1</v>
      </c>
      <c r="G926" s="89">
        <v>1</v>
      </c>
      <c r="H926" s="89">
        <v>1</v>
      </c>
      <c r="I926" s="89">
        <v>1</v>
      </c>
      <c r="J926" s="710">
        <f>(VLOOKUP($C926,[2]Sheet1!$A$2:$P$18,$M926+1)/12)*12*D926</f>
        <v>307706.70240000007</v>
      </c>
      <c r="K926" s="711"/>
      <c r="M926" s="62">
        <f t="shared" si="67"/>
        <v>3</v>
      </c>
    </row>
    <row r="927" spans="1:13">
      <c r="A927" s="88">
        <f t="shared" si="65"/>
        <v>60</v>
      </c>
      <c r="B927" s="69" t="s">
        <v>2785</v>
      </c>
      <c r="C927" s="69">
        <v>6</v>
      </c>
      <c r="D927" s="89">
        <v>1</v>
      </c>
      <c r="E927" s="89">
        <v>1</v>
      </c>
      <c r="F927" s="89">
        <v>1</v>
      </c>
      <c r="G927" s="89">
        <v>1</v>
      </c>
      <c r="H927" s="89">
        <v>1</v>
      </c>
      <c r="I927" s="89">
        <v>1</v>
      </c>
      <c r="J927" s="710">
        <f>(VLOOKUP($C927,[2]Sheet1!$A$2:$P$18,$M927+1)/12)*12*D927</f>
        <v>238099.37893036497</v>
      </c>
      <c r="K927" s="711"/>
      <c r="M927" s="62">
        <f t="shared" si="67"/>
        <v>5</v>
      </c>
    </row>
    <row r="928" spans="1:13">
      <c r="A928" s="88">
        <f t="shared" si="65"/>
        <v>61</v>
      </c>
      <c r="B928" s="69" t="s">
        <v>2416</v>
      </c>
      <c r="C928" s="69">
        <v>4</v>
      </c>
      <c r="D928" s="89">
        <v>2</v>
      </c>
      <c r="E928" s="89">
        <v>1</v>
      </c>
      <c r="F928" s="89">
        <v>1</v>
      </c>
      <c r="G928" s="89">
        <v>1</v>
      </c>
      <c r="H928" s="89">
        <v>1</v>
      </c>
      <c r="I928" s="89">
        <v>2</v>
      </c>
      <c r="J928" s="710">
        <f>(VLOOKUP($C928,[2]Sheet1!$A$2:$P$18,$M928+1)/12)*12*D928</f>
        <v>449085.95786073001</v>
      </c>
      <c r="K928" s="711"/>
      <c r="M928" s="62">
        <f t="shared" si="67"/>
        <v>5</v>
      </c>
    </row>
    <row r="929" spans="1:13">
      <c r="A929" s="88">
        <f t="shared" si="65"/>
        <v>62</v>
      </c>
      <c r="B929" s="127"/>
      <c r="C929" s="69"/>
      <c r="D929" s="89"/>
      <c r="E929" s="89"/>
      <c r="F929" s="89"/>
      <c r="G929" s="89"/>
      <c r="H929" s="89"/>
      <c r="I929" s="89"/>
      <c r="J929" s="713"/>
      <c r="K929" s="711"/>
      <c r="M929" s="62">
        <f t="shared" si="67"/>
        <v>5</v>
      </c>
    </row>
    <row r="930" spans="1:13">
      <c r="A930" s="92"/>
      <c r="B930" s="93" t="s">
        <v>1684</v>
      </c>
      <c r="C930" s="94"/>
      <c r="D930" s="123">
        <f t="shared" ref="D930:J930" si="68">SUM(D866:D929)</f>
        <v>112</v>
      </c>
      <c r="E930" s="123">
        <f t="shared" si="68"/>
        <v>101</v>
      </c>
      <c r="F930" s="123">
        <f t="shared" si="68"/>
        <v>101</v>
      </c>
      <c r="G930" s="123">
        <f>SUM(G866:G929)</f>
        <v>101</v>
      </c>
      <c r="H930" s="123">
        <f t="shared" si="68"/>
        <v>101</v>
      </c>
      <c r="I930" s="123">
        <f t="shared" si="68"/>
        <v>112</v>
      </c>
      <c r="J930" s="123">
        <f t="shared" si="68"/>
        <v>33563905.354580291</v>
      </c>
      <c r="K930" s="378"/>
      <c r="M930" s="62">
        <f t="shared" si="67"/>
        <v>5</v>
      </c>
    </row>
    <row r="931" spans="1:13">
      <c r="A931" s="88" t="s">
        <v>1840</v>
      </c>
      <c r="B931" s="69"/>
      <c r="C931" s="69"/>
      <c r="D931" s="89"/>
      <c r="E931" s="89"/>
      <c r="F931" s="89"/>
      <c r="G931" s="89"/>
      <c r="H931" s="89"/>
      <c r="I931" s="89"/>
      <c r="J931" s="89"/>
      <c r="K931" s="114"/>
      <c r="M931" s="62">
        <f t="shared" si="67"/>
        <v>5</v>
      </c>
    </row>
    <row r="932" spans="1:13">
      <c r="A932" s="88" t="s">
        <v>1840</v>
      </c>
      <c r="B932" s="97" t="s">
        <v>1199</v>
      </c>
      <c r="C932" s="69"/>
      <c r="D932" s="89"/>
      <c r="E932" s="89"/>
      <c r="F932" s="125"/>
      <c r="G932" s="240" t="s">
        <v>243</v>
      </c>
      <c r="H932" s="240" t="s">
        <v>4130</v>
      </c>
      <c r="I932" s="240" t="s">
        <v>4202</v>
      </c>
      <c r="J932" s="241" t="s">
        <v>4200</v>
      </c>
      <c r="K932" s="375"/>
      <c r="M932" s="62">
        <f t="shared" si="67"/>
        <v>5</v>
      </c>
    </row>
    <row r="933" spans="1:13">
      <c r="A933" s="88">
        <v>1</v>
      </c>
      <c r="B933" s="69" t="s">
        <v>2786</v>
      </c>
      <c r="C933" s="69"/>
      <c r="D933" s="89"/>
      <c r="E933" s="89"/>
      <c r="F933" s="100"/>
      <c r="G933" s="100">
        <f>J930*0.2</f>
        <v>6712781.0709160585</v>
      </c>
      <c r="H933" s="100">
        <f t="shared" ref="H933:I935" si="69">G933*1.02</f>
        <v>6847036.69233438</v>
      </c>
      <c r="I933" s="100">
        <f t="shared" si="69"/>
        <v>6983977.4261810677</v>
      </c>
      <c r="J933" s="100">
        <f>SUM(G933:I933)</f>
        <v>20543795.189431507</v>
      </c>
      <c r="K933" s="114"/>
      <c r="M933" s="62">
        <f t="shared" si="67"/>
        <v>5</v>
      </c>
    </row>
    <row r="934" spans="1:13">
      <c r="A934" s="88">
        <f>+A933+1</f>
        <v>2</v>
      </c>
      <c r="B934" s="69" t="s">
        <v>2877</v>
      </c>
      <c r="C934" s="69"/>
      <c r="D934" s="89"/>
      <c r="E934" s="89"/>
      <c r="F934" s="100"/>
      <c r="G934" s="100">
        <v>2148327.9791999999</v>
      </c>
      <c r="H934" s="100">
        <f t="shared" si="69"/>
        <v>2191294.5387840001</v>
      </c>
      <c r="I934" s="100">
        <f t="shared" si="69"/>
        <v>2235120.4295596802</v>
      </c>
      <c r="J934" s="100">
        <f>SUM(G934:I934)</f>
        <v>6574742.9475436807</v>
      </c>
      <c r="K934" s="114"/>
      <c r="M934" s="62">
        <f t="shared" si="67"/>
        <v>5</v>
      </c>
    </row>
    <row r="935" spans="1:13">
      <c r="A935" s="88">
        <f>+A934+1</f>
        <v>3</v>
      </c>
      <c r="B935" s="69" t="s">
        <v>1342</v>
      </c>
      <c r="C935" s="69"/>
      <c r="D935" s="89"/>
      <c r="E935" s="89"/>
      <c r="F935" s="100"/>
      <c r="G935" s="100">
        <v>1074163.9896</v>
      </c>
      <c r="H935" s="100">
        <f t="shared" si="69"/>
        <v>1095647.269392</v>
      </c>
      <c r="I935" s="100">
        <f t="shared" si="69"/>
        <v>1117560.2147798401</v>
      </c>
      <c r="J935" s="100">
        <f>SUM(G935:I935)</f>
        <v>3287371.4737718403</v>
      </c>
      <c r="K935" s="114"/>
      <c r="M935" s="62">
        <f t="shared" si="67"/>
        <v>5</v>
      </c>
    </row>
    <row r="936" spans="1:13">
      <c r="A936" s="88"/>
      <c r="B936" s="69"/>
      <c r="C936" s="69"/>
      <c r="D936" s="89"/>
      <c r="E936" s="89"/>
      <c r="F936" s="89"/>
      <c r="G936" s="111"/>
      <c r="H936" s="111"/>
      <c r="I936" s="111"/>
      <c r="J936" s="111"/>
      <c r="K936" s="114"/>
      <c r="M936" s="62">
        <f t="shared" si="67"/>
        <v>5</v>
      </c>
    </row>
    <row r="937" spans="1:13">
      <c r="A937" s="92" t="s">
        <v>1840</v>
      </c>
      <c r="B937" s="93" t="s">
        <v>1684</v>
      </c>
      <c r="C937" s="94"/>
      <c r="D937" s="101"/>
      <c r="E937" s="101"/>
      <c r="F937" s="123"/>
      <c r="G937" s="123">
        <f>SUM(G933:G936)</f>
        <v>9935273.0397160575</v>
      </c>
      <c r="H937" s="123">
        <f>SUM(H933:H936)</f>
        <v>10133978.500510382</v>
      </c>
      <c r="I937" s="123">
        <f>SUM(I933:I936)</f>
        <v>10336658.070520589</v>
      </c>
      <c r="J937" s="123">
        <f>SUM(J933:J936)</f>
        <v>30405909.610747028</v>
      </c>
      <c r="K937" s="378"/>
      <c r="M937" s="62">
        <f t="shared" si="67"/>
        <v>5</v>
      </c>
    </row>
    <row r="938" spans="1:13">
      <c r="A938" s="88"/>
      <c r="B938" s="97"/>
      <c r="C938" s="69"/>
      <c r="D938" s="89"/>
      <c r="E938" s="89"/>
      <c r="F938" s="126"/>
      <c r="G938" s="126"/>
      <c r="H938" s="126"/>
      <c r="I938" s="126"/>
      <c r="J938" s="126"/>
      <c r="K938" s="132"/>
      <c r="M938" s="62">
        <f t="shared" si="67"/>
        <v>5</v>
      </c>
    </row>
    <row r="939" spans="1:13">
      <c r="A939" s="88" t="s">
        <v>1840</v>
      </c>
      <c r="B939" s="69" t="s">
        <v>1119</v>
      </c>
      <c r="C939" s="69"/>
      <c r="D939" s="89"/>
      <c r="E939" s="89"/>
      <c r="F939" s="89"/>
      <c r="G939" s="100">
        <f>G937+J930</f>
        <v>43499178.394296348</v>
      </c>
      <c r="H939" s="100">
        <f>G939*1.02</f>
        <v>44369161.962182276</v>
      </c>
      <c r="I939" s="100">
        <f>H939*1.02</f>
        <v>45256545.201425925</v>
      </c>
      <c r="J939" s="100">
        <f>SUM(G939:I939)</f>
        <v>133124885.55790456</v>
      </c>
      <c r="K939" s="114"/>
      <c r="M939" s="62">
        <f t="shared" si="67"/>
        <v>5</v>
      </c>
    </row>
    <row r="940" spans="1:13">
      <c r="A940" s="88" t="s">
        <v>1840</v>
      </c>
      <c r="B940" s="69" t="s">
        <v>3944</v>
      </c>
      <c r="C940" s="69"/>
      <c r="D940" s="89"/>
      <c r="E940" s="89"/>
      <c r="F940" s="89"/>
      <c r="G940" s="89">
        <f>C977</f>
        <v>128650000</v>
      </c>
      <c r="H940" s="89">
        <f ca="1">D977</f>
        <v>45650000</v>
      </c>
      <c r="I940" s="89">
        <f>E977</f>
        <v>160520000</v>
      </c>
      <c r="J940" s="100">
        <f ca="1">SUM(G940:I940)</f>
        <v>217650000</v>
      </c>
      <c r="K940" s="114"/>
      <c r="M940" s="62">
        <f t="shared" si="67"/>
        <v>5</v>
      </c>
    </row>
    <row r="941" spans="1:13">
      <c r="A941" s="92" t="s">
        <v>1840</v>
      </c>
      <c r="B941" s="93" t="s">
        <v>2843</v>
      </c>
      <c r="C941" s="94"/>
      <c r="D941" s="101"/>
      <c r="E941" s="101"/>
      <c r="F941" s="123"/>
      <c r="G941" s="123">
        <f>SUM(G939:G940)</f>
        <v>172149178.39429635</v>
      </c>
      <c r="H941" s="123">
        <f ca="1">SUM(H939:H940)</f>
        <v>115934397.2772</v>
      </c>
      <c r="I941" s="123">
        <f>SUM(I939:I940)</f>
        <v>205776545.20142591</v>
      </c>
      <c r="J941" s="123">
        <f ca="1">SUM(J939:J940)</f>
        <v>306651250.35350001</v>
      </c>
      <c r="K941" s="378"/>
      <c r="M941" s="62">
        <f t="shared" si="67"/>
        <v>5</v>
      </c>
    </row>
    <row r="942" spans="1:13" ht="15">
      <c r="C942" s="77"/>
      <c r="D942" s="78" t="s">
        <v>5434</v>
      </c>
      <c r="J942" s="584"/>
      <c r="K942" s="584"/>
      <c r="M942" s="62">
        <f t="shared" si="67"/>
        <v>5</v>
      </c>
    </row>
    <row r="943" spans="1:13" ht="15">
      <c r="C943" s="77"/>
      <c r="D943" s="78" t="s">
        <v>716</v>
      </c>
      <c r="J943" s="606"/>
      <c r="K943" s="606"/>
      <c r="M943" s="62">
        <f t="shared" si="67"/>
        <v>5</v>
      </c>
    </row>
    <row r="944" spans="1:13" ht="15">
      <c r="C944" s="79" t="s">
        <v>717</v>
      </c>
      <c r="D944" s="78" t="s">
        <v>3824</v>
      </c>
      <c r="J944" s="584"/>
      <c r="K944" s="584"/>
      <c r="M944" s="62">
        <f t="shared" si="67"/>
        <v>3</v>
      </c>
    </row>
    <row r="945" spans="1:13" ht="15">
      <c r="C945" s="79" t="s">
        <v>718</v>
      </c>
      <c r="D945" s="78" t="s">
        <v>3825</v>
      </c>
      <c r="J945" s="584"/>
      <c r="K945" s="584"/>
      <c r="M945" s="62">
        <f t="shared" si="67"/>
        <v>3</v>
      </c>
    </row>
    <row r="946" spans="1:13" ht="15">
      <c r="A946" s="634" t="s">
        <v>1839</v>
      </c>
      <c r="B946" s="635" t="s">
        <v>903</v>
      </c>
      <c r="C946" s="1037" t="s">
        <v>4127</v>
      </c>
      <c r="D946" s="1038"/>
      <c r="E946" s="1039"/>
      <c r="F946" s="635" t="s">
        <v>1684</v>
      </c>
      <c r="G946" s="1037" t="s">
        <v>4132</v>
      </c>
      <c r="H946" s="1038"/>
      <c r="I946" s="1039"/>
      <c r="J946" s="726"/>
      <c r="K946" s="727"/>
    </row>
    <row r="947" spans="1:13">
      <c r="A947" s="636" t="s">
        <v>1620</v>
      </c>
      <c r="B947" s="637"/>
      <c r="C947" s="635" t="s">
        <v>1841</v>
      </c>
      <c r="D947" s="635" t="s">
        <v>4133</v>
      </c>
      <c r="E947" s="635" t="s">
        <v>4133</v>
      </c>
      <c r="F947" s="1056" t="s">
        <v>4200</v>
      </c>
      <c r="G947" s="634" t="s">
        <v>4135</v>
      </c>
      <c r="H947" s="1051" t="s">
        <v>4182</v>
      </c>
      <c r="I947" s="634" t="s">
        <v>4135</v>
      </c>
      <c r="J947" s="728" t="s">
        <v>4136</v>
      </c>
      <c r="K947" s="727"/>
    </row>
    <row r="948" spans="1:13" ht="12.75" customHeight="1">
      <c r="A948" s="638" t="s">
        <v>387</v>
      </c>
      <c r="B948" s="639"/>
      <c r="C948" s="638">
        <v>2015</v>
      </c>
      <c r="D948" s="638">
        <v>2016</v>
      </c>
      <c r="E948" s="638">
        <v>2017</v>
      </c>
      <c r="F948" s="1057"/>
      <c r="G948" s="638" t="s">
        <v>4304</v>
      </c>
      <c r="H948" s="1052"/>
      <c r="I948" s="638" t="s">
        <v>4303</v>
      </c>
      <c r="J948" s="639"/>
      <c r="K948" s="729"/>
    </row>
    <row r="949" spans="1:13">
      <c r="A949" s="759">
        <v>2</v>
      </c>
      <c r="B949" s="745" t="s">
        <v>1695</v>
      </c>
      <c r="C949" s="390">
        <v>3000000</v>
      </c>
      <c r="D949" s="390">
        <v>4000000</v>
      </c>
      <c r="E949" s="390">
        <v>4000000</v>
      </c>
      <c r="F949" s="390">
        <f>SUM(C949:E949)</f>
        <v>11000000</v>
      </c>
      <c r="G949" s="390">
        <v>1635000</v>
      </c>
      <c r="H949" s="390">
        <v>3000000</v>
      </c>
      <c r="I949" s="390">
        <v>1231500</v>
      </c>
      <c r="J949" s="390"/>
      <c r="K949" s="734"/>
      <c r="M949" s="62" t="e">
        <f>IF(#REF!&gt;6,3,5)</f>
        <v>#REF!</v>
      </c>
    </row>
    <row r="950" spans="1:13">
      <c r="A950" s="759">
        <f t="shared" ref="A950:A972" si="70">+A949+1</f>
        <v>3</v>
      </c>
      <c r="B950" s="745" t="s">
        <v>1696</v>
      </c>
      <c r="C950" s="390">
        <v>500000</v>
      </c>
      <c r="D950" s="390">
        <v>1000000</v>
      </c>
      <c r="E950" s="390">
        <v>1000000</v>
      </c>
      <c r="F950" s="390">
        <f t="shared" ref="F950:F976" si="71">SUM(C950:E950)</f>
        <v>2500000</v>
      </c>
      <c r="G950" s="390">
        <v>883000</v>
      </c>
      <c r="H950" s="390">
        <v>1000000</v>
      </c>
      <c r="I950" s="390">
        <v>573950</v>
      </c>
      <c r="J950" s="390"/>
      <c r="K950" s="734"/>
      <c r="M950" s="62" t="e">
        <f>IF(#REF!&gt;6,3,5)</f>
        <v>#REF!</v>
      </c>
    </row>
    <row r="951" spans="1:13">
      <c r="A951" s="759">
        <f t="shared" si="70"/>
        <v>4</v>
      </c>
      <c r="B951" s="745" t="s">
        <v>1701</v>
      </c>
      <c r="C951" s="390" t="s">
        <v>1386</v>
      </c>
      <c r="D951" s="390" t="s">
        <v>1386</v>
      </c>
      <c r="E951" s="390" t="s">
        <v>1386</v>
      </c>
      <c r="F951" s="390">
        <f t="shared" si="71"/>
        <v>0</v>
      </c>
      <c r="G951" s="390">
        <v>0</v>
      </c>
      <c r="H951" s="390" t="s">
        <v>1386</v>
      </c>
      <c r="I951" s="390">
        <v>0</v>
      </c>
      <c r="J951" s="390"/>
      <c r="K951" s="734"/>
      <c r="M951" s="62" t="e">
        <f>IF(#REF!&gt;6,3,5)</f>
        <v>#REF!</v>
      </c>
    </row>
    <row r="952" spans="1:13">
      <c r="A952" s="759">
        <f t="shared" si="70"/>
        <v>5</v>
      </c>
      <c r="B952" s="745" t="s">
        <v>1702</v>
      </c>
      <c r="C952" s="761">
        <v>1500000</v>
      </c>
      <c r="D952" s="761">
        <v>1500000</v>
      </c>
      <c r="E952" s="761">
        <v>1500000</v>
      </c>
      <c r="F952" s="390">
        <f t="shared" si="71"/>
        <v>4500000</v>
      </c>
      <c r="G952" s="761">
        <v>71950</v>
      </c>
      <c r="H952" s="761">
        <v>800000</v>
      </c>
      <c r="I952" s="761">
        <v>127900</v>
      </c>
      <c r="J952" s="390"/>
      <c r="K952" s="734"/>
      <c r="M952" s="62" t="e">
        <f>IF(#REF!&gt;6,3,5)</f>
        <v>#REF!</v>
      </c>
    </row>
    <row r="953" spans="1:13">
      <c r="A953" s="759">
        <f t="shared" si="70"/>
        <v>6</v>
      </c>
      <c r="B953" s="745" t="s">
        <v>3826</v>
      </c>
      <c r="C953" s="761">
        <v>1000000</v>
      </c>
      <c r="D953" s="761">
        <v>2000000</v>
      </c>
      <c r="E953" s="761">
        <v>2000000</v>
      </c>
      <c r="F953" s="390">
        <f t="shared" si="71"/>
        <v>5000000</v>
      </c>
      <c r="G953" s="761">
        <v>1001550</v>
      </c>
      <c r="H953" s="761">
        <v>2000000</v>
      </c>
      <c r="I953" s="761">
        <v>1398200</v>
      </c>
      <c r="J953" s="390"/>
      <c r="K953" s="734"/>
      <c r="M953" s="62" t="e">
        <f>IF(#REF!&gt;6,3,5)</f>
        <v>#REF!</v>
      </c>
    </row>
    <row r="954" spans="1:13">
      <c r="A954" s="759">
        <f t="shared" si="70"/>
        <v>7</v>
      </c>
      <c r="B954" s="745" t="s">
        <v>3680</v>
      </c>
      <c r="C954" s="761">
        <v>2000000</v>
      </c>
      <c r="D954" s="761">
        <v>2000000</v>
      </c>
      <c r="E954" s="761">
        <v>2000000</v>
      </c>
      <c r="F954" s="390">
        <f t="shared" si="71"/>
        <v>6000000</v>
      </c>
      <c r="G954" s="761">
        <v>567000</v>
      </c>
      <c r="H954" s="761">
        <v>2000000</v>
      </c>
      <c r="I954" s="761">
        <v>168000</v>
      </c>
      <c r="J954" s="390"/>
      <c r="K954" s="734"/>
      <c r="M954" s="62" t="e">
        <f>IF(#REF!&gt;6,3,5)</f>
        <v>#REF!</v>
      </c>
    </row>
    <row r="955" spans="1:13">
      <c r="A955" s="759">
        <f t="shared" si="70"/>
        <v>8</v>
      </c>
      <c r="B955" s="745" t="s">
        <v>1385</v>
      </c>
      <c r="C955" s="731" t="s">
        <v>1386</v>
      </c>
      <c r="D955" s="731" t="s">
        <v>1386</v>
      </c>
      <c r="E955" s="731" t="s">
        <v>1386</v>
      </c>
      <c r="F955" s="390">
        <f t="shared" si="71"/>
        <v>0</v>
      </c>
      <c r="G955" s="731"/>
      <c r="H955" s="731" t="s">
        <v>1386</v>
      </c>
      <c r="I955" s="731"/>
      <c r="J955" s="390"/>
      <c r="K955" s="734"/>
      <c r="M955" s="62" t="e">
        <f>IF(#REF!&gt;6,3,5)</f>
        <v>#REF!</v>
      </c>
    </row>
    <row r="956" spans="1:13">
      <c r="A956" s="759">
        <f t="shared" si="70"/>
        <v>9</v>
      </c>
      <c r="B956" s="745" t="s">
        <v>2061</v>
      </c>
      <c r="C956" s="731" t="s">
        <v>1386</v>
      </c>
      <c r="D956" s="731" t="s">
        <v>1386</v>
      </c>
      <c r="E956" s="731" t="s">
        <v>1386</v>
      </c>
      <c r="F956" s="390">
        <f t="shared" si="71"/>
        <v>0</v>
      </c>
      <c r="G956" s="731"/>
      <c r="H956" s="731" t="s">
        <v>1386</v>
      </c>
      <c r="I956" s="731"/>
      <c r="J956" s="390"/>
      <c r="K956" s="734"/>
      <c r="M956" s="62" t="e">
        <f>IF(#REF!&gt;6,3,5)</f>
        <v>#REF!</v>
      </c>
    </row>
    <row r="957" spans="1:13">
      <c r="A957" s="759">
        <f t="shared" si="70"/>
        <v>10</v>
      </c>
      <c r="B957" s="745" t="s">
        <v>2685</v>
      </c>
      <c r="C957" s="761">
        <v>1200000</v>
      </c>
      <c r="D957" s="761">
        <v>1500000</v>
      </c>
      <c r="E957" s="761">
        <v>1500000</v>
      </c>
      <c r="F957" s="390">
        <f t="shared" si="71"/>
        <v>4200000</v>
      </c>
      <c r="G957" s="761">
        <v>25000</v>
      </c>
      <c r="H957" s="761">
        <v>500000</v>
      </c>
      <c r="I957" s="761">
        <v>0</v>
      </c>
      <c r="J957" s="390"/>
      <c r="K957" s="734"/>
      <c r="M957" s="62" t="e">
        <f>IF(#REF!&gt;6,3,5)</f>
        <v>#REF!</v>
      </c>
    </row>
    <row r="958" spans="1:13">
      <c r="A958" s="759">
        <f t="shared" si="70"/>
        <v>11</v>
      </c>
      <c r="B958" s="745" t="s">
        <v>2687</v>
      </c>
      <c r="C958" s="761">
        <v>100000</v>
      </c>
      <c r="D958" s="761">
        <v>100000</v>
      </c>
      <c r="E958" s="761">
        <v>100000</v>
      </c>
      <c r="F958" s="390">
        <f t="shared" si="71"/>
        <v>300000</v>
      </c>
      <c r="G958" s="761"/>
      <c r="H958" s="761">
        <v>100000</v>
      </c>
      <c r="I958" s="761">
        <v>53500</v>
      </c>
      <c r="J958" s="390"/>
      <c r="K958" s="734"/>
      <c r="M958" s="62" t="e">
        <f>IF(#REF!&gt;6,3,5)</f>
        <v>#REF!</v>
      </c>
    </row>
    <row r="959" spans="1:13">
      <c r="A959" s="759">
        <f t="shared" si="70"/>
        <v>12</v>
      </c>
      <c r="B959" s="745" t="s">
        <v>2688</v>
      </c>
      <c r="C959" s="761">
        <v>4000000</v>
      </c>
      <c r="D959" s="761">
        <v>4000000</v>
      </c>
      <c r="E959" s="761">
        <v>4000000</v>
      </c>
      <c r="F959" s="390">
        <f t="shared" si="71"/>
        <v>12000000</v>
      </c>
      <c r="G959" s="762">
        <v>1565572.5</v>
      </c>
      <c r="H959" s="761">
        <v>4000000</v>
      </c>
      <c r="I959" s="761">
        <v>1221185</v>
      </c>
      <c r="J959" s="743"/>
      <c r="K959" s="744"/>
      <c r="M959" s="62" t="e">
        <f>IF(#REF!&gt;6,3,5)</f>
        <v>#REF!</v>
      </c>
    </row>
    <row r="960" spans="1:13">
      <c r="A960" s="759">
        <f t="shared" si="70"/>
        <v>13</v>
      </c>
      <c r="B960" s="745" t="s">
        <v>2249</v>
      </c>
      <c r="C960" s="761">
        <v>100000</v>
      </c>
      <c r="D960" s="761">
        <v>100000</v>
      </c>
      <c r="E960" s="761">
        <v>100000</v>
      </c>
      <c r="F960" s="390">
        <f t="shared" si="71"/>
        <v>300000</v>
      </c>
      <c r="G960" s="761"/>
      <c r="H960" s="761">
        <v>100000</v>
      </c>
      <c r="I960" s="761">
        <v>0</v>
      </c>
      <c r="J960" s="390"/>
      <c r="K960" s="734"/>
      <c r="M960" s="62" t="e">
        <f>IF(#REF!&gt;6,3,5)</f>
        <v>#REF!</v>
      </c>
    </row>
    <row r="961" spans="1:13">
      <c r="A961" s="759">
        <f t="shared" si="70"/>
        <v>14</v>
      </c>
      <c r="B961" s="745" t="s">
        <v>3018</v>
      </c>
      <c r="C961" s="761">
        <v>450000</v>
      </c>
      <c r="D961" s="761">
        <v>150000</v>
      </c>
      <c r="E961" s="761">
        <v>150000</v>
      </c>
      <c r="F961" s="390">
        <f t="shared" si="71"/>
        <v>750000</v>
      </c>
      <c r="G961" s="761"/>
      <c r="H961" s="761">
        <v>150000</v>
      </c>
      <c r="I961" s="761">
        <v>0</v>
      </c>
      <c r="J961" s="390"/>
      <c r="K961" s="734"/>
      <c r="M961" s="62" t="e">
        <f>IF(#REF!&gt;6,3,5)</f>
        <v>#REF!</v>
      </c>
    </row>
    <row r="962" spans="1:13">
      <c r="A962" s="759">
        <f t="shared" si="70"/>
        <v>15</v>
      </c>
      <c r="B962" s="745" t="s">
        <v>2848</v>
      </c>
      <c r="C962" s="761">
        <v>15000000</v>
      </c>
      <c r="D962" s="761">
        <v>7000000</v>
      </c>
      <c r="E962" s="761">
        <v>7000000</v>
      </c>
      <c r="F962" s="390">
        <f t="shared" si="71"/>
        <v>29000000</v>
      </c>
      <c r="G962" s="761">
        <v>5950000</v>
      </c>
      <c r="H962" s="761">
        <v>10000000</v>
      </c>
      <c r="I962" s="76">
        <f>5000000</f>
        <v>5000000</v>
      </c>
      <c r="J962" s="761">
        <v>5100000</v>
      </c>
      <c r="K962" s="763"/>
      <c r="M962" s="62" t="e">
        <f>IF(#REF!&gt;6,3,5)</f>
        <v>#REF!</v>
      </c>
    </row>
    <row r="963" spans="1:13">
      <c r="A963" s="759">
        <f t="shared" si="70"/>
        <v>16</v>
      </c>
      <c r="B963" s="745" t="s">
        <v>2708</v>
      </c>
      <c r="C963" s="761">
        <v>5000000</v>
      </c>
      <c r="D963" s="761">
        <v>2000000</v>
      </c>
      <c r="E963" s="761">
        <v>2000000</v>
      </c>
      <c r="F963" s="390">
        <f t="shared" si="71"/>
        <v>9000000</v>
      </c>
      <c r="G963" s="761">
        <v>555000</v>
      </c>
      <c r="H963" s="761">
        <v>25000000</v>
      </c>
      <c r="I963" s="761">
        <v>930000</v>
      </c>
      <c r="J963" s="390"/>
      <c r="K963" s="734"/>
      <c r="M963" s="62" t="e">
        <f>IF(#REF!&gt;6,3,5)</f>
        <v>#REF!</v>
      </c>
    </row>
    <row r="964" spans="1:13">
      <c r="A964" s="759">
        <f t="shared" si="70"/>
        <v>17</v>
      </c>
      <c r="B964" s="745" t="s">
        <v>2849</v>
      </c>
      <c r="C964" s="761">
        <v>1500000</v>
      </c>
      <c r="D964" s="761">
        <v>1500000</v>
      </c>
      <c r="E964" s="761">
        <v>1500000</v>
      </c>
      <c r="F964" s="390">
        <f t="shared" si="71"/>
        <v>4500000</v>
      </c>
      <c r="G964" s="761">
        <v>210000</v>
      </c>
      <c r="H964" s="761">
        <v>1000000</v>
      </c>
      <c r="I964" s="761">
        <v>2000000</v>
      </c>
      <c r="J964" s="390"/>
      <c r="K964" s="734"/>
      <c r="M964" s="62" t="e">
        <f>IF(#REF!&gt;6,3,5)</f>
        <v>#REF!</v>
      </c>
    </row>
    <row r="965" spans="1:13">
      <c r="A965" s="759">
        <f t="shared" si="70"/>
        <v>18</v>
      </c>
      <c r="B965" s="745" t="s">
        <v>2850</v>
      </c>
      <c r="C965" s="761">
        <v>9000000</v>
      </c>
      <c r="D965" s="761">
        <v>9000000</v>
      </c>
      <c r="E965" s="761">
        <v>9000000</v>
      </c>
      <c r="F965" s="390">
        <f t="shared" si="71"/>
        <v>27000000</v>
      </c>
      <c r="G965" s="761"/>
      <c r="H965" s="761">
        <v>3000000</v>
      </c>
      <c r="I965" s="761">
        <v>500000</v>
      </c>
      <c r="J965" s="390"/>
      <c r="K965" s="734"/>
      <c r="M965" s="62" t="e">
        <f>IF(#REF!&gt;6,3,5)</f>
        <v>#REF!</v>
      </c>
    </row>
    <row r="966" spans="1:13">
      <c r="A966" s="759">
        <f t="shared" si="70"/>
        <v>19</v>
      </c>
      <c r="B966" s="745" t="s">
        <v>2851</v>
      </c>
      <c r="C966" s="731">
        <v>300000</v>
      </c>
      <c r="D966" s="761">
        <v>500000</v>
      </c>
      <c r="E966" s="761">
        <v>500000</v>
      </c>
      <c r="F966" s="390">
        <f t="shared" si="71"/>
        <v>1300000</v>
      </c>
      <c r="G966" s="761"/>
      <c r="H966" s="731" t="s">
        <v>1386</v>
      </c>
      <c r="I966" s="761"/>
      <c r="J966" s="390"/>
      <c r="K966" s="734"/>
      <c r="M966" s="62" t="e">
        <f>IF(#REF!&gt;6,3,5)</f>
        <v>#REF!</v>
      </c>
    </row>
    <row r="967" spans="1:13">
      <c r="A967" s="759">
        <f t="shared" si="70"/>
        <v>20</v>
      </c>
      <c r="B967" s="745" t="s">
        <v>2870</v>
      </c>
      <c r="C967" s="761">
        <v>2000000</v>
      </c>
      <c r="D967" s="761">
        <v>1000000</v>
      </c>
      <c r="E967" s="761">
        <v>1000000</v>
      </c>
      <c r="F967" s="390">
        <f t="shared" si="71"/>
        <v>4000000</v>
      </c>
      <c r="G967" s="761"/>
      <c r="H967" s="761">
        <v>1000000</v>
      </c>
      <c r="I967" s="761"/>
      <c r="J967" s="390"/>
      <c r="K967" s="734"/>
      <c r="M967" s="62" t="e">
        <f>IF(#REF!&gt;6,3,5)</f>
        <v>#REF!</v>
      </c>
    </row>
    <row r="968" spans="1:13">
      <c r="A968" s="759">
        <f t="shared" si="70"/>
        <v>21</v>
      </c>
      <c r="B968" s="745" t="s">
        <v>1628</v>
      </c>
      <c r="C968" s="761">
        <v>1000000</v>
      </c>
      <c r="D968" s="761">
        <v>1000000</v>
      </c>
      <c r="E968" s="761">
        <v>1000000</v>
      </c>
      <c r="F968" s="390">
        <f t="shared" si="71"/>
        <v>3000000</v>
      </c>
      <c r="G968" s="761"/>
      <c r="H968" s="761">
        <v>1000000</v>
      </c>
      <c r="I968" s="761"/>
      <c r="J968" s="390"/>
      <c r="K968" s="734"/>
      <c r="M968" s="62" t="e">
        <f>IF(#REF!&gt;6,3,5)</f>
        <v>#REF!</v>
      </c>
    </row>
    <row r="969" spans="1:13" ht="25.5">
      <c r="A969" s="759">
        <f t="shared" si="70"/>
        <v>22</v>
      </c>
      <c r="B969" s="745" t="s">
        <v>1817</v>
      </c>
      <c r="C969" s="761">
        <v>5000000</v>
      </c>
      <c r="D969" s="761">
        <v>13000000</v>
      </c>
      <c r="E969" s="761">
        <v>13000000</v>
      </c>
      <c r="F969" s="390">
        <f t="shared" si="71"/>
        <v>31000000</v>
      </c>
      <c r="G969" s="761">
        <v>2516000</v>
      </c>
      <c r="H969" s="761">
        <v>5000000</v>
      </c>
      <c r="I969" s="761">
        <v>2000000</v>
      </c>
      <c r="J969" s="390"/>
      <c r="K969" s="734"/>
    </row>
    <row r="970" spans="1:13">
      <c r="A970" s="759">
        <f t="shared" si="70"/>
        <v>23</v>
      </c>
      <c r="B970" s="733" t="s">
        <v>4021</v>
      </c>
      <c r="C970" s="761">
        <v>15000000</v>
      </c>
      <c r="D970" s="761">
        <f ca="1">F970*1.04</f>
        <v>20800000</v>
      </c>
      <c r="E970" s="761">
        <f>G970*1.04</f>
        <v>520000</v>
      </c>
      <c r="F970" s="390">
        <f t="shared" ca="1" si="71"/>
        <v>8000000</v>
      </c>
      <c r="G970" s="761">
        <v>500000</v>
      </c>
      <c r="H970" s="761">
        <v>10000000</v>
      </c>
      <c r="I970" s="761">
        <v>0</v>
      </c>
      <c r="J970" s="390"/>
      <c r="K970" s="734"/>
      <c r="M970" s="62" t="e">
        <f>IF(#REF!&gt;6,3,5)</f>
        <v>#REF!</v>
      </c>
    </row>
    <row r="971" spans="1:13">
      <c r="A971" s="759">
        <f t="shared" si="70"/>
        <v>24</v>
      </c>
      <c r="B971" s="745" t="s">
        <v>1306</v>
      </c>
      <c r="C971" s="761">
        <v>1000000</v>
      </c>
      <c r="D971" s="761">
        <v>8650000</v>
      </c>
      <c r="E971" s="761">
        <v>8650000</v>
      </c>
      <c r="F971" s="390">
        <f t="shared" si="71"/>
        <v>18300000</v>
      </c>
      <c r="G971" s="761"/>
      <c r="H971" s="731" t="s">
        <v>1386</v>
      </c>
      <c r="I971" s="761"/>
      <c r="J971" s="390"/>
      <c r="K971" s="734"/>
      <c r="M971" s="62" t="e">
        <f>IF(#REF!&gt;6,3,5)</f>
        <v>#REF!</v>
      </c>
    </row>
    <row r="972" spans="1:13">
      <c r="A972" s="759">
        <f t="shared" si="70"/>
        <v>25</v>
      </c>
      <c r="B972" s="745" t="s">
        <v>3700</v>
      </c>
      <c r="C972" s="731">
        <v>5000000</v>
      </c>
      <c r="D972" s="761">
        <f ca="1">F972*1.04</f>
        <v>5200000</v>
      </c>
      <c r="E972" s="761">
        <f>G972*1.04</f>
        <v>0</v>
      </c>
      <c r="F972" s="390">
        <f t="shared" ca="1" si="71"/>
        <v>8000000</v>
      </c>
      <c r="G972" s="761"/>
      <c r="H972" s="731">
        <v>2800000</v>
      </c>
      <c r="I972" s="761"/>
      <c r="J972" s="390"/>
      <c r="K972" s="734"/>
      <c r="M972" s="62" t="e">
        <f>IF(#REF!&gt;6,3,5)</f>
        <v>#REF!</v>
      </c>
    </row>
    <row r="973" spans="1:13">
      <c r="A973" s="759">
        <v>26</v>
      </c>
      <c r="B973" s="745" t="s">
        <v>4189</v>
      </c>
      <c r="C973" s="731">
        <v>10000000</v>
      </c>
      <c r="D973" s="731">
        <v>100000000</v>
      </c>
      <c r="E973" s="731">
        <v>100000000</v>
      </c>
      <c r="F973" s="390">
        <f t="shared" si="71"/>
        <v>210000000</v>
      </c>
      <c r="G973" s="761"/>
      <c r="H973" s="731">
        <v>100000000</v>
      </c>
      <c r="I973" s="761"/>
      <c r="J973" s="390"/>
      <c r="K973" s="734"/>
    </row>
    <row r="974" spans="1:13" ht="25.5">
      <c r="A974" s="759">
        <v>27</v>
      </c>
      <c r="B974" s="745" t="s">
        <v>4190</v>
      </c>
      <c r="C974" s="731">
        <v>40000000</v>
      </c>
      <c r="D974" s="731" t="s">
        <v>1386</v>
      </c>
      <c r="E974" s="731" t="s">
        <v>1386</v>
      </c>
      <c r="F974" s="390">
        <f t="shared" si="71"/>
        <v>40000000</v>
      </c>
      <c r="G974" s="761"/>
      <c r="H974" s="731">
        <v>2100000000</v>
      </c>
      <c r="I974" s="761"/>
      <c r="J974" s="390"/>
      <c r="K974" s="734"/>
    </row>
    <row r="975" spans="1:13">
      <c r="A975" s="759">
        <v>28</v>
      </c>
      <c r="B975" s="745" t="s">
        <v>4191</v>
      </c>
      <c r="C975" s="731">
        <v>5000000</v>
      </c>
      <c r="D975" s="731" t="s">
        <v>1386</v>
      </c>
      <c r="E975" s="731" t="s">
        <v>1386</v>
      </c>
      <c r="F975" s="390">
        <f t="shared" si="71"/>
        <v>5000000</v>
      </c>
      <c r="G975" s="761"/>
      <c r="H975" s="731">
        <v>7000000</v>
      </c>
      <c r="I975" s="761"/>
      <c r="J975" s="390"/>
      <c r="K975" s="734"/>
    </row>
    <row r="976" spans="1:13" ht="25.5">
      <c r="A976" s="759">
        <v>29</v>
      </c>
      <c r="B976" s="745" t="s">
        <v>4193</v>
      </c>
      <c r="C976" s="731" t="s">
        <v>1386</v>
      </c>
      <c r="D976" s="731" t="s">
        <v>1386</v>
      </c>
      <c r="E976" s="731" t="s">
        <v>1386</v>
      </c>
      <c r="F976" s="390">
        <f t="shared" si="71"/>
        <v>0</v>
      </c>
      <c r="G976" s="761"/>
      <c r="H976" s="731">
        <v>5000000</v>
      </c>
      <c r="I976" s="761"/>
      <c r="J976" s="390"/>
      <c r="K976" s="734"/>
    </row>
    <row r="977" spans="1:13">
      <c r="A977" s="738"/>
      <c r="B977" s="738" t="s">
        <v>1684</v>
      </c>
      <c r="C977" s="739">
        <f>SUM(C949:C976)</f>
        <v>128650000</v>
      </c>
      <c r="D977" s="739">
        <f t="shared" ref="D977:J977" ca="1" si="72">SUM(D949:D976)</f>
        <v>128650000</v>
      </c>
      <c r="E977" s="739">
        <f t="shared" si="72"/>
        <v>160520000</v>
      </c>
      <c r="F977" s="739">
        <f t="shared" ca="1" si="72"/>
        <v>128650000</v>
      </c>
      <c r="G977" s="739">
        <f t="shared" si="72"/>
        <v>15480072.5</v>
      </c>
      <c r="H977" s="739">
        <f t="shared" si="72"/>
        <v>2284450000</v>
      </c>
      <c r="I977" s="739">
        <f t="shared" si="72"/>
        <v>15204235</v>
      </c>
      <c r="J977" s="739">
        <f t="shared" si="72"/>
        <v>5100000</v>
      </c>
      <c r="K977" s="740"/>
      <c r="M977" s="62" t="e">
        <f>IF(#REF!&gt;6,3,5)</f>
        <v>#REF!</v>
      </c>
    </row>
    <row r="978" spans="1:13" ht="15">
      <c r="B978" s="112"/>
      <c r="C978" s="77"/>
      <c r="D978" s="78" t="s">
        <v>5434</v>
      </c>
      <c r="J978" s="584"/>
      <c r="K978" s="584"/>
      <c r="M978" s="62">
        <f t="shared" ref="M978:M1040" si="73">IF(C978&gt;6,3,5)</f>
        <v>5</v>
      </c>
    </row>
    <row r="979" spans="1:13" ht="15">
      <c r="C979" s="77"/>
      <c r="D979" s="78" t="s">
        <v>716</v>
      </c>
      <c r="J979" s="584"/>
      <c r="K979" s="584"/>
      <c r="M979" s="62">
        <f t="shared" si="73"/>
        <v>5</v>
      </c>
    </row>
    <row r="980" spans="1:13" ht="15">
      <c r="C980" s="79" t="s">
        <v>717</v>
      </c>
      <c r="D980" s="78" t="s">
        <v>1015</v>
      </c>
      <c r="H980" s="76">
        <v>72450000</v>
      </c>
      <c r="J980" s="584"/>
      <c r="K980" s="584"/>
      <c r="M980" s="62">
        <f t="shared" si="73"/>
        <v>3</v>
      </c>
    </row>
    <row r="981" spans="1:13" ht="15">
      <c r="C981" s="79" t="s">
        <v>718</v>
      </c>
      <c r="D981" s="78" t="s">
        <v>4022</v>
      </c>
      <c r="H981" s="76">
        <f>H977-H980</f>
        <v>2212000000</v>
      </c>
      <c r="J981" s="584"/>
      <c r="K981" s="584"/>
      <c r="M981" s="62">
        <f t="shared" si="73"/>
        <v>3</v>
      </c>
    </row>
    <row r="982" spans="1:13" ht="15">
      <c r="A982" s="634" t="s">
        <v>1839</v>
      </c>
      <c r="B982" s="635" t="s">
        <v>903</v>
      </c>
      <c r="C982" s="1037" t="s">
        <v>4127</v>
      </c>
      <c r="D982" s="1038"/>
      <c r="E982" s="1039"/>
      <c r="F982" s="635" t="s">
        <v>1684</v>
      </c>
      <c r="G982" s="1037" t="s">
        <v>4132</v>
      </c>
      <c r="H982" s="1038"/>
      <c r="I982" s="1039"/>
      <c r="J982" s="726"/>
      <c r="K982" s="727"/>
    </row>
    <row r="983" spans="1:13">
      <c r="A983" s="636" t="s">
        <v>1620</v>
      </c>
      <c r="B983" s="637"/>
      <c r="C983" s="635" t="s">
        <v>1841</v>
      </c>
      <c r="D983" s="635" t="s">
        <v>4133</v>
      </c>
      <c r="E983" s="635" t="s">
        <v>4133</v>
      </c>
      <c r="F983" s="1056" t="s">
        <v>4200</v>
      </c>
      <c r="G983" s="634" t="s">
        <v>4135</v>
      </c>
      <c r="H983" s="1051" t="s">
        <v>4182</v>
      </c>
      <c r="I983" s="634" t="s">
        <v>4135</v>
      </c>
      <c r="J983" s="728" t="s">
        <v>4136</v>
      </c>
      <c r="K983" s="727"/>
    </row>
    <row r="984" spans="1:13" ht="12.75" customHeight="1">
      <c r="A984" s="638" t="s">
        <v>387</v>
      </c>
      <c r="B984" s="639"/>
      <c r="C984" s="638">
        <v>2015</v>
      </c>
      <c r="D984" s="638">
        <v>2016</v>
      </c>
      <c r="E984" s="638">
        <v>2017</v>
      </c>
      <c r="F984" s="1057"/>
      <c r="G984" s="638" t="s">
        <v>4304</v>
      </c>
      <c r="H984" s="1052"/>
      <c r="I984" s="638" t="s">
        <v>4303</v>
      </c>
      <c r="J984" s="639"/>
      <c r="K984" s="729"/>
    </row>
    <row r="985" spans="1:13">
      <c r="A985" s="730"/>
      <c r="B985" s="730"/>
      <c r="C985" s="764"/>
      <c r="D985" s="764"/>
      <c r="E985" s="764"/>
      <c r="F985" s="764"/>
      <c r="G985" s="764"/>
      <c r="H985" s="764"/>
      <c r="I985" s="764"/>
      <c r="J985" s="764"/>
      <c r="K985" s="765"/>
      <c r="M985" s="62" t="e">
        <f>IF(#REF!&gt;6,3,5)</f>
        <v>#REF!</v>
      </c>
    </row>
    <row r="986" spans="1:13">
      <c r="A986" s="759">
        <v>2</v>
      </c>
      <c r="B986" s="745" t="s">
        <v>1695</v>
      </c>
      <c r="C986" s="390" t="s">
        <v>3007</v>
      </c>
      <c r="D986" s="390" t="s">
        <v>3007</v>
      </c>
      <c r="E986" s="390" t="s">
        <v>3007</v>
      </c>
      <c r="F986" s="390">
        <f>SUM(E986)</f>
        <v>0</v>
      </c>
      <c r="G986" s="390"/>
      <c r="H986" s="390" t="s">
        <v>3007</v>
      </c>
      <c r="I986" s="390"/>
      <c r="J986" s="751">
        <f>SUM(F986:H986)</f>
        <v>0</v>
      </c>
      <c r="K986" s="754"/>
      <c r="M986" s="62" t="e">
        <f>IF(#REF!&gt;6,3,5)</f>
        <v>#REF!</v>
      </c>
    </row>
    <row r="987" spans="1:13">
      <c r="A987" s="759">
        <f t="shared" ref="A987:A998" si="74">+A986+1</f>
        <v>3</v>
      </c>
      <c r="B987" s="745" t="s">
        <v>1696</v>
      </c>
      <c r="C987" s="390" t="s">
        <v>3007</v>
      </c>
      <c r="D987" s="390" t="s">
        <v>3007</v>
      </c>
      <c r="E987" s="390" t="s">
        <v>3007</v>
      </c>
      <c r="F987" s="390">
        <f t="shared" ref="F987:F998" si="75">SUM(E987)</f>
        <v>0</v>
      </c>
      <c r="G987" s="390"/>
      <c r="H987" s="390" t="s">
        <v>3007</v>
      </c>
      <c r="I987" s="390"/>
      <c r="J987" s="751">
        <f t="shared" ref="J987:J998" si="76">SUM(F987:H987)</f>
        <v>0</v>
      </c>
      <c r="K987" s="754"/>
      <c r="M987" s="62" t="e">
        <f>IF(#REF!&gt;6,3,5)</f>
        <v>#REF!</v>
      </c>
    </row>
    <row r="988" spans="1:13">
      <c r="A988" s="759">
        <f t="shared" si="74"/>
        <v>4</v>
      </c>
      <c r="B988" s="745" t="s">
        <v>1701</v>
      </c>
      <c r="C988" s="390" t="s">
        <v>3007</v>
      </c>
      <c r="D988" s="390" t="s">
        <v>3007</v>
      </c>
      <c r="E988" s="390" t="s">
        <v>3007</v>
      </c>
      <c r="F988" s="390">
        <f t="shared" si="75"/>
        <v>0</v>
      </c>
      <c r="G988" s="390"/>
      <c r="H988" s="390" t="s">
        <v>3007</v>
      </c>
      <c r="I988" s="390"/>
      <c r="J988" s="751">
        <f t="shared" si="76"/>
        <v>0</v>
      </c>
      <c r="K988" s="754"/>
      <c r="M988" s="62" t="e">
        <f>IF(#REF!&gt;6,3,5)</f>
        <v>#REF!</v>
      </c>
    </row>
    <row r="989" spans="1:13">
      <c r="A989" s="759">
        <f t="shared" si="74"/>
        <v>5</v>
      </c>
      <c r="B989" s="745" t="s">
        <v>1702</v>
      </c>
      <c r="C989" s="390" t="s">
        <v>3007</v>
      </c>
      <c r="D989" s="390" t="s">
        <v>3007</v>
      </c>
      <c r="E989" s="390" t="s">
        <v>3007</v>
      </c>
      <c r="F989" s="390">
        <f t="shared" si="75"/>
        <v>0</v>
      </c>
      <c r="G989" s="390"/>
      <c r="H989" s="390" t="s">
        <v>3007</v>
      </c>
      <c r="I989" s="390"/>
      <c r="J989" s="751">
        <f t="shared" si="76"/>
        <v>0</v>
      </c>
      <c r="K989" s="754"/>
      <c r="M989" s="62" t="e">
        <f>IF(#REF!&gt;6,3,5)</f>
        <v>#REF!</v>
      </c>
    </row>
    <row r="990" spans="1:13">
      <c r="A990" s="759">
        <f t="shared" si="74"/>
        <v>6</v>
      </c>
      <c r="B990" s="745" t="s">
        <v>3826</v>
      </c>
      <c r="C990" s="390" t="s">
        <v>3007</v>
      </c>
      <c r="D990" s="390" t="s">
        <v>3007</v>
      </c>
      <c r="E990" s="390" t="s">
        <v>3007</v>
      </c>
      <c r="F990" s="390">
        <f t="shared" si="75"/>
        <v>0</v>
      </c>
      <c r="G990" s="390"/>
      <c r="H990" s="390" t="s">
        <v>3007</v>
      </c>
      <c r="I990" s="390"/>
      <c r="J990" s="751">
        <f t="shared" si="76"/>
        <v>0</v>
      </c>
      <c r="K990" s="754"/>
      <c r="M990" s="62" t="e">
        <f>IF(#REF!&gt;6,3,5)</f>
        <v>#REF!</v>
      </c>
    </row>
    <row r="991" spans="1:13">
      <c r="A991" s="759">
        <f t="shared" si="74"/>
        <v>7</v>
      </c>
      <c r="B991" s="745" t="s">
        <v>3680</v>
      </c>
      <c r="C991" s="390" t="s">
        <v>3007</v>
      </c>
      <c r="D991" s="390" t="s">
        <v>3007</v>
      </c>
      <c r="E991" s="390" t="s">
        <v>3007</v>
      </c>
      <c r="F991" s="390">
        <f t="shared" si="75"/>
        <v>0</v>
      </c>
      <c r="G991" s="390"/>
      <c r="H991" s="390" t="s">
        <v>3007</v>
      </c>
      <c r="I991" s="390"/>
      <c r="J991" s="751">
        <f t="shared" si="76"/>
        <v>0</v>
      </c>
      <c r="K991" s="754"/>
      <c r="M991" s="62" t="e">
        <f>IF(#REF!&gt;6,3,5)</f>
        <v>#REF!</v>
      </c>
    </row>
    <row r="992" spans="1:13">
      <c r="A992" s="759">
        <f t="shared" si="74"/>
        <v>8</v>
      </c>
      <c r="B992" s="745" t="s">
        <v>1385</v>
      </c>
      <c r="C992" s="390" t="s">
        <v>3007</v>
      </c>
      <c r="D992" s="390" t="s">
        <v>3007</v>
      </c>
      <c r="E992" s="390" t="s">
        <v>3007</v>
      </c>
      <c r="F992" s="390">
        <f t="shared" si="75"/>
        <v>0</v>
      </c>
      <c r="G992" s="390"/>
      <c r="H992" s="390" t="s">
        <v>3007</v>
      </c>
      <c r="I992" s="390"/>
      <c r="J992" s="751">
        <f t="shared" si="76"/>
        <v>0</v>
      </c>
      <c r="K992" s="754"/>
      <c r="M992" s="62" t="e">
        <f>IF(#REF!&gt;6,3,5)</f>
        <v>#REF!</v>
      </c>
    </row>
    <row r="993" spans="1:13">
      <c r="A993" s="759">
        <f t="shared" si="74"/>
        <v>9</v>
      </c>
      <c r="B993" s="745" t="s">
        <v>2061</v>
      </c>
      <c r="C993" s="390" t="s">
        <v>3007</v>
      </c>
      <c r="D993" s="390" t="s">
        <v>3007</v>
      </c>
      <c r="E993" s="390" t="s">
        <v>3007</v>
      </c>
      <c r="F993" s="390">
        <f t="shared" si="75"/>
        <v>0</v>
      </c>
      <c r="G993" s="390"/>
      <c r="H993" s="390" t="s">
        <v>3007</v>
      </c>
      <c r="I993" s="390"/>
      <c r="J993" s="751">
        <f t="shared" si="76"/>
        <v>0</v>
      </c>
      <c r="K993" s="754"/>
      <c r="M993" s="62" t="e">
        <f>IF(#REF!&gt;6,3,5)</f>
        <v>#REF!</v>
      </c>
    </row>
    <row r="994" spans="1:13">
      <c r="A994" s="759">
        <f t="shared" si="74"/>
        <v>10</v>
      </c>
      <c r="B994" s="745" t="s">
        <v>2685</v>
      </c>
      <c r="C994" s="390" t="s">
        <v>3007</v>
      </c>
      <c r="D994" s="390" t="s">
        <v>3007</v>
      </c>
      <c r="E994" s="390" t="s">
        <v>3007</v>
      </c>
      <c r="F994" s="390">
        <f t="shared" si="75"/>
        <v>0</v>
      </c>
      <c r="G994" s="390"/>
      <c r="H994" s="390" t="s">
        <v>3007</v>
      </c>
      <c r="I994" s="390"/>
      <c r="J994" s="751">
        <f t="shared" si="76"/>
        <v>0</v>
      </c>
      <c r="K994" s="754"/>
      <c r="M994" s="62" t="e">
        <f>IF(#REF!&gt;6,3,5)</f>
        <v>#REF!</v>
      </c>
    </row>
    <row r="995" spans="1:13">
      <c r="A995" s="759">
        <f t="shared" si="74"/>
        <v>11</v>
      </c>
      <c r="B995" s="745" t="s">
        <v>2687</v>
      </c>
      <c r="C995" s="390" t="s">
        <v>3007</v>
      </c>
      <c r="D995" s="390" t="s">
        <v>3007</v>
      </c>
      <c r="E995" s="390" t="s">
        <v>3007</v>
      </c>
      <c r="F995" s="390">
        <f t="shared" si="75"/>
        <v>0</v>
      </c>
      <c r="G995" s="390"/>
      <c r="H995" s="390" t="s">
        <v>3007</v>
      </c>
      <c r="I995" s="390"/>
      <c r="J995" s="751">
        <f t="shared" si="76"/>
        <v>0</v>
      </c>
      <c r="K995" s="754"/>
      <c r="M995" s="62" t="e">
        <f>IF(#REF!&gt;6,3,5)</f>
        <v>#REF!</v>
      </c>
    </row>
    <row r="996" spans="1:13">
      <c r="A996" s="759">
        <f t="shared" si="74"/>
        <v>12</v>
      </c>
      <c r="B996" s="745" t="s">
        <v>2688</v>
      </c>
      <c r="C996" s="390" t="s">
        <v>3007</v>
      </c>
      <c r="D996" s="390" t="s">
        <v>3007</v>
      </c>
      <c r="E996" s="390" t="s">
        <v>3007</v>
      </c>
      <c r="F996" s="390">
        <f t="shared" si="75"/>
        <v>0</v>
      </c>
      <c r="G996" s="390"/>
      <c r="H996" s="390" t="s">
        <v>3007</v>
      </c>
      <c r="I996" s="390"/>
      <c r="J996" s="751">
        <f t="shared" si="76"/>
        <v>0</v>
      </c>
      <c r="K996" s="754"/>
      <c r="M996" s="62" t="e">
        <f>IF(#REF!&gt;6,3,5)</f>
        <v>#REF!</v>
      </c>
    </row>
    <row r="997" spans="1:13">
      <c r="A997" s="759">
        <f t="shared" si="74"/>
        <v>13</v>
      </c>
      <c r="B997" s="745" t="s">
        <v>2249</v>
      </c>
      <c r="C997" s="390" t="s">
        <v>3007</v>
      </c>
      <c r="D997" s="390" t="s">
        <v>3007</v>
      </c>
      <c r="E997" s="390" t="s">
        <v>3007</v>
      </c>
      <c r="F997" s="390">
        <f t="shared" si="75"/>
        <v>0</v>
      </c>
      <c r="G997" s="390"/>
      <c r="H997" s="390" t="s">
        <v>3007</v>
      </c>
      <c r="I997" s="390"/>
      <c r="J997" s="751">
        <f t="shared" si="76"/>
        <v>0</v>
      </c>
      <c r="K997" s="754"/>
      <c r="M997" s="62" t="e">
        <f>IF(#REF!&gt;6,3,5)</f>
        <v>#REF!</v>
      </c>
    </row>
    <row r="998" spans="1:13">
      <c r="A998" s="759">
        <f t="shared" si="74"/>
        <v>14</v>
      </c>
      <c r="B998" s="745" t="s">
        <v>3018</v>
      </c>
      <c r="C998" s="390" t="s">
        <v>3007</v>
      </c>
      <c r="D998" s="390" t="s">
        <v>3007</v>
      </c>
      <c r="E998" s="390" t="s">
        <v>3007</v>
      </c>
      <c r="F998" s="390">
        <f t="shared" si="75"/>
        <v>0</v>
      </c>
      <c r="G998" s="390"/>
      <c r="H998" s="390" t="s">
        <v>3007</v>
      </c>
      <c r="I998" s="390"/>
      <c r="J998" s="751">
        <f t="shared" si="76"/>
        <v>0</v>
      </c>
      <c r="K998" s="754"/>
      <c r="M998" s="62" t="e">
        <f>IF(#REF!&gt;6,3,5)</f>
        <v>#REF!</v>
      </c>
    </row>
    <row r="999" spans="1:13">
      <c r="A999" s="759"/>
      <c r="B999" s="745"/>
      <c r="C999" s="761"/>
      <c r="D999" s="761"/>
      <c r="E999" s="761"/>
      <c r="F999" s="761"/>
      <c r="G999" s="761"/>
      <c r="H999" s="761"/>
      <c r="I999" s="761"/>
      <c r="J999" s="761"/>
      <c r="K999" s="763"/>
      <c r="M999" s="62" t="e">
        <f>IF(#REF!&gt;6,3,5)</f>
        <v>#REF!</v>
      </c>
    </row>
    <row r="1000" spans="1:13">
      <c r="A1000" s="730"/>
      <c r="B1000" s="733"/>
      <c r="C1000" s="766"/>
      <c r="D1000" s="766"/>
      <c r="E1000" s="766"/>
      <c r="F1000" s="766"/>
      <c r="G1000" s="766"/>
      <c r="H1000" s="766"/>
      <c r="I1000" s="766"/>
      <c r="J1000" s="766"/>
      <c r="K1000" s="767"/>
      <c r="M1000" s="62" t="e">
        <f>IF(#REF!&gt;6,3,5)</f>
        <v>#REF!</v>
      </c>
    </row>
    <row r="1001" spans="1:13">
      <c r="A1001" s="738"/>
      <c r="B1001" s="738" t="s">
        <v>1684</v>
      </c>
      <c r="C1001" s="739">
        <f t="shared" ref="C1001:J1001" si="77">SUM(C985:C1000)</f>
        <v>0</v>
      </c>
      <c r="D1001" s="739">
        <f t="shared" si="77"/>
        <v>0</v>
      </c>
      <c r="E1001" s="739">
        <f t="shared" si="77"/>
        <v>0</v>
      </c>
      <c r="F1001" s="739">
        <f t="shared" si="77"/>
        <v>0</v>
      </c>
      <c r="G1001" s="739">
        <f>SUM(G985:G1000)</f>
        <v>0</v>
      </c>
      <c r="H1001" s="739">
        <f t="shared" si="77"/>
        <v>0</v>
      </c>
      <c r="I1001" s="739">
        <f t="shared" si="77"/>
        <v>0</v>
      </c>
      <c r="J1001" s="739">
        <f t="shared" si="77"/>
        <v>0</v>
      </c>
      <c r="K1001" s="740"/>
      <c r="M1001" s="62" t="e">
        <f>IF(#REF!&gt;6,3,5)</f>
        <v>#REF!</v>
      </c>
    </row>
    <row r="1002" spans="1:13" ht="15">
      <c r="C1002" s="77"/>
      <c r="D1002" s="78" t="s">
        <v>5434</v>
      </c>
      <c r="J1002" s="584"/>
      <c r="K1002" s="584"/>
      <c r="M1002" s="62">
        <f t="shared" si="73"/>
        <v>5</v>
      </c>
    </row>
    <row r="1003" spans="1:13" ht="15">
      <c r="C1003" s="77"/>
      <c r="D1003" s="78" t="s">
        <v>1693</v>
      </c>
      <c r="J1003" s="584"/>
      <c r="K1003" s="584"/>
      <c r="M1003" s="62">
        <f t="shared" si="73"/>
        <v>5</v>
      </c>
    </row>
    <row r="1004" spans="1:13" ht="15">
      <c r="C1004" s="79" t="s">
        <v>717</v>
      </c>
      <c r="D1004" s="78" t="s">
        <v>1690</v>
      </c>
      <c r="J1004" s="584"/>
      <c r="K1004" s="584"/>
      <c r="M1004" s="62">
        <f t="shared" si="73"/>
        <v>3</v>
      </c>
    </row>
    <row r="1005" spans="1:13" ht="15.75" thickBot="1">
      <c r="C1005" s="79" t="s">
        <v>718</v>
      </c>
      <c r="D1005" s="78" t="s">
        <v>510</v>
      </c>
      <c r="J1005" s="584"/>
      <c r="K1005" s="584"/>
      <c r="M1005" s="62">
        <f t="shared" si="73"/>
        <v>3</v>
      </c>
    </row>
    <row r="1006" spans="1:13" ht="15.75" thickTop="1">
      <c r="A1006" s="1047" t="s">
        <v>2791</v>
      </c>
      <c r="B1006" s="1049" t="s">
        <v>4126</v>
      </c>
      <c r="C1006" s="1049" t="s">
        <v>854</v>
      </c>
      <c r="D1006" s="1040" t="s">
        <v>4127</v>
      </c>
      <c r="E1006" s="1041"/>
      <c r="F1006" s="1041"/>
      <c r="G1006" s="1040" t="s">
        <v>904</v>
      </c>
      <c r="H1006" s="1041"/>
      <c r="I1006" s="1042"/>
      <c r="J1006" s="1035" t="s">
        <v>855</v>
      </c>
      <c r="K1006" s="389"/>
    </row>
    <row r="1007" spans="1:13" ht="26.25" thickBot="1">
      <c r="A1007" s="1048"/>
      <c r="B1007" s="1050"/>
      <c r="C1007" s="1050"/>
      <c r="D1007" s="285" t="s">
        <v>5505</v>
      </c>
      <c r="E1007" s="285" t="s">
        <v>4485</v>
      </c>
      <c r="F1007" s="285" t="s">
        <v>4486</v>
      </c>
      <c r="G1007" s="287" t="s">
        <v>4487</v>
      </c>
      <c r="H1007" s="285" t="s">
        <v>4488</v>
      </c>
      <c r="I1007" s="287" t="s">
        <v>4489</v>
      </c>
      <c r="J1007" s="1036"/>
      <c r="K1007" s="712"/>
    </row>
    <row r="1008" spans="1:13" ht="13.5" thickTop="1">
      <c r="A1008" s="88" t="s">
        <v>1840</v>
      </c>
      <c r="B1008" s="97"/>
      <c r="C1008" s="69"/>
      <c r="D1008" s="89"/>
      <c r="E1008" s="89"/>
      <c r="F1008" s="69"/>
      <c r="G1008" s="89"/>
      <c r="H1008" s="89"/>
      <c r="I1008" s="89"/>
      <c r="J1008" s="713"/>
      <c r="K1008" s="711"/>
      <c r="M1008" s="62">
        <f t="shared" si="73"/>
        <v>5</v>
      </c>
    </row>
    <row r="1009" spans="1:13">
      <c r="A1009" s="88">
        <v>1</v>
      </c>
      <c r="B1009" s="69" t="s">
        <v>2129</v>
      </c>
      <c r="C1009" s="69" t="s">
        <v>2335</v>
      </c>
      <c r="D1009" s="89">
        <v>1</v>
      </c>
      <c r="E1009" s="89">
        <v>1</v>
      </c>
      <c r="F1009" s="89">
        <v>1</v>
      </c>
      <c r="G1009" s="89">
        <v>1</v>
      </c>
      <c r="H1009" s="89">
        <v>1</v>
      </c>
      <c r="I1009" s="89">
        <v>1</v>
      </c>
      <c r="J1009" s="713">
        <f>H1009*L1009</f>
        <v>3000000</v>
      </c>
      <c r="K1009" s="711"/>
      <c r="L1009" s="62">
        <v>3000000</v>
      </c>
      <c r="M1009" s="62">
        <f t="shared" si="73"/>
        <v>3</v>
      </c>
    </row>
    <row r="1010" spans="1:13">
      <c r="A1010" s="88">
        <f>+A1009+1</f>
        <v>2</v>
      </c>
      <c r="B1010" s="69" t="s">
        <v>1800</v>
      </c>
      <c r="C1010" s="69" t="s">
        <v>2335</v>
      </c>
      <c r="D1010" s="89">
        <v>5</v>
      </c>
      <c r="E1010" s="89">
        <v>5</v>
      </c>
      <c r="F1010" s="89">
        <v>5</v>
      </c>
      <c r="G1010" s="89">
        <v>5</v>
      </c>
      <c r="H1010" s="89">
        <v>5</v>
      </c>
      <c r="I1010" s="89">
        <v>5</v>
      </c>
      <c r="J1010" s="713">
        <f>H1010*L1010</f>
        <v>12500000</v>
      </c>
      <c r="K1010" s="711"/>
      <c r="L1010" s="62">
        <v>2500000</v>
      </c>
      <c r="M1010" s="62">
        <f t="shared" si="73"/>
        <v>3</v>
      </c>
    </row>
    <row r="1011" spans="1:13">
      <c r="A1011" s="88">
        <f>+A1010+1</f>
        <v>3</v>
      </c>
      <c r="B1011" s="69" t="s">
        <v>3621</v>
      </c>
      <c r="C1011" s="69" t="s">
        <v>2335</v>
      </c>
      <c r="D1011" s="89">
        <v>1</v>
      </c>
      <c r="E1011" s="89">
        <v>1</v>
      </c>
      <c r="F1011" s="89">
        <v>1</v>
      </c>
      <c r="G1011" s="89">
        <v>1</v>
      </c>
      <c r="H1011" s="89">
        <v>1</v>
      </c>
      <c r="I1011" s="89">
        <v>1</v>
      </c>
      <c r="J1011" s="713">
        <f>H1011*L1011</f>
        <v>1000000</v>
      </c>
      <c r="K1011" s="711"/>
      <c r="L1011" s="62">
        <v>1000000</v>
      </c>
      <c r="M1011" s="62">
        <f t="shared" si="73"/>
        <v>3</v>
      </c>
    </row>
    <row r="1012" spans="1:13">
      <c r="A1012" s="88">
        <f>+A1011+1</f>
        <v>4</v>
      </c>
      <c r="B1012" s="69" t="s">
        <v>1838</v>
      </c>
      <c r="C1012" s="69" t="s">
        <v>2335</v>
      </c>
      <c r="D1012" s="89">
        <v>32</v>
      </c>
      <c r="E1012" s="89">
        <v>32</v>
      </c>
      <c r="F1012" s="89">
        <v>32</v>
      </c>
      <c r="G1012" s="89">
        <v>32</v>
      </c>
      <c r="H1012" s="89">
        <v>32</v>
      </c>
      <c r="I1012" s="89">
        <v>32</v>
      </c>
      <c r="J1012" s="713">
        <f>H1012*L1012</f>
        <v>17179648</v>
      </c>
      <c r="K1012" s="711"/>
      <c r="L1012" s="62">
        <v>536864</v>
      </c>
      <c r="M1012" s="62">
        <f t="shared" si="73"/>
        <v>3</v>
      </c>
    </row>
    <row r="1013" spans="1:13">
      <c r="A1013" s="88"/>
      <c r="B1013" s="90" t="s">
        <v>1893</v>
      </c>
      <c r="C1013" s="69"/>
      <c r="D1013" s="89"/>
      <c r="E1013" s="89"/>
      <c r="F1013" s="89"/>
      <c r="G1013" s="89"/>
      <c r="H1013" s="89"/>
      <c r="I1013" s="89"/>
      <c r="J1013" s="713"/>
      <c r="K1013" s="711"/>
      <c r="M1013" s="62">
        <f t="shared" si="73"/>
        <v>5</v>
      </c>
    </row>
    <row r="1014" spans="1:13">
      <c r="A1014" s="88">
        <v>5</v>
      </c>
      <c r="B1014" s="69" t="s">
        <v>3897</v>
      </c>
      <c r="C1014" s="69">
        <v>6</v>
      </c>
      <c r="D1014" s="89">
        <v>0</v>
      </c>
      <c r="E1014" s="89">
        <v>0</v>
      </c>
      <c r="F1014" s="89">
        <v>0</v>
      </c>
      <c r="G1014" s="89">
        <v>0</v>
      </c>
      <c r="H1014" s="89">
        <v>0</v>
      </c>
      <c r="I1014" s="89">
        <v>0</v>
      </c>
      <c r="J1014" s="710">
        <f>(VLOOKUP($C1014,[2]Sheet1!$A$2:$P$18,$M1014+1)/12)*12*D1014</f>
        <v>0</v>
      </c>
      <c r="K1014" s="711"/>
      <c r="M1014" s="62">
        <f t="shared" si="73"/>
        <v>5</v>
      </c>
    </row>
    <row r="1015" spans="1:13">
      <c r="A1015" s="88">
        <f t="shared" ref="A1015:A1021" si="78">+A1014+1</f>
        <v>6</v>
      </c>
      <c r="B1015" s="69" t="s">
        <v>1068</v>
      </c>
      <c r="C1015" s="69">
        <v>6</v>
      </c>
      <c r="D1015" s="89">
        <v>0</v>
      </c>
      <c r="E1015" s="89">
        <v>0</v>
      </c>
      <c r="F1015" s="89">
        <v>0</v>
      </c>
      <c r="G1015" s="89">
        <v>0</v>
      </c>
      <c r="H1015" s="89">
        <v>0</v>
      </c>
      <c r="I1015" s="89">
        <v>0</v>
      </c>
      <c r="J1015" s="710">
        <f>(VLOOKUP($C1015,[2]Sheet1!$A$2:$P$18,$M1015+1)/12)*12*D1015</f>
        <v>0</v>
      </c>
      <c r="K1015" s="711"/>
      <c r="M1015" s="62">
        <f t="shared" si="73"/>
        <v>5</v>
      </c>
    </row>
    <row r="1016" spans="1:13">
      <c r="A1016" s="88">
        <f t="shared" si="78"/>
        <v>7</v>
      </c>
      <c r="B1016" s="69" t="s">
        <v>1313</v>
      </c>
      <c r="C1016" s="69">
        <v>5</v>
      </c>
      <c r="D1016" s="89">
        <v>0</v>
      </c>
      <c r="E1016" s="89">
        <v>0</v>
      </c>
      <c r="F1016" s="89">
        <v>0</v>
      </c>
      <c r="G1016" s="89">
        <v>0</v>
      </c>
      <c r="H1016" s="89">
        <v>0</v>
      </c>
      <c r="I1016" s="89">
        <v>0</v>
      </c>
      <c r="J1016" s="710">
        <f>(VLOOKUP($C1016,[2]Sheet1!$A$2:$P$18,$M1016+1)/12)*12*D1016</f>
        <v>0</v>
      </c>
      <c r="K1016" s="711"/>
      <c r="M1016" s="62">
        <f t="shared" si="73"/>
        <v>5</v>
      </c>
    </row>
    <row r="1017" spans="1:13">
      <c r="A1017" s="88">
        <f t="shared" si="78"/>
        <v>8</v>
      </c>
      <c r="B1017" s="69" t="s">
        <v>1069</v>
      </c>
      <c r="C1017" s="69">
        <v>3</v>
      </c>
      <c r="D1017" s="89">
        <v>0</v>
      </c>
      <c r="E1017" s="89">
        <v>0</v>
      </c>
      <c r="F1017" s="89">
        <v>0</v>
      </c>
      <c r="G1017" s="89">
        <v>0</v>
      </c>
      <c r="H1017" s="89">
        <v>0</v>
      </c>
      <c r="I1017" s="89">
        <v>0</v>
      </c>
      <c r="J1017" s="710">
        <f>(VLOOKUP($C1017,[2]Sheet1!$A$2:$P$18,$M1017+1)/12)*12*D1017</f>
        <v>0</v>
      </c>
      <c r="K1017" s="711"/>
      <c r="M1017" s="62">
        <f t="shared" si="73"/>
        <v>5</v>
      </c>
    </row>
    <row r="1018" spans="1:13">
      <c r="A1018" s="88">
        <f t="shared" si="78"/>
        <v>9</v>
      </c>
      <c r="B1018" s="69" t="s">
        <v>2597</v>
      </c>
      <c r="C1018" s="69">
        <v>3</v>
      </c>
      <c r="D1018" s="89">
        <v>0</v>
      </c>
      <c r="E1018" s="89">
        <v>0</v>
      </c>
      <c r="F1018" s="89">
        <v>0</v>
      </c>
      <c r="G1018" s="89">
        <v>0</v>
      </c>
      <c r="H1018" s="89">
        <v>0</v>
      </c>
      <c r="I1018" s="89">
        <v>0</v>
      </c>
      <c r="J1018" s="710">
        <f>(VLOOKUP($C1018,[2]Sheet1!$A$2:$P$18,$M1018+1)/12)*12*D1018</f>
        <v>0</v>
      </c>
      <c r="K1018" s="711"/>
      <c r="M1018" s="62">
        <f t="shared" si="73"/>
        <v>5</v>
      </c>
    </row>
    <row r="1019" spans="1:13">
      <c r="A1019" s="88">
        <f t="shared" si="78"/>
        <v>10</v>
      </c>
      <c r="B1019" s="69" t="s">
        <v>2439</v>
      </c>
      <c r="C1019" s="69">
        <v>2</v>
      </c>
      <c r="D1019" s="89">
        <v>0</v>
      </c>
      <c r="E1019" s="89">
        <v>0</v>
      </c>
      <c r="F1019" s="89">
        <v>0</v>
      </c>
      <c r="G1019" s="89">
        <v>0</v>
      </c>
      <c r="H1019" s="89">
        <v>0</v>
      </c>
      <c r="I1019" s="89">
        <v>0</v>
      </c>
      <c r="J1019" s="710">
        <f>(VLOOKUP($C1019,[2]Sheet1!$A$2:$P$18,$M1019+1)/12)*12*D1019</f>
        <v>0</v>
      </c>
      <c r="K1019" s="711"/>
      <c r="M1019" s="62">
        <f t="shared" si="73"/>
        <v>5</v>
      </c>
    </row>
    <row r="1020" spans="1:13">
      <c r="A1020" s="88">
        <f t="shared" si="78"/>
        <v>11</v>
      </c>
      <c r="B1020" s="69" t="s">
        <v>3861</v>
      </c>
      <c r="C1020" s="69">
        <v>2</v>
      </c>
      <c r="D1020" s="89">
        <v>0</v>
      </c>
      <c r="E1020" s="89">
        <v>0</v>
      </c>
      <c r="F1020" s="89">
        <v>0</v>
      </c>
      <c r="G1020" s="89">
        <v>0</v>
      </c>
      <c r="H1020" s="89">
        <v>0</v>
      </c>
      <c r="I1020" s="89">
        <v>0</v>
      </c>
      <c r="J1020" s="710">
        <f>(VLOOKUP($C1020,[2]Sheet1!$A$2:$P$18,$M1020+1)/12)*12*D1020</f>
        <v>0</v>
      </c>
      <c r="K1020" s="711"/>
      <c r="M1020" s="62">
        <f t="shared" si="73"/>
        <v>5</v>
      </c>
    </row>
    <row r="1021" spans="1:13">
      <c r="A1021" s="88">
        <f t="shared" si="78"/>
        <v>12</v>
      </c>
      <c r="B1021" s="69" t="s">
        <v>3858</v>
      </c>
      <c r="C1021" s="69">
        <v>1</v>
      </c>
      <c r="D1021" s="89">
        <v>0</v>
      </c>
      <c r="E1021" s="89">
        <v>0</v>
      </c>
      <c r="F1021" s="89">
        <v>0</v>
      </c>
      <c r="G1021" s="89">
        <v>0</v>
      </c>
      <c r="H1021" s="89">
        <v>0</v>
      </c>
      <c r="I1021" s="89">
        <v>0</v>
      </c>
      <c r="J1021" s="710">
        <f>(VLOOKUP($C1021,[2]Sheet1!$A$2:$P$18,$M1021+1)/12)*12*D1021</f>
        <v>0</v>
      </c>
      <c r="K1021" s="711"/>
      <c r="M1021" s="62">
        <f t="shared" si="73"/>
        <v>5</v>
      </c>
    </row>
    <row r="1022" spans="1:13">
      <c r="A1022" s="88"/>
      <c r="B1022" s="90" t="s">
        <v>2330</v>
      </c>
      <c r="C1022" s="69"/>
      <c r="D1022" s="89"/>
      <c r="E1022" s="89"/>
      <c r="F1022" s="89"/>
      <c r="G1022" s="89"/>
      <c r="H1022" s="89"/>
      <c r="I1022" s="89"/>
      <c r="J1022" s="710"/>
      <c r="K1022" s="711"/>
      <c r="M1022" s="62">
        <f t="shared" si="73"/>
        <v>5</v>
      </c>
    </row>
    <row r="1023" spans="1:13">
      <c r="A1023" s="88">
        <f>+A1021+1</f>
        <v>13</v>
      </c>
      <c r="B1023" s="69" t="s">
        <v>3532</v>
      </c>
      <c r="C1023" s="69">
        <v>16</v>
      </c>
      <c r="D1023" s="89">
        <v>0</v>
      </c>
      <c r="E1023" s="89">
        <v>0</v>
      </c>
      <c r="F1023" s="89">
        <v>0</v>
      </c>
      <c r="G1023" s="89">
        <v>0</v>
      </c>
      <c r="H1023" s="89">
        <v>0</v>
      </c>
      <c r="I1023" s="89">
        <v>0</v>
      </c>
      <c r="J1023" s="710">
        <f>(VLOOKUP($C1023,[2]Sheet1!$A$2:$P$18,$M1023+1)/12)*12*D1023</f>
        <v>0</v>
      </c>
      <c r="K1023" s="711"/>
      <c r="M1023" s="62">
        <f t="shared" si="73"/>
        <v>3</v>
      </c>
    </row>
    <row r="1024" spans="1:13">
      <c r="A1024" s="88">
        <f t="shared" ref="A1024:A1031" si="79">+A1023+1</f>
        <v>14</v>
      </c>
      <c r="B1024" s="69" t="s">
        <v>1256</v>
      </c>
      <c r="C1024" s="69">
        <v>15</v>
      </c>
      <c r="D1024" s="89">
        <v>0</v>
      </c>
      <c r="E1024" s="89">
        <v>0</v>
      </c>
      <c r="F1024" s="89">
        <v>0</v>
      </c>
      <c r="G1024" s="89">
        <v>0</v>
      </c>
      <c r="H1024" s="89">
        <v>0</v>
      </c>
      <c r="I1024" s="89">
        <v>0</v>
      </c>
      <c r="J1024" s="710">
        <f>(VLOOKUP($C1024,[2]Sheet1!$A$2:$P$18,$M1024+1)/12)*12*D1024</f>
        <v>0</v>
      </c>
      <c r="K1024" s="711"/>
      <c r="M1024" s="62">
        <f t="shared" si="73"/>
        <v>3</v>
      </c>
    </row>
    <row r="1025" spans="1:13">
      <c r="A1025" s="88">
        <f t="shared" si="79"/>
        <v>15</v>
      </c>
      <c r="B1025" s="69" t="s">
        <v>3533</v>
      </c>
      <c r="C1025" s="69">
        <v>14</v>
      </c>
      <c r="D1025" s="89">
        <v>0</v>
      </c>
      <c r="E1025" s="89">
        <v>0</v>
      </c>
      <c r="F1025" s="89">
        <v>0</v>
      </c>
      <c r="G1025" s="89">
        <v>0</v>
      </c>
      <c r="H1025" s="89">
        <v>0</v>
      </c>
      <c r="I1025" s="89">
        <v>0</v>
      </c>
      <c r="J1025" s="710">
        <f>(VLOOKUP($C1025,[2]Sheet1!$A$2:$P$18,$M1025+1)/12)*12*D1025</f>
        <v>0</v>
      </c>
      <c r="K1025" s="711"/>
      <c r="M1025" s="62">
        <f t="shared" si="73"/>
        <v>3</v>
      </c>
    </row>
    <row r="1026" spans="1:13">
      <c r="A1026" s="88">
        <f t="shared" si="79"/>
        <v>16</v>
      </c>
      <c r="B1026" s="69" t="s">
        <v>2331</v>
      </c>
      <c r="C1026" s="69">
        <v>9</v>
      </c>
      <c r="D1026" s="89">
        <v>0</v>
      </c>
      <c r="E1026" s="89">
        <v>0</v>
      </c>
      <c r="F1026" s="89">
        <v>0</v>
      </c>
      <c r="G1026" s="89">
        <v>0</v>
      </c>
      <c r="H1026" s="89">
        <v>0</v>
      </c>
      <c r="I1026" s="89">
        <v>0</v>
      </c>
      <c r="J1026" s="710">
        <f>(VLOOKUP($C1026,[2]Sheet1!$A$2:$P$18,$M1026+1)/12)*12*D1026</f>
        <v>0</v>
      </c>
      <c r="K1026" s="711"/>
      <c r="M1026" s="62">
        <f t="shared" si="73"/>
        <v>3</v>
      </c>
    </row>
    <row r="1027" spans="1:13">
      <c r="A1027" s="88">
        <f>+A1026+1</f>
        <v>17</v>
      </c>
      <c r="B1027" s="69" t="s">
        <v>328</v>
      </c>
      <c r="C1027" s="69">
        <v>8</v>
      </c>
      <c r="D1027" s="89">
        <v>0</v>
      </c>
      <c r="E1027" s="89">
        <v>2</v>
      </c>
      <c r="F1027" s="89">
        <v>0</v>
      </c>
      <c r="G1027" s="89">
        <v>0</v>
      </c>
      <c r="H1027" s="89">
        <v>0</v>
      </c>
      <c r="I1027" s="89">
        <v>0</v>
      </c>
      <c r="J1027" s="710">
        <f>(VLOOKUP($C1027,[2]Sheet1!$A$2:$P$18,$M1027+1)/12)*12*D1027</f>
        <v>0</v>
      </c>
      <c r="K1027" s="711"/>
      <c r="M1027" s="62">
        <f>IF(C1027&gt;6,3,5)</f>
        <v>3</v>
      </c>
    </row>
    <row r="1028" spans="1:13">
      <c r="A1028" s="88">
        <f>+A1027+1</f>
        <v>18</v>
      </c>
      <c r="B1028" s="69" t="s">
        <v>1418</v>
      </c>
      <c r="C1028" s="69">
        <v>6</v>
      </c>
      <c r="D1028" s="89">
        <v>0</v>
      </c>
      <c r="E1028" s="89">
        <v>1</v>
      </c>
      <c r="F1028" s="89">
        <v>0</v>
      </c>
      <c r="G1028" s="89">
        <v>0</v>
      </c>
      <c r="H1028" s="89">
        <v>0</v>
      </c>
      <c r="I1028" s="89">
        <v>0</v>
      </c>
      <c r="J1028" s="710">
        <f>(VLOOKUP($C1028,[2]Sheet1!$A$2:$P$18,$M1028+1)/12)*12*D1028</f>
        <v>0</v>
      </c>
      <c r="K1028" s="711"/>
      <c r="M1028" s="62">
        <f t="shared" si="73"/>
        <v>5</v>
      </c>
    </row>
    <row r="1029" spans="1:13">
      <c r="A1029" s="88">
        <f t="shared" si="79"/>
        <v>19</v>
      </c>
      <c r="B1029" s="69" t="s">
        <v>2604</v>
      </c>
      <c r="C1029" s="69">
        <v>3</v>
      </c>
      <c r="D1029" s="89">
        <v>1</v>
      </c>
      <c r="E1029" s="89">
        <v>1</v>
      </c>
      <c r="F1029" s="89">
        <v>1</v>
      </c>
      <c r="G1029" s="89">
        <v>1</v>
      </c>
      <c r="H1029" s="89">
        <v>1</v>
      </c>
      <c r="I1029" s="89">
        <v>1</v>
      </c>
      <c r="J1029" s="710">
        <f>(VLOOKUP($C1029,[2]Sheet1!$A$2:$P$18,$M1029+1)/12)*12*D1029</f>
        <v>219336.17893036499</v>
      </c>
      <c r="K1029" s="711"/>
      <c r="M1029" s="62">
        <f t="shared" si="73"/>
        <v>5</v>
      </c>
    </row>
    <row r="1030" spans="1:13">
      <c r="A1030" s="88">
        <f t="shared" si="79"/>
        <v>20</v>
      </c>
      <c r="B1030" s="69" t="s">
        <v>3942</v>
      </c>
      <c r="C1030" s="69">
        <v>2</v>
      </c>
      <c r="D1030" s="89">
        <v>0</v>
      </c>
      <c r="E1030" s="89">
        <v>0</v>
      </c>
      <c r="F1030" s="89">
        <v>0</v>
      </c>
      <c r="G1030" s="89">
        <v>0</v>
      </c>
      <c r="H1030" s="89">
        <v>0</v>
      </c>
      <c r="I1030" s="89">
        <v>0</v>
      </c>
      <c r="J1030" s="710">
        <f>(VLOOKUP($C1030,[2]Sheet1!$A$2:$P$18,$M1030+1)/12)*12*D1030</f>
        <v>0</v>
      </c>
      <c r="K1030" s="711"/>
      <c r="M1030" s="62">
        <f t="shared" si="73"/>
        <v>5</v>
      </c>
    </row>
    <row r="1031" spans="1:13">
      <c r="A1031" s="88">
        <f t="shared" si="79"/>
        <v>21</v>
      </c>
      <c r="B1031" s="69" t="s">
        <v>3943</v>
      </c>
      <c r="C1031" s="69">
        <v>2</v>
      </c>
      <c r="D1031" s="89">
        <v>0</v>
      </c>
      <c r="E1031" s="89">
        <v>0</v>
      </c>
      <c r="F1031" s="89">
        <v>0</v>
      </c>
      <c r="G1031" s="89">
        <v>0</v>
      </c>
      <c r="H1031" s="89">
        <v>0</v>
      </c>
      <c r="I1031" s="89">
        <v>0</v>
      </c>
      <c r="J1031" s="710">
        <f>(VLOOKUP($C1031,[2]Sheet1!$A$2:$P$18,$M1031+1)/12)*12*D1031</f>
        <v>0</v>
      </c>
      <c r="K1031" s="711"/>
      <c r="M1031" s="62">
        <f t="shared" si="73"/>
        <v>5</v>
      </c>
    </row>
    <row r="1032" spans="1:13">
      <c r="A1032" s="88"/>
      <c r="B1032" s="90" t="s">
        <v>2444</v>
      </c>
      <c r="C1032" s="69"/>
      <c r="D1032" s="89"/>
      <c r="E1032" s="89"/>
      <c r="F1032" s="89"/>
      <c r="G1032" s="89"/>
      <c r="H1032" s="89"/>
      <c r="I1032" s="89"/>
      <c r="J1032" s="710"/>
      <c r="K1032" s="711"/>
      <c r="M1032" s="62">
        <f t="shared" si="73"/>
        <v>5</v>
      </c>
    </row>
    <row r="1033" spans="1:13">
      <c r="A1033" s="88">
        <f>+A1031+1</f>
        <v>22</v>
      </c>
      <c r="B1033" s="69" t="s">
        <v>3532</v>
      </c>
      <c r="C1033" s="69">
        <v>16</v>
      </c>
      <c r="D1033" s="89">
        <v>0</v>
      </c>
      <c r="E1033" s="89">
        <v>0</v>
      </c>
      <c r="F1033" s="89">
        <v>0</v>
      </c>
      <c r="G1033" s="89">
        <v>0</v>
      </c>
      <c r="H1033" s="89">
        <v>0</v>
      </c>
      <c r="I1033" s="89">
        <v>0</v>
      </c>
      <c r="J1033" s="710">
        <f>(VLOOKUP($C1033,[2]Sheet1!$A$2:$P$18,$M1033+1)/12)*12*D1033</f>
        <v>0</v>
      </c>
      <c r="K1033" s="711"/>
      <c r="M1033" s="62">
        <f t="shared" si="73"/>
        <v>3</v>
      </c>
    </row>
    <row r="1034" spans="1:13">
      <c r="A1034" s="88">
        <f>+A1033+1</f>
        <v>23</v>
      </c>
      <c r="B1034" s="69" t="s">
        <v>1256</v>
      </c>
      <c r="C1034" s="69">
        <v>15</v>
      </c>
      <c r="D1034" s="89">
        <v>0</v>
      </c>
      <c r="E1034" s="89">
        <v>0</v>
      </c>
      <c r="F1034" s="89">
        <v>0</v>
      </c>
      <c r="G1034" s="89">
        <v>0</v>
      </c>
      <c r="H1034" s="89">
        <v>0</v>
      </c>
      <c r="I1034" s="89">
        <v>0</v>
      </c>
      <c r="J1034" s="710">
        <f>(VLOOKUP($C1034,[2]Sheet1!$A$2:$P$18,$M1034+1)/12)*12*D1034</f>
        <v>0</v>
      </c>
      <c r="K1034" s="711"/>
      <c r="M1034" s="62">
        <f t="shared" si="73"/>
        <v>3</v>
      </c>
    </row>
    <row r="1035" spans="1:13">
      <c r="A1035" s="88">
        <f>+A1034+1</f>
        <v>24</v>
      </c>
      <c r="B1035" s="69" t="s">
        <v>3533</v>
      </c>
      <c r="C1035" s="69">
        <v>14</v>
      </c>
      <c r="D1035" s="89">
        <v>0</v>
      </c>
      <c r="E1035" s="89">
        <v>0</v>
      </c>
      <c r="F1035" s="89">
        <v>0</v>
      </c>
      <c r="G1035" s="89">
        <v>0</v>
      </c>
      <c r="H1035" s="89">
        <v>0</v>
      </c>
      <c r="I1035" s="89">
        <v>0</v>
      </c>
      <c r="J1035" s="710">
        <f>(VLOOKUP($C1035,[2]Sheet1!$A$2:$P$18,$M1035+1)/12)*12*D1035</f>
        <v>0</v>
      </c>
      <c r="K1035" s="711"/>
      <c r="M1035" s="62">
        <f t="shared" si="73"/>
        <v>3</v>
      </c>
    </row>
    <row r="1036" spans="1:13">
      <c r="A1036" s="88"/>
      <c r="B1036" s="90" t="s">
        <v>1851</v>
      </c>
      <c r="C1036" s="69"/>
      <c r="D1036" s="89"/>
      <c r="E1036" s="89"/>
      <c r="F1036" s="89"/>
      <c r="G1036" s="89"/>
      <c r="H1036" s="89"/>
      <c r="I1036" s="89"/>
      <c r="J1036" s="710"/>
      <c r="K1036" s="711"/>
      <c r="M1036" s="62">
        <f t="shared" si="73"/>
        <v>5</v>
      </c>
    </row>
    <row r="1037" spans="1:13">
      <c r="A1037" s="88">
        <f>+A1035+1</f>
        <v>25</v>
      </c>
      <c r="B1037" s="69" t="s">
        <v>2445</v>
      </c>
      <c r="C1037" s="69">
        <v>6</v>
      </c>
      <c r="D1037" s="89">
        <v>0</v>
      </c>
      <c r="E1037" s="89">
        <v>0</v>
      </c>
      <c r="F1037" s="89">
        <v>0</v>
      </c>
      <c r="G1037" s="89">
        <v>0</v>
      </c>
      <c r="H1037" s="89">
        <v>0</v>
      </c>
      <c r="I1037" s="89">
        <v>0</v>
      </c>
      <c r="J1037" s="710">
        <f>(VLOOKUP($C1037,[2]Sheet1!$A$2:$P$18,$M1037+1)/12)*12*D1037</f>
        <v>0</v>
      </c>
      <c r="K1037" s="711"/>
      <c r="M1037" s="62">
        <f t="shared" si="73"/>
        <v>5</v>
      </c>
    </row>
    <row r="1038" spans="1:13">
      <c r="A1038" s="88">
        <f>+A1037+1</f>
        <v>26</v>
      </c>
      <c r="B1038" s="69" t="s">
        <v>865</v>
      </c>
      <c r="C1038" s="69">
        <v>4</v>
      </c>
      <c r="D1038" s="89">
        <v>0</v>
      </c>
      <c r="E1038" s="89">
        <v>0</v>
      </c>
      <c r="F1038" s="89">
        <v>0</v>
      </c>
      <c r="G1038" s="89">
        <v>0</v>
      </c>
      <c r="H1038" s="89">
        <v>0</v>
      </c>
      <c r="I1038" s="89">
        <v>0</v>
      </c>
      <c r="J1038" s="710">
        <f>(VLOOKUP($C1038,[2]Sheet1!$A$2:$P$18,$M1038+1)/12)*12*D1038</f>
        <v>0</v>
      </c>
      <c r="K1038" s="711"/>
      <c r="M1038" s="62">
        <f t="shared" si="73"/>
        <v>5</v>
      </c>
    </row>
    <row r="1039" spans="1:13">
      <c r="A1039" s="88">
        <f>+A1038+1</f>
        <v>27</v>
      </c>
      <c r="B1039" s="69" t="s">
        <v>2874</v>
      </c>
      <c r="C1039" s="69">
        <v>4</v>
      </c>
      <c r="D1039" s="89">
        <v>0</v>
      </c>
      <c r="E1039" s="89">
        <v>0</v>
      </c>
      <c r="F1039" s="89">
        <v>0</v>
      </c>
      <c r="G1039" s="89">
        <v>0</v>
      </c>
      <c r="H1039" s="89">
        <v>0</v>
      </c>
      <c r="I1039" s="89">
        <v>0</v>
      </c>
      <c r="J1039" s="710">
        <f>(VLOOKUP($C1039,[2]Sheet1!$A$2:$P$18,$M1039+1)/12)*12*D1039</f>
        <v>0</v>
      </c>
      <c r="K1039" s="711"/>
      <c r="M1039" s="62">
        <f t="shared" si="73"/>
        <v>5</v>
      </c>
    </row>
    <row r="1040" spans="1:13">
      <c r="A1040" s="92"/>
      <c r="B1040" s="93" t="s">
        <v>1684</v>
      </c>
      <c r="C1040" s="94"/>
      <c r="D1040" s="123">
        <f t="shared" ref="D1040:J1040" si="80">SUM(D1008:D1039)</f>
        <v>40</v>
      </c>
      <c r="E1040" s="123">
        <f t="shared" si="80"/>
        <v>43</v>
      </c>
      <c r="F1040" s="123">
        <f t="shared" si="80"/>
        <v>40</v>
      </c>
      <c r="G1040" s="123">
        <f>SUM(G1008:G1039)</f>
        <v>40</v>
      </c>
      <c r="H1040" s="123">
        <f t="shared" si="80"/>
        <v>40</v>
      </c>
      <c r="I1040" s="123">
        <f t="shared" si="80"/>
        <v>40</v>
      </c>
      <c r="J1040" s="124">
        <f t="shared" si="80"/>
        <v>33898984.178930365</v>
      </c>
      <c r="K1040" s="376"/>
      <c r="M1040" s="62">
        <f t="shared" si="73"/>
        <v>5</v>
      </c>
    </row>
    <row r="1041" spans="1:13">
      <c r="A1041" s="88" t="s">
        <v>1840</v>
      </c>
      <c r="B1041" s="97" t="s">
        <v>1199</v>
      </c>
      <c r="C1041" s="69"/>
      <c r="D1041" s="89"/>
      <c r="E1041" s="89"/>
      <c r="F1041" s="125"/>
      <c r="G1041" s="240" t="s">
        <v>243</v>
      </c>
      <c r="H1041" s="240" t="s">
        <v>4130</v>
      </c>
      <c r="I1041" s="240" t="s">
        <v>4202</v>
      </c>
      <c r="J1041" s="241" t="s">
        <v>4200</v>
      </c>
      <c r="K1041" s="375"/>
      <c r="M1041" s="62">
        <f t="shared" ref="M1041:M1098" si="81">IF(C1041&gt;6,3,5)</f>
        <v>5</v>
      </c>
    </row>
    <row r="1042" spans="1:13">
      <c r="A1042" s="88">
        <v>1</v>
      </c>
      <c r="B1042" s="69" t="s">
        <v>2786</v>
      </c>
      <c r="C1042" s="69"/>
      <c r="D1042" s="89"/>
      <c r="E1042" s="89"/>
      <c r="F1042" s="100"/>
      <c r="G1042" s="100">
        <f>J1040*0.2</f>
        <v>6779796.8357860735</v>
      </c>
      <c r="H1042" s="100">
        <f t="shared" ref="H1042:I1044" si="82">G1042*1.02</f>
        <v>6915392.7725017946</v>
      </c>
      <c r="I1042" s="100">
        <f t="shared" si="82"/>
        <v>7053700.6279518306</v>
      </c>
      <c r="J1042" s="100">
        <f t="shared" ref="J1042:J1047" si="83">SUM(G1042:I1042)</f>
        <v>20748890.236239698</v>
      </c>
      <c r="K1042" s="114"/>
      <c r="M1042" s="62">
        <f t="shared" si="81"/>
        <v>5</v>
      </c>
    </row>
    <row r="1043" spans="1:13">
      <c r="A1043" s="88">
        <f>+A1042+1</f>
        <v>2</v>
      </c>
      <c r="B1043" s="69" t="s">
        <v>2877</v>
      </c>
      <c r="C1043" s="69"/>
      <c r="D1043" s="89"/>
      <c r="E1043" s="89"/>
      <c r="F1043" s="100"/>
      <c r="G1043" s="100">
        <f>G1042/2</f>
        <v>3389898.4178930367</v>
      </c>
      <c r="H1043" s="100">
        <f t="shared" si="82"/>
        <v>3457696.3862508973</v>
      </c>
      <c r="I1043" s="100">
        <f t="shared" si="82"/>
        <v>3526850.3139759153</v>
      </c>
      <c r="J1043" s="100">
        <f t="shared" si="83"/>
        <v>10374445.118119849</v>
      </c>
      <c r="K1043" s="114"/>
      <c r="M1043" s="62">
        <f t="shared" si="81"/>
        <v>5</v>
      </c>
    </row>
    <row r="1044" spans="1:13">
      <c r="A1044" s="88">
        <f>+A1043+1</f>
        <v>3</v>
      </c>
      <c r="B1044" s="69" t="s">
        <v>1342</v>
      </c>
      <c r="C1044" s="69"/>
      <c r="D1044" s="89"/>
      <c r="E1044" s="89"/>
      <c r="F1044" s="100"/>
      <c r="G1044" s="100">
        <f>G1043/2</f>
        <v>1694949.2089465184</v>
      </c>
      <c r="H1044" s="100">
        <f t="shared" si="82"/>
        <v>1728848.1931254487</v>
      </c>
      <c r="I1044" s="100">
        <f t="shared" si="82"/>
        <v>1763425.1569879577</v>
      </c>
      <c r="J1044" s="100">
        <f t="shared" si="83"/>
        <v>5187222.5590599244</v>
      </c>
      <c r="K1044" s="114"/>
      <c r="M1044" s="62">
        <f t="shared" si="81"/>
        <v>5</v>
      </c>
    </row>
    <row r="1045" spans="1:13">
      <c r="A1045" s="92" t="s">
        <v>1840</v>
      </c>
      <c r="B1045" s="93" t="s">
        <v>1684</v>
      </c>
      <c r="C1045" s="94"/>
      <c r="D1045" s="101"/>
      <c r="E1045" s="101"/>
      <c r="F1045" s="123"/>
      <c r="G1045" s="123">
        <f>SUM(G1042:G1044)</f>
        <v>11864644.462625628</v>
      </c>
      <c r="H1045" s="123">
        <f>SUM(H1042:H1044)</f>
        <v>12101937.35187814</v>
      </c>
      <c r="I1045" s="123">
        <f>SUM(I1042:I1044)</f>
        <v>12343976.098915704</v>
      </c>
      <c r="J1045" s="123">
        <f>SUM(J1042:J1044)</f>
        <v>36310557.91341947</v>
      </c>
      <c r="K1045" s="378"/>
      <c r="M1045" s="62">
        <f t="shared" si="81"/>
        <v>5</v>
      </c>
    </row>
    <row r="1046" spans="1:13">
      <c r="A1046" s="88" t="s">
        <v>1840</v>
      </c>
      <c r="B1046" s="69" t="s">
        <v>1119</v>
      </c>
      <c r="C1046" s="69"/>
      <c r="D1046" s="89"/>
      <c r="E1046" s="89"/>
      <c r="F1046" s="89"/>
      <c r="G1046" s="100">
        <f>G1045+J1040</f>
        <v>45763628.641555995</v>
      </c>
      <c r="H1046" s="100">
        <f>G1046*1.02</f>
        <v>46678901.214387119</v>
      </c>
      <c r="I1046" s="100">
        <f>H1046*1.02</f>
        <v>47612479.238674864</v>
      </c>
      <c r="J1046" s="100">
        <f t="shared" si="83"/>
        <v>140055009.09461796</v>
      </c>
      <c r="K1046" s="114"/>
      <c r="M1046" s="62">
        <f t="shared" si="81"/>
        <v>5</v>
      </c>
    </row>
    <row r="1047" spans="1:13">
      <c r="A1047" s="88" t="s">
        <v>1840</v>
      </c>
      <c r="B1047" s="69" t="s">
        <v>3944</v>
      </c>
      <c r="C1047" s="69"/>
      <c r="D1047" s="89"/>
      <c r="E1047" s="89"/>
      <c r="F1047" s="89"/>
      <c r="G1047" s="89">
        <f>C1075</f>
        <v>12000000</v>
      </c>
      <c r="H1047" s="89">
        <f>D1075</f>
        <v>15900000</v>
      </c>
      <c r="I1047" s="89">
        <f>E1075</f>
        <v>15900000</v>
      </c>
      <c r="J1047" s="100">
        <f t="shared" si="83"/>
        <v>43800000</v>
      </c>
      <c r="K1047" s="114"/>
      <c r="M1047" s="62">
        <f t="shared" si="81"/>
        <v>5</v>
      </c>
    </row>
    <row r="1048" spans="1:13">
      <c r="A1048" s="88" t="s">
        <v>1840</v>
      </c>
      <c r="B1048" s="97"/>
      <c r="C1048" s="69"/>
      <c r="D1048" s="89"/>
      <c r="E1048" s="89"/>
      <c r="F1048" s="89"/>
      <c r="G1048" s="89"/>
      <c r="H1048" s="89"/>
      <c r="I1048" s="89"/>
      <c r="J1048" s="89"/>
      <c r="K1048" s="114"/>
      <c r="M1048" s="62">
        <f t="shared" si="81"/>
        <v>5</v>
      </c>
    </row>
    <row r="1049" spans="1:13">
      <c r="A1049" s="92" t="s">
        <v>1840</v>
      </c>
      <c r="B1049" s="93" t="s">
        <v>2843</v>
      </c>
      <c r="C1049" s="94"/>
      <c r="D1049" s="101"/>
      <c r="E1049" s="101"/>
      <c r="F1049" s="123"/>
      <c r="G1049" s="123">
        <f>SUM(G1046:G1048)</f>
        <v>57763628.641555995</v>
      </c>
      <c r="H1049" s="123">
        <f>SUM(H1046:H1048)</f>
        <v>62578901.214387119</v>
      </c>
      <c r="I1049" s="123">
        <f>SUM(I1046:I1048)</f>
        <v>63512479.238674864</v>
      </c>
      <c r="J1049" s="123">
        <f>SUM(J1046:J1048)</f>
        <v>183855009.09461796</v>
      </c>
      <c r="K1049" s="378"/>
      <c r="M1049" s="62">
        <f t="shared" si="81"/>
        <v>5</v>
      </c>
    </row>
    <row r="1050" spans="1:13" ht="15">
      <c r="C1050" s="77"/>
      <c r="D1050" s="78" t="s">
        <v>5434</v>
      </c>
      <c r="J1050" s="584"/>
      <c r="K1050" s="584"/>
      <c r="M1050" s="62">
        <f t="shared" si="81"/>
        <v>5</v>
      </c>
    </row>
    <row r="1051" spans="1:13" ht="15">
      <c r="C1051" s="77"/>
      <c r="D1051" s="78" t="s">
        <v>716</v>
      </c>
      <c r="J1051" s="584"/>
      <c r="K1051" s="584"/>
      <c r="M1051" s="62">
        <f t="shared" si="81"/>
        <v>5</v>
      </c>
    </row>
    <row r="1052" spans="1:13" ht="15">
      <c r="C1052" s="79" t="s">
        <v>717</v>
      </c>
      <c r="D1052" s="78" t="s">
        <v>1690</v>
      </c>
      <c r="J1052" s="584"/>
      <c r="K1052" s="584"/>
      <c r="M1052" s="62">
        <f t="shared" si="81"/>
        <v>3</v>
      </c>
    </row>
    <row r="1053" spans="1:13" ht="15">
      <c r="C1053" s="79" t="s">
        <v>718</v>
      </c>
      <c r="D1053" s="78" t="s">
        <v>510</v>
      </c>
      <c r="J1053" s="584"/>
      <c r="K1053" s="584"/>
      <c r="M1053" s="62">
        <f t="shared" si="81"/>
        <v>3</v>
      </c>
    </row>
    <row r="1054" spans="1:13" ht="15">
      <c r="A1054" s="634" t="s">
        <v>1839</v>
      </c>
      <c r="B1054" s="635" t="s">
        <v>903</v>
      </c>
      <c r="C1054" s="1037" t="s">
        <v>4127</v>
      </c>
      <c r="D1054" s="1038"/>
      <c r="E1054" s="1039"/>
      <c r="F1054" s="635" t="s">
        <v>1684</v>
      </c>
      <c r="G1054" s="1037" t="s">
        <v>4132</v>
      </c>
      <c r="H1054" s="1038"/>
      <c r="I1054" s="1039"/>
      <c r="J1054" s="726"/>
      <c r="K1054" s="727"/>
    </row>
    <row r="1055" spans="1:13">
      <c r="A1055" s="636" t="s">
        <v>1620</v>
      </c>
      <c r="B1055" s="637"/>
      <c r="C1055" s="635" t="s">
        <v>1841</v>
      </c>
      <c r="D1055" s="635" t="s">
        <v>4133</v>
      </c>
      <c r="E1055" s="635" t="s">
        <v>4133</v>
      </c>
      <c r="F1055" s="1056" t="s">
        <v>4200</v>
      </c>
      <c r="G1055" s="634" t="s">
        <v>4135</v>
      </c>
      <c r="H1055" s="1051" t="s">
        <v>4182</v>
      </c>
      <c r="I1055" s="634" t="s">
        <v>4135</v>
      </c>
      <c r="J1055" s="728" t="s">
        <v>4136</v>
      </c>
      <c r="K1055" s="727"/>
    </row>
    <row r="1056" spans="1:13" ht="12.75" customHeight="1">
      <c r="A1056" s="638" t="s">
        <v>387</v>
      </c>
      <c r="B1056" s="639"/>
      <c r="C1056" s="638">
        <v>2015</v>
      </c>
      <c r="D1056" s="638">
        <v>2016</v>
      </c>
      <c r="E1056" s="638">
        <v>2017</v>
      </c>
      <c r="F1056" s="1057"/>
      <c r="G1056" s="638" t="s">
        <v>4304</v>
      </c>
      <c r="H1056" s="1052"/>
      <c r="I1056" s="638" t="s">
        <v>4303</v>
      </c>
      <c r="J1056" s="639"/>
      <c r="K1056" s="729"/>
    </row>
    <row r="1057" spans="1:13">
      <c r="A1057" s="730"/>
      <c r="B1057" s="730"/>
      <c r="C1057" s="764"/>
      <c r="D1057" s="764"/>
      <c r="E1057" s="764"/>
      <c r="F1057" s="764"/>
      <c r="G1057" s="764"/>
      <c r="H1057" s="764"/>
      <c r="I1057" s="764"/>
      <c r="J1057" s="764"/>
      <c r="K1057" s="765"/>
      <c r="M1057" s="62" t="e">
        <f>IF(#REF!&gt;6,3,5)</f>
        <v>#REF!</v>
      </c>
    </row>
    <row r="1058" spans="1:13">
      <c r="A1058" s="759">
        <v>2</v>
      </c>
      <c r="B1058" s="759" t="s">
        <v>1695</v>
      </c>
      <c r="C1058" s="390">
        <v>3000000</v>
      </c>
      <c r="D1058" s="390">
        <v>3000000</v>
      </c>
      <c r="E1058" s="390">
        <v>3000000</v>
      </c>
      <c r="F1058" s="390">
        <f>SUM(C1058:E1058)</f>
        <v>9000000</v>
      </c>
      <c r="G1058" s="390">
        <v>1200000</v>
      </c>
      <c r="H1058" s="390">
        <v>3000000</v>
      </c>
      <c r="I1058" s="390">
        <v>1500000</v>
      </c>
      <c r="J1058" s="390"/>
      <c r="K1058" s="734"/>
      <c r="M1058" s="62" t="e">
        <f>IF(#REF!&gt;6,3,5)</f>
        <v>#REF!</v>
      </c>
    </row>
    <row r="1059" spans="1:13">
      <c r="A1059" s="759">
        <f t="shared" ref="A1059:A1072" si="84">+A1058+1</f>
        <v>3</v>
      </c>
      <c r="B1059" s="759" t="s">
        <v>1696</v>
      </c>
      <c r="C1059" s="731" t="s">
        <v>3007</v>
      </c>
      <c r="D1059" s="731" t="s">
        <v>3007</v>
      </c>
      <c r="E1059" s="731" t="s">
        <v>3007</v>
      </c>
      <c r="F1059" s="390">
        <f t="shared" ref="F1059:F1072" si="85">SUM(C1059:E1059)</f>
        <v>0</v>
      </c>
      <c r="G1059" s="731"/>
      <c r="H1059" s="731" t="s">
        <v>3007</v>
      </c>
      <c r="I1059" s="731"/>
      <c r="J1059" s="390"/>
      <c r="K1059" s="734"/>
      <c r="M1059" s="62" t="e">
        <f>IF(#REF!&gt;6,3,5)</f>
        <v>#REF!</v>
      </c>
    </row>
    <row r="1060" spans="1:13">
      <c r="A1060" s="759">
        <f t="shared" si="84"/>
        <v>4</v>
      </c>
      <c r="B1060" s="759" t="s">
        <v>1701</v>
      </c>
      <c r="C1060" s="731" t="s">
        <v>3007</v>
      </c>
      <c r="D1060" s="731" t="s">
        <v>3007</v>
      </c>
      <c r="E1060" s="731" t="s">
        <v>3007</v>
      </c>
      <c r="F1060" s="390">
        <f t="shared" si="85"/>
        <v>0</v>
      </c>
      <c r="G1060" s="731"/>
      <c r="H1060" s="731" t="s">
        <v>3007</v>
      </c>
      <c r="I1060" s="731">
        <v>365000</v>
      </c>
      <c r="J1060" s="390"/>
      <c r="K1060" s="734"/>
      <c r="M1060" s="62" t="e">
        <f>IF(#REF!&gt;6,3,5)</f>
        <v>#REF!</v>
      </c>
    </row>
    <row r="1061" spans="1:13">
      <c r="A1061" s="759">
        <f t="shared" si="84"/>
        <v>5</v>
      </c>
      <c r="B1061" s="759" t="s">
        <v>1702</v>
      </c>
      <c r="C1061" s="390">
        <v>600000</v>
      </c>
      <c r="D1061" s="390">
        <v>600000</v>
      </c>
      <c r="E1061" s="390">
        <v>600000</v>
      </c>
      <c r="F1061" s="390">
        <f t="shared" si="85"/>
        <v>1800000</v>
      </c>
      <c r="G1061" s="390">
        <v>175000</v>
      </c>
      <c r="H1061" s="390">
        <v>600000</v>
      </c>
      <c r="I1061" s="390">
        <v>254000</v>
      </c>
      <c r="J1061" s="390"/>
      <c r="K1061" s="734"/>
      <c r="M1061" s="62" t="e">
        <f>IF(#REF!&gt;6,3,5)</f>
        <v>#REF!</v>
      </c>
    </row>
    <row r="1062" spans="1:13">
      <c r="A1062" s="759">
        <f t="shared" si="84"/>
        <v>6</v>
      </c>
      <c r="B1062" s="759" t="s">
        <v>1544</v>
      </c>
      <c r="C1062" s="390">
        <v>600000</v>
      </c>
      <c r="D1062" s="390">
        <v>600000</v>
      </c>
      <c r="E1062" s="390">
        <v>600000</v>
      </c>
      <c r="F1062" s="390">
        <f t="shared" si="85"/>
        <v>1800000</v>
      </c>
      <c r="G1062" s="390">
        <v>77000</v>
      </c>
      <c r="H1062" s="390">
        <v>600000</v>
      </c>
      <c r="I1062" s="390">
        <v>77000</v>
      </c>
      <c r="J1062" s="390"/>
      <c r="K1062" s="734"/>
      <c r="M1062" s="62" t="e">
        <f>IF(#REF!&gt;6,3,5)</f>
        <v>#REF!</v>
      </c>
    </row>
    <row r="1063" spans="1:13">
      <c r="A1063" s="759">
        <f t="shared" si="84"/>
        <v>7</v>
      </c>
      <c r="B1063" s="759" t="s">
        <v>897</v>
      </c>
      <c r="C1063" s="390">
        <v>1000000</v>
      </c>
      <c r="D1063" s="390">
        <v>1500000</v>
      </c>
      <c r="E1063" s="390">
        <v>1500000</v>
      </c>
      <c r="F1063" s="390">
        <f t="shared" si="85"/>
        <v>4000000</v>
      </c>
      <c r="G1063" s="390"/>
      <c r="H1063" s="390">
        <v>1500000</v>
      </c>
      <c r="I1063" s="390"/>
      <c r="J1063" s="390"/>
      <c r="K1063" s="734"/>
      <c r="M1063" s="62" t="e">
        <f>IF(#REF!&gt;6,3,5)</f>
        <v>#REF!</v>
      </c>
    </row>
    <row r="1064" spans="1:13">
      <c r="A1064" s="759">
        <f t="shared" si="84"/>
        <v>8</v>
      </c>
      <c r="B1064" s="759" t="s">
        <v>1385</v>
      </c>
      <c r="C1064" s="731" t="s">
        <v>3007</v>
      </c>
      <c r="D1064" s="731" t="s">
        <v>3007</v>
      </c>
      <c r="E1064" s="731" t="s">
        <v>3007</v>
      </c>
      <c r="F1064" s="390">
        <f t="shared" si="85"/>
        <v>0</v>
      </c>
      <c r="G1064" s="731"/>
      <c r="H1064" s="731" t="s">
        <v>3007</v>
      </c>
      <c r="I1064" s="731"/>
      <c r="J1064" s="390"/>
      <c r="K1064" s="734"/>
      <c r="M1064" s="62" t="e">
        <f>IF(#REF!&gt;6,3,5)</f>
        <v>#REF!</v>
      </c>
    </row>
    <row r="1065" spans="1:13">
      <c r="A1065" s="759">
        <f t="shared" si="84"/>
        <v>9</v>
      </c>
      <c r="B1065" s="759" t="s">
        <v>2061</v>
      </c>
      <c r="C1065" s="731" t="s">
        <v>3007</v>
      </c>
      <c r="D1065" s="731" t="s">
        <v>3007</v>
      </c>
      <c r="E1065" s="731" t="s">
        <v>3007</v>
      </c>
      <c r="F1065" s="390">
        <f t="shared" si="85"/>
        <v>0</v>
      </c>
      <c r="G1065" s="731"/>
      <c r="H1065" s="731" t="s">
        <v>3007</v>
      </c>
      <c r="I1065" s="731"/>
      <c r="J1065" s="390"/>
      <c r="K1065" s="734"/>
      <c r="M1065" s="62" t="e">
        <f>IF(#REF!&gt;6,3,5)</f>
        <v>#REF!</v>
      </c>
    </row>
    <row r="1066" spans="1:13">
      <c r="A1066" s="759">
        <f t="shared" si="84"/>
        <v>10</v>
      </c>
      <c r="B1066" s="759" t="s">
        <v>1680</v>
      </c>
      <c r="C1066" s="390">
        <v>300000</v>
      </c>
      <c r="D1066" s="390">
        <v>200000</v>
      </c>
      <c r="E1066" s="390">
        <v>200000</v>
      </c>
      <c r="F1066" s="390">
        <f t="shared" si="85"/>
        <v>700000</v>
      </c>
      <c r="G1066" s="390"/>
      <c r="H1066" s="390">
        <v>200000</v>
      </c>
      <c r="I1066" s="390"/>
      <c r="J1066" s="390"/>
      <c r="K1066" s="734"/>
      <c r="M1066" s="62" t="e">
        <f>IF(#REF!&gt;6,3,5)</f>
        <v>#REF!</v>
      </c>
    </row>
    <row r="1067" spans="1:13">
      <c r="A1067" s="759">
        <f t="shared" si="84"/>
        <v>11</v>
      </c>
      <c r="B1067" s="759" t="s">
        <v>1681</v>
      </c>
      <c r="C1067" s="390">
        <v>100000</v>
      </c>
      <c r="D1067" s="390">
        <v>100000</v>
      </c>
      <c r="E1067" s="390">
        <v>100000</v>
      </c>
      <c r="F1067" s="390">
        <f t="shared" si="85"/>
        <v>300000</v>
      </c>
      <c r="G1067" s="390">
        <v>40000</v>
      </c>
      <c r="H1067" s="390">
        <v>100000</v>
      </c>
      <c r="I1067" s="390">
        <v>50000</v>
      </c>
      <c r="J1067" s="390"/>
      <c r="K1067" s="734"/>
      <c r="M1067" s="62" t="e">
        <f>IF(#REF!&gt;6,3,5)</f>
        <v>#REF!</v>
      </c>
    </row>
    <row r="1068" spans="1:13">
      <c r="A1068" s="759">
        <f t="shared" si="84"/>
        <v>12</v>
      </c>
      <c r="B1068" s="759" t="s">
        <v>1682</v>
      </c>
      <c r="C1068" s="390">
        <v>3000000</v>
      </c>
      <c r="D1068" s="390">
        <v>3000000</v>
      </c>
      <c r="E1068" s="390">
        <v>3000000</v>
      </c>
      <c r="F1068" s="390">
        <f t="shared" si="85"/>
        <v>9000000</v>
      </c>
      <c r="G1068" s="390">
        <v>1375466</v>
      </c>
      <c r="H1068" s="390">
        <v>3000000</v>
      </c>
      <c r="I1068" s="390">
        <v>1627998</v>
      </c>
      <c r="J1068" s="390"/>
      <c r="K1068" s="734"/>
      <c r="M1068" s="62" t="e">
        <f>IF(#REF!&gt;6,3,5)</f>
        <v>#REF!</v>
      </c>
    </row>
    <row r="1069" spans="1:13">
      <c r="A1069" s="759">
        <f t="shared" si="84"/>
        <v>13</v>
      </c>
      <c r="B1069" s="759" t="s">
        <v>2249</v>
      </c>
      <c r="C1069" s="390">
        <v>100000</v>
      </c>
      <c r="D1069" s="390">
        <v>100000</v>
      </c>
      <c r="E1069" s="390">
        <v>100000</v>
      </c>
      <c r="F1069" s="390">
        <f t="shared" si="85"/>
        <v>300000</v>
      </c>
      <c r="G1069" s="390"/>
      <c r="H1069" s="390">
        <v>100000</v>
      </c>
      <c r="I1069" s="390"/>
      <c r="J1069" s="390"/>
      <c r="K1069" s="734"/>
      <c r="M1069" s="62" t="e">
        <f>IF(#REF!&gt;6,3,5)</f>
        <v>#REF!</v>
      </c>
    </row>
    <row r="1070" spans="1:13">
      <c r="A1070" s="759">
        <f t="shared" si="84"/>
        <v>14</v>
      </c>
      <c r="B1070" s="745" t="s">
        <v>1683</v>
      </c>
      <c r="C1070" s="390">
        <v>800000</v>
      </c>
      <c r="D1070" s="390">
        <v>1800000</v>
      </c>
      <c r="E1070" s="390">
        <v>1800000</v>
      </c>
      <c r="F1070" s="390">
        <f t="shared" si="85"/>
        <v>4400000</v>
      </c>
      <c r="G1070" s="390"/>
      <c r="H1070" s="390">
        <v>1800000</v>
      </c>
      <c r="I1070" s="390"/>
      <c r="J1070" s="390"/>
      <c r="K1070" s="734"/>
      <c r="M1070" s="62" t="e">
        <f>IF(#REF!&gt;6,3,5)</f>
        <v>#REF!</v>
      </c>
    </row>
    <row r="1071" spans="1:13">
      <c r="A1071" s="759">
        <f t="shared" si="84"/>
        <v>15</v>
      </c>
      <c r="B1071" s="733" t="s">
        <v>3283</v>
      </c>
      <c r="C1071" s="731" t="s">
        <v>3007</v>
      </c>
      <c r="D1071" s="731" t="s">
        <v>3007</v>
      </c>
      <c r="E1071" s="731" t="s">
        <v>3007</v>
      </c>
      <c r="F1071" s="390">
        <f t="shared" si="85"/>
        <v>0</v>
      </c>
      <c r="G1071" s="731"/>
      <c r="H1071" s="731" t="s">
        <v>3007</v>
      </c>
      <c r="I1071" s="731"/>
      <c r="J1071" s="390"/>
      <c r="K1071" s="734"/>
      <c r="M1071" s="62" t="e">
        <f>IF(#REF!&gt;6,3,5)</f>
        <v>#REF!</v>
      </c>
    </row>
    <row r="1072" spans="1:13">
      <c r="A1072" s="759">
        <f t="shared" si="84"/>
        <v>16</v>
      </c>
      <c r="B1072" s="759" t="s">
        <v>3284</v>
      </c>
      <c r="C1072" s="731">
        <v>2500000</v>
      </c>
      <c r="D1072" s="731">
        <v>5000000</v>
      </c>
      <c r="E1072" s="731">
        <v>5000000</v>
      </c>
      <c r="F1072" s="390">
        <f t="shared" si="85"/>
        <v>12500000</v>
      </c>
      <c r="G1072" s="731"/>
      <c r="H1072" s="731">
        <v>5000000</v>
      </c>
      <c r="I1072" s="731"/>
      <c r="J1072" s="390"/>
      <c r="K1072" s="734"/>
      <c r="M1072" s="62" t="e">
        <f>IF(#REF!&gt;6,3,5)</f>
        <v>#REF!</v>
      </c>
    </row>
    <row r="1073" spans="1:13">
      <c r="A1073" s="759"/>
      <c r="B1073" s="745"/>
      <c r="C1073" s="761"/>
      <c r="D1073" s="761"/>
      <c r="E1073" s="761"/>
      <c r="F1073" s="761"/>
      <c r="G1073" s="761"/>
      <c r="H1073" s="761"/>
      <c r="I1073" s="761"/>
      <c r="J1073" s="761"/>
      <c r="K1073" s="763"/>
      <c r="M1073" s="62" t="e">
        <f>IF(#REF!&gt;6,3,5)</f>
        <v>#REF!</v>
      </c>
    </row>
    <row r="1074" spans="1:13">
      <c r="A1074" s="759"/>
      <c r="B1074" s="733"/>
      <c r="C1074" s="766"/>
      <c r="D1074" s="766"/>
      <c r="E1074" s="766"/>
      <c r="F1074" s="766"/>
      <c r="G1074" s="766"/>
      <c r="H1074" s="766"/>
      <c r="I1074" s="766"/>
      <c r="J1074" s="766"/>
      <c r="K1074" s="767"/>
      <c r="M1074" s="62" t="e">
        <f>IF(#REF!&gt;6,3,5)</f>
        <v>#REF!</v>
      </c>
    </row>
    <row r="1075" spans="1:13">
      <c r="A1075" s="738"/>
      <c r="B1075" s="738" t="s">
        <v>1684</v>
      </c>
      <c r="C1075" s="739">
        <f t="shared" ref="C1075:I1075" si="86">SUM(C1057:C1074)</f>
        <v>12000000</v>
      </c>
      <c r="D1075" s="739">
        <f t="shared" si="86"/>
        <v>15900000</v>
      </c>
      <c r="E1075" s="739">
        <f t="shared" si="86"/>
        <v>15900000</v>
      </c>
      <c r="F1075" s="739">
        <f t="shared" si="86"/>
        <v>43800000</v>
      </c>
      <c r="G1075" s="739">
        <f t="shared" si="86"/>
        <v>2867466</v>
      </c>
      <c r="H1075" s="739">
        <f t="shared" si="86"/>
        <v>15900000</v>
      </c>
      <c r="I1075" s="739">
        <f t="shared" si="86"/>
        <v>3873998</v>
      </c>
      <c r="J1075" s="739"/>
      <c r="K1075" s="740"/>
      <c r="M1075" s="62" t="e">
        <f>IF(#REF!&gt;6,3,5)</f>
        <v>#REF!</v>
      </c>
    </row>
    <row r="1076" spans="1:13" ht="15">
      <c r="A1076" s="113"/>
      <c r="B1076" s="113"/>
      <c r="C1076" s="113"/>
      <c r="D1076" s="114"/>
      <c r="E1076" s="114"/>
      <c r="F1076" s="114"/>
      <c r="G1076" s="114"/>
      <c r="H1076" s="114"/>
      <c r="I1076" s="114"/>
      <c r="J1076" s="584"/>
      <c r="K1076" s="584"/>
      <c r="M1076" s="62">
        <f t="shared" si="81"/>
        <v>5</v>
      </c>
    </row>
    <row r="1077" spans="1:13" ht="15">
      <c r="C1077" s="77"/>
      <c r="D1077" s="78" t="s">
        <v>5434</v>
      </c>
      <c r="J1077" s="584"/>
      <c r="K1077" s="584"/>
      <c r="M1077" s="62">
        <f t="shared" si="81"/>
        <v>5</v>
      </c>
    </row>
    <row r="1078" spans="1:13" ht="15">
      <c r="C1078" s="77"/>
      <c r="D1078" s="78" t="s">
        <v>1693</v>
      </c>
      <c r="J1078" s="584"/>
      <c r="K1078" s="584"/>
      <c r="M1078" s="62">
        <f t="shared" si="81"/>
        <v>5</v>
      </c>
    </row>
    <row r="1079" spans="1:13" ht="15">
      <c r="C1079" s="79" t="s">
        <v>717</v>
      </c>
      <c r="D1079" s="78" t="s">
        <v>509</v>
      </c>
      <c r="J1079" s="584"/>
      <c r="K1079" s="584"/>
      <c r="M1079" s="62">
        <f t="shared" si="81"/>
        <v>3</v>
      </c>
    </row>
    <row r="1080" spans="1:13" ht="15.75" thickBot="1">
      <c r="C1080" s="79" t="s">
        <v>718</v>
      </c>
      <c r="D1080" s="78" t="s">
        <v>935</v>
      </c>
      <c r="J1080" s="584"/>
      <c r="K1080" s="584"/>
      <c r="M1080" s="62">
        <f t="shared" si="81"/>
        <v>3</v>
      </c>
    </row>
    <row r="1081" spans="1:13" ht="15.75" thickTop="1">
      <c r="A1081" s="1047" t="s">
        <v>2791</v>
      </c>
      <c r="B1081" s="1049" t="s">
        <v>4126</v>
      </c>
      <c r="C1081" s="1049" t="s">
        <v>854</v>
      </c>
      <c r="D1081" s="1040" t="s">
        <v>4127</v>
      </c>
      <c r="E1081" s="1041"/>
      <c r="F1081" s="1041"/>
      <c r="G1081" s="1040" t="s">
        <v>904</v>
      </c>
      <c r="H1081" s="1041"/>
      <c r="I1081" s="1042"/>
      <c r="J1081" s="1035" t="s">
        <v>855</v>
      </c>
      <c r="K1081" s="389"/>
    </row>
    <row r="1082" spans="1:13" ht="26.25" thickBot="1">
      <c r="A1082" s="1048"/>
      <c r="B1082" s="1050"/>
      <c r="C1082" s="1050"/>
      <c r="D1082" s="285" t="s">
        <v>5505</v>
      </c>
      <c r="E1082" s="285" t="s">
        <v>4485</v>
      </c>
      <c r="F1082" s="285" t="s">
        <v>4486</v>
      </c>
      <c r="G1082" s="287" t="s">
        <v>4487</v>
      </c>
      <c r="H1082" s="285" t="s">
        <v>4488</v>
      </c>
      <c r="I1082" s="287" t="s">
        <v>4489</v>
      </c>
      <c r="J1082" s="1036"/>
      <c r="K1082" s="712"/>
    </row>
    <row r="1083" spans="1:13" ht="13.5" thickTop="1">
      <c r="A1083" s="88" t="s">
        <v>1840</v>
      </c>
      <c r="B1083" s="97"/>
      <c r="C1083" s="69"/>
      <c r="D1083" s="89"/>
      <c r="E1083" s="89"/>
      <c r="F1083" s="69"/>
      <c r="G1083" s="89"/>
      <c r="H1083" s="89"/>
      <c r="I1083" s="89"/>
      <c r="J1083" s="713"/>
      <c r="K1083" s="711"/>
      <c r="M1083" s="62">
        <f t="shared" si="81"/>
        <v>5</v>
      </c>
    </row>
    <row r="1084" spans="1:13">
      <c r="A1084" s="88">
        <v>1</v>
      </c>
      <c r="B1084" s="69" t="s">
        <v>2129</v>
      </c>
      <c r="C1084" s="69" t="s">
        <v>2335</v>
      </c>
      <c r="D1084" s="89">
        <v>1</v>
      </c>
      <c r="E1084" s="89">
        <v>1</v>
      </c>
      <c r="F1084" s="89">
        <v>1</v>
      </c>
      <c r="G1084" s="89">
        <v>1</v>
      </c>
      <c r="H1084" s="89">
        <v>1</v>
      </c>
      <c r="I1084" s="89">
        <v>1</v>
      </c>
      <c r="J1084" s="713">
        <f>H1084*L1084</f>
        <v>3000000</v>
      </c>
      <c r="K1084" s="711"/>
      <c r="L1084" s="62">
        <f>250000*12</f>
        <v>3000000</v>
      </c>
      <c r="M1084" s="62">
        <f t="shared" si="81"/>
        <v>3</v>
      </c>
    </row>
    <row r="1085" spans="1:13">
      <c r="A1085" s="88">
        <f t="shared" ref="A1085:A1112" si="87">+A1084+1</f>
        <v>2</v>
      </c>
      <c r="B1085" s="69" t="s">
        <v>1800</v>
      </c>
      <c r="C1085" s="69" t="s">
        <v>2335</v>
      </c>
      <c r="D1085" s="89">
        <v>6</v>
      </c>
      <c r="E1085" s="89">
        <v>6</v>
      </c>
      <c r="F1085" s="89">
        <v>6</v>
      </c>
      <c r="G1085" s="89">
        <v>6</v>
      </c>
      <c r="H1085" s="89">
        <v>6</v>
      </c>
      <c r="I1085" s="89">
        <v>6</v>
      </c>
      <c r="J1085" s="713">
        <f>H1085*L1085</f>
        <v>15000000</v>
      </c>
      <c r="K1085" s="711"/>
      <c r="L1085" s="62">
        <v>2500000</v>
      </c>
      <c r="M1085" s="62">
        <f t="shared" si="81"/>
        <v>3</v>
      </c>
    </row>
    <row r="1086" spans="1:13">
      <c r="A1086" s="88">
        <f t="shared" si="87"/>
        <v>3</v>
      </c>
      <c r="B1086" s="69" t="s">
        <v>3621</v>
      </c>
      <c r="C1086" s="69" t="s">
        <v>2335</v>
      </c>
      <c r="D1086" s="89">
        <v>1</v>
      </c>
      <c r="E1086" s="89">
        <v>1</v>
      </c>
      <c r="F1086" s="89">
        <v>1</v>
      </c>
      <c r="G1086" s="89">
        <v>1</v>
      </c>
      <c r="H1086" s="89">
        <v>1</v>
      </c>
      <c r="I1086" s="89">
        <v>1</v>
      </c>
      <c r="J1086" s="713">
        <f>H1086*L1086</f>
        <v>1000000</v>
      </c>
      <c r="K1086" s="711"/>
      <c r="L1086" s="62">
        <v>1000000</v>
      </c>
      <c r="M1086" s="62">
        <f t="shared" si="81"/>
        <v>3</v>
      </c>
    </row>
    <row r="1087" spans="1:13">
      <c r="A1087" s="88"/>
      <c r="B1087" s="90" t="s">
        <v>1893</v>
      </c>
      <c r="C1087" s="69"/>
      <c r="D1087" s="89"/>
      <c r="E1087" s="89"/>
      <c r="F1087" s="89"/>
      <c r="G1087" s="89"/>
      <c r="H1087" s="89"/>
      <c r="I1087" s="89"/>
      <c r="J1087" s="713"/>
      <c r="K1087" s="711"/>
      <c r="M1087" s="62">
        <f t="shared" si="81"/>
        <v>5</v>
      </c>
    </row>
    <row r="1088" spans="1:13">
      <c r="A1088" s="88">
        <f>+A1086+1</f>
        <v>4</v>
      </c>
      <c r="B1088" s="69" t="s">
        <v>866</v>
      </c>
      <c r="C1088" s="69">
        <v>6</v>
      </c>
      <c r="D1088" s="89">
        <v>2</v>
      </c>
      <c r="E1088" s="89">
        <v>2</v>
      </c>
      <c r="F1088" s="89">
        <v>2</v>
      </c>
      <c r="G1088" s="89">
        <v>2</v>
      </c>
      <c r="H1088" s="89">
        <v>2</v>
      </c>
      <c r="I1088" s="89">
        <v>2</v>
      </c>
      <c r="J1088" s="710">
        <f>(VLOOKUP($C1088,[2]Sheet1!$A$2:$P$18,$M1088+1)/12)*12*D1088</f>
        <v>476198.75786072994</v>
      </c>
      <c r="K1088" s="711"/>
      <c r="M1088" s="62">
        <f t="shared" si="81"/>
        <v>5</v>
      </c>
    </row>
    <row r="1089" spans="1:13">
      <c r="A1089" s="88">
        <f t="shared" si="87"/>
        <v>5</v>
      </c>
      <c r="B1089" s="69" t="s">
        <v>1068</v>
      </c>
      <c r="C1089" s="69">
        <v>6</v>
      </c>
      <c r="D1089" s="89">
        <v>1</v>
      </c>
      <c r="E1089" s="89">
        <v>1</v>
      </c>
      <c r="F1089" s="89">
        <v>1</v>
      </c>
      <c r="G1089" s="89">
        <v>1</v>
      </c>
      <c r="H1089" s="89">
        <v>1</v>
      </c>
      <c r="I1089" s="89">
        <v>1</v>
      </c>
      <c r="J1089" s="710">
        <f>(VLOOKUP($C1089,[2]Sheet1!$A$2:$P$18,$M1089+1)/12)*12*D1089</f>
        <v>238099.37893036497</v>
      </c>
      <c r="K1089" s="711"/>
      <c r="M1089" s="62">
        <f t="shared" si="81"/>
        <v>5</v>
      </c>
    </row>
    <row r="1090" spans="1:13">
      <c r="A1090" s="88">
        <f t="shared" si="87"/>
        <v>6</v>
      </c>
      <c r="B1090" s="69" t="s">
        <v>1313</v>
      </c>
      <c r="C1090" s="69">
        <v>5</v>
      </c>
      <c r="D1090" s="89">
        <v>1</v>
      </c>
      <c r="E1090" s="89">
        <v>1</v>
      </c>
      <c r="F1090" s="89">
        <v>1</v>
      </c>
      <c r="G1090" s="89">
        <v>1</v>
      </c>
      <c r="H1090" s="89">
        <v>1</v>
      </c>
      <c r="I1090" s="89">
        <v>1</v>
      </c>
      <c r="J1090" s="710">
        <f>(VLOOKUP($C1090,[2]Sheet1!$A$2:$P$18,$M1090+1)/12)*12*D1090</f>
        <v>229569.77893036499</v>
      </c>
      <c r="K1090" s="711"/>
      <c r="M1090" s="62">
        <f t="shared" si="81"/>
        <v>5</v>
      </c>
    </row>
    <row r="1091" spans="1:13">
      <c r="A1091" s="88">
        <f t="shared" si="87"/>
        <v>7</v>
      </c>
      <c r="B1091" s="69" t="s">
        <v>1069</v>
      </c>
      <c r="C1091" s="69">
        <v>3</v>
      </c>
      <c r="D1091" s="89">
        <v>2</v>
      </c>
      <c r="E1091" s="89">
        <v>2</v>
      </c>
      <c r="F1091" s="89">
        <v>2</v>
      </c>
      <c r="G1091" s="89">
        <v>2</v>
      </c>
      <c r="H1091" s="89">
        <v>2</v>
      </c>
      <c r="I1091" s="89">
        <v>2</v>
      </c>
      <c r="J1091" s="710">
        <f>(VLOOKUP($C1091,[2]Sheet1!$A$2:$P$18,$M1091+1)/12)*12*D1091</f>
        <v>438672.35786072997</v>
      </c>
      <c r="K1091" s="711"/>
      <c r="M1091" s="62">
        <f t="shared" si="81"/>
        <v>5</v>
      </c>
    </row>
    <row r="1092" spans="1:13">
      <c r="A1092" s="88">
        <f t="shared" si="87"/>
        <v>8</v>
      </c>
      <c r="B1092" s="69" t="s">
        <v>2597</v>
      </c>
      <c r="C1092" s="69">
        <v>3</v>
      </c>
      <c r="D1092" s="89">
        <v>0</v>
      </c>
      <c r="E1092" s="89">
        <v>0</v>
      </c>
      <c r="F1092" s="89">
        <v>0</v>
      </c>
      <c r="G1092" s="89">
        <v>0</v>
      </c>
      <c r="H1092" s="89">
        <v>0</v>
      </c>
      <c r="I1092" s="89">
        <v>0</v>
      </c>
      <c r="J1092" s="710">
        <f>(VLOOKUP($C1092,[2]Sheet1!$A$2:$P$18,$M1092+1)/12)*12*D1092</f>
        <v>0</v>
      </c>
      <c r="K1092" s="711"/>
      <c r="M1092" s="62">
        <f t="shared" si="81"/>
        <v>5</v>
      </c>
    </row>
    <row r="1093" spans="1:13">
      <c r="A1093" s="88">
        <f t="shared" si="87"/>
        <v>9</v>
      </c>
      <c r="B1093" s="69" t="s">
        <v>2439</v>
      </c>
      <c r="C1093" s="69">
        <v>2</v>
      </c>
      <c r="D1093" s="89">
        <v>4</v>
      </c>
      <c r="E1093" s="89">
        <v>4</v>
      </c>
      <c r="F1093" s="89">
        <v>4</v>
      </c>
      <c r="G1093" s="89">
        <v>4</v>
      </c>
      <c r="H1093" s="89">
        <v>2</v>
      </c>
      <c r="I1093" s="89">
        <v>4</v>
      </c>
      <c r="J1093" s="710">
        <f>(VLOOKUP($C1093,[2]Sheet1!$A$2:$P$18,$M1093+1)/12)*12*D1093</f>
        <v>858629.51572146011</v>
      </c>
      <c r="K1093" s="711"/>
      <c r="M1093" s="62">
        <f t="shared" si="81"/>
        <v>5</v>
      </c>
    </row>
    <row r="1094" spans="1:13">
      <c r="A1094" s="88">
        <f t="shared" si="87"/>
        <v>10</v>
      </c>
      <c r="B1094" s="69" t="s">
        <v>3861</v>
      </c>
      <c r="C1094" s="69">
        <v>2</v>
      </c>
      <c r="D1094" s="89">
        <v>2</v>
      </c>
      <c r="E1094" s="89">
        <v>2</v>
      </c>
      <c r="F1094" s="89">
        <v>2</v>
      </c>
      <c r="G1094" s="89">
        <v>2</v>
      </c>
      <c r="H1094" s="89">
        <v>2</v>
      </c>
      <c r="I1094" s="89">
        <v>2</v>
      </c>
      <c r="J1094" s="710">
        <f>(VLOOKUP($C1094,[2]Sheet1!$A$2:$P$18,$M1094+1)/12)*12*D1094</f>
        <v>429314.75786073005</v>
      </c>
      <c r="K1094" s="711"/>
      <c r="M1094" s="62">
        <f t="shared" si="81"/>
        <v>5</v>
      </c>
    </row>
    <row r="1095" spans="1:13">
      <c r="A1095" s="88">
        <f t="shared" si="87"/>
        <v>11</v>
      </c>
      <c r="B1095" s="69" t="s">
        <v>3858</v>
      </c>
      <c r="C1095" s="69">
        <v>1</v>
      </c>
      <c r="D1095" s="89">
        <v>3</v>
      </c>
      <c r="E1095" s="89">
        <v>3</v>
      </c>
      <c r="F1095" s="89">
        <v>3</v>
      </c>
      <c r="G1095" s="89">
        <v>3</v>
      </c>
      <c r="H1095" s="89">
        <v>3</v>
      </c>
      <c r="I1095" s="89">
        <v>3</v>
      </c>
      <c r="J1095" s="710">
        <f>(VLOOKUP($C1095,[2]Sheet1!$A$2:$P$18,$M1095+1)/12)*12*D1095</f>
        <v>621322.736791095</v>
      </c>
      <c r="K1095" s="711"/>
      <c r="M1095" s="62">
        <f t="shared" si="81"/>
        <v>5</v>
      </c>
    </row>
    <row r="1096" spans="1:13">
      <c r="A1096" s="88"/>
      <c r="B1096" s="90" t="s">
        <v>2330</v>
      </c>
      <c r="C1096" s="69"/>
      <c r="D1096" s="89"/>
      <c r="E1096" s="89"/>
      <c r="F1096" s="89"/>
      <c r="G1096" s="89"/>
      <c r="H1096" s="89"/>
      <c r="I1096" s="89"/>
      <c r="J1096" s="710"/>
      <c r="K1096" s="711"/>
      <c r="M1096" s="62">
        <f t="shared" si="81"/>
        <v>5</v>
      </c>
    </row>
    <row r="1097" spans="1:13">
      <c r="A1097" s="88">
        <f>+A1095+1</f>
        <v>12</v>
      </c>
      <c r="B1097" s="69" t="s">
        <v>3532</v>
      </c>
      <c r="C1097" s="69">
        <v>16</v>
      </c>
      <c r="D1097" s="89">
        <v>0</v>
      </c>
      <c r="E1097" s="89">
        <v>0</v>
      </c>
      <c r="F1097" s="89">
        <v>0</v>
      </c>
      <c r="G1097" s="89">
        <v>0</v>
      </c>
      <c r="H1097" s="89">
        <v>0</v>
      </c>
      <c r="I1097" s="89">
        <v>0</v>
      </c>
      <c r="J1097" s="710">
        <f>(VLOOKUP($C1097,[2]Sheet1!$A$2:$P$18,$M1097+1)/12)*12*D1097</f>
        <v>0</v>
      </c>
      <c r="K1097" s="711"/>
      <c r="M1097" s="62">
        <f t="shared" si="81"/>
        <v>3</v>
      </c>
    </row>
    <row r="1098" spans="1:13">
      <c r="A1098" s="88">
        <f t="shared" si="87"/>
        <v>13</v>
      </c>
      <c r="B1098" s="69" t="s">
        <v>1256</v>
      </c>
      <c r="C1098" s="69">
        <v>15</v>
      </c>
      <c r="D1098" s="89">
        <v>0</v>
      </c>
      <c r="E1098" s="89">
        <v>0</v>
      </c>
      <c r="F1098" s="89">
        <v>0</v>
      </c>
      <c r="G1098" s="89">
        <v>0</v>
      </c>
      <c r="H1098" s="89">
        <v>0</v>
      </c>
      <c r="I1098" s="89">
        <v>0</v>
      </c>
      <c r="J1098" s="710">
        <f>(VLOOKUP($C1098,[2]Sheet1!$A$2:$P$18,$M1098+1)/12)*12*D1098</f>
        <v>0</v>
      </c>
      <c r="K1098" s="711"/>
      <c r="M1098" s="62">
        <f t="shared" si="81"/>
        <v>3</v>
      </c>
    </row>
    <row r="1099" spans="1:13">
      <c r="A1099" s="88">
        <f t="shared" si="87"/>
        <v>14</v>
      </c>
      <c r="B1099" s="69" t="s">
        <v>3533</v>
      </c>
      <c r="C1099" s="69">
        <v>14</v>
      </c>
      <c r="D1099" s="89">
        <v>1</v>
      </c>
      <c r="E1099" s="89">
        <v>1</v>
      </c>
      <c r="F1099" s="89">
        <v>1</v>
      </c>
      <c r="G1099" s="89">
        <v>1</v>
      </c>
      <c r="H1099" s="89">
        <v>1</v>
      </c>
      <c r="I1099" s="89">
        <v>1</v>
      </c>
      <c r="J1099" s="710">
        <f>(VLOOKUP($C1099,[2]Sheet1!$A$2:$P$18,$M1099+1)/12)*12*D1099</f>
        <v>669099.40824000002</v>
      </c>
      <c r="K1099" s="711"/>
      <c r="M1099" s="62">
        <f t="shared" ref="M1099:M1152" si="88">IF(C1099&gt;6,3,5)</f>
        <v>3</v>
      </c>
    </row>
    <row r="1100" spans="1:13">
      <c r="A1100" s="88">
        <f t="shared" si="87"/>
        <v>15</v>
      </c>
      <c r="B1100" s="69" t="s">
        <v>2331</v>
      </c>
      <c r="C1100" s="69">
        <v>9</v>
      </c>
      <c r="D1100" s="89">
        <v>1</v>
      </c>
      <c r="E1100" s="89">
        <v>1</v>
      </c>
      <c r="F1100" s="89">
        <v>1</v>
      </c>
      <c r="G1100" s="89">
        <v>1</v>
      </c>
      <c r="H1100" s="89">
        <v>1</v>
      </c>
      <c r="I1100" s="89">
        <v>1</v>
      </c>
      <c r="J1100" s="710">
        <f>(VLOOKUP($C1100,[2]Sheet1!$A$2:$P$18,$M1100+1)/12)*12*D1100</f>
        <v>409681.90619999997</v>
      </c>
      <c r="K1100" s="711"/>
      <c r="M1100" s="62">
        <f t="shared" si="88"/>
        <v>3</v>
      </c>
    </row>
    <row r="1101" spans="1:13">
      <c r="A1101" s="88">
        <f t="shared" si="87"/>
        <v>16</v>
      </c>
      <c r="B1101" s="69" t="s">
        <v>1418</v>
      </c>
      <c r="C1101" s="69">
        <v>6</v>
      </c>
      <c r="D1101" s="89">
        <v>1</v>
      </c>
      <c r="E1101" s="89">
        <v>1</v>
      </c>
      <c r="F1101" s="89">
        <v>1</v>
      </c>
      <c r="G1101" s="89">
        <v>1</v>
      </c>
      <c r="H1101" s="89">
        <v>1</v>
      </c>
      <c r="I1101" s="89">
        <v>1</v>
      </c>
      <c r="J1101" s="710">
        <f>(VLOOKUP($C1101,[2]Sheet1!$A$2:$P$18,$M1101+1)/12)*12*D1101</f>
        <v>238099.37893036497</v>
      </c>
      <c r="K1101" s="711"/>
      <c r="M1101" s="62">
        <f t="shared" si="88"/>
        <v>5</v>
      </c>
    </row>
    <row r="1102" spans="1:13">
      <c r="A1102" s="88">
        <f t="shared" si="87"/>
        <v>17</v>
      </c>
      <c r="B1102" s="69" t="s">
        <v>2604</v>
      </c>
      <c r="C1102" s="69">
        <v>4</v>
      </c>
      <c r="D1102" s="89">
        <v>2</v>
      </c>
      <c r="E1102" s="89">
        <v>2</v>
      </c>
      <c r="F1102" s="89">
        <v>2</v>
      </c>
      <c r="G1102" s="89">
        <v>2</v>
      </c>
      <c r="H1102" s="89">
        <v>2</v>
      </c>
      <c r="I1102" s="89">
        <v>2</v>
      </c>
      <c r="J1102" s="710">
        <f>(VLOOKUP($C1102,[2]Sheet1!$A$2:$P$18,$M1102+1)/12)*12*D1102</f>
        <v>449085.95786073001</v>
      </c>
      <c r="K1102" s="711"/>
      <c r="M1102" s="62">
        <f t="shared" si="88"/>
        <v>5</v>
      </c>
    </row>
    <row r="1103" spans="1:13">
      <c r="A1103" s="88">
        <f t="shared" si="87"/>
        <v>18</v>
      </c>
      <c r="B1103" s="69" t="s">
        <v>3942</v>
      </c>
      <c r="C1103" s="69">
        <v>2</v>
      </c>
      <c r="D1103" s="89">
        <v>2</v>
      </c>
      <c r="E1103" s="89">
        <v>2</v>
      </c>
      <c r="F1103" s="89">
        <v>2</v>
      </c>
      <c r="G1103" s="89">
        <v>2</v>
      </c>
      <c r="H1103" s="89">
        <v>2</v>
      </c>
      <c r="I1103" s="89">
        <v>2</v>
      </c>
      <c r="J1103" s="710">
        <f>(VLOOKUP($C1103,[2]Sheet1!$A$2:$P$18,$M1103+1)/12)*12*D1103</f>
        <v>429314.75786073005</v>
      </c>
      <c r="K1103" s="711"/>
      <c r="M1103" s="62">
        <f t="shared" si="88"/>
        <v>5</v>
      </c>
    </row>
    <row r="1104" spans="1:13">
      <c r="A1104" s="88">
        <f t="shared" si="87"/>
        <v>19</v>
      </c>
      <c r="B1104" s="69" t="s">
        <v>3943</v>
      </c>
      <c r="C1104" s="69">
        <v>2</v>
      </c>
      <c r="D1104" s="89">
        <v>2</v>
      </c>
      <c r="E1104" s="89">
        <v>2</v>
      </c>
      <c r="F1104" s="89">
        <v>2</v>
      </c>
      <c r="G1104" s="89">
        <v>2</v>
      </c>
      <c r="H1104" s="89">
        <v>2</v>
      </c>
      <c r="I1104" s="89">
        <v>2</v>
      </c>
      <c r="J1104" s="710">
        <f>(VLOOKUP($C1104,[2]Sheet1!$A$2:$P$18,$M1104+1)/12)*12*D1104</f>
        <v>429314.75786073005</v>
      </c>
      <c r="K1104" s="711"/>
      <c r="M1104" s="62">
        <f t="shared" si="88"/>
        <v>5</v>
      </c>
    </row>
    <row r="1105" spans="1:13">
      <c r="A1105" s="88"/>
      <c r="B1105" s="90" t="s">
        <v>2444</v>
      </c>
      <c r="C1105" s="69"/>
      <c r="D1105" s="89"/>
      <c r="E1105" s="89"/>
      <c r="F1105" s="89"/>
      <c r="G1105" s="89"/>
      <c r="H1105" s="89"/>
      <c r="I1105" s="89"/>
      <c r="J1105" s="710"/>
      <c r="K1105" s="711"/>
      <c r="M1105" s="62">
        <f t="shared" si="88"/>
        <v>5</v>
      </c>
    </row>
    <row r="1106" spans="1:13">
      <c r="A1106" s="88">
        <f>+A1104+1</f>
        <v>20</v>
      </c>
      <c r="B1106" s="69" t="s">
        <v>3532</v>
      </c>
      <c r="C1106" s="69">
        <v>16</v>
      </c>
      <c r="D1106" s="89">
        <v>1</v>
      </c>
      <c r="E1106" s="89">
        <v>1</v>
      </c>
      <c r="F1106" s="89">
        <v>1</v>
      </c>
      <c r="G1106" s="89">
        <v>1</v>
      </c>
      <c r="H1106" s="89">
        <v>1</v>
      </c>
      <c r="I1106" s="89">
        <v>1</v>
      </c>
      <c r="J1106" s="710">
        <f>(VLOOKUP($C1106,[2]Sheet1!$A$2:$P$18,$M1106+1)/12)*12*D1106</f>
        <v>677281.26084</v>
      </c>
      <c r="K1106" s="711"/>
      <c r="M1106" s="62">
        <f t="shared" si="88"/>
        <v>3</v>
      </c>
    </row>
    <row r="1107" spans="1:13">
      <c r="A1107" s="88">
        <f t="shared" si="87"/>
        <v>21</v>
      </c>
      <c r="B1107" s="69" t="s">
        <v>1256</v>
      </c>
      <c r="C1107" s="69">
        <v>15</v>
      </c>
      <c r="D1107" s="89">
        <v>1</v>
      </c>
      <c r="E1107" s="89">
        <v>1</v>
      </c>
      <c r="F1107" s="89">
        <v>1</v>
      </c>
      <c r="G1107" s="89">
        <v>1</v>
      </c>
      <c r="H1107" s="89">
        <v>1</v>
      </c>
      <c r="I1107" s="89">
        <v>1</v>
      </c>
      <c r="J1107" s="710">
        <f>(VLOOKUP($C1107,[2]Sheet1!$A$2:$P$18,$M1107+1)/12)*12*D1107</f>
        <v>658331.89992</v>
      </c>
      <c r="K1107" s="711"/>
      <c r="M1107" s="62">
        <f t="shared" si="88"/>
        <v>3</v>
      </c>
    </row>
    <row r="1108" spans="1:13">
      <c r="A1108" s="88">
        <f t="shared" si="87"/>
        <v>22</v>
      </c>
      <c r="B1108" s="69" t="s">
        <v>3533</v>
      </c>
      <c r="C1108" s="69">
        <v>14</v>
      </c>
      <c r="D1108" s="89">
        <v>1</v>
      </c>
      <c r="E1108" s="89">
        <v>1</v>
      </c>
      <c r="F1108" s="89">
        <v>1</v>
      </c>
      <c r="G1108" s="89">
        <v>1</v>
      </c>
      <c r="H1108" s="89">
        <v>1</v>
      </c>
      <c r="I1108" s="89">
        <v>1</v>
      </c>
      <c r="J1108" s="710">
        <f>(VLOOKUP($C1108,[2]Sheet1!$A$2:$P$18,$M1108+1)/12)*12*D1108</f>
        <v>669099.40824000002</v>
      </c>
      <c r="K1108" s="711"/>
      <c r="M1108" s="62">
        <f t="shared" si="88"/>
        <v>3</v>
      </c>
    </row>
    <row r="1109" spans="1:13">
      <c r="A1109" s="88"/>
      <c r="B1109" s="90" t="s">
        <v>1851</v>
      </c>
      <c r="C1109" s="69"/>
      <c r="D1109" s="89"/>
      <c r="E1109" s="89"/>
      <c r="F1109" s="89"/>
      <c r="G1109" s="89"/>
      <c r="H1109" s="89"/>
      <c r="I1109" s="89"/>
      <c r="J1109" s="710"/>
      <c r="K1109" s="711"/>
      <c r="M1109" s="62">
        <f t="shared" si="88"/>
        <v>5</v>
      </c>
    </row>
    <row r="1110" spans="1:13">
      <c r="A1110" s="88">
        <f>+A1108+1</f>
        <v>23</v>
      </c>
      <c r="B1110" s="69" t="s">
        <v>2445</v>
      </c>
      <c r="C1110" s="69">
        <v>6</v>
      </c>
      <c r="D1110" s="89">
        <v>1</v>
      </c>
      <c r="E1110" s="89">
        <v>1</v>
      </c>
      <c r="F1110" s="89">
        <v>1</v>
      </c>
      <c r="G1110" s="89">
        <v>1</v>
      </c>
      <c r="H1110" s="89">
        <v>1</v>
      </c>
      <c r="I1110" s="89">
        <v>1</v>
      </c>
      <c r="J1110" s="710">
        <f>(VLOOKUP($C1110,[2]Sheet1!$A$2:$P$18,$M1110+1)/12)*12*D1110</f>
        <v>238099.37893036497</v>
      </c>
      <c r="K1110" s="711"/>
      <c r="M1110" s="62">
        <f t="shared" si="88"/>
        <v>5</v>
      </c>
    </row>
    <row r="1111" spans="1:13">
      <c r="A1111" s="88">
        <f t="shared" si="87"/>
        <v>24</v>
      </c>
      <c r="B1111" s="69" t="s">
        <v>865</v>
      </c>
      <c r="C1111" s="69">
        <v>4</v>
      </c>
      <c r="D1111" s="89">
        <v>0</v>
      </c>
      <c r="E1111" s="89">
        <v>0</v>
      </c>
      <c r="F1111" s="89">
        <v>0</v>
      </c>
      <c r="G1111" s="89">
        <v>0</v>
      </c>
      <c r="H1111" s="89">
        <v>0</v>
      </c>
      <c r="I1111" s="89">
        <v>0</v>
      </c>
      <c r="J1111" s="710">
        <f>(VLOOKUP($C1111,[2]Sheet1!$A$2:$P$18,$M1111+1)/12)*12*D1111</f>
        <v>0</v>
      </c>
      <c r="K1111" s="711"/>
      <c r="M1111" s="62">
        <f t="shared" si="88"/>
        <v>5</v>
      </c>
    </row>
    <row r="1112" spans="1:13">
      <c r="A1112" s="88">
        <f t="shared" si="87"/>
        <v>25</v>
      </c>
      <c r="B1112" s="69" t="s">
        <v>2874</v>
      </c>
      <c r="C1112" s="69">
        <v>4</v>
      </c>
      <c r="D1112" s="89">
        <v>0</v>
      </c>
      <c r="E1112" s="89">
        <v>0</v>
      </c>
      <c r="F1112" s="89">
        <v>0</v>
      </c>
      <c r="G1112" s="89">
        <v>0</v>
      </c>
      <c r="H1112" s="89">
        <v>0</v>
      </c>
      <c r="I1112" s="89">
        <v>0</v>
      </c>
      <c r="J1112" s="710">
        <f>(VLOOKUP($C1112,[2]Sheet1!$A$2:$P$18,$M1112+1)/12)*12*D1112</f>
        <v>0</v>
      </c>
      <c r="K1112" s="711"/>
      <c r="M1112" s="62">
        <f t="shared" si="88"/>
        <v>5</v>
      </c>
    </row>
    <row r="1113" spans="1:13">
      <c r="A1113" s="88"/>
      <c r="B1113" s="127"/>
      <c r="C1113" s="69"/>
      <c r="D1113" s="89"/>
      <c r="E1113" s="89"/>
      <c r="F1113" s="89"/>
      <c r="G1113" s="89"/>
      <c r="H1113" s="89"/>
      <c r="I1113" s="89"/>
      <c r="J1113" s="710"/>
      <c r="K1113" s="711"/>
      <c r="M1113" s="62">
        <f t="shared" si="88"/>
        <v>5</v>
      </c>
    </row>
    <row r="1114" spans="1:13">
      <c r="A1114" s="92"/>
      <c r="B1114" s="93" t="s">
        <v>1684</v>
      </c>
      <c r="C1114" s="94"/>
      <c r="D1114" s="123">
        <f t="shared" ref="D1114:I1114" si="89">SUM(D1083:D1113)</f>
        <v>36</v>
      </c>
      <c r="E1114" s="123">
        <f t="shared" si="89"/>
        <v>36</v>
      </c>
      <c r="F1114" s="123">
        <f t="shared" si="89"/>
        <v>36</v>
      </c>
      <c r="G1114" s="123">
        <f>SUM(G1083:G1113)</f>
        <v>36</v>
      </c>
      <c r="H1114" s="123">
        <f t="shared" si="89"/>
        <v>34</v>
      </c>
      <c r="I1114" s="123">
        <f t="shared" si="89"/>
        <v>36</v>
      </c>
      <c r="J1114" s="124">
        <f>SUM(J1083:J1113)</f>
        <v>27159215.398838401</v>
      </c>
      <c r="K1114" s="376"/>
      <c r="M1114" s="62">
        <f t="shared" si="88"/>
        <v>5</v>
      </c>
    </row>
    <row r="1115" spans="1:13">
      <c r="A1115" s="88" t="s">
        <v>1840</v>
      </c>
      <c r="B1115" s="69"/>
      <c r="C1115" s="69"/>
      <c r="D1115" s="89"/>
      <c r="E1115" s="89"/>
      <c r="F1115" s="89"/>
      <c r="G1115" s="89"/>
      <c r="H1115" s="89"/>
      <c r="I1115" s="89"/>
      <c r="J1115" s="713"/>
      <c r="K1115" s="711"/>
      <c r="M1115" s="62">
        <f t="shared" si="88"/>
        <v>5</v>
      </c>
    </row>
    <row r="1116" spans="1:13">
      <c r="A1116" s="88" t="s">
        <v>1840</v>
      </c>
      <c r="B1116" s="97" t="s">
        <v>1199</v>
      </c>
      <c r="C1116" s="69"/>
      <c r="D1116" s="89"/>
      <c r="E1116" s="89"/>
      <c r="F1116" s="125"/>
      <c r="G1116" s="240" t="s">
        <v>243</v>
      </c>
      <c r="H1116" s="240" t="s">
        <v>4130</v>
      </c>
      <c r="I1116" s="240" t="s">
        <v>4202</v>
      </c>
      <c r="J1116" s="241" t="s">
        <v>4200</v>
      </c>
      <c r="K1116" s="375"/>
      <c r="M1116" s="62">
        <f t="shared" si="88"/>
        <v>5</v>
      </c>
    </row>
    <row r="1117" spans="1:13">
      <c r="A1117" s="88">
        <v>1</v>
      </c>
      <c r="B1117" s="69" t="s">
        <v>2786</v>
      </c>
      <c r="C1117" s="69"/>
      <c r="D1117" s="89"/>
      <c r="E1117" s="89"/>
      <c r="F1117" s="100"/>
      <c r="G1117" s="100">
        <f>J1114*0.2</f>
        <v>5431843.0797676807</v>
      </c>
      <c r="H1117" s="100">
        <f t="shared" ref="H1117:I1119" si="90">G1117*1.02</f>
        <v>5540479.9413630348</v>
      </c>
      <c r="I1117" s="100">
        <f t="shared" si="90"/>
        <v>5651289.5401902953</v>
      </c>
      <c r="J1117" s="100">
        <f>SUM(G1117:I1117)</f>
        <v>16623612.561321009</v>
      </c>
      <c r="K1117" s="114"/>
      <c r="M1117" s="62">
        <f t="shared" si="88"/>
        <v>5</v>
      </c>
    </row>
    <row r="1118" spans="1:13">
      <c r="A1118" s="88">
        <f>+A1117+1</f>
        <v>2</v>
      </c>
      <c r="B1118" s="69" t="s">
        <v>2877</v>
      </c>
      <c r="C1118" s="69"/>
      <c r="D1118" s="89"/>
      <c r="E1118" s="89"/>
      <c r="F1118" s="100"/>
      <c r="G1118" s="100">
        <f>G1117/3</f>
        <v>1810614.3599225602</v>
      </c>
      <c r="H1118" s="100">
        <f t="shared" si="90"/>
        <v>1846826.6471210115</v>
      </c>
      <c r="I1118" s="100">
        <f t="shared" si="90"/>
        <v>1883763.1800634318</v>
      </c>
      <c r="J1118" s="100">
        <f>SUM(G1118:I1118)</f>
        <v>5541204.1871070033</v>
      </c>
      <c r="K1118" s="114"/>
      <c r="M1118" s="62">
        <f t="shared" si="88"/>
        <v>5</v>
      </c>
    </row>
    <row r="1119" spans="1:13">
      <c r="A1119" s="88">
        <f>+A1118+1</f>
        <v>3</v>
      </c>
      <c r="B1119" s="69" t="s">
        <v>1342</v>
      </c>
      <c r="C1119" s="69"/>
      <c r="D1119" s="89"/>
      <c r="E1119" s="89"/>
      <c r="F1119" s="100"/>
      <c r="G1119" s="100">
        <f>G1118/3</f>
        <v>603538.11997418676</v>
      </c>
      <c r="H1119" s="100">
        <f t="shared" si="90"/>
        <v>615608.88237367047</v>
      </c>
      <c r="I1119" s="100">
        <f t="shared" si="90"/>
        <v>627921.06002114387</v>
      </c>
      <c r="J1119" s="100">
        <f>SUM(G1119:I1119)</f>
        <v>1847068.0623690011</v>
      </c>
      <c r="K1119" s="114"/>
      <c r="M1119" s="62">
        <f t="shared" si="88"/>
        <v>5</v>
      </c>
    </row>
    <row r="1120" spans="1:13">
      <c r="A1120" s="92" t="s">
        <v>1840</v>
      </c>
      <c r="B1120" s="93" t="s">
        <v>1684</v>
      </c>
      <c r="C1120" s="94"/>
      <c r="D1120" s="101"/>
      <c r="E1120" s="101"/>
      <c r="F1120" s="123"/>
      <c r="G1120" s="123">
        <f>SUM(G1117:G1119)</f>
        <v>7845995.5596644273</v>
      </c>
      <c r="H1120" s="123">
        <f>SUM(H1117:H1119)</f>
        <v>8002915.4708577162</v>
      </c>
      <c r="I1120" s="123">
        <f>SUM(I1117:I1119)</f>
        <v>8162973.7802748717</v>
      </c>
      <c r="J1120" s="123">
        <f>SUM(J1117:J1119)</f>
        <v>24011884.810797013</v>
      </c>
      <c r="K1120" s="378"/>
      <c r="M1120" s="62">
        <f t="shared" si="88"/>
        <v>5</v>
      </c>
    </row>
    <row r="1121" spans="1:13">
      <c r="A1121" s="88"/>
      <c r="B1121" s="97"/>
      <c r="C1121" s="69"/>
      <c r="D1121" s="89"/>
      <c r="E1121" s="89"/>
      <c r="F1121" s="126"/>
      <c r="G1121" s="126"/>
      <c r="H1121" s="126"/>
      <c r="I1121" s="126"/>
      <c r="J1121" s="126"/>
      <c r="K1121" s="132"/>
      <c r="M1121" s="62">
        <f t="shared" si="88"/>
        <v>5</v>
      </c>
    </row>
    <row r="1122" spans="1:13">
      <c r="A1122" s="88" t="s">
        <v>1840</v>
      </c>
      <c r="B1122" s="69" t="s">
        <v>1119</v>
      </c>
      <c r="C1122" s="69"/>
      <c r="D1122" s="89"/>
      <c r="E1122" s="89"/>
      <c r="F1122" s="89"/>
      <c r="G1122" s="100">
        <f>G1120+J1114</f>
        <v>35005210.958502829</v>
      </c>
      <c r="H1122" s="100">
        <f>G1122*1.02</f>
        <v>35705315.177672885</v>
      </c>
      <c r="I1122" s="100">
        <f>H1122*1.02</f>
        <v>36419421.481226347</v>
      </c>
      <c r="J1122" s="100">
        <f>SUM(G1122:I1122)</f>
        <v>107129947.61740208</v>
      </c>
      <c r="K1122" s="114"/>
      <c r="L1122" s="112"/>
      <c r="M1122" s="62">
        <f t="shared" si="88"/>
        <v>5</v>
      </c>
    </row>
    <row r="1123" spans="1:13">
      <c r="A1123" s="88" t="s">
        <v>1840</v>
      </c>
      <c r="B1123" s="69" t="s">
        <v>3944</v>
      </c>
      <c r="C1123" s="69"/>
      <c r="D1123" s="89"/>
      <c r="E1123" s="89"/>
      <c r="F1123" s="89"/>
      <c r="G1123" s="89">
        <f>C1150</f>
        <v>8000000</v>
      </c>
      <c r="H1123" s="89">
        <f>D1150</f>
        <v>28400000</v>
      </c>
      <c r="I1123" s="89">
        <f>E1150</f>
        <v>28400000</v>
      </c>
      <c r="J1123" s="100">
        <f>SUM(G1123:I1123)</f>
        <v>64800000</v>
      </c>
      <c r="K1123" s="114"/>
      <c r="M1123" s="62">
        <f t="shared" si="88"/>
        <v>5</v>
      </c>
    </row>
    <row r="1124" spans="1:13">
      <c r="A1124" s="92" t="s">
        <v>1840</v>
      </c>
      <c r="B1124" s="93" t="s">
        <v>2843</v>
      </c>
      <c r="C1124" s="94"/>
      <c r="D1124" s="101"/>
      <c r="E1124" s="101"/>
      <c r="F1124" s="123"/>
      <c r="G1124" s="123">
        <f>SUM(G1122:G1123)</f>
        <v>43005210.958502829</v>
      </c>
      <c r="H1124" s="123">
        <f>SUM(H1122:H1123)</f>
        <v>64105315.177672885</v>
      </c>
      <c r="I1124" s="123">
        <f>SUM(I1122:I1123)</f>
        <v>64819421.481226347</v>
      </c>
      <c r="J1124" s="123">
        <f>SUM(J1122:J1123)</f>
        <v>171929947.61740208</v>
      </c>
      <c r="K1124" s="378"/>
      <c r="M1124" s="62">
        <f t="shared" si="88"/>
        <v>5</v>
      </c>
    </row>
    <row r="1125" spans="1:13" ht="15">
      <c r="C1125" s="77"/>
      <c r="D1125" s="78" t="s">
        <v>5434</v>
      </c>
      <c r="J1125" s="584"/>
      <c r="K1125" s="584"/>
      <c r="M1125" s="62">
        <f t="shared" si="88"/>
        <v>5</v>
      </c>
    </row>
    <row r="1126" spans="1:13" ht="15">
      <c r="C1126" s="77"/>
      <c r="D1126" s="78" t="s">
        <v>716</v>
      </c>
      <c r="J1126" s="584"/>
      <c r="K1126" s="584"/>
      <c r="M1126" s="62">
        <f t="shared" si="88"/>
        <v>5</v>
      </c>
    </row>
    <row r="1127" spans="1:13">
      <c r="C1127" s="79" t="s">
        <v>717</v>
      </c>
      <c r="D1127" s="78" t="s">
        <v>509</v>
      </c>
      <c r="G1127" s="62"/>
      <c r="H1127" s="62"/>
      <c r="I1127" s="62"/>
      <c r="M1127" s="62">
        <f t="shared" si="88"/>
        <v>3</v>
      </c>
    </row>
    <row r="1128" spans="1:13">
      <c r="C1128" s="79" t="s">
        <v>718</v>
      </c>
      <c r="D1128" s="78" t="s">
        <v>935</v>
      </c>
      <c r="E1128" s="62"/>
      <c r="G1128" s="79"/>
      <c r="H1128" s="79"/>
      <c r="I1128" s="79"/>
      <c r="J1128" s="78"/>
      <c r="K1128" s="78"/>
    </row>
    <row r="1129" spans="1:13" ht="15">
      <c r="A1129" s="634" t="s">
        <v>1839</v>
      </c>
      <c r="B1129" s="635" t="s">
        <v>903</v>
      </c>
      <c r="C1129" s="1037" t="s">
        <v>4127</v>
      </c>
      <c r="D1129" s="1038"/>
      <c r="E1129" s="1039"/>
      <c r="F1129" s="635" t="s">
        <v>1684</v>
      </c>
      <c r="G1129" s="1037" t="s">
        <v>4132</v>
      </c>
      <c r="H1129" s="1038"/>
      <c r="I1129" s="1039"/>
      <c r="J1129" s="726"/>
      <c r="K1129" s="727"/>
    </row>
    <row r="1130" spans="1:13">
      <c r="A1130" s="636" t="s">
        <v>1620</v>
      </c>
      <c r="B1130" s="637"/>
      <c r="C1130" s="635" t="s">
        <v>1841</v>
      </c>
      <c r="D1130" s="635" t="s">
        <v>4133</v>
      </c>
      <c r="E1130" s="635" t="s">
        <v>4133</v>
      </c>
      <c r="F1130" s="1056" t="s">
        <v>4200</v>
      </c>
      <c r="G1130" s="634" t="s">
        <v>4135</v>
      </c>
      <c r="H1130" s="1051" t="s">
        <v>4182</v>
      </c>
      <c r="I1130" s="634" t="s">
        <v>4135</v>
      </c>
      <c r="J1130" s="728" t="s">
        <v>4136</v>
      </c>
      <c r="K1130" s="727"/>
    </row>
    <row r="1131" spans="1:13" ht="12.75" customHeight="1">
      <c r="A1131" s="638" t="s">
        <v>387</v>
      </c>
      <c r="B1131" s="639"/>
      <c r="C1131" s="638">
        <v>2015</v>
      </c>
      <c r="D1131" s="638">
        <v>2016</v>
      </c>
      <c r="E1131" s="638">
        <v>2017</v>
      </c>
      <c r="F1131" s="1057"/>
      <c r="G1131" s="638" t="s">
        <v>4304</v>
      </c>
      <c r="H1131" s="1052"/>
      <c r="I1131" s="638" t="s">
        <v>4303</v>
      </c>
      <c r="J1131" s="639"/>
      <c r="K1131" s="729"/>
    </row>
    <row r="1132" spans="1:13">
      <c r="A1132" s="730"/>
      <c r="B1132" s="730"/>
      <c r="C1132" s="764"/>
      <c r="D1132" s="764"/>
      <c r="E1132" s="764"/>
      <c r="F1132" s="764"/>
      <c r="G1132" s="764"/>
      <c r="H1132" s="764"/>
      <c r="I1132" s="764"/>
      <c r="J1132" s="764"/>
      <c r="K1132" s="765"/>
      <c r="M1132" s="62" t="e">
        <f>IF(#REF!&gt;6,3,5)</f>
        <v>#REF!</v>
      </c>
    </row>
    <row r="1133" spans="1:13">
      <c r="A1133" s="759">
        <v>2</v>
      </c>
      <c r="B1133" s="745" t="s">
        <v>1695</v>
      </c>
      <c r="C1133" s="390">
        <v>1000000</v>
      </c>
      <c r="D1133" s="390">
        <v>5000000</v>
      </c>
      <c r="E1133" s="390">
        <v>5000000</v>
      </c>
      <c r="F1133" s="390">
        <f>SUM(C1133:E1133)</f>
        <v>11000000</v>
      </c>
      <c r="G1133" s="390">
        <v>437000</v>
      </c>
      <c r="H1133" s="390">
        <v>1500000</v>
      </c>
      <c r="I1133" s="390">
        <v>1145000</v>
      </c>
      <c r="J1133" s="390"/>
      <c r="K1133" s="734"/>
      <c r="M1133" s="62" t="e">
        <f>IF(#REF!&gt;6,3,5)</f>
        <v>#REF!</v>
      </c>
    </row>
    <row r="1134" spans="1:13">
      <c r="A1134" s="759">
        <f t="shared" ref="A1134:A1143" si="91">A1133+1</f>
        <v>3</v>
      </c>
      <c r="B1134" s="745" t="s">
        <v>1696</v>
      </c>
      <c r="C1134" s="390" t="s">
        <v>1386</v>
      </c>
      <c r="D1134" s="390">
        <v>600000</v>
      </c>
      <c r="E1134" s="390">
        <v>600000</v>
      </c>
      <c r="F1134" s="390">
        <f t="shared" ref="F1134:F1148" si="92">SUM(C1134:E1134)</f>
        <v>1200000</v>
      </c>
      <c r="G1134" s="390"/>
      <c r="H1134" s="390" t="s">
        <v>1386</v>
      </c>
      <c r="I1134" s="390"/>
      <c r="J1134" s="390"/>
      <c r="K1134" s="734"/>
      <c r="M1134" s="62" t="e">
        <f>IF(#REF!&gt;6,3,5)</f>
        <v>#REF!</v>
      </c>
    </row>
    <row r="1135" spans="1:13">
      <c r="A1135" s="759">
        <f t="shared" si="91"/>
        <v>4</v>
      </c>
      <c r="B1135" s="745" t="s">
        <v>1701</v>
      </c>
      <c r="C1135" s="390" t="s">
        <v>1386</v>
      </c>
      <c r="D1135" s="390">
        <v>300000</v>
      </c>
      <c r="E1135" s="390">
        <v>300000</v>
      </c>
      <c r="F1135" s="390">
        <f t="shared" si="92"/>
        <v>600000</v>
      </c>
      <c r="G1135" s="390"/>
      <c r="H1135" s="390" t="s">
        <v>1386</v>
      </c>
      <c r="I1135" s="390"/>
      <c r="J1135" s="390"/>
      <c r="K1135" s="734"/>
      <c r="M1135" s="62" t="e">
        <f>IF(#REF!&gt;6,3,5)</f>
        <v>#REF!</v>
      </c>
    </row>
    <row r="1136" spans="1:13">
      <c r="A1136" s="759">
        <f t="shared" si="91"/>
        <v>5</v>
      </c>
      <c r="B1136" s="745" t="s">
        <v>1702</v>
      </c>
      <c r="C1136" s="761">
        <v>300000</v>
      </c>
      <c r="D1136" s="761">
        <v>2000000</v>
      </c>
      <c r="E1136" s="761">
        <v>2000000</v>
      </c>
      <c r="F1136" s="390">
        <f t="shared" si="92"/>
        <v>4300000</v>
      </c>
      <c r="G1136" s="761">
        <v>27000</v>
      </c>
      <c r="H1136" s="761">
        <v>500000</v>
      </c>
      <c r="I1136" s="761">
        <v>185000</v>
      </c>
      <c r="J1136" s="390"/>
      <c r="K1136" s="734"/>
      <c r="M1136" s="62" t="e">
        <f>IF(#REF!&gt;6,3,5)</f>
        <v>#REF!</v>
      </c>
    </row>
    <row r="1137" spans="1:13">
      <c r="A1137" s="759">
        <f t="shared" si="91"/>
        <v>6</v>
      </c>
      <c r="B1137" s="745" t="s">
        <v>3826</v>
      </c>
      <c r="C1137" s="761">
        <v>300000</v>
      </c>
      <c r="D1137" s="731">
        <v>2000000</v>
      </c>
      <c r="E1137" s="731">
        <v>2000000</v>
      </c>
      <c r="F1137" s="390">
        <f t="shared" si="92"/>
        <v>4300000</v>
      </c>
      <c r="G1137" s="731">
        <v>71000</v>
      </c>
      <c r="H1137" s="761">
        <v>500000</v>
      </c>
      <c r="I1137" s="731">
        <v>28600</v>
      </c>
      <c r="J1137" s="390"/>
      <c r="K1137" s="734"/>
      <c r="M1137" s="62" t="e">
        <f>IF(#REF!&gt;6,3,5)</f>
        <v>#REF!</v>
      </c>
    </row>
    <row r="1138" spans="1:13">
      <c r="A1138" s="759">
        <f>A1137+1</f>
        <v>7</v>
      </c>
      <c r="B1138" s="745" t="s">
        <v>3680</v>
      </c>
      <c r="C1138" s="761">
        <v>400000</v>
      </c>
      <c r="D1138" s="731">
        <v>2000000</v>
      </c>
      <c r="E1138" s="731">
        <v>2000000</v>
      </c>
      <c r="F1138" s="390">
        <f t="shared" si="92"/>
        <v>4400000</v>
      </c>
      <c r="G1138" s="731">
        <v>148500</v>
      </c>
      <c r="H1138" s="761">
        <v>1000000</v>
      </c>
      <c r="I1138" s="731">
        <v>373200</v>
      </c>
      <c r="J1138" s="390"/>
      <c r="K1138" s="734"/>
      <c r="M1138" s="62" t="e">
        <f>IF(#REF!&gt;6,3,5)</f>
        <v>#REF!</v>
      </c>
    </row>
    <row r="1139" spans="1:13">
      <c r="A1139" s="759">
        <v>8</v>
      </c>
      <c r="B1139" s="745" t="s">
        <v>3599</v>
      </c>
      <c r="C1139" s="731" t="s">
        <v>1386</v>
      </c>
      <c r="D1139" s="731">
        <v>0</v>
      </c>
      <c r="E1139" s="731">
        <v>0</v>
      </c>
      <c r="F1139" s="390">
        <f t="shared" si="92"/>
        <v>0</v>
      </c>
      <c r="G1139" s="731"/>
      <c r="H1139" s="731" t="s">
        <v>1386</v>
      </c>
      <c r="I1139" s="731"/>
      <c r="J1139" s="390"/>
      <c r="K1139" s="734"/>
      <c r="M1139" s="62" t="e">
        <f>IF(#REF!&gt;6,3,5)</f>
        <v>#REF!</v>
      </c>
    </row>
    <row r="1140" spans="1:13">
      <c r="A1140" s="759">
        <v>9</v>
      </c>
      <c r="B1140" s="745" t="s">
        <v>2061</v>
      </c>
      <c r="C1140" s="731" t="s">
        <v>1386</v>
      </c>
      <c r="D1140" s="731">
        <v>0</v>
      </c>
      <c r="E1140" s="731">
        <v>0</v>
      </c>
      <c r="F1140" s="390">
        <f t="shared" si="92"/>
        <v>0</v>
      </c>
      <c r="G1140" s="731"/>
      <c r="H1140" s="731" t="s">
        <v>1386</v>
      </c>
      <c r="I1140" s="731"/>
      <c r="J1140" s="390"/>
      <c r="K1140" s="734"/>
      <c r="M1140" s="62" t="e">
        <f>IF(#REF!&gt;6,3,5)</f>
        <v>#REF!</v>
      </c>
    </row>
    <row r="1141" spans="1:13">
      <c r="A1141" s="759">
        <f t="shared" si="91"/>
        <v>10</v>
      </c>
      <c r="B1141" s="745" t="s">
        <v>2685</v>
      </c>
      <c r="C1141" s="761">
        <v>200000</v>
      </c>
      <c r="D1141" s="761">
        <v>1000000</v>
      </c>
      <c r="E1141" s="761">
        <v>1000000</v>
      </c>
      <c r="F1141" s="390">
        <f t="shared" si="92"/>
        <v>2200000</v>
      </c>
      <c r="G1141" s="761">
        <v>100000</v>
      </c>
      <c r="H1141" s="761">
        <v>500000</v>
      </c>
      <c r="I1141" s="761">
        <v>0</v>
      </c>
      <c r="J1141" s="390"/>
      <c r="K1141" s="734"/>
      <c r="M1141" s="62" t="e">
        <f>IF(#REF!&gt;6,3,5)</f>
        <v>#REF!</v>
      </c>
    </row>
    <row r="1142" spans="1:13">
      <c r="A1142" s="759">
        <f t="shared" si="91"/>
        <v>11</v>
      </c>
      <c r="B1142" s="745" t="s">
        <v>2687</v>
      </c>
      <c r="C1142" s="731">
        <v>100000</v>
      </c>
      <c r="D1142" s="731">
        <v>300000</v>
      </c>
      <c r="E1142" s="731">
        <v>300000</v>
      </c>
      <c r="F1142" s="390">
        <f t="shared" si="92"/>
        <v>700000</v>
      </c>
      <c r="G1142" s="731">
        <v>648500</v>
      </c>
      <c r="H1142" s="731">
        <v>200000</v>
      </c>
      <c r="I1142" s="731">
        <v>25600</v>
      </c>
      <c r="J1142" s="390"/>
      <c r="K1142" s="734"/>
      <c r="M1142" s="62" t="e">
        <f>IF(#REF!&gt;6,3,5)</f>
        <v>#REF!</v>
      </c>
    </row>
    <row r="1143" spans="1:13">
      <c r="A1143" s="759">
        <f t="shared" si="91"/>
        <v>12</v>
      </c>
      <c r="B1143" s="745" t="s">
        <v>2688</v>
      </c>
      <c r="C1143" s="731">
        <v>2200000</v>
      </c>
      <c r="D1143" s="731">
        <v>3500000</v>
      </c>
      <c r="E1143" s="731">
        <v>3500000</v>
      </c>
      <c r="F1143" s="390">
        <f t="shared" si="92"/>
        <v>9200000</v>
      </c>
      <c r="G1143" s="731"/>
      <c r="H1143" s="731">
        <v>2000000</v>
      </c>
      <c r="I1143" s="731">
        <v>1245600</v>
      </c>
      <c r="J1143" s="390"/>
      <c r="K1143" s="734"/>
      <c r="M1143" s="62" t="e">
        <f>IF(#REF!&gt;6,3,5)</f>
        <v>#REF!</v>
      </c>
    </row>
    <row r="1144" spans="1:13">
      <c r="A1144" s="62">
        <v>13</v>
      </c>
      <c r="B1144" s="62" t="s">
        <v>2249</v>
      </c>
      <c r="C1144" s="761">
        <v>100000</v>
      </c>
      <c r="D1144" s="761">
        <v>200000</v>
      </c>
      <c r="E1144" s="761">
        <v>200000</v>
      </c>
      <c r="F1144" s="390">
        <f t="shared" si="92"/>
        <v>500000</v>
      </c>
      <c r="G1144" s="761"/>
      <c r="H1144" s="761">
        <v>150000</v>
      </c>
      <c r="I1144" s="761"/>
      <c r="J1144" s="390"/>
      <c r="K1144" s="734"/>
      <c r="M1144" s="62" t="e">
        <f>IF(#REF!&gt;6,3,5)</f>
        <v>#REF!</v>
      </c>
    </row>
    <row r="1145" spans="1:13">
      <c r="A1145" s="730">
        <v>14</v>
      </c>
      <c r="B1145" s="733" t="s">
        <v>133</v>
      </c>
      <c r="C1145" s="761">
        <v>100000</v>
      </c>
      <c r="D1145" s="761">
        <v>2000000</v>
      </c>
      <c r="E1145" s="761">
        <v>2000000</v>
      </c>
      <c r="F1145" s="390">
        <f t="shared" si="92"/>
        <v>4100000</v>
      </c>
      <c r="G1145" s="761"/>
      <c r="H1145" s="761">
        <v>800000</v>
      </c>
      <c r="I1145" s="761"/>
      <c r="J1145" s="390"/>
      <c r="K1145" s="734"/>
      <c r="M1145" s="62" t="e">
        <f>IF(#REF!&gt;6,3,5)</f>
        <v>#REF!</v>
      </c>
    </row>
    <row r="1146" spans="1:13">
      <c r="A1146" s="759">
        <v>15</v>
      </c>
      <c r="B1146" s="745" t="s">
        <v>511</v>
      </c>
      <c r="C1146" s="761">
        <v>1000000</v>
      </c>
      <c r="D1146" s="761">
        <v>5500000</v>
      </c>
      <c r="E1146" s="761">
        <v>5500000</v>
      </c>
      <c r="F1146" s="390">
        <f t="shared" si="92"/>
        <v>12000000</v>
      </c>
      <c r="G1146" s="761">
        <v>278000</v>
      </c>
      <c r="H1146" s="761">
        <v>5000000</v>
      </c>
      <c r="I1146" s="761">
        <v>38000</v>
      </c>
      <c r="J1146" s="390"/>
      <c r="K1146" s="734"/>
      <c r="M1146" s="62" t="e">
        <f>IF(#REF!&gt;6,3,5)</f>
        <v>#REF!</v>
      </c>
    </row>
    <row r="1147" spans="1:13">
      <c r="A1147" s="759">
        <v>16</v>
      </c>
      <c r="B1147" s="745" t="s">
        <v>1625</v>
      </c>
      <c r="C1147" s="731">
        <v>1500000</v>
      </c>
      <c r="D1147" s="731">
        <v>3000000</v>
      </c>
      <c r="E1147" s="731">
        <v>3000000</v>
      </c>
      <c r="F1147" s="390">
        <f t="shared" si="92"/>
        <v>7500000</v>
      </c>
      <c r="G1147" s="731"/>
      <c r="H1147" s="731">
        <v>3000000</v>
      </c>
      <c r="I1147" s="731">
        <v>285000</v>
      </c>
      <c r="J1147" s="390"/>
      <c r="K1147" s="734"/>
      <c r="M1147" s="62" t="e">
        <f>IF(#REF!&gt;6,3,5)</f>
        <v>#REF!</v>
      </c>
    </row>
    <row r="1148" spans="1:13">
      <c r="A1148" s="730">
        <v>17</v>
      </c>
      <c r="B1148" s="733" t="s">
        <v>1306</v>
      </c>
      <c r="C1148" s="731">
        <v>800000</v>
      </c>
      <c r="D1148" s="731">
        <v>1000000</v>
      </c>
      <c r="E1148" s="731">
        <v>1000000</v>
      </c>
      <c r="F1148" s="390">
        <f t="shared" si="92"/>
        <v>2800000</v>
      </c>
      <c r="G1148" s="731"/>
      <c r="H1148" s="731">
        <v>1000000</v>
      </c>
      <c r="I1148" s="731"/>
      <c r="J1148" s="390"/>
      <c r="K1148" s="734"/>
      <c r="M1148" s="62" t="e">
        <f>IF(#REF!&gt;6,3,5)</f>
        <v>#REF!</v>
      </c>
    </row>
    <row r="1149" spans="1:13">
      <c r="A1149" s="730"/>
      <c r="B1149" s="733"/>
      <c r="C1149" s="390"/>
      <c r="D1149" s="390"/>
      <c r="E1149" s="390"/>
      <c r="F1149" s="390"/>
      <c r="G1149" s="390"/>
      <c r="H1149" s="390"/>
      <c r="I1149" s="390"/>
      <c r="J1149" s="390"/>
      <c r="K1149" s="734"/>
      <c r="M1149" s="62" t="e">
        <f>IF(#REF!&gt;6,3,5)</f>
        <v>#REF!</v>
      </c>
    </row>
    <row r="1150" spans="1:13">
      <c r="A1150" s="738"/>
      <c r="B1150" s="738" t="s">
        <v>1684</v>
      </c>
      <c r="C1150" s="739">
        <f>SUM(C1133:C1149)</f>
        <v>8000000</v>
      </c>
      <c r="D1150" s="739">
        <f>SUM(D1132:D1149)</f>
        <v>28400000</v>
      </c>
      <c r="E1150" s="739">
        <f>SUM(E1132:E1149)</f>
        <v>28400000</v>
      </c>
      <c r="F1150" s="739">
        <f>SUM(F1132:F1149)</f>
        <v>64800000</v>
      </c>
      <c r="G1150" s="739"/>
      <c r="H1150" s="739">
        <f>SUM(H1132:H1149)</f>
        <v>16150000</v>
      </c>
      <c r="I1150" s="739"/>
      <c r="J1150" s="739"/>
      <c r="K1150" s="740"/>
      <c r="M1150" s="62" t="e">
        <f>IF(#REF!&gt;6,3,5)</f>
        <v>#REF!</v>
      </c>
    </row>
    <row r="1151" spans="1:13" ht="15">
      <c r="A1151" s="113"/>
      <c r="B1151" s="113"/>
      <c r="C1151" s="113"/>
      <c r="D1151" s="114"/>
      <c r="E1151" s="114"/>
      <c r="F1151" s="114"/>
      <c r="G1151" s="114"/>
      <c r="H1151" s="114"/>
      <c r="I1151" s="114"/>
      <c r="J1151" s="584"/>
      <c r="K1151" s="584"/>
      <c r="M1151" s="62">
        <f t="shared" si="88"/>
        <v>5</v>
      </c>
    </row>
    <row r="1152" spans="1:13" ht="15">
      <c r="C1152" s="77"/>
      <c r="D1152" s="78" t="s">
        <v>5434</v>
      </c>
      <c r="J1152" s="584"/>
      <c r="K1152" s="584"/>
      <c r="M1152" s="62">
        <f t="shared" si="88"/>
        <v>5</v>
      </c>
    </row>
    <row r="1153" spans="1:13" ht="15">
      <c r="C1153" s="77"/>
      <c r="D1153" s="78" t="s">
        <v>1693</v>
      </c>
      <c r="J1153" s="584"/>
      <c r="K1153" s="584"/>
    </row>
    <row r="1154" spans="1:13" ht="15">
      <c r="C1154" s="79" t="s">
        <v>717</v>
      </c>
      <c r="D1154" s="78" t="s">
        <v>934</v>
      </c>
      <c r="G1154" s="78"/>
      <c r="H1154" s="62"/>
      <c r="I1154" s="78"/>
      <c r="J1154" s="584"/>
      <c r="K1154" s="584"/>
      <c r="M1154" s="62">
        <f t="shared" ref="M1154:M1190" si="93">IF(C1154&gt;6,3,5)</f>
        <v>3</v>
      </c>
    </row>
    <row r="1155" spans="1:13" ht="15.75" thickBot="1">
      <c r="C1155" s="79" t="s">
        <v>718</v>
      </c>
      <c r="D1155" s="78" t="s">
        <v>1905</v>
      </c>
      <c r="G1155" s="78"/>
      <c r="H1155" s="78"/>
      <c r="I1155" s="78"/>
      <c r="J1155" s="584"/>
      <c r="K1155" s="584"/>
    </row>
    <row r="1156" spans="1:13" ht="15.75" thickTop="1">
      <c r="A1156" s="1047" t="s">
        <v>2791</v>
      </c>
      <c r="B1156" s="1049" t="s">
        <v>4126</v>
      </c>
      <c r="C1156" s="1049" t="s">
        <v>854</v>
      </c>
      <c r="D1156" s="1040" t="s">
        <v>4127</v>
      </c>
      <c r="E1156" s="1041"/>
      <c r="F1156" s="1041"/>
      <c r="G1156" s="1040" t="s">
        <v>904</v>
      </c>
      <c r="H1156" s="1041"/>
      <c r="I1156" s="1042"/>
      <c r="J1156" s="1035" t="s">
        <v>855</v>
      </c>
      <c r="K1156" s="389"/>
    </row>
    <row r="1157" spans="1:13" ht="26.25" thickBot="1">
      <c r="A1157" s="1048"/>
      <c r="B1157" s="1050"/>
      <c r="C1157" s="1050"/>
      <c r="D1157" s="285" t="s">
        <v>5505</v>
      </c>
      <c r="E1157" s="285" t="s">
        <v>4485</v>
      </c>
      <c r="F1157" s="285" t="s">
        <v>4486</v>
      </c>
      <c r="G1157" s="287" t="s">
        <v>4487</v>
      </c>
      <c r="H1157" s="285" t="s">
        <v>4488</v>
      </c>
      <c r="I1157" s="287" t="s">
        <v>4489</v>
      </c>
      <c r="J1157" s="1036"/>
      <c r="K1157" s="712"/>
    </row>
    <row r="1158" spans="1:13" ht="13.5" thickTop="1">
      <c r="A1158" s="107"/>
      <c r="B1158" s="128" t="s">
        <v>1830</v>
      </c>
      <c r="C1158" s="109"/>
      <c r="D1158" s="110"/>
      <c r="E1158" s="110"/>
      <c r="F1158" s="89"/>
      <c r="G1158" s="110"/>
      <c r="H1158" s="110"/>
      <c r="I1158" s="110"/>
      <c r="J1158" s="713"/>
      <c r="K1158" s="711"/>
      <c r="M1158" s="62">
        <f t="shared" si="93"/>
        <v>5</v>
      </c>
    </row>
    <row r="1159" spans="1:13">
      <c r="A1159" s="88">
        <v>1</v>
      </c>
      <c r="B1159" s="69" t="s">
        <v>867</v>
      </c>
      <c r="C1159" s="69">
        <v>10</v>
      </c>
      <c r="D1159" s="89">
        <v>0</v>
      </c>
      <c r="E1159" s="89">
        <v>1</v>
      </c>
      <c r="F1159" s="89">
        <v>0</v>
      </c>
      <c r="G1159" s="89">
        <v>0</v>
      </c>
      <c r="H1159" s="89">
        <v>0</v>
      </c>
      <c r="I1159" s="89">
        <v>0</v>
      </c>
      <c r="J1159" s="710">
        <f>(VLOOKUP($C1159,[2]Sheet1!$A$2:$P$18,$M1159+1)/12)*12*D1159</f>
        <v>0</v>
      </c>
      <c r="K1159" s="711"/>
      <c r="M1159" s="62">
        <f t="shared" si="93"/>
        <v>3</v>
      </c>
    </row>
    <row r="1160" spans="1:13">
      <c r="A1160" s="88">
        <f>A1159+1</f>
        <v>2</v>
      </c>
      <c r="B1160" s="69" t="s">
        <v>867</v>
      </c>
      <c r="C1160" s="69">
        <v>9</v>
      </c>
      <c r="D1160" s="89">
        <v>0</v>
      </c>
      <c r="E1160" s="89">
        <v>1</v>
      </c>
      <c r="F1160" s="89">
        <v>0</v>
      </c>
      <c r="G1160" s="89">
        <v>0</v>
      </c>
      <c r="H1160" s="89">
        <v>0</v>
      </c>
      <c r="I1160" s="89">
        <v>0</v>
      </c>
      <c r="J1160" s="710">
        <f>(VLOOKUP($C1160,[2]Sheet1!$A$2:$P$18,$M1160+1)/12)*12*D1160</f>
        <v>0</v>
      </c>
      <c r="K1160" s="711"/>
      <c r="M1160" s="62">
        <f t="shared" si="93"/>
        <v>3</v>
      </c>
    </row>
    <row r="1161" spans="1:13">
      <c r="A1161" s="88">
        <f>A1160+1</f>
        <v>3</v>
      </c>
      <c r="B1161" s="69" t="s">
        <v>2448</v>
      </c>
      <c r="C1161" s="69">
        <v>8</v>
      </c>
      <c r="D1161" s="89">
        <v>0</v>
      </c>
      <c r="E1161" s="89">
        <v>0</v>
      </c>
      <c r="F1161" s="89">
        <v>0</v>
      </c>
      <c r="G1161" s="89">
        <v>0</v>
      </c>
      <c r="H1161" s="89">
        <v>0</v>
      </c>
      <c r="I1161" s="89">
        <v>0</v>
      </c>
      <c r="J1161" s="710">
        <f>(VLOOKUP($C1161,[2]Sheet1!$A$2:$P$18,$M1161+1)/12)*12*D1161</f>
        <v>0</v>
      </c>
      <c r="K1161" s="711"/>
      <c r="M1161" s="62">
        <f t="shared" si="93"/>
        <v>3</v>
      </c>
    </row>
    <row r="1162" spans="1:13">
      <c r="A1162" s="88">
        <f t="shared" ref="A1162:A1227" si="94">+A1161+1</f>
        <v>4</v>
      </c>
      <c r="B1162" s="69" t="s">
        <v>2338</v>
      </c>
      <c r="C1162" s="69">
        <v>7</v>
      </c>
      <c r="D1162" s="89">
        <v>0</v>
      </c>
      <c r="E1162" s="89">
        <v>0</v>
      </c>
      <c r="F1162" s="89">
        <v>0</v>
      </c>
      <c r="G1162" s="89">
        <v>0</v>
      </c>
      <c r="H1162" s="89">
        <v>0</v>
      </c>
      <c r="I1162" s="89">
        <v>0</v>
      </c>
      <c r="J1162" s="710">
        <f>(VLOOKUP($C1162,[2]Sheet1!$A$2:$P$18,$M1162+1)/12)*12*D1162</f>
        <v>0</v>
      </c>
      <c r="K1162" s="711"/>
      <c r="M1162" s="62">
        <f t="shared" si="93"/>
        <v>3</v>
      </c>
    </row>
    <row r="1163" spans="1:13">
      <c r="A1163" s="88">
        <f t="shared" si="94"/>
        <v>5</v>
      </c>
      <c r="B1163" s="69" t="s">
        <v>4064</v>
      </c>
      <c r="C1163" s="69">
        <v>6</v>
      </c>
      <c r="D1163" s="89">
        <v>0</v>
      </c>
      <c r="E1163" s="89">
        <v>0</v>
      </c>
      <c r="F1163" s="89">
        <v>0</v>
      </c>
      <c r="G1163" s="89">
        <v>0</v>
      </c>
      <c r="H1163" s="89">
        <v>0</v>
      </c>
      <c r="I1163" s="89">
        <v>0</v>
      </c>
      <c r="J1163" s="710">
        <f>(VLOOKUP($C1163,[2]Sheet1!$A$2:$P$18,$M1163+1)/12)*12*D1163</f>
        <v>0</v>
      </c>
      <c r="K1163" s="711"/>
      <c r="M1163" s="62">
        <f t="shared" si="93"/>
        <v>5</v>
      </c>
    </row>
    <row r="1164" spans="1:13">
      <c r="A1164" s="88">
        <f t="shared" si="94"/>
        <v>6</v>
      </c>
      <c r="B1164" s="69" t="s">
        <v>4065</v>
      </c>
      <c r="C1164" s="69">
        <v>5</v>
      </c>
      <c r="D1164" s="89">
        <v>0</v>
      </c>
      <c r="E1164" s="89">
        <v>0</v>
      </c>
      <c r="F1164" s="89">
        <v>0</v>
      </c>
      <c r="G1164" s="89">
        <v>0</v>
      </c>
      <c r="H1164" s="89">
        <v>0</v>
      </c>
      <c r="I1164" s="89">
        <v>0</v>
      </c>
      <c r="J1164" s="710">
        <f>(VLOOKUP($C1164,[2]Sheet1!$A$2:$P$18,$M1164+1)/12)*12*D1164</f>
        <v>0</v>
      </c>
      <c r="K1164" s="711"/>
      <c r="M1164" s="62">
        <f t="shared" si="93"/>
        <v>5</v>
      </c>
    </row>
    <row r="1165" spans="1:13">
      <c r="A1165" s="88">
        <f t="shared" si="94"/>
        <v>7</v>
      </c>
      <c r="B1165" s="69" t="s">
        <v>1069</v>
      </c>
      <c r="C1165" s="69">
        <v>4</v>
      </c>
      <c r="D1165" s="89">
        <v>0</v>
      </c>
      <c r="E1165" s="89">
        <v>0</v>
      </c>
      <c r="F1165" s="89">
        <v>0</v>
      </c>
      <c r="G1165" s="89">
        <v>0</v>
      </c>
      <c r="H1165" s="89">
        <v>0</v>
      </c>
      <c r="I1165" s="89">
        <v>0</v>
      </c>
      <c r="J1165" s="710">
        <f>(VLOOKUP($C1165,[2]Sheet1!$A$2:$P$18,$M1165+1)/12)*12*D1165</f>
        <v>0</v>
      </c>
      <c r="K1165" s="711"/>
      <c r="M1165" s="62">
        <f t="shared" si="93"/>
        <v>5</v>
      </c>
    </row>
    <row r="1166" spans="1:13">
      <c r="A1166" s="88">
        <f t="shared" si="94"/>
        <v>8</v>
      </c>
      <c r="B1166" s="69" t="s">
        <v>2336</v>
      </c>
      <c r="C1166" s="69">
        <v>3</v>
      </c>
      <c r="D1166" s="89">
        <v>0</v>
      </c>
      <c r="E1166" s="89">
        <v>1</v>
      </c>
      <c r="F1166" s="89">
        <v>0</v>
      </c>
      <c r="G1166" s="89">
        <v>0</v>
      </c>
      <c r="H1166" s="89">
        <v>1</v>
      </c>
      <c r="I1166" s="89">
        <v>0</v>
      </c>
      <c r="J1166" s="710">
        <f>(VLOOKUP($C1166,[2]Sheet1!$A$2:$P$18,$M1166+1)/12)*12*D1166</f>
        <v>0</v>
      </c>
      <c r="K1166" s="711"/>
      <c r="M1166" s="62">
        <f t="shared" si="93"/>
        <v>5</v>
      </c>
    </row>
    <row r="1167" spans="1:13">
      <c r="A1167" s="88">
        <f t="shared" si="94"/>
        <v>9</v>
      </c>
      <c r="B1167" s="69" t="s">
        <v>3898</v>
      </c>
      <c r="C1167" s="69">
        <v>5</v>
      </c>
      <c r="D1167" s="89">
        <v>0</v>
      </c>
      <c r="E1167" s="89">
        <v>0</v>
      </c>
      <c r="F1167" s="89">
        <v>0</v>
      </c>
      <c r="G1167" s="89">
        <v>0</v>
      </c>
      <c r="H1167" s="89">
        <v>0</v>
      </c>
      <c r="I1167" s="89">
        <v>0</v>
      </c>
      <c r="J1167" s="710">
        <f>(VLOOKUP($C1167,[2]Sheet1!$A$2:$P$18,$M1167+1)/12)*12*D1167</f>
        <v>0</v>
      </c>
      <c r="K1167" s="711"/>
      <c r="M1167" s="62">
        <f t="shared" si="93"/>
        <v>5</v>
      </c>
    </row>
    <row r="1168" spans="1:13">
      <c r="A1168" s="88">
        <f t="shared" si="94"/>
        <v>10</v>
      </c>
      <c r="B1168" s="69" t="s">
        <v>3745</v>
      </c>
      <c r="C1168" s="69">
        <v>4</v>
      </c>
      <c r="D1168" s="89">
        <v>0</v>
      </c>
      <c r="E1168" s="89">
        <v>0</v>
      </c>
      <c r="F1168" s="89">
        <v>0</v>
      </c>
      <c r="G1168" s="89">
        <v>0</v>
      </c>
      <c r="H1168" s="89">
        <v>0</v>
      </c>
      <c r="I1168" s="89">
        <v>0</v>
      </c>
      <c r="J1168" s="710">
        <f>(VLOOKUP($C1168,[2]Sheet1!$A$2:$P$18,$M1168+1)/12)*12*D1168</f>
        <v>0</v>
      </c>
      <c r="K1168" s="711"/>
      <c r="M1168" s="62">
        <f t="shared" si="93"/>
        <v>5</v>
      </c>
    </row>
    <row r="1169" spans="1:13">
      <c r="A1169" s="88">
        <f t="shared" si="94"/>
        <v>11</v>
      </c>
      <c r="B1169" s="69" t="s">
        <v>2403</v>
      </c>
      <c r="C1169" s="69">
        <v>3</v>
      </c>
      <c r="D1169" s="89">
        <v>0</v>
      </c>
      <c r="E1169" s="89">
        <v>0</v>
      </c>
      <c r="F1169" s="89">
        <v>0</v>
      </c>
      <c r="G1169" s="89">
        <v>0</v>
      </c>
      <c r="H1169" s="89">
        <v>0</v>
      </c>
      <c r="I1169" s="89">
        <v>0</v>
      </c>
      <c r="J1169" s="710">
        <f>(VLOOKUP($C1169,[2]Sheet1!$A$2:$P$18,$M1169+1)/12)*12*D1169</f>
        <v>0</v>
      </c>
      <c r="K1169" s="711"/>
      <c r="M1169" s="62">
        <f t="shared" si="93"/>
        <v>5</v>
      </c>
    </row>
    <row r="1170" spans="1:13">
      <c r="A1170" s="88">
        <f t="shared" ref="A1170:A1178" si="95">+A1169+1</f>
        <v>12</v>
      </c>
      <c r="B1170" s="69" t="s">
        <v>108</v>
      </c>
      <c r="C1170" s="69">
        <v>8</v>
      </c>
      <c r="D1170" s="89">
        <v>0</v>
      </c>
      <c r="E1170" s="89">
        <v>1</v>
      </c>
      <c r="F1170" s="89">
        <v>0</v>
      </c>
      <c r="G1170" s="89">
        <v>0</v>
      </c>
      <c r="H1170" s="89">
        <v>1</v>
      </c>
      <c r="I1170" s="89">
        <v>0</v>
      </c>
      <c r="J1170" s="710">
        <f>(VLOOKUP($C1170,[2]Sheet1!$A$2:$P$18,$M1170+1)/12)*12*D1170</f>
        <v>0</v>
      </c>
      <c r="K1170" s="711"/>
      <c r="M1170" s="62">
        <f t="shared" si="93"/>
        <v>3</v>
      </c>
    </row>
    <row r="1171" spans="1:13">
      <c r="A1171" s="88">
        <f t="shared" si="95"/>
        <v>13</v>
      </c>
      <c r="B1171" s="69" t="s">
        <v>2145</v>
      </c>
      <c r="C1171" s="69">
        <v>4</v>
      </c>
      <c r="D1171" s="89">
        <v>0</v>
      </c>
      <c r="E1171" s="89">
        <v>1</v>
      </c>
      <c r="F1171" s="89">
        <v>0</v>
      </c>
      <c r="G1171" s="89">
        <v>0</v>
      </c>
      <c r="H1171" s="89">
        <v>1</v>
      </c>
      <c r="I1171" s="89">
        <v>0</v>
      </c>
      <c r="J1171" s="710">
        <f>(VLOOKUP($C1171,[2]Sheet1!$A$2:$P$18,$M1171+1)/12)*12*D1171</f>
        <v>0</v>
      </c>
      <c r="K1171" s="711"/>
      <c r="M1171" s="62">
        <f t="shared" si="93"/>
        <v>5</v>
      </c>
    </row>
    <row r="1172" spans="1:13">
      <c r="A1172" s="88">
        <f t="shared" si="95"/>
        <v>14</v>
      </c>
      <c r="B1172" s="69" t="s">
        <v>5367</v>
      </c>
      <c r="C1172" s="69">
        <v>3</v>
      </c>
      <c r="D1172" s="89">
        <v>0</v>
      </c>
      <c r="E1172" s="89">
        <v>2</v>
      </c>
      <c r="F1172" s="89">
        <v>0</v>
      </c>
      <c r="G1172" s="89">
        <v>0</v>
      </c>
      <c r="H1172" s="89">
        <v>2</v>
      </c>
      <c r="I1172" s="89">
        <v>0</v>
      </c>
      <c r="J1172" s="710">
        <f>(VLOOKUP($C1172,[2]Sheet1!$A$2:$P$18,$M1172+1)/12)*12*D1172</f>
        <v>0</v>
      </c>
      <c r="K1172" s="711"/>
      <c r="M1172" s="62">
        <f t="shared" si="93"/>
        <v>5</v>
      </c>
    </row>
    <row r="1173" spans="1:13">
      <c r="A1173" s="88">
        <f t="shared" si="95"/>
        <v>15</v>
      </c>
      <c r="B1173" s="69" t="s">
        <v>2563</v>
      </c>
      <c r="C1173" s="69">
        <v>7</v>
      </c>
      <c r="D1173" s="89">
        <v>0</v>
      </c>
      <c r="E1173" s="89">
        <v>0</v>
      </c>
      <c r="F1173" s="89">
        <v>0</v>
      </c>
      <c r="G1173" s="89">
        <v>0</v>
      </c>
      <c r="H1173" s="89">
        <v>0</v>
      </c>
      <c r="I1173" s="89">
        <v>0</v>
      </c>
      <c r="J1173" s="710">
        <f>(VLOOKUP($C1173,[2]Sheet1!$A$2:$P$18,$M1173+1)/12)*12*D1173</f>
        <v>0</v>
      </c>
      <c r="K1173" s="711"/>
      <c r="M1173" s="62">
        <f t="shared" si="93"/>
        <v>3</v>
      </c>
    </row>
    <row r="1174" spans="1:13">
      <c r="A1174" s="88">
        <f t="shared" si="95"/>
        <v>16</v>
      </c>
      <c r="B1174" s="69" t="s">
        <v>2442</v>
      </c>
      <c r="C1174" s="69">
        <v>6</v>
      </c>
      <c r="D1174" s="89">
        <v>0</v>
      </c>
      <c r="E1174" s="89">
        <v>0</v>
      </c>
      <c r="F1174" s="89">
        <v>0</v>
      </c>
      <c r="G1174" s="89">
        <v>0</v>
      </c>
      <c r="H1174" s="89">
        <v>0</v>
      </c>
      <c r="I1174" s="89">
        <v>0</v>
      </c>
      <c r="J1174" s="710">
        <f>(VLOOKUP($C1174,[2]Sheet1!$A$2:$P$18,$M1174+1)/12)*12*D1174</f>
        <v>0</v>
      </c>
      <c r="K1174" s="711"/>
      <c r="M1174" s="62">
        <f t="shared" si="93"/>
        <v>5</v>
      </c>
    </row>
    <row r="1175" spans="1:13">
      <c r="A1175" s="88">
        <f t="shared" si="95"/>
        <v>17</v>
      </c>
      <c r="B1175" s="69" t="s">
        <v>2232</v>
      </c>
      <c r="C1175" s="69">
        <v>5</v>
      </c>
      <c r="D1175" s="89">
        <v>0</v>
      </c>
      <c r="E1175" s="89">
        <v>0</v>
      </c>
      <c r="F1175" s="89">
        <v>0</v>
      </c>
      <c r="G1175" s="89">
        <v>0</v>
      </c>
      <c r="H1175" s="89">
        <v>0</v>
      </c>
      <c r="I1175" s="89">
        <v>0</v>
      </c>
      <c r="J1175" s="710">
        <f>(VLOOKUP($C1175,[2]Sheet1!$A$2:$P$18,$M1175+1)/12)*12*D1175</f>
        <v>0</v>
      </c>
      <c r="K1175" s="711"/>
      <c r="M1175" s="62">
        <f t="shared" si="93"/>
        <v>5</v>
      </c>
    </row>
    <row r="1176" spans="1:13">
      <c r="A1176" s="88">
        <f t="shared" si="95"/>
        <v>18</v>
      </c>
      <c r="B1176" s="69" t="s">
        <v>4028</v>
      </c>
      <c r="C1176" s="69">
        <v>4</v>
      </c>
      <c r="D1176" s="89">
        <v>0</v>
      </c>
      <c r="E1176" s="89">
        <v>0</v>
      </c>
      <c r="F1176" s="89">
        <v>0</v>
      </c>
      <c r="G1176" s="89">
        <v>0</v>
      </c>
      <c r="H1176" s="89">
        <v>0</v>
      </c>
      <c r="I1176" s="89">
        <v>0</v>
      </c>
      <c r="J1176" s="710">
        <f>(VLOOKUP($C1176,[2]Sheet1!$A$2:$P$18,$M1176+1)/12)*12*D1176</f>
        <v>0</v>
      </c>
      <c r="K1176" s="711"/>
      <c r="M1176" s="62">
        <f t="shared" si="93"/>
        <v>5</v>
      </c>
    </row>
    <row r="1177" spans="1:13">
      <c r="A1177" s="88">
        <f t="shared" si="95"/>
        <v>19</v>
      </c>
      <c r="B1177" s="69" t="s">
        <v>4029</v>
      </c>
      <c r="C1177" s="69">
        <v>3</v>
      </c>
      <c r="D1177" s="89">
        <v>0</v>
      </c>
      <c r="E1177" s="89">
        <v>3</v>
      </c>
      <c r="F1177" s="89">
        <v>0</v>
      </c>
      <c r="G1177" s="89">
        <v>0</v>
      </c>
      <c r="H1177" s="89">
        <v>3</v>
      </c>
      <c r="I1177" s="89">
        <v>0</v>
      </c>
      <c r="J1177" s="710">
        <f>(VLOOKUP($C1177,[2]Sheet1!$A$2:$P$18,$M1177+1)/12)*12*D1177</f>
        <v>0</v>
      </c>
      <c r="K1177" s="711"/>
      <c r="M1177" s="62">
        <f t="shared" si="93"/>
        <v>5</v>
      </c>
    </row>
    <row r="1178" spans="1:13">
      <c r="A1178" s="88">
        <f t="shared" si="95"/>
        <v>20</v>
      </c>
      <c r="B1178" s="69" t="s">
        <v>1356</v>
      </c>
      <c r="C1178" s="69">
        <v>3</v>
      </c>
      <c r="D1178" s="89">
        <v>0</v>
      </c>
      <c r="E1178" s="89">
        <v>0</v>
      </c>
      <c r="F1178" s="89">
        <v>0</v>
      </c>
      <c r="G1178" s="89">
        <v>0</v>
      </c>
      <c r="H1178" s="89">
        <v>0</v>
      </c>
      <c r="I1178" s="89">
        <v>0</v>
      </c>
      <c r="J1178" s="710">
        <f>(VLOOKUP($C1178,[2]Sheet1!$A$2:$P$18,$M1178+1)/12)*12*D1178</f>
        <v>0</v>
      </c>
      <c r="K1178" s="711"/>
      <c r="M1178" s="62">
        <f t="shared" si="93"/>
        <v>5</v>
      </c>
    </row>
    <row r="1179" spans="1:13">
      <c r="A1179" s="88">
        <f t="shared" si="94"/>
        <v>21</v>
      </c>
      <c r="B1179" s="69" t="s">
        <v>1200</v>
      </c>
      <c r="C1179" s="69">
        <v>4</v>
      </c>
      <c r="D1179" s="89">
        <v>0</v>
      </c>
      <c r="E1179" s="89">
        <v>0</v>
      </c>
      <c r="F1179" s="89">
        <v>0</v>
      </c>
      <c r="G1179" s="89">
        <v>0</v>
      </c>
      <c r="H1179" s="89">
        <v>0</v>
      </c>
      <c r="I1179" s="89">
        <v>0</v>
      </c>
      <c r="J1179" s="710">
        <f>(VLOOKUP($C1179,[2]Sheet1!$A$2:$P$18,$M1179+1)/12)*12*D1179</f>
        <v>0</v>
      </c>
      <c r="K1179" s="711"/>
      <c r="M1179" s="62">
        <f t="shared" si="93"/>
        <v>5</v>
      </c>
    </row>
    <row r="1180" spans="1:13">
      <c r="A1180" s="88">
        <f t="shared" si="94"/>
        <v>22</v>
      </c>
      <c r="B1180" s="69" t="s">
        <v>1355</v>
      </c>
      <c r="C1180" s="69">
        <v>3</v>
      </c>
      <c r="D1180" s="89">
        <v>0</v>
      </c>
      <c r="E1180" s="89">
        <v>0</v>
      </c>
      <c r="F1180" s="89">
        <v>0</v>
      </c>
      <c r="G1180" s="89">
        <v>0</v>
      </c>
      <c r="H1180" s="89">
        <v>0</v>
      </c>
      <c r="I1180" s="89">
        <v>0</v>
      </c>
      <c r="J1180" s="710">
        <f>(VLOOKUP($C1180,[2]Sheet1!$A$2:$P$18,$M1180+1)/12)*12*D1180</f>
        <v>0</v>
      </c>
      <c r="K1180" s="711"/>
      <c r="M1180" s="62">
        <f t="shared" si="93"/>
        <v>5</v>
      </c>
    </row>
    <row r="1181" spans="1:13">
      <c r="A1181" s="88">
        <f t="shared" si="94"/>
        <v>23</v>
      </c>
      <c r="B1181" s="69" t="s">
        <v>2787</v>
      </c>
      <c r="C1181" s="69">
        <v>4</v>
      </c>
      <c r="D1181" s="89">
        <v>0</v>
      </c>
      <c r="E1181" s="89">
        <v>0</v>
      </c>
      <c r="F1181" s="89">
        <v>0</v>
      </c>
      <c r="G1181" s="89">
        <v>0</v>
      </c>
      <c r="H1181" s="89">
        <v>0</v>
      </c>
      <c r="I1181" s="89">
        <v>0</v>
      </c>
      <c r="J1181" s="710">
        <f>(VLOOKUP($C1181,[2]Sheet1!$A$2:$P$18,$M1181+1)/12)*12*D1181</f>
        <v>0</v>
      </c>
      <c r="K1181" s="711"/>
      <c r="M1181" s="62">
        <f t="shared" si="93"/>
        <v>5</v>
      </c>
    </row>
    <row r="1182" spans="1:13">
      <c r="A1182" s="88">
        <f t="shared" si="94"/>
        <v>24</v>
      </c>
      <c r="B1182" s="69" t="s">
        <v>2543</v>
      </c>
      <c r="C1182" s="69">
        <v>3</v>
      </c>
      <c r="D1182" s="89">
        <v>0</v>
      </c>
      <c r="E1182" s="89">
        <v>0</v>
      </c>
      <c r="F1182" s="89">
        <v>0</v>
      </c>
      <c r="G1182" s="89">
        <v>0</v>
      </c>
      <c r="H1182" s="89">
        <v>0</v>
      </c>
      <c r="I1182" s="89">
        <v>0</v>
      </c>
      <c r="J1182" s="710">
        <f>(VLOOKUP($C1182,[2]Sheet1!$A$2:$P$18,$M1182+1)/12)*12*D1182</f>
        <v>0</v>
      </c>
      <c r="K1182" s="711"/>
      <c r="M1182" s="62">
        <f t="shared" si="93"/>
        <v>5</v>
      </c>
    </row>
    <row r="1183" spans="1:13">
      <c r="A1183" s="88">
        <f t="shared" si="94"/>
        <v>25</v>
      </c>
      <c r="B1183" s="69" t="s">
        <v>2947</v>
      </c>
      <c r="C1183" s="69">
        <v>3</v>
      </c>
      <c r="D1183" s="89">
        <v>0</v>
      </c>
      <c r="E1183" s="89">
        <v>0</v>
      </c>
      <c r="F1183" s="89">
        <v>0</v>
      </c>
      <c r="G1183" s="89">
        <v>0</v>
      </c>
      <c r="H1183" s="89">
        <v>0</v>
      </c>
      <c r="I1183" s="89">
        <v>0</v>
      </c>
      <c r="J1183" s="710">
        <f>(VLOOKUP($C1183,[2]Sheet1!$A$2:$P$18,$M1183+1)/12)*12*D1183</f>
        <v>0</v>
      </c>
      <c r="K1183" s="711"/>
      <c r="M1183" s="62">
        <f t="shared" si="93"/>
        <v>5</v>
      </c>
    </row>
    <row r="1184" spans="1:13">
      <c r="A1184" s="88">
        <f t="shared" si="94"/>
        <v>26</v>
      </c>
      <c r="B1184" s="69" t="s">
        <v>2364</v>
      </c>
      <c r="C1184" s="69">
        <v>2</v>
      </c>
      <c r="D1184" s="89">
        <v>0</v>
      </c>
      <c r="E1184" s="89">
        <v>0</v>
      </c>
      <c r="F1184" s="89">
        <v>0</v>
      </c>
      <c r="G1184" s="89">
        <v>0</v>
      </c>
      <c r="H1184" s="89">
        <v>0</v>
      </c>
      <c r="I1184" s="89">
        <v>0</v>
      </c>
      <c r="J1184" s="710">
        <f>(VLOOKUP($C1184,[2]Sheet1!$A$2:$P$18,$M1184+1)/12)*12*D1184</f>
        <v>0</v>
      </c>
      <c r="K1184" s="711"/>
      <c r="M1184" s="62">
        <f t="shared" si="93"/>
        <v>5</v>
      </c>
    </row>
    <row r="1185" spans="1:13">
      <c r="A1185" s="88">
        <f t="shared" si="94"/>
        <v>27</v>
      </c>
      <c r="B1185" s="69" t="s">
        <v>3674</v>
      </c>
      <c r="C1185" s="69">
        <v>2</v>
      </c>
      <c r="D1185" s="89">
        <v>0</v>
      </c>
      <c r="E1185" s="89">
        <v>1</v>
      </c>
      <c r="F1185" s="89">
        <v>0</v>
      </c>
      <c r="G1185" s="89">
        <v>0</v>
      </c>
      <c r="H1185" s="89">
        <v>1</v>
      </c>
      <c r="I1185" s="89">
        <v>0</v>
      </c>
      <c r="J1185" s="710">
        <f>(VLOOKUP($C1185,[2]Sheet1!$A$2:$P$18,$M1185+1)/12)*12*D1185</f>
        <v>0</v>
      </c>
      <c r="K1185" s="711"/>
      <c r="M1185" s="62">
        <f t="shared" si="93"/>
        <v>5</v>
      </c>
    </row>
    <row r="1186" spans="1:13">
      <c r="A1186" s="88">
        <f t="shared" si="94"/>
        <v>28</v>
      </c>
      <c r="B1186" s="69" t="s">
        <v>2884</v>
      </c>
      <c r="C1186" s="69">
        <v>4</v>
      </c>
      <c r="D1186" s="89">
        <v>0</v>
      </c>
      <c r="E1186" s="89">
        <v>0</v>
      </c>
      <c r="F1186" s="89">
        <v>0</v>
      </c>
      <c r="G1186" s="89">
        <v>0</v>
      </c>
      <c r="H1186" s="89">
        <v>0</v>
      </c>
      <c r="I1186" s="89">
        <v>0</v>
      </c>
      <c r="J1186" s="710">
        <f>(VLOOKUP($C1186,[2]Sheet1!$A$2:$P$18,$M1186+1)/12)*12*D1186</f>
        <v>0</v>
      </c>
      <c r="K1186" s="711"/>
      <c r="M1186" s="62">
        <f t="shared" si="93"/>
        <v>5</v>
      </c>
    </row>
    <row r="1187" spans="1:13">
      <c r="A1187" s="88">
        <f t="shared" si="94"/>
        <v>29</v>
      </c>
      <c r="B1187" s="69" t="s">
        <v>3675</v>
      </c>
      <c r="C1187" s="69">
        <v>3</v>
      </c>
      <c r="D1187" s="89">
        <v>0</v>
      </c>
      <c r="E1187" s="89">
        <v>0</v>
      </c>
      <c r="F1187" s="89">
        <v>0</v>
      </c>
      <c r="G1187" s="89">
        <v>0</v>
      </c>
      <c r="H1187" s="89">
        <v>0</v>
      </c>
      <c r="I1187" s="89">
        <v>0</v>
      </c>
      <c r="J1187" s="710">
        <f>(VLOOKUP($C1187,[2]Sheet1!$A$2:$P$18,$M1187+1)/12)*12*D1187</f>
        <v>0</v>
      </c>
      <c r="K1187" s="711"/>
      <c r="M1187" s="62">
        <f t="shared" si="93"/>
        <v>5</v>
      </c>
    </row>
    <row r="1188" spans="1:13">
      <c r="A1188" s="88">
        <f t="shared" si="94"/>
        <v>30</v>
      </c>
      <c r="B1188" s="69" t="s">
        <v>2885</v>
      </c>
      <c r="C1188" s="69">
        <v>2</v>
      </c>
      <c r="D1188" s="89">
        <v>0</v>
      </c>
      <c r="E1188" s="89">
        <v>1</v>
      </c>
      <c r="F1188" s="89">
        <v>0</v>
      </c>
      <c r="G1188" s="89">
        <v>0</v>
      </c>
      <c r="H1188" s="89">
        <v>1</v>
      </c>
      <c r="I1188" s="89">
        <v>0</v>
      </c>
      <c r="J1188" s="710">
        <f>(VLOOKUP($C1188,[2]Sheet1!$A$2:$P$18,$M1188+1)/12)*12*D1188</f>
        <v>0</v>
      </c>
      <c r="K1188" s="711"/>
      <c r="M1188" s="62">
        <f t="shared" si="93"/>
        <v>5</v>
      </c>
    </row>
    <row r="1189" spans="1:13">
      <c r="A1189" s="88">
        <f t="shared" si="94"/>
        <v>31</v>
      </c>
      <c r="B1189" s="69" t="s">
        <v>2886</v>
      </c>
      <c r="C1189" s="69">
        <v>4</v>
      </c>
      <c r="D1189" s="89">
        <v>0</v>
      </c>
      <c r="E1189" s="89">
        <v>0</v>
      </c>
      <c r="F1189" s="89">
        <v>0</v>
      </c>
      <c r="G1189" s="89">
        <v>0</v>
      </c>
      <c r="H1189" s="89">
        <v>0</v>
      </c>
      <c r="I1189" s="89">
        <v>0</v>
      </c>
      <c r="J1189" s="710">
        <f>(VLOOKUP($C1189,[2]Sheet1!$A$2:$P$18,$M1189+1)/12)*12*D1189</f>
        <v>0</v>
      </c>
      <c r="K1189" s="711"/>
      <c r="M1189" s="62">
        <f t="shared" si="93"/>
        <v>5</v>
      </c>
    </row>
    <row r="1190" spans="1:13">
      <c r="A1190" s="88">
        <f t="shared" si="94"/>
        <v>32</v>
      </c>
      <c r="B1190" s="69" t="s">
        <v>2887</v>
      </c>
      <c r="C1190" s="69">
        <v>2</v>
      </c>
      <c r="D1190" s="89">
        <v>0</v>
      </c>
      <c r="E1190" s="89">
        <v>0</v>
      </c>
      <c r="F1190" s="89">
        <v>0</v>
      </c>
      <c r="G1190" s="89">
        <v>0</v>
      </c>
      <c r="H1190" s="89">
        <v>0</v>
      </c>
      <c r="I1190" s="89">
        <v>0</v>
      </c>
      <c r="J1190" s="710">
        <f>(VLOOKUP($C1190,[2]Sheet1!$A$2:$P$18,$M1190+1)/12)*12*D1190</f>
        <v>0</v>
      </c>
      <c r="K1190" s="711"/>
      <c r="M1190" s="62">
        <f t="shared" si="93"/>
        <v>5</v>
      </c>
    </row>
    <row r="1191" spans="1:13">
      <c r="A1191" s="116"/>
      <c r="B1191" s="253" t="s">
        <v>2818</v>
      </c>
      <c r="C1191" s="117"/>
      <c r="D1191" s="252"/>
      <c r="E1191" s="252"/>
      <c r="F1191" s="252"/>
      <c r="G1191" s="252"/>
      <c r="H1191" s="252"/>
      <c r="I1191" s="252"/>
      <c r="J1191" s="710"/>
      <c r="K1191" s="711"/>
    </row>
    <row r="1192" spans="1:13">
      <c r="A1192" s="88">
        <f>+A1190+1</f>
        <v>33</v>
      </c>
      <c r="B1192" s="117" t="s">
        <v>2819</v>
      </c>
      <c r="C1192" s="117">
        <v>13</v>
      </c>
      <c r="D1192" s="89">
        <v>0</v>
      </c>
      <c r="E1192" s="89">
        <v>0</v>
      </c>
      <c r="F1192" s="89">
        <v>0</v>
      </c>
      <c r="G1192" s="89">
        <v>0</v>
      </c>
      <c r="H1192" s="89">
        <v>0</v>
      </c>
      <c r="I1192" s="89">
        <v>0</v>
      </c>
      <c r="J1192" s="710">
        <f>(VLOOKUP($C1192,[2]Sheet1!$A$2:$P$18,$M1192+1)/12)*12*D1192</f>
        <v>0</v>
      </c>
      <c r="K1192" s="711"/>
      <c r="M1192" s="62">
        <f t="shared" ref="M1192:M1259" si="96">IF(C1192&gt;6,3,5)</f>
        <v>3</v>
      </c>
    </row>
    <row r="1193" spans="1:13">
      <c r="A1193" s="88">
        <f t="shared" si="94"/>
        <v>34</v>
      </c>
      <c r="B1193" s="117" t="s">
        <v>2820</v>
      </c>
      <c r="C1193" s="117">
        <v>9</v>
      </c>
      <c r="D1193" s="89">
        <v>0</v>
      </c>
      <c r="E1193" s="89">
        <v>0</v>
      </c>
      <c r="F1193" s="89">
        <v>0</v>
      </c>
      <c r="G1193" s="89">
        <v>0</v>
      </c>
      <c r="H1193" s="89">
        <v>0</v>
      </c>
      <c r="I1193" s="89">
        <v>0</v>
      </c>
      <c r="J1193" s="710">
        <f>(VLOOKUP($C1193,[2]Sheet1!$A$2:$P$18,$M1193+1)/12)*12*D1193</f>
        <v>0</v>
      </c>
      <c r="K1193" s="711"/>
      <c r="M1193" s="62">
        <f t="shared" si="96"/>
        <v>3</v>
      </c>
    </row>
    <row r="1194" spans="1:13" ht="13.5" thickBot="1">
      <c r="A1194" s="88">
        <f t="shared" si="94"/>
        <v>35</v>
      </c>
      <c r="B1194" s="117" t="s">
        <v>2821</v>
      </c>
      <c r="C1194" s="117">
        <v>8</v>
      </c>
      <c r="D1194" s="89">
        <v>0</v>
      </c>
      <c r="E1194" s="89">
        <v>0</v>
      </c>
      <c r="F1194" s="89">
        <v>0</v>
      </c>
      <c r="G1194" s="89">
        <v>0</v>
      </c>
      <c r="H1194" s="89">
        <v>0</v>
      </c>
      <c r="I1194" s="89">
        <v>0</v>
      </c>
      <c r="J1194" s="710">
        <f>(VLOOKUP($C1194,[2]Sheet1!$A$2:$P$18,$M1194+1)/12)*12*D1194</f>
        <v>0</v>
      </c>
      <c r="K1194" s="711"/>
      <c r="M1194" s="62">
        <f t="shared" si="96"/>
        <v>3</v>
      </c>
    </row>
    <row r="1195" spans="1:13" ht="15.75" thickTop="1">
      <c r="A1195" s="1047" t="s">
        <v>2791</v>
      </c>
      <c r="B1195" s="1049" t="s">
        <v>4126</v>
      </c>
      <c r="C1195" s="1049" t="s">
        <v>854</v>
      </c>
      <c r="D1195" s="1040" t="s">
        <v>4127</v>
      </c>
      <c r="E1195" s="1041"/>
      <c r="F1195" s="1041"/>
      <c r="G1195" s="1040" t="s">
        <v>904</v>
      </c>
      <c r="H1195" s="1041"/>
      <c r="I1195" s="1042"/>
      <c r="J1195" s="1035" t="s">
        <v>855</v>
      </c>
      <c r="K1195" s="389"/>
    </row>
    <row r="1196" spans="1:13" ht="26.25" thickBot="1">
      <c r="A1196" s="1048"/>
      <c r="B1196" s="1050"/>
      <c r="C1196" s="1050"/>
      <c r="D1196" s="285" t="s">
        <v>5505</v>
      </c>
      <c r="E1196" s="285" t="s">
        <v>4485</v>
      </c>
      <c r="F1196" s="285" t="s">
        <v>4486</v>
      </c>
      <c r="G1196" s="287" t="s">
        <v>4487</v>
      </c>
      <c r="H1196" s="285" t="s">
        <v>4488</v>
      </c>
      <c r="I1196" s="287" t="s">
        <v>4489</v>
      </c>
      <c r="J1196" s="1036"/>
      <c r="K1196" s="712"/>
    </row>
    <row r="1197" spans="1:13" ht="13.5" thickTop="1">
      <c r="A1197" s="88">
        <f>+A1194+1</f>
        <v>36</v>
      </c>
      <c r="B1197" s="117" t="s">
        <v>3023</v>
      </c>
      <c r="C1197" s="117">
        <v>8</v>
      </c>
      <c r="D1197" s="89">
        <v>0</v>
      </c>
      <c r="E1197" s="89">
        <v>0</v>
      </c>
      <c r="F1197" s="89">
        <v>0</v>
      </c>
      <c r="G1197" s="89">
        <v>0</v>
      </c>
      <c r="H1197" s="89">
        <v>0</v>
      </c>
      <c r="I1197" s="89">
        <v>0</v>
      </c>
      <c r="J1197" s="710">
        <f>(VLOOKUP($C1197,[2]Sheet1!$A$2:$P$18,$M1197+1)/12)*12*D1197</f>
        <v>0</v>
      </c>
      <c r="K1197" s="711"/>
      <c r="M1197" s="62">
        <f>IF(C1197&gt;6,3,5)</f>
        <v>3</v>
      </c>
    </row>
    <row r="1198" spans="1:13">
      <c r="A1198" s="88">
        <f>+A1197+1</f>
        <v>37</v>
      </c>
      <c r="B1198" s="117" t="s">
        <v>2822</v>
      </c>
      <c r="C1198" s="117">
        <v>7</v>
      </c>
      <c r="D1198" s="89">
        <v>0</v>
      </c>
      <c r="E1198" s="89">
        <v>0</v>
      </c>
      <c r="F1198" s="89">
        <v>0</v>
      </c>
      <c r="G1198" s="89">
        <v>0</v>
      </c>
      <c r="H1198" s="89">
        <v>0</v>
      </c>
      <c r="I1198" s="89">
        <v>0</v>
      </c>
      <c r="J1198" s="710">
        <f>(VLOOKUP($C1198,[2]Sheet1!$A$2:$P$18,$M1198+1)/12)*12*D1198</f>
        <v>0</v>
      </c>
      <c r="K1198" s="711"/>
      <c r="M1198" s="62">
        <f t="shared" si="96"/>
        <v>3</v>
      </c>
    </row>
    <row r="1199" spans="1:13">
      <c r="A1199" s="88">
        <f t="shared" si="94"/>
        <v>38</v>
      </c>
      <c r="B1199" s="117" t="s">
        <v>2823</v>
      </c>
      <c r="C1199" s="117">
        <v>6</v>
      </c>
      <c r="D1199" s="89">
        <v>1</v>
      </c>
      <c r="E1199" s="89">
        <v>1</v>
      </c>
      <c r="F1199" s="89">
        <v>1</v>
      </c>
      <c r="G1199" s="89">
        <v>1</v>
      </c>
      <c r="H1199" s="89">
        <v>1</v>
      </c>
      <c r="I1199" s="89">
        <v>1</v>
      </c>
      <c r="J1199" s="710">
        <f>(VLOOKUP($C1199,[2]Sheet1!$A$2:$P$18,$M1199+1)/12)*12*D1199</f>
        <v>238099.37893036497</v>
      </c>
      <c r="K1199" s="711"/>
      <c r="M1199" s="62">
        <f t="shared" si="96"/>
        <v>5</v>
      </c>
    </row>
    <row r="1200" spans="1:13">
      <c r="A1200" s="88">
        <f t="shared" si="94"/>
        <v>39</v>
      </c>
      <c r="B1200" s="117" t="s">
        <v>2824</v>
      </c>
      <c r="C1200" s="117">
        <v>3</v>
      </c>
      <c r="D1200" s="89">
        <v>2</v>
      </c>
      <c r="E1200" s="89">
        <v>2</v>
      </c>
      <c r="F1200" s="89">
        <v>2</v>
      </c>
      <c r="G1200" s="89">
        <v>2</v>
      </c>
      <c r="H1200" s="89">
        <v>2</v>
      </c>
      <c r="I1200" s="89">
        <v>2</v>
      </c>
      <c r="J1200" s="710">
        <f>(VLOOKUP($C1200,[2]Sheet1!$A$2:$P$18,$M1200+1)/12)*12*D1200</f>
        <v>438672.35786072997</v>
      </c>
      <c r="K1200" s="711"/>
      <c r="M1200" s="62">
        <f t="shared" si="96"/>
        <v>5</v>
      </c>
    </row>
    <row r="1201" spans="1:13">
      <c r="A1201" s="88"/>
      <c r="B1201" s="253" t="s">
        <v>3246</v>
      </c>
      <c r="C1201" s="117"/>
      <c r="D1201" s="89"/>
      <c r="E1201" s="89"/>
      <c r="F1201" s="89"/>
      <c r="G1201" s="89"/>
      <c r="H1201" s="89"/>
      <c r="I1201" s="89"/>
      <c r="J1201" s="710"/>
      <c r="K1201" s="711"/>
      <c r="M1201" s="62">
        <f t="shared" si="96"/>
        <v>5</v>
      </c>
    </row>
    <row r="1202" spans="1:13">
      <c r="A1202" s="88">
        <f>+A1200+1</f>
        <v>40</v>
      </c>
      <c r="B1202" s="117" t="s">
        <v>3532</v>
      </c>
      <c r="C1202" s="117">
        <v>16</v>
      </c>
      <c r="D1202" s="89">
        <v>0</v>
      </c>
      <c r="E1202" s="89">
        <v>0</v>
      </c>
      <c r="F1202" s="89">
        <v>0</v>
      </c>
      <c r="G1202" s="89">
        <v>0</v>
      </c>
      <c r="H1202" s="89">
        <v>0</v>
      </c>
      <c r="I1202" s="89">
        <v>0</v>
      </c>
      <c r="J1202" s="710">
        <f>(VLOOKUP($C1202,[2]Sheet1!$A$2:$P$18,$M1202+1)/12)*12*D1202</f>
        <v>0</v>
      </c>
      <c r="K1202" s="711"/>
      <c r="M1202" s="62">
        <f t="shared" si="96"/>
        <v>3</v>
      </c>
    </row>
    <row r="1203" spans="1:13">
      <c r="A1203" s="88">
        <f t="shared" si="94"/>
        <v>41</v>
      </c>
      <c r="B1203" s="117" t="s">
        <v>1099</v>
      </c>
      <c r="C1203" s="117">
        <v>15</v>
      </c>
      <c r="D1203" s="89">
        <v>0</v>
      </c>
      <c r="E1203" s="89">
        <v>0</v>
      </c>
      <c r="F1203" s="89">
        <v>0</v>
      </c>
      <c r="G1203" s="89">
        <v>0</v>
      </c>
      <c r="H1203" s="89">
        <v>0</v>
      </c>
      <c r="I1203" s="89">
        <v>0</v>
      </c>
      <c r="J1203" s="710">
        <f>(VLOOKUP($C1203,[2]Sheet1!$A$2:$P$18,$M1203+1)/12)*12*D1203</f>
        <v>0</v>
      </c>
      <c r="K1203" s="711"/>
      <c r="M1203" s="62">
        <f t="shared" si="96"/>
        <v>3</v>
      </c>
    </row>
    <row r="1204" spans="1:13">
      <c r="A1204" s="88">
        <f t="shared" si="94"/>
        <v>42</v>
      </c>
      <c r="B1204" s="117" t="s">
        <v>3533</v>
      </c>
      <c r="C1204" s="117">
        <v>14</v>
      </c>
      <c r="D1204" s="89">
        <v>0</v>
      </c>
      <c r="E1204" s="89">
        <v>0</v>
      </c>
      <c r="F1204" s="89">
        <v>0</v>
      </c>
      <c r="G1204" s="89">
        <v>0</v>
      </c>
      <c r="H1204" s="89">
        <v>0</v>
      </c>
      <c r="I1204" s="89">
        <v>0</v>
      </c>
      <c r="J1204" s="710">
        <f>(VLOOKUP($C1204,[2]Sheet1!$A$2:$P$18,$M1204+1)/12)*12*D1204</f>
        <v>0</v>
      </c>
      <c r="K1204" s="711"/>
      <c r="M1204" s="62">
        <f t="shared" si="96"/>
        <v>3</v>
      </c>
    </row>
    <row r="1205" spans="1:13">
      <c r="A1205" s="88">
        <f t="shared" si="94"/>
        <v>43</v>
      </c>
      <c r="B1205" s="117" t="s">
        <v>3076</v>
      </c>
      <c r="C1205" s="117">
        <v>13</v>
      </c>
      <c r="D1205" s="89">
        <v>0</v>
      </c>
      <c r="E1205" s="89">
        <v>0</v>
      </c>
      <c r="F1205" s="89">
        <v>0</v>
      </c>
      <c r="G1205" s="89">
        <v>0</v>
      </c>
      <c r="H1205" s="89">
        <v>0</v>
      </c>
      <c r="I1205" s="89">
        <v>0</v>
      </c>
      <c r="J1205" s="710">
        <f>(VLOOKUP($C1205,[2]Sheet1!$A$2:$P$18,$M1205+1)/12)*12*D1205</f>
        <v>0</v>
      </c>
      <c r="K1205" s="711"/>
      <c r="M1205" s="62">
        <f t="shared" si="96"/>
        <v>3</v>
      </c>
    </row>
    <row r="1206" spans="1:13">
      <c r="A1206" s="88">
        <f t="shared" si="94"/>
        <v>44</v>
      </c>
      <c r="B1206" s="117" t="s">
        <v>3077</v>
      </c>
      <c r="C1206" s="117">
        <v>12</v>
      </c>
      <c r="D1206" s="89">
        <v>0</v>
      </c>
      <c r="E1206" s="89">
        <v>0</v>
      </c>
      <c r="F1206" s="89">
        <v>0</v>
      </c>
      <c r="G1206" s="89">
        <v>0</v>
      </c>
      <c r="H1206" s="89">
        <v>0</v>
      </c>
      <c r="I1206" s="89">
        <v>0</v>
      </c>
      <c r="J1206" s="710">
        <f>(VLOOKUP($C1206,[2]Sheet1!$A$2:$P$18,$M1206+1)/12)*12*D1206</f>
        <v>0</v>
      </c>
      <c r="K1206" s="711"/>
      <c r="M1206" s="62">
        <f t="shared" si="96"/>
        <v>3</v>
      </c>
    </row>
    <row r="1207" spans="1:13">
      <c r="A1207" s="88">
        <f t="shared" si="94"/>
        <v>45</v>
      </c>
      <c r="B1207" s="117" t="s">
        <v>3078</v>
      </c>
      <c r="C1207" s="117">
        <v>10</v>
      </c>
      <c r="D1207" s="89">
        <v>0</v>
      </c>
      <c r="E1207" s="89">
        <v>0</v>
      </c>
      <c r="F1207" s="89">
        <v>0</v>
      </c>
      <c r="G1207" s="89">
        <v>0</v>
      </c>
      <c r="H1207" s="89">
        <v>0</v>
      </c>
      <c r="I1207" s="89">
        <v>0</v>
      </c>
      <c r="J1207" s="710">
        <f>(VLOOKUP($C1207,[2]Sheet1!$A$2:$P$18,$M1207+1)/12)*12*D1207</f>
        <v>0</v>
      </c>
      <c r="K1207" s="711"/>
      <c r="M1207" s="62">
        <f t="shared" si="96"/>
        <v>3</v>
      </c>
    </row>
    <row r="1208" spans="1:13">
      <c r="A1208" s="88">
        <f>+A1207+1</f>
        <v>46</v>
      </c>
      <c r="B1208" s="117" t="s">
        <v>3079</v>
      </c>
      <c r="C1208" s="117">
        <v>9</v>
      </c>
      <c r="D1208" s="89">
        <v>0</v>
      </c>
      <c r="E1208" s="89">
        <v>0</v>
      </c>
      <c r="F1208" s="89">
        <v>0</v>
      </c>
      <c r="G1208" s="89">
        <v>0</v>
      </c>
      <c r="H1208" s="89">
        <v>0</v>
      </c>
      <c r="I1208" s="89">
        <v>0</v>
      </c>
      <c r="J1208" s="710">
        <f>(VLOOKUP($C1208,[2]Sheet1!$A$2:$P$18,$M1208+1)/12)*12*D1208</f>
        <v>0</v>
      </c>
      <c r="K1208" s="711"/>
      <c r="M1208" s="62">
        <f t="shared" si="96"/>
        <v>3</v>
      </c>
    </row>
    <row r="1209" spans="1:13">
      <c r="A1209" s="88">
        <f t="shared" si="94"/>
        <v>47</v>
      </c>
      <c r="B1209" s="117" t="s">
        <v>3080</v>
      </c>
      <c r="C1209" s="117">
        <v>8</v>
      </c>
      <c r="D1209" s="89">
        <v>1</v>
      </c>
      <c r="E1209" s="89">
        <v>1</v>
      </c>
      <c r="F1209" s="89">
        <v>1</v>
      </c>
      <c r="G1209" s="89">
        <v>1</v>
      </c>
      <c r="H1209" s="89">
        <v>1</v>
      </c>
      <c r="I1209" s="89">
        <v>1</v>
      </c>
      <c r="J1209" s="710">
        <f>(VLOOKUP($C1209,[2]Sheet1!$A$2:$P$18,$M1209+1)/12)*12*D1209</f>
        <v>342141.27408</v>
      </c>
      <c r="K1209" s="711"/>
      <c r="M1209" s="62">
        <f t="shared" si="96"/>
        <v>3</v>
      </c>
    </row>
    <row r="1210" spans="1:13">
      <c r="A1210" s="88">
        <f t="shared" si="94"/>
        <v>48</v>
      </c>
      <c r="B1210" s="117" t="s">
        <v>3081</v>
      </c>
      <c r="C1210" s="117">
        <v>7</v>
      </c>
      <c r="D1210" s="89">
        <v>0</v>
      </c>
      <c r="E1210" s="89">
        <v>0</v>
      </c>
      <c r="F1210" s="89">
        <v>0</v>
      </c>
      <c r="G1210" s="89">
        <v>0</v>
      </c>
      <c r="H1210" s="89">
        <v>0</v>
      </c>
      <c r="I1210" s="89">
        <v>0</v>
      </c>
      <c r="J1210" s="710">
        <f>(VLOOKUP($C1210,[2]Sheet1!$A$2:$P$18,$M1210+1)/12)*12*D1210</f>
        <v>0</v>
      </c>
      <c r="K1210" s="711"/>
      <c r="M1210" s="62">
        <f t="shared" si="96"/>
        <v>3</v>
      </c>
    </row>
    <row r="1211" spans="1:13">
      <c r="A1211" s="88">
        <f t="shared" si="94"/>
        <v>49</v>
      </c>
      <c r="B1211" s="117" t="s">
        <v>3082</v>
      </c>
      <c r="C1211" s="117">
        <v>6</v>
      </c>
      <c r="D1211" s="89">
        <v>1</v>
      </c>
      <c r="E1211" s="89">
        <v>1</v>
      </c>
      <c r="F1211" s="89">
        <v>1</v>
      </c>
      <c r="G1211" s="89">
        <v>1</v>
      </c>
      <c r="H1211" s="89">
        <v>1</v>
      </c>
      <c r="I1211" s="89">
        <v>1</v>
      </c>
      <c r="J1211" s="710">
        <f>(VLOOKUP($C1211,[2]Sheet1!$A$2:$P$18,$M1211+1)/12)*12*D1211</f>
        <v>238099.37893036497</v>
      </c>
      <c r="K1211" s="711"/>
      <c r="M1211" s="62">
        <f t="shared" si="96"/>
        <v>5</v>
      </c>
    </row>
    <row r="1212" spans="1:13">
      <c r="A1212" s="88">
        <f t="shared" si="94"/>
        <v>50</v>
      </c>
      <c r="B1212" s="117" t="s">
        <v>3258</v>
      </c>
      <c r="C1212" s="117">
        <v>5</v>
      </c>
      <c r="D1212" s="89">
        <v>0</v>
      </c>
      <c r="E1212" s="89">
        <v>0</v>
      </c>
      <c r="F1212" s="89">
        <v>0</v>
      </c>
      <c r="G1212" s="89">
        <v>0</v>
      </c>
      <c r="H1212" s="89">
        <v>0</v>
      </c>
      <c r="I1212" s="89">
        <v>0</v>
      </c>
      <c r="J1212" s="710">
        <f>(VLOOKUP($C1212,[2]Sheet1!$A$2:$P$18,$M1212+1)/12)*12*D1212</f>
        <v>0</v>
      </c>
      <c r="K1212" s="711"/>
      <c r="M1212" s="62">
        <f t="shared" si="96"/>
        <v>5</v>
      </c>
    </row>
    <row r="1213" spans="1:13">
      <c r="A1213" s="88">
        <f t="shared" si="94"/>
        <v>51</v>
      </c>
      <c r="B1213" s="117" t="s">
        <v>3259</v>
      </c>
      <c r="C1213" s="117">
        <v>4</v>
      </c>
      <c r="D1213" s="89">
        <v>0</v>
      </c>
      <c r="E1213" s="89">
        <v>0</v>
      </c>
      <c r="F1213" s="89">
        <v>0</v>
      </c>
      <c r="G1213" s="89">
        <v>0</v>
      </c>
      <c r="H1213" s="89">
        <v>0</v>
      </c>
      <c r="I1213" s="89">
        <v>0</v>
      </c>
      <c r="J1213" s="710">
        <f>(VLOOKUP($C1213,[2]Sheet1!$A$2:$P$18,$M1213+1)/12)*12*D1213</f>
        <v>0</v>
      </c>
      <c r="K1213" s="711"/>
      <c r="M1213" s="62">
        <f t="shared" si="96"/>
        <v>5</v>
      </c>
    </row>
    <row r="1214" spans="1:13">
      <c r="A1214" s="88">
        <f t="shared" si="94"/>
        <v>52</v>
      </c>
      <c r="B1214" s="117" t="s">
        <v>3260</v>
      </c>
      <c r="C1214" s="117">
        <v>3</v>
      </c>
      <c r="D1214" s="89">
        <v>0</v>
      </c>
      <c r="E1214" s="89">
        <v>0</v>
      </c>
      <c r="F1214" s="89">
        <v>0</v>
      </c>
      <c r="G1214" s="89">
        <v>0</v>
      </c>
      <c r="H1214" s="89">
        <v>0</v>
      </c>
      <c r="I1214" s="89">
        <v>0</v>
      </c>
      <c r="J1214" s="710">
        <f>(VLOOKUP($C1214,[2]Sheet1!$A$2:$P$18,$M1214+1)/12)*12*D1214</f>
        <v>0</v>
      </c>
      <c r="K1214" s="711"/>
      <c r="M1214" s="62">
        <f t="shared" si="96"/>
        <v>5</v>
      </c>
    </row>
    <row r="1215" spans="1:13">
      <c r="A1215" s="88"/>
      <c r="B1215" s="253" t="s">
        <v>3261</v>
      </c>
      <c r="C1215" s="117"/>
      <c r="D1215" s="89"/>
      <c r="E1215" s="89"/>
      <c r="F1215" s="89"/>
      <c r="G1215" s="89"/>
      <c r="H1215" s="89"/>
      <c r="I1215" s="89"/>
      <c r="J1215" s="710"/>
      <c r="K1215" s="711"/>
      <c r="M1215" s="62">
        <f t="shared" si="96"/>
        <v>5</v>
      </c>
    </row>
    <row r="1216" spans="1:13">
      <c r="A1216" s="88">
        <f>+A1214+1</f>
        <v>53</v>
      </c>
      <c r="B1216" s="117" t="s">
        <v>3262</v>
      </c>
      <c r="C1216" s="117">
        <v>13</v>
      </c>
      <c r="D1216" s="89">
        <v>0</v>
      </c>
      <c r="E1216" s="89">
        <v>0</v>
      </c>
      <c r="F1216" s="89">
        <v>0</v>
      </c>
      <c r="G1216" s="89">
        <v>0</v>
      </c>
      <c r="H1216" s="89">
        <v>0</v>
      </c>
      <c r="I1216" s="89">
        <v>0</v>
      </c>
      <c r="J1216" s="710">
        <f>(VLOOKUP($C1216,[2]Sheet1!$A$2:$P$18,$M1216+1)/12)*12*D1216</f>
        <v>0</v>
      </c>
      <c r="K1216" s="711"/>
      <c r="M1216" s="62">
        <f t="shared" si="96"/>
        <v>3</v>
      </c>
    </row>
    <row r="1217" spans="1:13">
      <c r="A1217" s="88">
        <f t="shared" si="94"/>
        <v>54</v>
      </c>
      <c r="B1217" s="117" t="s">
        <v>3263</v>
      </c>
      <c r="C1217" s="117">
        <v>12</v>
      </c>
      <c r="D1217" s="89">
        <v>0</v>
      </c>
      <c r="E1217" s="89">
        <v>0</v>
      </c>
      <c r="F1217" s="89">
        <v>0</v>
      </c>
      <c r="G1217" s="89">
        <v>0</v>
      </c>
      <c r="H1217" s="89">
        <v>0</v>
      </c>
      <c r="I1217" s="89">
        <v>0</v>
      </c>
      <c r="J1217" s="710">
        <f>(VLOOKUP($C1217,[2]Sheet1!$A$2:$P$18,$M1217+1)/12)*12*D1217</f>
        <v>0</v>
      </c>
      <c r="K1217" s="711"/>
      <c r="M1217" s="62">
        <f t="shared" si="96"/>
        <v>3</v>
      </c>
    </row>
    <row r="1218" spans="1:13">
      <c r="A1218" s="88">
        <f t="shared" si="94"/>
        <v>55</v>
      </c>
      <c r="B1218" s="117" t="s">
        <v>3264</v>
      </c>
      <c r="C1218" s="117">
        <v>10</v>
      </c>
      <c r="D1218" s="89">
        <v>0</v>
      </c>
      <c r="E1218" s="89">
        <v>0</v>
      </c>
      <c r="F1218" s="89">
        <v>0</v>
      </c>
      <c r="G1218" s="89">
        <v>0</v>
      </c>
      <c r="H1218" s="89">
        <v>0</v>
      </c>
      <c r="I1218" s="89">
        <v>0</v>
      </c>
      <c r="J1218" s="710">
        <f>(VLOOKUP($C1218,[2]Sheet1!$A$2:$P$18,$M1218+1)/12)*12*D1218</f>
        <v>0</v>
      </c>
      <c r="K1218" s="711"/>
      <c r="M1218" s="62">
        <f t="shared" si="96"/>
        <v>3</v>
      </c>
    </row>
    <row r="1219" spans="1:13">
      <c r="A1219" s="88">
        <f t="shared" si="94"/>
        <v>56</v>
      </c>
      <c r="B1219" s="117" t="s">
        <v>3265</v>
      </c>
      <c r="C1219" s="117">
        <v>9</v>
      </c>
      <c r="D1219" s="89">
        <v>0</v>
      </c>
      <c r="E1219" s="89">
        <v>0</v>
      </c>
      <c r="F1219" s="89">
        <v>0</v>
      </c>
      <c r="G1219" s="89">
        <v>0</v>
      </c>
      <c r="H1219" s="89">
        <v>0</v>
      </c>
      <c r="I1219" s="89">
        <v>0</v>
      </c>
      <c r="J1219" s="710">
        <f>(VLOOKUP($C1219,[2]Sheet1!$A$2:$P$18,$M1219+1)/12)*12*D1219</f>
        <v>0</v>
      </c>
      <c r="K1219" s="711"/>
      <c r="M1219" s="62">
        <f t="shared" si="96"/>
        <v>3</v>
      </c>
    </row>
    <row r="1220" spans="1:13">
      <c r="A1220" s="88">
        <f t="shared" si="94"/>
        <v>57</v>
      </c>
      <c r="B1220" s="117" t="s">
        <v>3266</v>
      </c>
      <c r="C1220" s="117">
        <v>8</v>
      </c>
      <c r="D1220" s="89">
        <v>0</v>
      </c>
      <c r="E1220" s="89">
        <v>0</v>
      </c>
      <c r="F1220" s="89">
        <v>0</v>
      </c>
      <c r="G1220" s="89">
        <v>0</v>
      </c>
      <c r="H1220" s="89">
        <v>0</v>
      </c>
      <c r="I1220" s="89">
        <v>0</v>
      </c>
      <c r="J1220" s="710">
        <f>(VLOOKUP($C1220,[2]Sheet1!$A$2:$P$18,$M1220+1)/12)*12*D1220</f>
        <v>0</v>
      </c>
      <c r="K1220" s="711"/>
      <c r="M1220" s="62">
        <f t="shared" si="96"/>
        <v>3</v>
      </c>
    </row>
    <row r="1221" spans="1:13">
      <c r="A1221" s="88"/>
      <c r="B1221" s="253" t="s">
        <v>3090</v>
      </c>
      <c r="C1221" s="117"/>
      <c r="D1221" s="89"/>
      <c r="E1221" s="89"/>
      <c r="F1221" s="89"/>
      <c r="G1221" s="89"/>
      <c r="H1221" s="89"/>
      <c r="I1221" s="89"/>
      <c r="J1221" s="710"/>
      <c r="K1221" s="711"/>
      <c r="M1221" s="62">
        <f t="shared" si="96"/>
        <v>5</v>
      </c>
    </row>
    <row r="1222" spans="1:13">
      <c r="A1222" s="88">
        <f>+A1220+1</f>
        <v>58</v>
      </c>
      <c r="B1222" s="117" t="s">
        <v>3091</v>
      </c>
      <c r="C1222" s="117">
        <v>8</v>
      </c>
      <c r="D1222" s="89">
        <v>0</v>
      </c>
      <c r="E1222" s="89">
        <v>0</v>
      </c>
      <c r="F1222" s="89">
        <v>0</v>
      </c>
      <c r="G1222" s="89">
        <v>0</v>
      </c>
      <c r="H1222" s="89">
        <v>0</v>
      </c>
      <c r="I1222" s="89">
        <v>0</v>
      </c>
      <c r="J1222" s="710">
        <f>(VLOOKUP($C1222,[2]Sheet1!$A$2:$P$18,$M1222+1)/12)*12*D1222</f>
        <v>0</v>
      </c>
      <c r="K1222" s="711"/>
      <c r="M1222" s="62">
        <f t="shared" si="96"/>
        <v>3</v>
      </c>
    </row>
    <row r="1223" spans="1:13">
      <c r="A1223" s="88">
        <f t="shared" si="94"/>
        <v>59</v>
      </c>
      <c r="B1223" s="117" t="s">
        <v>3092</v>
      </c>
      <c r="C1223" s="117">
        <v>6</v>
      </c>
      <c r="D1223" s="89">
        <v>0</v>
      </c>
      <c r="E1223" s="89">
        <v>1</v>
      </c>
      <c r="F1223" s="89">
        <v>0</v>
      </c>
      <c r="G1223" s="89">
        <v>0</v>
      </c>
      <c r="H1223" s="89">
        <v>1</v>
      </c>
      <c r="I1223" s="89">
        <v>0</v>
      </c>
      <c r="J1223" s="710">
        <f>(VLOOKUP($C1223,[2]Sheet1!$A$2:$P$18,$M1223+1)/12)*12*D1223</f>
        <v>0</v>
      </c>
      <c r="K1223" s="711"/>
      <c r="M1223" s="62">
        <f t="shared" si="96"/>
        <v>5</v>
      </c>
    </row>
    <row r="1224" spans="1:13">
      <c r="A1224" s="88">
        <f t="shared" si="94"/>
        <v>60</v>
      </c>
      <c r="B1224" s="117" t="s">
        <v>2746</v>
      </c>
      <c r="C1224" s="117">
        <v>6</v>
      </c>
      <c r="D1224" s="89">
        <v>0</v>
      </c>
      <c r="E1224" s="89">
        <v>0</v>
      </c>
      <c r="F1224" s="89">
        <v>0</v>
      </c>
      <c r="G1224" s="89">
        <v>0</v>
      </c>
      <c r="H1224" s="89">
        <v>0</v>
      </c>
      <c r="I1224" s="89">
        <v>0</v>
      </c>
      <c r="J1224" s="710">
        <f>(VLOOKUP($C1224,[2]Sheet1!$A$2:$P$18,$M1224+1)/12)*12*D1224</f>
        <v>0</v>
      </c>
      <c r="K1224" s="711"/>
      <c r="M1224" s="62">
        <f t="shared" si="96"/>
        <v>5</v>
      </c>
    </row>
    <row r="1225" spans="1:13">
      <c r="A1225" s="88">
        <f t="shared" si="94"/>
        <v>61</v>
      </c>
      <c r="B1225" s="117" t="s">
        <v>3093</v>
      </c>
      <c r="C1225" s="117">
        <v>4</v>
      </c>
      <c r="D1225" s="89">
        <v>0</v>
      </c>
      <c r="E1225" s="89">
        <v>1</v>
      </c>
      <c r="F1225" s="89">
        <v>0</v>
      </c>
      <c r="G1225" s="89">
        <v>0</v>
      </c>
      <c r="H1225" s="89">
        <v>1</v>
      </c>
      <c r="I1225" s="89">
        <v>0</v>
      </c>
      <c r="J1225" s="710">
        <f>(VLOOKUP($C1225,[2]Sheet1!$A$2:$P$18,$M1225+1)/12)*12*D1225</f>
        <v>0</v>
      </c>
      <c r="K1225" s="711"/>
      <c r="M1225" s="62">
        <f t="shared" si="96"/>
        <v>5</v>
      </c>
    </row>
    <row r="1226" spans="1:13">
      <c r="A1226" s="88">
        <f t="shared" si="94"/>
        <v>62</v>
      </c>
      <c r="B1226" s="117" t="s">
        <v>3094</v>
      </c>
      <c r="C1226" s="117">
        <v>4</v>
      </c>
      <c r="D1226" s="89">
        <v>0</v>
      </c>
      <c r="E1226" s="89">
        <v>1</v>
      </c>
      <c r="F1226" s="89">
        <v>0</v>
      </c>
      <c r="G1226" s="89">
        <v>0</v>
      </c>
      <c r="H1226" s="89">
        <v>1</v>
      </c>
      <c r="I1226" s="89">
        <v>0</v>
      </c>
      <c r="J1226" s="710">
        <f>(VLOOKUP($C1226,[2]Sheet1!$A$2:$P$18,$M1226+1)/12)*12*D1226</f>
        <v>0</v>
      </c>
      <c r="K1226" s="711"/>
      <c r="M1226" s="62">
        <f t="shared" si="96"/>
        <v>5</v>
      </c>
    </row>
    <row r="1227" spans="1:13">
      <c r="A1227" s="88">
        <f t="shared" si="94"/>
        <v>63</v>
      </c>
      <c r="B1227" s="117" t="s">
        <v>1179</v>
      </c>
      <c r="C1227" s="117">
        <v>3</v>
      </c>
      <c r="D1227" s="89">
        <v>0</v>
      </c>
      <c r="E1227" s="89">
        <v>3</v>
      </c>
      <c r="F1227" s="89">
        <v>0</v>
      </c>
      <c r="G1227" s="89">
        <v>0</v>
      </c>
      <c r="H1227" s="89">
        <v>3</v>
      </c>
      <c r="I1227" s="89">
        <v>0</v>
      </c>
      <c r="J1227" s="710">
        <f>(VLOOKUP($C1227,[2]Sheet1!$A$2:$P$18,$M1227+1)/12)*12*D1227</f>
        <v>0</v>
      </c>
      <c r="K1227" s="711"/>
      <c r="M1227" s="62">
        <f t="shared" si="96"/>
        <v>5</v>
      </c>
    </row>
    <row r="1228" spans="1:13">
      <c r="A1228" s="88"/>
      <c r="B1228" s="253" t="s">
        <v>3095</v>
      </c>
      <c r="C1228" s="117"/>
      <c r="D1228" s="89"/>
      <c r="E1228" s="89"/>
      <c r="F1228" s="89"/>
      <c r="G1228" s="89"/>
      <c r="H1228" s="89"/>
      <c r="I1228" s="89"/>
      <c r="J1228" s="710"/>
      <c r="K1228" s="711"/>
      <c r="M1228" s="62">
        <f t="shared" si="96"/>
        <v>5</v>
      </c>
    </row>
    <row r="1229" spans="1:13">
      <c r="A1229" s="88">
        <f>+A1227+1</f>
        <v>64</v>
      </c>
      <c r="B1229" s="117" t="s">
        <v>3096</v>
      </c>
      <c r="C1229" s="117">
        <v>8</v>
      </c>
      <c r="D1229" s="89">
        <v>0</v>
      </c>
      <c r="E1229" s="89">
        <v>0</v>
      </c>
      <c r="F1229" s="89">
        <v>0</v>
      </c>
      <c r="G1229" s="89">
        <v>0</v>
      </c>
      <c r="H1229" s="89">
        <v>0</v>
      </c>
      <c r="I1229" s="89">
        <v>0</v>
      </c>
      <c r="J1229" s="710">
        <f>(VLOOKUP($C1229,[2]Sheet1!$A$2:$P$18,$M1229+1)/12)*12*D1229</f>
        <v>0</v>
      </c>
      <c r="K1229" s="711"/>
      <c r="M1229" s="62">
        <f t="shared" si="96"/>
        <v>3</v>
      </c>
    </row>
    <row r="1230" spans="1:13">
      <c r="A1230" s="88">
        <f t="shared" ref="A1230:A1279" si="97">+A1229+1</f>
        <v>65</v>
      </c>
      <c r="B1230" s="117" t="s">
        <v>3097</v>
      </c>
      <c r="C1230" s="117">
        <v>5</v>
      </c>
      <c r="D1230" s="89">
        <v>0</v>
      </c>
      <c r="E1230" s="89">
        <v>0</v>
      </c>
      <c r="F1230" s="89">
        <v>0</v>
      </c>
      <c r="G1230" s="89">
        <v>0</v>
      </c>
      <c r="H1230" s="89">
        <v>0</v>
      </c>
      <c r="I1230" s="89">
        <v>0</v>
      </c>
      <c r="J1230" s="710">
        <f>(VLOOKUP($C1230,[2]Sheet1!$A$2:$P$18,$M1230+1)/12)*12*D1230</f>
        <v>0</v>
      </c>
      <c r="K1230" s="711"/>
      <c r="M1230" s="62">
        <f t="shared" si="96"/>
        <v>5</v>
      </c>
    </row>
    <row r="1231" spans="1:13">
      <c r="A1231" s="88">
        <f t="shared" si="97"/>
        <v>66</v>
      </c>
      <c r="B1231" s="117" t="s">
        <v>3098</v>
      </c>
      <c r="C1231" s="117">
        <v>4</v>
      </c>
      <c r="D1231" s="89">
        <v>0</v>
      </c>
      <c r="E1231" s="89">
        <v>0</v>
      </c>
      <c r="F1231" s="89">
        <v>0</v>
      </c>
      <c r="G1231" s="89">
        <v>0</v>
      </c>
      <c r="H1231" s="89">
        <v>0</v>
      </c>
      <c r="I1231" s="89">
        <v>0</v>
      </c>
      <c r="J1231" s="710">
        <f>(VLOOKUP($C1231,[2]Sheet1!$A$2:$P$18,$M1231+1)/12)*12*D1231</f>
        <v>0</v>
      </c>
      <c r="K1231" s="711"/>
      <c r="M1231" s="62">
        <f t="shared" si="96"/>
        <v>5</v>
      </c>
    </row>
    <row r="1232" spans="1:13">
      <c r="A1232" s="88">
        <f t="shared" si="97"/>
        <v>67</v>
      </c>
      <c r="B1232" s="117" t="s">
        <v>2941</v>
      </c>
      <c r="C1232" s="117">
        <v>3</v>
      </c>
      <c r="D1232" s="89">
        <v>0</v>
      </c>
      <c r="E1232" s="89">
        <v>0</v>
      </c>
      <c r="F1232" s="89">
        <v>0</v>
      </c>
      <c r="G1232" s="89">
        <v>0</v>
      </c>
      <c r="H1232" s="89">
        <v>0</v>
      </c>
      <c r="I1232" s="89">
        <v>0</v>
      </c>
      <c r="J1232" s="710">
        <f>(VLOOKUP($C1232,[2]Sheet1!$A$2:$P$18,$M1232+1)/12)*12*D1232</f>
        <v>0</v>
      </c>
      <c r="K1232" s="711"/>
      <c r="M1232" s="62">
        <f t="shared" si="96"/>
        <v>5</v>
      </c>
    </row>
    <row r="1233" spans="1:13">
      <c r="A1233" s="88"/>
      <c r="B1233" s="253" t="s">
        <v>2942</v>
      </c>
      <c r="C1233" s="117"/>
      <c r="D1233" s="89"/>
      <c r="E1233" s="89"/>
      <c r="F1233" s="89"/>
      <c r="G1233" s="89"/>
      <c r="H1233" s="89"/>
      <c r="I1233" s="89"/>
      <c r="J1233" s="710"/>
      <c r="K1233" s="711"/>
      <c r="M1233" s="62">
        <f t="shared" si="96"/>
        <v>5</v>
      </c>
    </row>
    <row r="1234" spans="1:13">
      <c r="A1234" s="88">
        <f>+A1232+1</f>
        <v>68</v>
      </c>
      <c r="B1234" s="117" t="s">
        <v>2943</v>
      </c>
      <c r="C1234" s="117">
        <v>8</v>
      </c>
      <c r="D1234" s="89">
        <v>0</v>
      </c>
      <c r="E1234" s="89">
        <v>0</v>
      </c>
      <c r="F1234" s="89">
        <v>0</v>
      </c>
      <c r="G1234" s="89">
        <v>0</v>
      </c>
      <c r="H1234" s="89">
        <v>0</v>
      </c>
      <c r="I1234" s="89">
        <v>0</v>
      </c>
      <c r="J1234" s="710">
        <f>(VLOOKUP($C1234,[2]Sheet1!$A$2:$P$18,$M1234+1)/12)*12*D1234</f>
        <v>0</v>
      </c>
      <c r="K1234" s="711"/>
      <c r="M1234" s="62">
        <f t="shared" si="96"/>
        <v>3</v>
      </c>
    </row>
    <row r="1235" spans="1:13">
      <c r="A1235" s="88">
        <f t="shared" si="97"/>
        <v>69</v>
      </c>
      <c r="B1235" s="117" t="s">
        <v>2944</v>
      </c>
      <c r="C1235" s="117">
        <v>4</v>
      </c>
      <c r="D1235" s="89">
        <v>0</v>
      </c>
      <c r="E1235" s="89">
        <v>0</v>
      </c>
      <c r="F1235" s="89">
        <v>0</v>
      </c>
      <c r="G1235" s="89">
        <v>0</v>
      </c>
      <c r="H1235" s="89">
        <v>0</v>
      </c>
      <c r="I1235" s="89">
        <v>0</v>
      </c>
      <c r="J1235" s="710">
        <f>(VLOOKUP($C1235,[2]Sheet1!$A$2:$P$18,$M1235+1)/12)*12*D1235</f>
        <v>0</v>
      </c>
      <c r="K1235" s="711"/>
      <c r="M1235" s="62">
        <f t="shared" si="96"/>
        <v>5</v>
      </c>
    </row>
    <row r="1236" spans="1:13" ht="13.5" thickBot="1">
      <c r="A1236" s="88">
        <f t="shared" si="97"/>
        <v>70</v>
      </c>
      <c r="B1236" s="117" t="s">
        <v>2945</v>
      </c>
      <c r="C1236" s="117">
        <v>3</v>
      </c>
      <c r="D1236" s="89">
        <v>0</v>
      </c>
      <c r="E1236" s="89">
        <v>0</v>
      </c>
      <c r="F1236" s="89">
        <v>0</v>
      </c>
      <c r="G1236" s="89">
        <v>0</v>
      </c>
      <c r="H1236" s="89">
        <v>0</v>
      </c>
      <c r="I1236" s="89">
        <v>0</v>
      </c>
      <c r="J1236" s="710">
        <f>(VLOOKUP($C1236,[2]Sheet1!$A$2:$P$18,$M1236+1)/12)*12*D1236</f>
        <v>0</v>
      </c>
      <c r="K1236" s="711"/>
      <c r="M1236" s="62">
        <f t="shared" si="96"/>
        <v>5</v>
      </c>
    </row>
    <row r="1237" spans="1:13" ht="15.75" thickTop="1">
      <c r="A1237" s="1047" t="s">
        <v>2791</v>
      </c>
      <c r="B1237" s="1049" t="s">
        <v>4126</v>
      </c>
      <c r="C1237" s="1049" t="s">
        <v>854</v>
      </c>
      <c r="D1237" s="1040" t="s">
        <v>4127</v>
      </c>
      <c r="E1237" s="1041"/>
      <c r="F1237" s="1041"/>
      <c r="G1237" s="1040" t="s">
        <v>904</v>
      </c>
      <c r="H1237" s="1041"/>
      <c r="I1237" s="1042"/>
      <c r="J1237" s="1035" t="s">
        <v>855</v>
      </c>
      <c r="K1237" s="389"/>
    </row>
    <row r="1238" spans="1:13" ht="26.25" thickBot="1">
      <c r="A1238" s="1048"/>
      <c r="B1238" s="1050"/>
      <c r="C1238" s="1050"/>
      <c r="D1238" s="285" t="s">
        <v>5505</v>
      </c>
      <c r="E1238" s="285" t="s">
        <v>4485</v>
      </c>
      <c r="F1238" s="285" t="s">
        <v>4486</v>
      </c>
      <c r="G1238" s="287" t="s">
        <v>4487</v>
      </c>
      <c r="H1238" s="285" t="s">
        <v>4488</v>
      </c>
      <c r="I1238" s="287" t="s">
        <v>4489</v>
      </c>
      <c r="J1238" s="1036"/>
      <c r="K1238" s="712"/>
    </row>
    <row r="1239" spans="1:13" ht="13.5" thickTop="1">
      <c r="A1239" s="88"/>
      <c r="B1239" s="253" t="s">
        <v>3732</v>
      </c>
      <c r="C1239" s="117"/>
      <c r="D1239" s="89"/>
      <c r="E1239" s="89"/>
      <c r="F1239" s="89"/>
      <c r="G1239" s="89"/>
      <c r="H1239" s="89"/>
      <c r="I1239" s="89"/>
      <c r="J1239" s="710"/>
      <c r="K1239" s="711"/>
      <c r="M1239" s="62">
        <f t="shared" si="96"/>
        <v>5</v>
      </c>
    </row>
    <row r="1240" spans="1:13">
      <c r="A1240" s="88">
        <f>+A1236+1</f>
        <v>71</v>
      </c>
      <c r="B1240" s="117" t="s">
        <v>3532</v>
      </c>
      <c r="C1240" s="117">
        <v>16</v>
      </c>
      <c r="D1240" s="89">
        <v>0</v>
      </c>
      <c r="E1240" s="89">
        <v>0</v>
      </c>
      <c r="F1240" s="89">
        <v>0</v>
      </c>
      <c r="G1240" s="89">
        <v>0</v>
      </c>
      <c r="H1240" s="89">
        <v>0</v>
      </c>
      <c r="I1240" s="89">
        <v>0</v>
      </c>
      <c r="J1240" s="710">
        <f>(VLOOKUP($C1240,[2]Sheet1!$A$2:$P$18,$M1240+1)/12)*12*D1240</f>
        <v>0</v>
      </c>
      <c r="K1240" s="711"/>
      <c r="M1240" s="62">
        <f t="shared" si="96"/>
        <v>3</v>
      </c>
    </row>
    <row r="1241" spans="1:13">
      <c r="A1241" s="88">
        <f>+A1240+1</f>
        <v>72</v>
      </c>
      <c r="B1241" s="117" t="s">
        <v>1099</v>
      </c>
      <c r="C1241" s="117">
        <v>15</v>
      </c>
      <c r="D1241" s="89">
        <v>0</v>
      </c>
      <c r="E1241" s="89">
        <v>0</v>
      </c>
      <c r="F1241" s="89">
        <v>0</v>
      </c>
      <c r="G1241" s="89">
        <v>0</v>
      </c>
      <c r="H1241" s="89">
        <v>0</v>
      </c>
      <c r="I1241" s="89">
        <v>0</v>
      </c>
      <c r="J1241" s="710">
        <f>(VLOOKUP($C1241,[2]Sheet1!$A$2:$P$18,$M1241+1)/12)*12*D1241</f>
        <v>0</v>
      </c>
      <c r="K1241" s="711"/>
      <c r="M1241" s="62">
        <f>IF(C1241&gt;6,3,5)</f>
        <v>3</v>
      </c>
    </row>
    <row r="1242" spans="1:13">
      <c r="A1242" s="88">
        <f>+A1241+1</f>
        <v>73</v>
      </c>
      <c r="B1242" s="117" t="s">
        <v>3533</v>
      </c>
      <c r="C1242" s="117">
        <v>14</v>
      </c>
      <c r="D1242" s="89">
        <v>0</v>
      </c>
      <c r="E1242" s="89">
        <v>0</v>
      </c>
      <c r="F1242" s="89">
        <v>0</v>
      </c>
      <c r="G1242" s="89">
        <v>0</v>
      </c>
      <c r="H1242" s="89">
        <v>0</v>
      </c>
      <c r="I1242" s="89">
        <v>0</v>
      </c>
      <c r="J1242" s="710">
        <f>(VLOOKUP($C1242,[2]Sheet1!$A$2:$P$18,$M1242+1)/12)*12*D1242</f>
        <v>0</v>
      </c>
      <c r="K1242" s="711"/>
      <c r="M1242" s="62">
        <f>IF(C1242&gt;6,3,5)</f>
        <v>3</v>
      </c>
    </row>
    <row r="1243" spans="1:13">
      <c r="A1243" s="88">
        <f>+A1242+1</f>
        <v>74</v>
      </c>
      <c r="B1243" s="117" t="s">
        <v>2946</v>
      </c>
      <c r="C1243" s="117">
        <v>13</v>
      </c>
      <c r="D1243" s="89">
        <v>0</v>
      </c>
      <c r="E1243" s="89">
        <v>0</v>
      </c>
      <c r="F1243" s="89">
        <v>0</v>
      </c>
      <c r="G1243" s="89">
        <v>0</v>
      </c>
      <c r="H1243" s="89">
        <v>0</v>
      </c>
      <c r="I1243" s="89">
        <v>0</v>
      </c>
      <c r="J1243" s="713">
        <f>(VLOOKUP($C1243,[2]Sheet1!$A$2:$P$18,$M1243+1)/12)*12*H1243</f>
        <v>0</v>
      </c>
      <c r="K1243" s="711"/>
      <c r="M1243" s="62">
        <f>IF(C1243&gt;6,3,5)</f>
        <v>3</v>
      </c>
    </row>
    <row r="1244" spans="1:13">
      <c r="A1244" s="88">
        <f>+A1243+1</f>
        <v>75</v>
      </c>
      <c r="B1244" s="117" t="s">
        <v>3105</v>
      </c>
      <c r="C1244" s="117">
        <v>12</v>
      </c>
      <c r="D1244" s="89">
        <v>0</v>
      </c>
      <c r="E1244" s="89">
        <v>0</v>
      </c>
      <c r="F1244" s="89">
        <v>0</v>
      </c>
      <c r="G1244" s="89">
        <v>0</v>
      </c>
      <c r="H1244" s="89">
        <v>0</v>
      </c>
      <c r="I1244" s="89">
        <v>0</v>
      </c>
      <c r="J1244" s="710">
        <f>(VLOOKUP($C1244,[2]Sheet1!$A$2:$P$18,$M1244+1)/12)*12*D1244</f>
        <v>0</v>
      </c>
      <c r="K1244" s="711"/>
      <c r="M1244" s="62">
        <f t="shared" si="96"/>
        <v>3</v>
      </c>
    </row>
    <row r="1245" spans="1:13">
      <c r="A1245" s="88">
        <f t="shared" si="97"/>
        <v>76</v>
      </c>
      <c r="B1245" s="117" t="s">
        <v>3106</v>
      </c>
      <c r="C1245" s="117">
        <v>10</v>
      </c>
      <c r="D1245" s="89">
        <v>0</v>
      </c>
      <c r="E1245" s="89">
        <v>0</v>
      </c>
      <c r="F1245" s="89">
        <v>0</v>
      </c>
      <c r="G1245" s="89">
        <v>0</v>
      </c>
      <c r="H1245" s="89">
        <v>0</v>
      </c>
      <c r="I1245" s="89">
        <v>0</v>
      </c>
      <c r="J1245" s="710">
        <f>(VLOOKUP($C1245,[2]Sheet1!$A$2:$P$18,$M1245+1)/12)*12*D1245</f>
        <v>0</v>
      </c>
      <c r="K1245" s="711"/>
      <c r="M1245" s="62">
        <f t="shared" si="96"/>
        <v>3</v>
      </c>
    </row>
    <row r="1246" spans="1:13">
      <c r="A1246" s="88">
        <f t="shared" si="97"/>
        <v>77</v>
      </c>
      <c r="B1246" s="117" t="s">
        <v>3107</v>
      </c>
      <c r="C1246" s="117">
        <v>9</v>
      </c>
      <c r="D1246" s="89">
        <v>0</v>
      </c>
      <c r="E1246" s="89">
        <v>0</v>
      </c>
      <c r="F1246" s="89">
        <v>0</v>
      </c>
      <c r="G1246" s="89">
        <v>0</v>
      </c>
      <c r="H1246" s="89">
        <v>0</v>
      </c>
      <c r="I1246" s="89">
        <v>0</v>
      </c>
      <c r="J1246" s="710">
        <f>(VLOOKUP($C1246,[2]Sheet1!$A$2:$P$18,$M1246+1)/12)*12*D1246</f>
        <v>0</v>
      </c>
      <c r="K1246" s="711"/>
      <c r="M1246" s="62">
        <f t="shared" si="96"/>
        <v>3</v>
      </c>
    </row>
    <row r="1247" spans="1:13">
      <c r="A1247" s="88">
        <f t="shared" si="97"/>
        <v>78</v>
      </c>
      <c r="B1247" s="117" t="s">
        <v>3108</v>
      </c>
      <c r="C1247" s="117">
        <v>8</v>
      </c>
      <c r="D1247" s="89">
        <v>0</v>
      </c>
      <c r="E1247" s="89">
        <v>0</v>
      </c>
      <c r="F1247" s="89">
        <v>0</v>
      </c>
      <c r="G1247" s="89">
        <v>0</v>
      </c>
      <c r="H1247" s="89">
        <v>0</v>
      </c>
      <c r="I1247" s="89">
        <v>0</v>
      </c>
      <c r="J1247" s="710">
        <f>(VLOOKUP($C1247,[2]Sheet1!$A$2:$P$18,$M1247+1)/12)*12*D1247</f>
        <v>0</v>
      </c>
      <c r="K1247" s="711"/>
      <c r="M1247" s="62">
        <f t="shared" si="96"/>
        <v>3</v>
      </c>
    </row>
    <row r="1248" spans="1:13">
      <c r="A1248" s="88">
        <f t="shared" si="97"/>
        <v>79</v>
      </c>
      <c r="B1248" s="117" t="s">
        <v>2952</v>
      </c>
      <c r="C1248" s="117">
        <v>7</v>
      </c>
      <c r="D1248" s="89">
        <v>0</v>
      </c>
      <c r="E1248" s="89">
        <v>0</v>
      </c>
      <c r="F1248" s="89">
        <v>0</v>
      </c>
      <c r="G1248" s="89">
        <v>0</v>
      </c>
      <c r="H1248" s="89">
        <v>0</v>
      </c>
      <c r="I1248" s="89">
        <v>0</v>
      </c>
      <c r="J1248" s="710">
        <f>(VLOOKUP($C1248,[2]Sheet1!$A$2:$P$18,$M1248+1)/12)*12*D1248</f>
        <v>0</v>
      </c>
      <c r="K1248" s="711"/>
      <c r="M1248" s="62">
        <f t="shared" si="96"/>
        <v>3</v>
      </c>
    </row>
    <row r="1249" spans="1:13">
      <c r="A1249" s="88">
        <f t="shared" si="97"/>
        <v>80</v>
      </c>
      <c r="B1249" s="117" t="s">
        <v>2953</v>
      </c>
      <c r="C1249" s="117">
        <v>6</v>
      </c>
      <c r="D1249" s="89">
        <v>0</v>
      </c>
      <c r="E1249" s="89">
        <v>5</v>
      </c>
      <c r="F1249" s="89">
        <v>0</v>
      </c>
      <c r="G1249" s="89">
        <v>0</v>
      </c>
      <c r="H1249" s="89">
        <v>5</v>
      </c>
      <c r="I1249" s="89">
        <v>0</v>
      </c>
      <c r="J1249" s="710">
        <f>(VLOOKUP($C1249,[2]Sheet1!$A$2:$P$18,$M1249+1)/12)*12*D1249</f>
        <v>0</v>
      </c>
      <c r="K1249" s="711"/>
      <c r="M1249" s="62">
        <f t="shared" si="96"/>
        <v>5</v>
      </c>
    </row>
    <row r="1250" spans="1:13">
      <c r="A1250" s="88">
        <f t="shared" si="97"/>
        <v>81</v>
      </c>
      <c r="B1250" s="117" t="s">
        <v>2954</v>
      </c>
      <c r="C1250" s="117">
        <v>5</v>
      </c>
      <c r="D1250" s="89">
        <v>0</v>
      </c>
      <c r="E1250" s="89">
        <v>0</v>
      </c>
      <c r="F1250" s="89">
        <v>0</v>
      </c>
      <c r="G1250" s="89">
        <v>0</v>
      </c>
      <c r="H1250" s="89">
        <v>0</v>
      </c>
      <c r="I1250" s="89">
        <v>0</v>
      </c>
      <c r="J1250" s="710">
        <f>(VLOOKUP($C1250,[2]Sheet1!$A$2:$P$18,$M1250+1)/12)*12*D1250</f>
        <v>0</v>
      </c>
      <c r="K1250" s="711"/>
      <c r="M1250" s="62">
        <f t="shared" si="96"/>
        <v>5</v>
      </c>
    </row>
    <row r="1251" spans="1:13">
      <c r="A1251" s="88">
        <f t="shared" si="97"/>
        <v>82</v>
      </c>
      <c r="B1251" s="117" t="s">
        <v>2796</v>
      </c>
      <c r="C1251" s="117">
        <v>4</v>
      </c>
      <c r="D1251" s="89">
        <v>0</v>
      </c>
      <c r="E1251" s="89">
        <v>0</v>
      </c>
      <c r="F1251" s="89">
        <v>0</v>
      </c>
      <c r="G1251" s="89">
        <v>0</v>
      </c>
      <c r="H1251" s="89">
        <v>0</v>
      </c>
      <c r="I1251" s="89">
        <v>0</v>
      </c>
      <c r="J1251" s="710">
        <f>(VLOOKUP($C1251,[2]Sheet1!$A$2:$P$18,$M1251+1)/12)*12*D1251</f>
        <v>0</v>
      </c>
      <c r="K1251" s="711"/>
      <c r="M1251" s="62">
        <f t="shared" si="96"/>
        <v>5</v>
      </c>
    </row>
    <row r="1252" spans="1:13">
      <c r="A1252" s="88">
        <f t="shared" si="97"/>
        <v>83</v>
      </c>
      <c r="B1252" s="117" t="s">
        <v>2797</v>
      </c>
      <c r="C1252" s="117">
        <v>3</v>
      </c>
      <c r="D1252" s="89">
        <v>0</v>
      </c>
      <c r="E1252" s="89">
        <v>2</v>
      </c>
      <c r="F1252" s="89">
        <v>0</v>
      </c>
      <c r="G1252" s="89">
        <v>0</v>
      </c>
      <c r="H1252" s="89">
        <v>2</v>
      </c>
      <c r="I1252" s="89">
        <v>0</v>
      </c>
      <c r="J1252" s="710">
        <f>(VLOOKUP($C1252,[2]Sheet1!$A$2:$P$18,$M1252+1)/12)*12*D1252</f>
        <v>0</v>
      </c>
      <c r="K1252" s="711"/>
      <c r="M1252" s="62">
        <f t="shared" si="96"/>
        <v>5</v>
      </c>
    </row>
    <row r="1253" spans="1:13">
      <c r="A1253" s="88"/>
      <c r="B1253" s="253" t="s">
        <v>2798</v>
      </c>
      <c r="C1253" s="117"/>
      <c r="D1253" s="89"/>
      <c r="E1253" s="89"/>
      <c r="F1253" s="89"/>
      <c r="G1253" s="89"/>
      <c r="H1253" s="89"/>
      <c r="I1253" s="89"/>
      <c r="J1253" s="710"/>
      <c r="K1253" s="711"/>
      <c r="M1253" s="62">
        <f t="shared" si="96"/>
        <v>5</v>
      </c>
    </row>
    <row r="1254" spans="1:13">
      <c r="A1254" s="88">
        <f>+A1252+1</f>
        <v>84</v>
      </c>
      <c r="B1254" s="117" t="s">
        <v>2799</v>
      </c>
      <c r="C1254" s="117">
        <v>13</v>
      </c>
      <c r="D1254" s="89">
        <v>0</v>
      </c>
      <c r="E1254" s="89">
        <v>0</v>
      </c>
      <c r="F1254" s="89">
        <v>0</v>
      </c>
      <c r="G1254" s="89">
        <v>0</v>
      </c>
      <c r="H1254" s="89">
        <v>0</v>
      </c>
      <c r="I1254" s="89">
        <v>0</v>
      </c>
      <c r="J1254" s="710">
        <f>(VLOOKUP($C1254,[2]Sheet1!$A$2:$P$18,$M1254+1)/12)*12*D1254</f>
        <v>0</v>
      </c>
      <c r="K1254" s="711"/>
      <c r="M1254" s="62">
        <f t="shared" si="96"/>
        <v>3</v>
      </c>
    </row>
    <row r="1255" spans="1:13">
      <c r="A1255" s="88">
        <f t="shared" si="97"/>
        <v>85</v>
      </c>
      <c r="B1255" s="117" t="s">
        <v>2800</v>
      </c>
      <c r="C1255" s="117">
        <v>12</v>
      </c>
      <c r="D1255" s="89">
        <v>0</v>
      </c>
      <c r="E1255" s="89">
        <v>0</v>
      </c>
      <c r="F1255" s="89">
        <v>0</v>
      </c>
      <c r="G1255" s="89">
        <v>0</v>
      </c>
      <c r="H1255" s="89">
        <v>0</v>
      </c>
      <c r="I1255" s="89">
        <v>0</v>
      </c>
      <c r="J1255" s="710">
        <f>(VLOOKUP($C1255,[2]Sheet1!$A$2:$P$18,$M1255+1)/12)*12*D1255</f>
        <v>0</v>
      </c>
      <c r="K1255" s="711"/>
      <c r="M1255" s="62">
        <f t="shared" si="96"/>
        <v>3</v>
      </c>
    </row>
    <row r="1256" spans="1:13">
      <c r="A1256" s="88">
        <f t="shared" si="97"/>
        <v>86</v>
      </c>
      <c r="B1256" s="117" t="s">
        <v>2801</v>
      </c>
      <c r="C1256" s="117">
        <v>10</v>
      </c>
      <c r="D1256" s="89">
        <v>0</v>
      </c>
      <c r="E1256" s="89">
        <v>0</v>
      </c>
      <c r="F1256" s="89">
        <v>0</v>
      </c>
      <c r="G1256" s="89">
        <v>0</v>
      </c>
      <c r="H1256" s="89">
        <v>0</v>
      </c>
      <c r="I1256" s="89">
        <v>0</v>
      </c>
      <c r="J1256" s="710">
        <f>(VLOOKUP($C1256,[2]Sheet1!$A$2:$P$18,$M1256+1)/12)*12*D1256</f>
        <v>0</v>
      </c>
      <c r="K1256" s="711"/>
      <c r="M1256" s="62">
        <f t="shared" si="96"/>
        <v>3</v>
      </c>
    </row>
    <row r="1257" spans="1:13">
      <c r="A1257" s="88">
        <f t="shared" si="97"/>
        <v>87</v>
      </c>
      <c r="B1257" s="117" t="s">
        <v>2802</v>
      </c>
      <c r="C1257" s="117">
        <v>9</v>
      </c>
      <c r="D1257" s="89">
        <v>0</v>
      </c>
      <c r="E1257" s="89">
        <v>0</v>
      </c>
      <c r="F1257" s="89">
        <v>0</v>
      </c>
      <c r="G1257" s="89">
        <v>0</v>
      </c>
      <c r="H1257" s="89">
        <v>0</v>
      </c>
      <c r="I1257" s="89">
        <v>0</v>
      </c>
      <c r="J1257" s="710">
        <f>(VLOOKUP($C1257,[2]Sheet1!$A$2:$P$18,$M1257+1)/12)*12*D1257</f>
        <v>0</v>
      </c>
      <c r="K1257" s="711"/>
      <c r="M1257" s="62">
        <f t="shared" si="96"/>
        <v>3</v>
      </c>
    </row>
    <row r="1258" spans="1:13">
      <c r="A1258" s="88">
        <f t="shared" si="97"/>
        <v>88</v>
      </c>
      <c r="B1258" s="117" t="s">
        <v>2803</v>
      </c>
      <c r="C1258" s="117">
        <v>8</v>
      </c>
      <c r="D1258" s="89">
        <v>0</v>
      </c>
      <c r="E1258" s="89">
        <v>0</v>
      </c>
      <c r="F1258" s="89">
        <v>0</v>
      </c>
      <c r="G1258" s="89">
        <v>0</v>
      </c>
      <c r="H1258" s="89">
        <v>0</v>
      </c>
      <c r="I1258" s="89">
        <v>0</v>
      </c>
      <c r="J1258" s="710">
        <f>(VLOOKUP($C1258,[2]Sheet1!$A$2:$P$18,$M1258+1)/12)*12*D1258</f>
        <v>0</v>
      </c>
      <c r="K1258" s="711"/>
      <c r="M1258" s="62">
        <f t="shared" si="96"/>
        <v>3</v>
      </c>
    </row>
    <row r="1259" spans="1:13">
      <c r="A1259" s="88">
        <f t="shared" si="97"/>
        <v>89</v>
      </c>
      <c r="B1259" s="117" t="s">
        <v>2804</v>
      </c>
      <c r="C1259" s="117">
        <v>7</v>
      </c>
      <c r="D1259" s="89">
        <v>0</v>
      </c>
      <c r="E1259" s="89">
        <v>0</v>
      </c>
      <c r="F1259" s="89">
        <v>0</v>
      </c>
      <c r="G1259" s="89">
        <v>0</v>
      </c>
      <c r="H1259" s="89">
        <v>0</v>
      </c>
      <c r="I1259" s="89">
        <v>0</v>
      </c>
      <c r="J1259" s="710">
        <f>(VLOOKUP($C1259,[2]Sheet1!$A$2:$P$18,$M1259+1)/12)*12*D1259</f>
        <v>0</v>
      </c>
      <c r="K1259" s="711"/>
      <c r="M1259" s="62">
        <f t="shared" si="96"/>
        <v>3</v>
      </c>
    </row>
    <row r="1260" spans="1:13">
      <c r="A1260" s="88">
        <f t="shared" si="97"/>
        <v>90</v>
      </c>
      <c r="B1260" s="117" t="s">
        <v>2805</v>
      </c>
      <c r="C1260" s="117">
        <v>6</v>
      </c>
      <c r="D1260" s="89">
        <v>0</v>
      </c>
      <c r="E1260" s="89">
        <v>2</v>
      </c>
      <c r="F1260" s="89">
        <v>0</v>
      </c>
      <c r="G1260" s="89">
        <v>0</v>
      </c>
      <c r="H1260" s="89">
        <v>2</v>
      </c>
      <c r="I1260" s="89">
        <v>0</v>
      </c>
      <c r="J1260" s="710">
        <f>(VLOOKUP($C1260,[2]Sheet1!$A$2:$P$18,$M1260+1)/12)*12*D1260</f>
        <v>0</v>
      </c>
      <c r="K1260" s="711"/>
      <c r="M1260" s="62">
        <f t="shared" ref="M1260:M1279" si="98">IF(C1260&gt;6,3,5)</f>
        <v>5</v>
      </c>
    </row>
    <row r="1261" spans="1:13">
      <c r="A1261" s="88">
        <f t="shared" si="97"/>
        <v>91</v>
      </c>
      <c r="B1261" s="117" t="s">
        <v>2806</v>
      </c>
      <c r="C1261" s="117">
        <v>5</v>
      </c>
      <c r="D1261" s="89">
        <v>0</v>
      </c>
      <c r="E1261" s="89">
        <v>0</v>
      </c>
      <c r="F1261" s="89">
        <v>0</v>
      </c>
      <c r="G1261" s="89">
        <v>0</v>
      </c>
      <c r="H1261" s="89">
        <v>0</v>
      </c>
      <c r="I1261" s="89">
        <v>0</v>
      </c>
      <c r="J1261" s="710">
        <f>(VLOOKUP($C1261,[2]Sheet1!$A$2:$P$18,$M1261+1)/12)*12*D1261</f>
        <v>0</v>
      </c>
      <c r="K1261" s="711"/>
      <c r="M1261" s="62">
        <f t="shared" si="98"/>
        <v>5</v>
      </c>
    </row>
    <row r="1262" spans="1:13">
      <c r="A1262" s="88">
        <f t="shared" si="97"/>
        <v>92</v>
      </c>
      <c r="B1262" s="117" t="s">
        <v>2807</v>
      </c>
      <c r="C1262" s="117">
        <v>4</v>
      </c>
      <c r="D1262" s="89">
        <v>0</v>
      </c>
      <c r="E1262" s="89">
        <v>0</v>
      </c>
      <c r="F1262" s="89">
        <v>0</v>
      </c>
      <c r="G1262" s="89">
        <v>0</v>
      </c>
      <c r="H1262" s="89">
        <v>0</v>
      </c>
      <c r="I1262" s="89">
        <v>0</v>
      </c>
      <c r="J1262" s="710">
        <f>(VLOOKUP($C1262,[2]Sheet1!$A$2:$P$18,$M1262+1)/12)*12*D1262</f>
        <v>0</v>
      </c>
      <c r="K1262" s="711"/>
      <c r="M1262" s="62">
        <f t="shared" si="98"/>
        <v>5</v>
      </c>
    </row>
    <row r="1263" spans="1:13">
      <c r="A1263" s="88">
        <f>+A1262+1</f>
        <v>93</v>
      </c>
      <c r="B1263" s="117" t="s">
        <v>2808</v>
      </c>
      <c r="C1263" s="117">
        <v>3</v>
      </c>
      <c r="D1263" s="89">
        <v>0</v>
      </c>
      <c r="E1263" s="89">
        <v>0</v>
      </c>
      <c r="F1263" s="89">
        <v>0</v>
      </c>
      <c r="G1263" s="89">
        <v>0</v>
      </c>
      <c r="H1263" s="89">
        <v>0</v>
      </c>
      <c r="I1263" s="89">
        <v>0</v>
      </c>
      <c r="J1263" s="710">
        <f>(VLOOKUP($C1263,[2]Sheet1!$A$2:$P$18,$M1263+1)/12)*12*D1263</f>
        <v>0</v>
      </c>
      <c r="K1263" s="711"/>
      <c r="M1263" s="62">
        <f t="shared" si="98"/>
        <v>5</v>
      </c>
    </row>
    <row r="1264" spans="1:13">
      <c r="A1264" s="88"/>
      <c r="B1264" s="253" t="s">
        <v>2809</v>
      </c>
      <c r="C1264" s="117"/>
      <c r="D1264" s="89"/>
      <c r="E1264" s="89"/>
      <c r="F1264" s="89"/>
      <c r="G1264" s="89"/>
      <c r="H1264" s="89"/>
      <c r="I1264" s="89"/>
      <c r="J1264" s="710"/>
      <c r="K1264" s="711"/>
      <c r="M1264" s="62">
        <f t="shared" si="98"/>
        <v>5</v>
      </c>
    </row>
    <row r="1265" spans="1:13">
      <c r="A1265" s="88">
        <f>+A1263+1</f>
        <v>94</v>
      </c>
      <c r="B1265" s="117" t="s">
        <v>3092</v>
      </c>
      <c r="C1265" s="117">
        <v>7</v>
      </c>
      <c r="D1265" s="89">
        <v>0</v>
      </c>
      <c r="E1265" s="89">
        <v>0</v>
      </c>
      <c r="F1265" s="89">
        <v>0</v>
      </c>
      <c r="G1265" s="89">
        <v>0</v>
      </c>
      <c r="H1265" s="89">
        <v>0</v>
      </c>
      <c r="I1265" s="89">
        <v>0</v>
      </c>
      <c r="J1265" s="710">
        <f>(VLOOKUP($C1265,[2]Sheet1!$A$2:$P$18,$M1265+1)/12)*12*D1265</f>
        <v>0</v>
      </c>
      <c r="K1265" s="711"/>
      <c r="M1265" s="62">
        <f t="shared" si="98"/>
        <v>3</v>
      </c>
    </row>
    <row r="1266" spans="1:13">
      <c r="A1266" s="88">
        <f t="shared" si="97"/>
        <v>95</v>
      </c>
      <c r="B1266" s="117" t="s">
        <v>2810</v>
      </c>
      <c r="C1266" s="117">
        <v>6</v>
      </c>
      <c r="D1266" s="89">
        <v>0</v>
      </c>
      <c r="E1266" s="89">
        <v>0</v>
      </c>
      <c r="F1266" s="89">
        <v>0</v>
      </c>
      <c r="G1266" s="89">
        <v>0</v>
      </c>
      <c r="H1266" s="89">
        <v>0</v>
      </c>
      <c r="I1266" s="89">
        <v>0</v>
      </c>
      <c r="J1266" s="710">
        <f>(VLOOKUP($C1266,[2]Sheet1!$A$2:$P$18,$M1266+1)/12)*12*D1266</f>
        <v>0</v>
      </c>
      <c r="K1266" s="711"/>
      <c r="M1266" s="62">
        <f t="shared" si="98"/>
        <v>5</v>
      </c>
    </row>
    <row r="1267" spans="1:13">
      <c r="A1267" s="88">
        <f t="shared" si="97"/>
        <v>96</v>
      </c>
      <c r="B1267" s="117" t="s">
        <v>2811</v>
      </c>
      <c r="C1267" s="117">
        <v>5</v>
      </c>
      <c r="D1267" s="89">
        <v>0</v>
      </c>
      <c r="E1267" s="89">
        <v>0</v>
      </c>
      <c r="F1267" s="89">
        <v>0</v>
      </c>
      <c r="G1267" s="89">
        <v>0</v>
      </c>
      <c r="H1267" s="89">
        <v>0</v>
      </c>
      <c r="I1267" s="89">
        <v>0</v>
      </c>
      <c r="J1267" s="710">
        <f>(VLOOKUP($C1267,[2]Sheet1!$A$2:$P$18,$M1267+1)/12)*12*D1267</f>
        <v>0</v>
      </c>
      <c r="K1267" s="711"/>
      <c r="M1267" s="62">
        <f t="shared" si="98"/>
        <v>5</v>
      </c>
    </row>
    <row r="1268" spans="1:13">
      <c r="A1268" s="88">
        <f t="shared" si="97"/>
        <v>97</v>
      </c>
      <c r="B1268" s="117" t="s">
        <v>2812</v>
      </c>
      <c r="C1268" s="117">
        <v>4</v>
      </c>
      <c r="D1268" s="89">
        <v>0</v>
      </c>
      <c r="E1268" s="89">
        <v>0</v>
      </c>
      <c r="F1268" s="89">
        <v>0</v>
      </c>
      <c r="G1268" s="89">
        <v>0</v>
      </c>
      <c r="H1268" s="89">
        <v>0</v>
      </c>
      <c r="I1268" s="89">
        <v>0</v>
      </c>
      <c r="J1268" s="710">
        <f>(VLOOKUP($C1268,[2]Sheet1!$A$2:$P$18,$M1268+1)/12)*12*D1268</f>
        <v>0</v>
      </c>
      <c r="K1268" s="711"/>
      <c r="M1268" s="62">
        <f t="shared" si="98"/>
        <v>5</v>
      </c>
    </row>
    <row r="1269" spans="1:13">
      <c r="A1269" s="88">
        <f t="shared" si="97"/>
        <v>98</v>
      </c>
      <c r="B1269" s="117" t="s">
        <v>3093</v>
      </c>
      <c r="C1269" s="117">
        <v>3</v>
      </c>
      <c r="D1269" s="89">
        <v>0</v>
      </c>
      <c r="E1269" s="89">
        <v>0</v>
      </c>
      <c r="F1269" s="89">
        <v>0</v>
      </c>
      <c r="G1269" s="89">
        <v>0</v>
      </c>
      <c r="H1269" s="89">
        <v>0</v>
      </c>
      <c r="I1269" s="89">
        <v>0</v>
      </c>
      <c r="J1269" s="710">
        <f>(VLOOKUP($C1269,[2]Sheet1!$A$2:$P$18,$M1269+1)/12)*12*D1269</f>
        <v>0</v>
      </c>
      <c r="K1269" s="711"/>
      <c r="M1269" s="62">
        <f t="shared" si="98"/>
        <v>5</v>
      </c>
    </row>
    <row r="1270" spans="1:13">
      <c r="A1270" s="88">
        <f t="shared" si="97"/>
        <v>99</v>
      </c>
      <c r="B1270" s="117" t="s">
        <v>1179</v>
      </c>
      <c r="C1270" s="117">
        <v>2</v>
      </c>
      <c r="D1270" s="89">
        <v>0</v>
      </c>
      <c r="E1270" s="89">
        <v>0</v>
      </c>
      <c r="F1270" s="89">
        <v>0</v>
      </c>
      <c r="G1270" s="89">
        <v>0</v>
      </c>
      <c r="H1270" s="89">
        <v>0</v>
      </c>
      <c r="I1270" s="89">
        <v>0</v>
      </c>
      <c r="J1270" s="710">
        <f>(VLOOKUP($C1270,[2]Sheet1!$A$2:$P$18,$M1270+1)/12)*12*D1270</f>
        <v>0</v>
      </c>
      <c r="K1270" s="711"/>
      <c r="M1270" s="62">
        <f t="shared" si="98"/>
        <v>5</v>
      </c>
    </row>
    <row r="1271" spans="1:13">
      <c r="A1271" s="88"/>
      <c r="B1271" s="253" t="s">
        <v>2813</v>
      </c>
      <c r="C1271" s="117"/>
      <c r="D1271" s="89"/>
      <c r="E1271" s="89"/>
      <c r="F1271" s="89"/>
      <c r="G1271" s="89"/>
      <c r="H1271" s="89"/>
      <c r="I1271" s="89"/>
      <c r="J1271" s="710"/>
      <c r="K1271" s="711"/>
      <c r="M1271" s="62">
        <f t="shared" si="98"/>
        <v>5</v>
      </c>
    </row>
    <row r="1272" spans="1:13">
      <c r="A1272" s="88">
        <f>+A1270+1</f>
        <v>100</v>
      </c>
      <c r="B1272" s="117" t="s">
        <v>2814</v>
      </c>
      <c r="C1272" s="117">
        <v>4</v>
      </c>
      <c r="D1272" s="89">
        <v>0</v>
      </c>
      <c r="E1272" s="89">
        <v>0</v>
      </c>
      <c r="F1272" s="89">
        <v>0</v>
      </c>
      <c r="G1272" s="89">
        <v>0</v>
      </c>
      <c r="H1272" s="89">
        <v>0</v>
      </c>
      <c r="I1272" s="89">
        <v>0</v>
      </c>
      <c r="J1272" s="710">
        <f>(VLOOKUP($C1272,[2]Sheet1!$A$2:$P$18,$M1272+1)/12)*12*D1272</f>
        <v>0</v>
      </c>
      <c r="K1272" s="711"/>
      <c r="M1272" s="62">
        <f t="shared" si="98"/>
        <v>5</v>
      </c>
    </row>
    <row r="1273" spans="1:13">
      <c r="A1273" s="88">
        <f t="shared" si="97"/>
        <v>101</v>
      </c>
      <c r="B1273" s="117" t="s">
        <v>2815</v>
      </c>
      <c r="C1273" s="117">
        <v>3</v>
      </c>
      <c r="D1273" s="89">
        <v>0</v>
      </c>
      <c r="E1273" s="89">
        <v>0</v>
      </c>
      <c r="F1273" s="89">
        <v>0</v>
      </c>
      <c r="G1273" s="89">
        <v>0</v>
      </c>
      <c r="H1273" s="89">
        <v>0</v>
      </c>
      <c r="I1273" s="89">
        <v>0</v>
      </c>
      <c r="J1273" s="710">
        <f>(VLOOKUP($C1273,[2]Sheet1!$A$2:$P$18,$M1273+1)/12)*12*D1273</f>
        <v>0</v>
      </c>
      <c r="K1273" s="711"/>
      <c r="M1273" s="62">
        <f t="shared" si="98"/>
        <v>5</v>
      </c>
    </row>
    <row r="1274" spans="1:13">
      <c r="A1274" s="88">
        <f t="shared" si="97"/>
        <v>102</v>
      </c>
      <c r="B1274" s="117" t="s">
        <v>2816</v>
      </c>
      <c r="C1274" s="117">
        <v>2</v>
      </c>
      <c r="D1274" s="89">
        <v>0</v>
      </c>
      <c r="E1274" s="89">
        <v>0</v>
      </c>
      <c r="F1274" s="89">
        <v>0</v>
      </c>
      <c r="G1274" s="89">
        <v>0</v>
      </c>
      <c r="H1274" s="89">
        <v>0</v>
      </c>
      <c r="I1274" s="89">
        <v>0</v>
      </c>
      <c r="J1274" s="710">
        <f>(VLOOKUP($C1274,[2]Sheet1!$A$2:$P$18,$M1274+1)/12)*12*D1274</f>
        <v>0</v>
      </c>
      <c r="K1274" s="711"/>
      <c r="M1274" s="62">
        <f t="shared" si="98"/>
        <v>5</v>
      </c>
    </row>
    <row r="1275" spans="1:13">
      <c r="A1275" s="88"/>
      <c r="B1275" s="253" t="s">
        <v>2817</v>
      </c>
      <c r="C1275" s="117"/>
      <c r="D1275" s="89"/>
      <c r="E1275" s="89"/>
      <c r="F1275" s="89"/>
      <c r="G1275" s="89"/>
      <c r="H1275" s="89"/>
      <c r="I1275" s="89"/>
      <c r="J1275" s="710"/>
      <c r="K1275" s="711"/>
      <c r="M1275" s="62">
        <f t="shared" si="98"/>
        <v>5</v>
      </c>
    </row>
    <row r="1276" spans="1:13">
      <c r="A1276" s="88">
        <f>+A1274+1</f>
        <v>103</v>
      </c>
      <c r="B1276" s="117" t="s">
        <v>2825</v>
      </c>
      <c r="C1276" s="117">
        <v>6</v>
      </c>
      <c r="D1276" s="89">
        <v>0</v>
      </c>
      <c r="E1276" s="89">
        <v>0</v>
      </c>
      <c r="F1276" s="89">
        <v>0</v>
      </c>
      <c r="G1276" s="89">
        <v>0</v>
      </c>
      <c r="H1276" s="89">
        <v>0</v>
      </c>
      <c r="I1276" s="89">
        <v>0</v>
      </c>
      <c r="J1276" s="710">
        <f>(VLOOKUP($C1276,[2]Sheet1!$A$2:$P$18,$M1276+1)/12)*12*D1276</f>
        <v>0</v>
      </c>
      <c r="K1276" s="711"/>
      <c r="M1276" s="62">
        <f t="shared" si="98"/>
        <v>5</v>
      </c>
    </row>
    <row r="1277" spans="1:13">
      <c r="A1277" s="88">
        <f t="shared" si="97"/>
        <v>104</v>
      </c>
      <c r="B1277" s="117" t="s">
        <v>2826</v>
      </c>
      <c r="C1277" s="117">
        <v>5</v>
      </c>
      <c r="D1277" s="89">
        <v>0</v>
      </c>
      <c r="E1277" s="89">
        <v>0</v>
      </c>
      <c r="F1277" s="89">
        <v>0</v>
      </c>
      <c r="G1277" s="89">
        <v>0</v>
      </c>
      <c r="H1277" s="89">
        <v>0</v>
      </c>
      <c r="I1277" s="89">
        <v>0</v>
      </c>
      <c r="J1277" s="710">
        <f>(VLOOKUP($C1277,[2]Sheet1!$A$2:$P$18,$M1277+1)/12)*12*D1277</f>
        <v>0</v>
      </c>
      <c r="K1277" s="711"/>
      <c r="M1277" s="62">
        <f t="shared" si="98"/>
        <v>5</v>
      </c>
    </row>
    <row r="1278" spans="1:13">
      <c r="A1278" s="88">
        <f t="shared" si="97"/>
        <v>105</v>
      </c>
      <c r="B1278" s="117" t="s">
        <v>2827</v>
      </c>
      <c r="C1278" s="117">
        <v>4</v>
      </c>
      <c r="D1278" s="89">
        <v>0</v>
      </c>
      <c r="E1278" s="89">
        <v>0</v>
      </c>
      <c r="F1278" s="89">
        <v>0</v>
      </c>
      <c r="G1278" s="89">
        <v>0</v>
      </c>
      <c r="H1278" s="89">
        <v>0</v>
      </c>
      <c r="I1278" s="89">
        <v>0</v>
      </c>
      <c r="J1278" s="710">
        <f>(VLOOKUP($C1278,[2]Sheet1!$A$2:$P$18,$M1278+1)/12)*12*D1278</f>
        <v>0</v>
      </c>
      <c r="K1278" s="711"/>
      <c r="M1278" s="62">
        <f t="shared" si="98"/>
        <v>5</v>
      </c>
    </row>
    <row r="1279" spans="1:13">
      <c r="A1279" s="88">
        <f t="shared" si="97"/>
        <v>106</v>
      </c>
      <c r="B1279" s="117" t="s">
        <v>2828</v>
      </c>
      <c r="C1279" s="117">
        <v>3</v>
      </c>
      <c r="D1279" s="89">
        <v>0</v>
      </c>
      <c r="E1279" s="89">
        <v>0</v>
      </c>
      <c r="F1279" s="89">
        <v>0</v>
      </c>
      <c r="G1279" s="89">
        <v>0</v>
      </c>
      <c r="H1279" s="89">
        <v>0</v>
      </c>
      <c r="I1279" s="89">
        <v>0</v>
      </c>
      <c r="J1279" s="710">
        <f>(VLOOKUP($C1279,[2]Sheet1!$A$2:$P$18,$M1279+1)/12)*12*D1279</f>
        <v>0</v>
      </c>
      <c r="K1279" s="711"/>
      <c r="M1279" s="62">
        <f t="shared" si="98"/>
        <v>5</v>
      </c>
    </row>
    <row r="1280" spans="1:13">
      <c r="A1280" s="92"/>
      <c r="B1280" s="93" t="s">
        <v>1684</v>
      </c>
      <c r="C1280" s="94"/>
      <c r="D1280" s="123">
        <f t="shared" ref="D1280:J1280" si="99">SUM(D1159:D1279)</f>
        <v>5</v>
      </c>
      <c r="E1280" s="123">
        <f t="shared" si="99"/>
        <v>32</v>
      </c>
      <c r="F1280" s="123">
        <f t="shared" si="99"/>
        <v>5</v>
      </c>
      <c r="G1280" s="123">
        <f>SUM(G1159:G1279)</f>
        <v>5</v>
      </c>
      <c r="H1280" s="123">
        <f t="shared" si="99"/>
        <v>30</v>
      </c>
      <c r="I1280" s="123">
        <f t="shared" si="99"/>
        <v>5</v>
      </c>
      <c r="J1280" s="123">
        <f t="shared" si="99"/>
        <v>1257012.3898014599</v>
      </c>
      <c r="K1280" s="378"/>
      <c r="M1280" s="62">
        <f t="shared" ref="M1280:M1293" si="100">IF(C1280&gt;6,3,5)</f>
        <v>5</v>
      </c>
    </row>
    <row r="1281" spans="1:13">
      <c r="A1281" s="88"/>
      <c r="B1281" s="90" t="s">
        <v>1199</v>
      </c>
      <c r="C1281" s="97"/>
      <c r="D1281" s="98"/>
      <c r="E1281" s="98"/>
      <c r="F1281" s="125"/>
      <c r="G1281" s="240" t="s">
        <v>243</v>
      </c>
      <c r="H1281" s="240" t="s">
        <v>4130</v>
      </c>
      <c r="I1281" s="240" t="s">
        <v>4202</v>
      </c>
      <c r="J1281" s="241" t="s">
        <v>4200</v>
      </c>
      <c r="K1281" s="375"/>
      <c r="M1281" s="62">
        <f t="shared" si="100"/>
        <v>5</v>
      </c>
    </row>
    <row r="1282" spans="1:13">
      <c r="A1282" s="88"/>
      <c r="B1282" s="69" t="s">
        <v>2786</v>
      </c>
      <c r="C1282" s="69"/>
      <c r="D1282" s="89"/>
      <c r="E1282" s="89"/>
      <c r="F1282" s="89"/>
      <c r="G1282" s="100">
        <f>J1280*0.2</f>
        <v>251402.47796029199</v>
      </c>
      <c r="H1282" s="100">
        <f>G1282*1.02</f>
        <v>256430.52751949785</v>
      </c>
      <c r="I1282" s="100">
        <f>H1282*1.02</f>
        <v>261559.13806988782</v>
      </c>
      <c r="J1282" s="100">
        <f>SUM(G1282:I1282)</f>
        <v>769392.14354967768</v>
      </c>
      <c r="K1282" s="114"/>
      <c r="M1282" s="62">
        <f t="shared" si="100"/>
        <v>5</v>
      </c>
    </row>
    <row r="1283" spans="1:13">
      <c r="A1283" s="88"/>
      <c r="B1283" s="69"/>
      <c r="C1283" s="69"/>
      <c r="D1283" s="89"/>
      <c r="E1283" s="89"/>
      <c r="F1283" s="89"/>
      <c r="G1283" s="100"/>
      <c r="H1283" s="100"/>
      <c r="I1283" s="100"/>
      <c r="J1283" s="100"/>
      <c r="K1283" s="114"/>
      <c r="M1283" s="62">
        <f t="shared" si="100"/>
        <v>5</v>
      </c>
    </row>
    <row r="1284" spans="1:13">
      <c r="A1284" s="88"/>
      <c r="B1284" s="69"/>
      <c r="C1284" s="69"/>
      <c r="D1284" s="89"/>
      <c r="E1284" s="89"/>
      <c r="F1284" s="89"/>
      <c r="G1284" s="100"/>
      <c r="H1284" s="100"/>
      <c r="I1284" s="100"/>
      <c r="J1284" s="100"/>
      <c r="K1284" s="114"/>
      <c r="M1284" s="62">
        <f t="shared" si="100"/>
        <v>5</v>
      </c>
    </row>
    <row r="1285" spans="1:13">
      <c r="A1285" s="88"/>
      <c r="B1285" s="69"/>
      <c r="C1285" s="69"/>
      <c r="D1285" s="89"/>
      <c r="E1285" s="89"/>
      <c r="F1285" s="89"/>
      <c r="G1285" s="100"/>
      <c r="H1285" s="100"/>
      <c r="I1285" s="100"/>
      <c r="J1285" s="100"/>
      <c r="K1285" s="114"/>
      <c r="M1285" s="62">
        <f t="shared" si="100"/>
        <v>5</v>
      </c>
    </row>
    <row r="1286" spans="1:13">
      <c r="A1286" s="92"/>
      <c r="B1286" s="93" t="s">
        <v>1933</v>
      </c>
      <c r="C1286" s="94"/>
      <c r="D1286" s="101"/>
      <c r="E1286" s="101"/>
      <c r="F1286" s="95"/>
      <c r="G1286" s="95">
        <f>SUM(G1282:G1285)</f>
        <v>251402.47796029199</v>
      </c>
      <c r="H1286" s="95">
        <f>SUM(H1282:H1285)</f>
        <v>256430.52751949785</v>
      </c>
      <c r="I1286" s="95">
        <f>SUM(I1282:I1285)</f>
        <v>261559.13806988782</v>
      </c>
      <c r="J1286" s="95">
        <f>SUM(J1282:J1285)</f>
        <v>769392.14354967768</v>
      </c>
      <c r="K1286" s="378"/>
      <c r="M1286" s="62">
        <f t="shared" si="100"/>
        <v>5</v>
      </c>
    </row>
    <row r="1287" spans="1:13">
      <c r="A1287" s="88">
        <v>1</v>
      </c>
      <c r="B1287" s="69" t="s">
        <v>1934</v>
      </c>
      <c r="C1287" s="69"/>
      <c r="D1287" s="89"/>
      <c r="E1287" s="89"/>
      <c r="F1287" s="89"/>
      <c r="G1287" s="100">
        <f>G1286+J1280</f>
        <v>1508414.8677617519</v>
      </c>
      <c r="H1287" s="100">
        <f>G1287*1.02</f>
        <v>1538583.165116987</v>
      </c>
      <c r="I1287" s="100">
        <f>H1287*1.02</f>
        <v>1569354.8284193268</v>
      </c>
      <c r="J1287" s="100">
        <f>SUM(G1287:I1287)</f>
        <v>4616352.8612980656</v>
      </c>
      <c r="K1287" s="114"/>
      <c r="L1287" s="112"/>
      <c r="M1287" s="62">
        <f t="shared" si="100"/>
        <v>5</v>
      </c>
    </row>
    <row r="1288" spans="1:13">
      <c r="A1288" s="88">
        <f>+A1287+1</f>
        <v>2</v>
      </c>
      <c r="B1288" s="69" t="s">
        <v>129</v>
      </c>
      <c r="C1288" s="69"/>
      <c r="D1288" s="89"/>
      <c r="E1288" s="89"/>
      <c r="F1288" s="89"/>
      <c r="G1288" s="89">
        <f>C1313</f>
        <v>12000000</v>
      </c>
      <c r="H1288" s="89">
        <f>D1313</f>
        <v>178000000</v>
      </c>
      <c r="I1288" s="89">
        <f>E1313</f>
        <v>178000000</v>
      </c>
      <c r="J1288" s="100">
        <f>SUM(G1288:I1288)</f>
        <v>368000000</v>
      </c>
      <c r="K1288" s="114"/>
      <c r="M1288" s="62">
        <f t="shared" si="100"/>
        <v>5</v>
      </c>
    </row>
    <row r="1289" spans="1:13" ht="13.5" thickBot="1">
      <c r="A1289" s="102"/>
      <c r="B1289" s="103" t="s">
        <v>2241</v>
      </c>
      <c r="C1289" s="104"/>
      <c r="D1289" s="105"/>
      <c r="E1289" s="105"/>
      <c r="F1289" s="129"/>
      <c r="G1289" s="129">
        <f>+G1288+G1287</f>
        <v>13508414.867761752</v>
      </c>
      <c r="H1289" s="129">
        <f>+H1288+H1287</f>
        <v>179538583.165117</v>
      </c>
      <c r="I1289" s="129">
        <f>+I1288+I1287</f>
        <v>179569354.82841933</v>
      </c>
      <c r="J1289" s="129">
        <f>+J1288+J1287</f>
        <v>372616352.86129808</v>
      </c>
      <c r="K1289" s="378"/>
      <c r="M1289" s="62">
        <f t="shared" si="100"/>
        <v>5</v>
      </c>
    </row>
    <row r="1290" spans="1:13" ht="15.75" thickTop="1">
      <c r="C1290" s="77"/>
      <c r="D1290" s="78" t="s">
        <v>5434</v>
      </c>
      <c r="J1290" s="584"/>
      <c r="K1290" s="584"/>
      <c r="M1290" s="62">
        <f t="shared" si="100"/>
        <v>5</v>
      </c>
    </row>
    <row r="1291" spans="1:13" ht="15">
      <c r="C1291" s="77"/>
      <c r="D1291" s="78" t="s">
        <v>716</v>
      </c>
      <c r="J1291" s="584"/>
      <c r="K1291" s="584"/>
      <c r="M1291" s="62">
        <f t="shared" si="100"/>
        <v>5</v>
      </c>
    </row>
    <row r="1292" spans="1:13" ht="15">
      <c r="C1292" s="79" t="s">
        <v>717</v>
      </c>
      <c r="D1292" s="78" t="s">
        <v>934</v>
      </c>
      <c r="J1292" s="584"/>
      <c r="K1292" s="584"/>
      <c r="M1292" s="62">
        <f t="shared" si="100"/>
        <v>3</v>
      </c>
    </row>
    <row r="1293" spans="1:13" ht="15">
      <c r="C1293" s="79" t="s">
        <v>718</v>
      </c>
      <c r="D1293" s="78" t="s">
        <v>1905</v>
      </c>
      <c r="J1293" s="584"/>
      <c r="K1293" s="584"/>
      <c r="M1293" s="62">
        <f t="shared" si="100"/>
        <v>3</v>
      </c>
    </row>
    <row r="1294" spans="1:13" ht="15">
      <c r="A1294" s="634" t="s">
        <v>1839</v>
      </c>
      <c r="B1294" s="635" t="s">
        <v>903</v>
      </c>
      <c r="C1294" s="1037" t="s">
        <v>4127</v>
      </c>
      <c r="D1294" s="1038"/>
      <c r="E1294" s="1039"/>
      <c r="F1294" s="635" t="s">
        <v>1684</v>
      </c>
      <c r="G1294" s="1037" t="s">
        <v>4132</v>
      </c>
      <c r="H1294" s="1038"/>
      <c r="I1294" s="1039"/>
      <c r="J1294" s="726"/>
      <c r="K1294" s="727"/>
    </row>
    <row r="1295" spans="1:13">
      <c r="A1295" s="636" t="s">
        <v>1620</v>
      </c>
      <c r="B1295" s="637"/>
      <c r="C1295" s="635" t="s">
        <v>1841</v>
      </c>
      <c r="D1295" s="635" t="s">
        <v>4133</v>
      </c>
      <c r="E1295" s="635" t="s">
        <v>4133</v>
      </c>
      <c r="F1295" s="1056" t="s">
        <v>4200</v>
      </c>
      <c r="G1295" s="634" t="s">
        <v>4135</v>
      </c>
      <c r="H1295" s="1051" t="s">
        <v>4182</v>
      </c>
      <c r="I1295" s="634" t="s">
        <v>4135</v>
      </c>
      <c r="J1295" s="728" t="s">
        <v>4136</v>
      </c>
      <c r="K1295" s="727"/>
    </row>
    <row r="1296" spans="1:13" ht="12.75" customHeight="1">
      <c r="A1296" s="638" t="s">
        <v>387</v>
      </c>
      <c r="B1296" s="639"/>
      <c r="C1296" s="638">
        <v>2015</v>
      </c>
      <c r="D1296" s="638">
        <v>2016</v>
      </c>
      <c r="E1296" s="638">
        <v>2017</v>
      </c>
      <c r="F1296" s="1057"/>
      <c r="G1296" s="638" t="s">
        <v>4304</v>
      </c>
      <c r="H1296" s="1052"/>
      <c r="I1296" s="638" t="s">
        <v>4303</v>
      </c>
      <c r="J1296" s="639"/>
      <c r="K1296" s="729"/>
    </row>
    <row r="1297" spans="1:13">
      <c r="A1297" s="730"/>
      <c r="B1297" s="730"/>
      <c r="C1297" s="764"/>
      <c r="D1297" s="764"/>
      <c r="E1297" s="764"/>
      <c r="F1297" s="764"/>
      <c r="G1297" s="764"/>
      <c r="H1297" s="764"/>
      <c r="I1297" s="764"/>
      <c r="J1297" s="764"/>
      <c r="K1297" s="765"/>
      <c r="M1297" s="62" t="e">
        <f>IF(#REF!&gt;6,3,5)</f>
        <v>#REF!</v>
      </c>
    </row>
    <row r="1298" spans="1:13">
      <c r="A1298" s="759">
        <v>2</v>
      </c>
      <c r="B1298" s="745" t="s">
        <v>1695</v>
      </c>
      <c r="C1298" s="761">
        <v>1500000</v>
      </c>
      <c r="D1298" s="761">
        <v>10000000</v>
      </c>
      <c r="E1298" s="761">
        <v>10000000</v>
      </c>
      <c r="F1298" s="761">
        <f>SUM(C1298:E1298)</f>
        <v>21500000</v>
      </c>
      <c r="G1298" s="761">
        <v>649000</v>
      </c>
      <c r="H1298" s="761">
        <v>1500000</v>
      </c>
      <c r="I1298" s="761">
        <v>802000</v>
      </c>
      <c r="J1298" s="761"/>
      <c r="K1298" s="763"/>
      <c r="M1298" s="62" t="e">
        <f>IF(#REF!&gt;6,3,5)</f>
        <v>#REF!</v>
      </c>
    </row>
    <row r="1299" spans="1:13">
      <c r="A1299" s="759">
        <f>A1298+1</f>
        <v>3</v>
      </c>
      <c r="B1299" s="745" t="s">
        <v>1696</v>
      </c>
      <c r="C1299" s="731" t="s">
        <v>1386</v>
      </c>
      <c r="D1299" s="731">
        <v>5000000</v>
      </c>
      <c r="E1299" s="731">
        <v>5000000</v>
      </c>
      <c r="F1299" s="761">
        <f t="shared" ref="F1299:F1312" si="101">SUM(C1299:E1299)</f>
        <v>10000000</v>
      </c>
      <c r="G1299" s="731"/>
      <c r="H1299" s="731" t="s">
        <v>1386</v>
      </c>
      <c r="I1299" s="731"/>
      <c r="J1299" s="761"/>
      <c r="K1299" s="763"/>
      <c r="M1299" s="62" t="e">
        <f>IF(#REF!&gt;6,3,5)</f>
        <v>#REF!</v>
      </c>
    </row>
    <row r="1300" spans="1:13">
      <c r="A1300" s="759">
        <f>A1299+1</f>
        <v>4</v>
      </c>
      <c r="B1300" s="745" t="s">
        <v>1701</v>
      </c>
      <c r="C1300" s="731" t="s">
        <v>1386</v>
      </c>
      <c r="D1300" s="731">
        <v>5000000</v>
      </c>
      <c r="E1300" s="731">
        <v>5000000</v>
      </c>
      <c r="F1300" s="761">
        <f t="shared" si="101"/>
        <v>10000000</v>
      </c>
      <c r="G1300" s="731"/>
      <c r="H1300" s="731" t="s">
        <v>1386</v>
      </c>
      <c r="I1300" s="731"/>
      <c r="J1300" s="761"/>
      <c r="K1300" s="763"/>
      <c r="M1300" s="62" t="e">
        <f>IF(#REF!&gt;6,3,5)</f>
        <v>#REF!</v>
      </c>
    </row>
    <row r="1301" spans="1:13">
      <c r="A1301" s="759">
        <f>A1300+1</f>
        <v>5</v>
      </c>
      <c r="B1301" s="745" t="s">
        <v>1702</v>
      </c>
      <c r="C1301" s="761">
        <v>500000</v>
      </c>
      <c r="D1301" s="761">
        <v>3000000</v>
      </c>
      <c r="E1301" s="761">
        <v>3000000</v>
      </c>
      <c r="F1301" s="761">
        <f t="shared" si="101"/>
        <v>6500000</v>
      </c>
      <c r="G1301" s="761">
        <v>80700</v>
      </c>
      <c r="H1301" s="761">
        <v>500000</v>
      </c>
      <c r="I1301" s="761">
        <v>59000</v>
      </c>
      <c r="J1301" s="761"/>
      <c r="K1301" s="763"/>
      <c r="M1301" s="62" t="e">
        <f>IF(#REF!&gt;6,3,5)</f>
        <v>#REF!</v>
      </c>
    </row>
    <row r="1302" spans="1:13">
      <c r="A1302" s="759">
        <f>A1301+1</f>
        <v>6</v>
      </c>
      <c r="B1302" s="745" t="s">
        <v>3826</v>
      </c>
      <c r="C1302" s="761">
        <v>1000000</v>
      </c>
      <c r="D1302" s="761">
        <v>6000000</v>
      </c>
      <c r="E1302" s="761">
        <v>6000000</v>
      </c>
      <c r="F1302" s="761">
        <f t="shared" si="101"/>
        <v>13000000</v>
      </c>
      <c r="G1302" s="761">
        <v>45000</v>
      </c>
      <c r="H1302" s="761">
        <v>1000000</v>
      </c>
      <c r="I1302" s="761">
        <v>0</v>
      </c>
      <c r="J1302" s="761"/>
      <c r="K1302" s="763"/>
      <c r="M1302" s="62" t="e">
        <f>IF(#REF!&gt;6,3,5)</f>
        <v>#REF!</v>
      </c>
    </row>
    <row r="1303" spans="1:13">
      <c r="A1303" s="759">
        <f>A1302+1</f>
        <v>7</v>
      </c>
      <c r="B1303" s="745" t="s">
        <v>3680</v>
      </c>
      <c r="C1303" s="761">
        <v>1000000</v>
      </c>
      <c r="D1303" s="761">
        <v>7000000</v>
      </c>
      <c r="E1303" s="761">
        <v>7000000</v>
      </c>
      <c r="F1303" s="761">
        <f t="shared" si="101"/>
        <v>15000000</v>
      </c>
      <c r="G1303" s="761"/>
      <c r="H1303" s="761">
        <v>1000000</v>
      </c>
      <c r="I1303" s="761"/>
      <c r="J1303" s="761"/>
      <c r="K1303" s="763"/>
      <c r="M1303" s="62" t="e">
        <f>IF(#REF!&gt;6,3,5)</f>
        <v>#REF!</v>
      </c>
    </row>
    <row r="1304" spans="1:13">
      <c r="A1304" s="759">
        <v>8</v>
      </c>
      <c r="B1304" s="745" t="s">
        <v>1297</v>
      </c>
      <c r="C1304" s="731" t="s">
        <v>3007</v>
      </c>
      <c r="D1304" s="731" t="s">
        <v>3007</v>
      </c>
      <c r="E1304" s="731" t="s">
        <v>3007</v>
      </c>
      <c r="F1304" s="761">
        <f t="shared" si="101"/>
        <v>0</v>
      </c>
      <c r="G1304" s="731"/>
      <c r="H1304" s="731" t="s">
        <v>3007</v>
      </c>
      <c r="I1304" s="731"/>
      <c r="J1304" s="761"/>
      <c r="K1304" s="763"/>
      <c r="M1304" s="62" t="e">
        <f>IF(#REF!&gt;6,3,5)</f>
        <v>#REF!</v>
      </c>
    </row>
    <row r="1305" spans="1:13">
      <c r="A1305" s="759">
        <v>9</v>
      </c>
      <c r="B1305" s="745" t="s">
        <v>2061</v>
      </c>
      <c r="C1305" s="731" t="s">
        <v>3007</v>
      </c>
      <c r="D1305" s="731" t="s">
        <v>3007</v>
      </c>
      <c r="E1305" s="731" t="s">
        <v>3007</v>
      </c>
      <c r="F1305" s="761">
        <f t="shared" si="101"/>
        <v>0</v>
      </c>
      <c r="G1305" s="731"/>
      <c r="H1305" s="731" t="s">
        <v>3007</v>
      </c>
      <c r="I1305" s="731"/>
      <c r="J1305" s="761"/>
      <c r="K1305" s="763"/>
      <c r="M1305" s="62" t="e">
        <f>IF(#REF!&gt;6,3,5)</f>
        <v>#REF!</v>
      </c>
    </row>
    <row r="1306" spans="1:13">
      <c r="A1306" s="759">
        <f t="shared" ref="A1306:A1312" si="102">A1305+1</f>
        <v>10</v>
      </c>
      <c r="B1306" s="745" t="s">
        <v>1138</v>
      </c>
      <c r="C1306" s="761">
        <v>800000</v>
      </c>
      <c r="D1306" s="761">
        <v>10000000</v>
      </c>
      <c r="E1306" s="761">
        <v>10000000</v>
      </c>
      <c r="F1306" s="761">
        <f t="shared" si="101"/>
        <v>20800000</v>
      </c>
      <c r="G1306" s="761"/>
      <c r="H1306" s="761">
        <v>500000</v>
      </c>
      <c r="I1306" s="761"/>
      <c r="J1306" s="761"/>
      <c r="K1306" s="763"/>
      <c r="M1306" s="62" t="e">
        <f>IF(#REF!&gt;6,3,5)</f>
        <v>#REF!</v>
      </c>
    </row>
    <row r="1307" spans="1:13">
      <c r="A1307" s="759">
        <f t="shared" si="102"/>
        <v>11</v>
      </c>
      <c r="B1307" s="745" t="s">
        <v>2687</v>
      </c>
      <c r="C1307" s="761">
        <v>100000</v>
      </c>
      <c r="D1307" s="761">
        <v>15000000</v>
      </c>
      <c r="E1307" s="761">
        <v>15000000</v>
      </c>
      <c r="F1307" s="761">
        <f t="shared" si="101"/>
        <v>30100000</v>
      </c>
      <c r="G1307" s="761">
        <v>461470</v>
      </c>
      <c r="H1307" s="761">
        <v>100000</v>
      </c>
      <c r="I1307" s="761">
        <v>334000</v>
      </c>
      <c r="J1307" s="761"/>
      <c r="K1307" s="763"/>
      <c r="M1307" s="62" t="e">
        <f>IF(#REF!&gt;6,3,5)</f>
        <v>#REF!</v>
      </c>
    </row>
    <row r="1308" spans="1:13">
      <c r="A1308" s="759">
        <f t="shared" si="102"/>
        <v>12</v>
      </c>
      <c r="B1308" s="745" t="s">
        <v>2688</v>
      </c>
      <c r="C1308" s="761">
        <v>3000000</v>
      </c>
      <c r="D1308" s="761">
        <v>11000000</v>
      </c>
      <c r="E1308" s="761">
        <v>11000000</v>
      </c>
      <c r="F1308" s="761">
        <f t="shared" si="101"/>
        <v>25000000</v>
      </c>
      <c r="G1308" s="761">
        <v>470934</v>
      </c>
      <c r="H1308" s="761">
        <v>3000000</v>
      </c>
      <c r="I1308" s="761">
        <v>1845324.29</v>
      </c>
      <c r="J1308" s="761"/>
      <c r="K1308" s="763"/>
      <c r="M1308" s="62" t="e">
        <f>IF(#REF!&gt;6,3,5)</f>
        <v>#REF!</v>
      </c>
    </row>
    <row r="1309" spans="1:13">
      <c r="A1309" s="759">
        <f t="shared" si="102"/>
        <v>13</v>
      </c>
      <c r="B1309" s="745" t="s">
        <v>1453</v>
      </c>
      <c r="C1309" s="731">
        <v>100000</v>
      </c>
      <c r="D1309" s="731">
        <v>6000000</v>
      </c>
      <c r="E1309" s="731">
        <v>6000000</v>
      </c>
      <c r="F1309" s="761">
        <f t="shared" si="101"/>
        <v>12100000</v>
      </c>
      <c r="G1309" s="731"/>
      <c r="H1309" s="731">
        <v>100000</v>
      </c>
      <c r="I1309" s="731"/>
      <c r="J1309" s="761"/>
      <c r="K1309" s="763"/>
      <c r="M1309" s="62" t="e">
        <f>IF(#REF!&gt;6,3,5)</f>
        <v>#REF!</v>
      </c>
    </row>
    <row r="1310" spans="1:13" ht="38.25">
      <c r="A1310" s="759">
        <f t="shared" si="102"/>
        <v>14</v>
      </c>
      <c r="B1310" s="733" t="s">
        <v>1139</v>
      </c>
      <c r="C1310" s="731" t="s">
        <v>1386</v>
      </c>
      <c r="D1310" s="731">
        <v>20000000</v>
      </c>
      <c r="E1310" s="731">
        <v>20000000</v>
      </c>
      <c r="F1310" s="761">
        <f t="shared" si="101"/>
        <v>40000000</v>
      </c>
      <c r="G1310" s="731"/>
      <c r="H1310" s="731" t="s">
        <v>1386</v>
      </c>
      <c r="I1310" s="731"/>
      <c r="J1310" s="761"/>
      <c r="K1310" s="763"/>
      <c r="M1310" s="62" t="e">
        <f>IF(#REF!&gt;6,3,5)</f>
        <v>#REF!</v>
      </c>
    </row>
    <row r="1311" spans="1:13">
      <c r="A1311" s="730">
        <f t="shared" si="102"/>
        <v>15</v>
      </c>
      <c r="B1311" s="745" t="s">
        <v>1907</v>
      </c>
      <c r="C1311" s="731">
        <v>2000000</v>
      </c>
      <c r="D1311" s="731">
        <v>50000000</v>
      </c>
      <c r="E1311" s="731">
        <v>50000000</v>
      </c>
      <c r="F1311" s="761">
        <f t="shared" si="101"/>
        <v>102000000</v>
      </c>
      <c r="G1311" s="731"/>
      <c r="H1311" s="731">
        <v>5000000</v>
      </c>
      <c r="I1311" s="731">
        <v>3116000</v>
      </c>
      <c r="J1311" s="761"/>
      <c r="K1311" s="763"/>
      <c r="M1311" s="62" t="e">
        <f>IF(#REF!&gt;6,3,5)</f>
        <v>#REF!</v>
      </c>
    </row>
    <row r="1312" spans="1:13">
      <c r="A1312" s="730">
        <f t="shared" si="102"/>
        <v>16</v>
      </c>
      <c r="B1312" s="733" t="s">
        <v>3117</v>
      </c>
      <c r="C1312" s="731">
        <v>2000000</v>
      </c>
      <c r="D1312" s="731">
        <v>30000000</v>
      </c>
      <c r="E1312" s="731">
        <v>30000000</v>
      </c>
      <c r="F1312" s="761">
        <f t="shared" si="101"/>
        <v>62000000</v>
      </c>
      <c r="G1312" s="731"/>
      <c r="H1312" s="731">
        <v>5000000</v>
      </c>
      <c r="I1312" s="731"/>
      <c r="J1312" s="761"/>
      <c r="K1312" s="763"/>
      <c r="M1312" s="62" t="e">
        <f>IF(#REF!&gt;6,3,5)</f>
        <v>#REF!</v>
      </c>
    </row>
    <row r="1313" spans="1:13">
      <c r="A1313" s="738"/>
      <c r="B1313" s="738" t="s">
        <v>1684</v>
      </c>
      <c r="C1313" s="739">
        <f t="shared" ref="C1313:I1313" si="103">SUM(C1297:C1312)</f>
        <v>12000000</v>
      </c>
      <c r="D1313" s="739">
        <f t="shared" si="103"/>
        <v>178000000</v>
      </c>
      <c r="E1313" s="739">
        <f t="shared" si="103"/>
        <v>178000000</v>
      </c>
      <c r="F1313" s="739">
        <f t="shared" si="103"/>
        <v>368000000</v>
      </c>
      <c r="G1313" s="739">
        <f>SUM(G1297:G1312)</f>
        <v>1707104</v>
      </c>
      <c r="H1313" s="739">
        <f t="shared" si="103"/>
        <v>17700000</v>
      </c>
      <c r="I1313" s="739">
        <f t="shared" si="103"/>
        <v>6156324.29</v>
      </c>
      <c r="J1313" s="739"/>
      <c r="K1313" s="740"/>
      <c r="M1313" s="62" t="e">
        <f>IF(#REF!&gt;6,3,5)</f>
        <v>#REF!</v>
      </c>
    </row>
    <row r="1314" spans="1:13" ht="15">
      <c r="C1314" s="77"/>
      <c r="D1314" s="78" t="s">
        <v>5434</v>
      </c>
      <c r="J1314" s="584"/>
      <c r="K1314" s="584"/>
      <c r="M1314" s="62">
        <f t="shared" ref="M1314:M1368" si="104">IF(C1314&gt;6,3,5)</f>
        <v>5</v>
      </c>
    </row>
    <row r="1315" spans="1:13" ht="15">
      <c r="C1315" s="77"/>
      <c r="D1315" s="78" t="s">
        <v>1693</v>
      </c>
      <c r="J1315" s="584"/>
      <c r="K1315" s="584"/>
      <c r="M1315" s="62">
        <f t="shared" si="104"/>
        <v>5</v>
      </c>
    </row>
    <row r="1316" spans="1:13" ht="15">
      <c r="C1316" s="79" t="s">
        <v>717</v>
      </c>
      <c r="D1316" s="78" t="s">
        <v>244</v>
      </c>
      <c r="J1316" s="584"/>
      <c r="K1316" s="584"/>
      <c r="M1316" s="62">
        <f t="shared" si="104"/>
        <v>3</v>
      </c>
    </row>
    <row r="1317" spans="1:13" ht="15.75" thickBot="1">
      <c r="C1317" s="79" t="s">
        <v>718</v>
      </c>
      <c r="D1317" s="78" t="s">
        <v>1910</v>
      </c>
      <c r="J1317" s="584"/>
      <c r="K1317" s="584"/>
      <c r="M1317" s="62">
        <f t="shared" si="104"/>
        <v>3</v>
      </c>
    </row>
    <row r="1318" spans="1:13" ht="15.75" thickTop="1">
      <c r="A1318" s="1047" t="s">
        <v>2791</v>
      </c>
      <c r="B1318" s="1049" t="s">
        <v>4126</v>
      </c>
      <c r="C1318" s="1049" t="s">
        <v>854</v>
      </c>
      <c r="D1318" s="1040" t="s">
        <v>4127</v>
      </c>
      <c r="E1318" s="1041"/>
      <c r="F1318" s="1041"/>
      <c r="G1318" s="1040" t="s">
        <v>904</v>
      </c>
      <c r="H1318" s="1041"/>
      <c r="I1318" s="1042"/>
      <c r="J1318" s="1035" t="s">
        <v>855</v>
      </c>
      <c r="K1318" s="389"/>
    </row>
    <row r="1319" spans="1:13" ht="26.25" thickBot="1">
      <c r="A1319" s="1048"/>
      <c r="B1319" s="1050"/>
      <c r="C1319" s="1050"/>
      <c r="D1319" s="285" t="s">
        <v>5505</v>
      </c>
      <c r="E1319" s="285" t="s">
        <v>4485</v>
      </c>
      <c r="F1319" s="285" t="s">
        <v>4486</v>
      </c>
      <c r="G1319" s="287" t="s">
        <v>4487</v>
      </c>
      <c r="H1319" s="285" t="s">
        <v>4488</v>
      </c>
      <c r="I1319" s="287" t="s">
        <v>4489</v>
      </c>
      <c r="J1319" s="1036"/>
      <c r="K1319" s="712"/>
    </row>
    <row r="1320" spans="1:13" ht="13.5" thickTop="1">
      <c r="A1320" s="107"/>
      <c r="B1320" s="128" t="s">
        <v>1830</v>
      </c>
      <c r="C1320" s="109"/>
      <c r="D1320" s="110"/>
      <c r="E1320" s="110"/>
      <c r="F1320" s="69"/>
      <c r="G1320" s="110"/>
      <c r="H1320" s="110"/>
      <c r="I1320" s="110"/>
      <c r="J1320" s="713"/>
      <c r="K1320" s="711"/>
      <c r="M1320" s="62">
        <f t="shared" si="104"/>
        <v>5</v>
      </c>
    </row>
    <row r="1321" spans="1:13">
      <c r="A1321" s="88">
        <v>1</v>
      </c>
      <c r="B1321" s="69" t="s">
        <v>867</v>
      </c>
      <c r="C1321" s="69">
        <v>10</v>
      </c>
      <c r="D1321" s="89">
        <v>1</v>
      </c>
      <c r="E1321" s="89">
        <v>1</v>
      </c>
      <c r="F1321" s="89">
        <v>1</v>
      </c>
      <c r="G1321" s="89">
        <v>1</v>
      </c>
      <c r="H1321" s="89">
        <v>1</v>
      </c>
      <c r="I1321" s="89">
        <v>1</v>
      </c>
      <c r="J1321" s="710">
        <f>(VLOOKUP($C1321,[2]Sheet1!$A$2:$P$18,$M1321+1)/12)*12*D1321</f>
        <v>483974.5687200001</v>
      </c>
      <c r="K1321" s="711"/>
      <c r="M1321" s="62">
        <f t="shared" si="104"/>
        <v>3</v>
      </c>
    </row>
    <row r="1322" spans="1:13">
      <c r="A1322" s="88">
        <f>A1321+1</f>
        <v>2</v>
      </c>
      <c r="B1322" s="69" t="s">
        <v>867</v>
      </c>
      <c r="C1322" s="69">
        <v>9</v>
      </c>
      <c r="D1322" s="89">
        <v>1</v>
      </c>
      <c r="E1322" s="89">
        <v>1</v>
      </c>
      <c r="F1322" s="89">
        <v>1</v>
      </c>
      <c r="G1322" s="89">
        <v>1</v>
      </c>
      <c r="H1322" s="89">
        <v>1</v>
      </c>
      <c r="I1322" s="89">
        <v>1</v>
      </c>
      <c r="J1322" s="710">
        <f>(VLOOKUP($C1322,[2]Sheet1!$A$2:$P$18,$M1322+1)/12)*12*D1322</f>
        <v>409681.90619999997</v>
      </c>
      <c r="K1322" s="711"/>
      <c r="M1322" s="62">
        <f t="shared" si="104"/>
        <v>3</v>
      </c>
    </row>
    <row r="1323" spans="1:13">
      <c r="A1323" s="88">
        <f>A1322+1</f>
        <v>3</v>
      </c>
      <c r="B1323" s="69" t="s">
        <v>2448</v>
      </c>
      <c r="C1323" s="69">
        <v>8</v>
      </c>
      <c r="D1323" s="89">
        <v>2</v>
      </c>
      <c r="E1323" s="89">
        <v>2</v>
      </c>
      <c r="F1323" s="89">
        <v>2</v>
      </c>
      <c r="G1323" s="89">
        <v>2</v>
      </c>
      <c r="H1323" s="89">
        <v>2</v>
      </c>
      <c r="I1323" s="89">
        <v>2</v>
      </c>
      <c r="J1323" s="710">
        <f>(VLOOKUP($C1323,[2]Sheet1!$A$2:$P$18,$M1323+1)/12)*12*D1323</f>
        <v>684282.54816000001</v>
      </c>
      <c r="K1323" s="711"/>
      <c r="M1323" s="62">
        <f t="shared" si="104"/>
        <v>3</v>
      </c>
    </row>
    <row r="1324" spans="1:13">
      <c r="A1324" s="88">
        <f t="shared" ref="A1324:A1361" si="105">+A1323+1</f>
        <v>4</v>
      </c>
      <c r="B1324" s="69" t="s">
        <v>2338</v>
      </c>
      <c r="C1324" s="69">
        <v>7</v>
      </c>
      <c r="D1324" s="89">
        <v>3</v>
      </c>
      <c r="E1324" s="89">
        <v>3</v>
      </c>
      <c r="F1324" s="89">
        <v>3</v>
      </c>
      <c r="G1324" s="89">
        <v>3</v>
      </c>
      <c r="H1324" s="89">
        <v>3</v>
      </c>
      <c r="I1324" s="89">
        <v>3</v>
      </c>
      <c r="J1324" s="710">
        <f>(VLOOKUP($C1324,[2]Sheet1!$A$2:$P$18,$M1324+1)/12)*12*D1324</f>
        <v>923120.1072000002</v>
      </c>
      <c r="K1324" s="711"/>
      <c r="M1324" s="62">
        <f t="shared" si="104"/>
        <v>3</v>
      </c>
    </row>
    <row r="1325" spans="1:13">
      <c r="A1325" s="88">
        <f t="shared" si="105"/>
        <v>5</v>
      </c>
      <c r="B1325" s="69" t="s">
        <v>4064</v>
      </c>
      <c r="C1325" s="69">
        <v>6</v>
      </c>
      <c r="D1325" s="89">
        <v>3</v>
      </c>
      <c r="E1325" s="89">
        <v>3</v>
      </c>
      <c r="F1325" s="89">
        <v>3</v>
      </c>
      <c r="G1325" s="89">
        <v>3</v>
      </c>
      <c r="H1325" s="89">
        <v>3</v>
      </c>
      <c r="I1325" s="89">
        <v>3</v>
      </c>
      <c r="J1325" s="710">
        <f>(VLOOKUP($C1325,[2]Sheet1!$A$2:$P$18,$M1325+1)/12)*12*D1325</f>
        <v>714298.1367910949</v>
      </c>
      <c r="K1325" s="711"/>
      <c r="M1325" s="62">
        <f t="shared" si="104"/>
        <v>5</v>
      </c>
    </row>
    <row r="1326" spans="1:13">
      <c r="A1326" s="88">
        <f t="shared" si="105"/>
        <v>6</v>
      </c>
      <c r="B1326" s="69" t="s">
        <v>4065</v>
      </c>
      <c r="C1326" s="69">
        <v>5</v>
      </c>
      <c r="D1326" s="89">
        <v>5</v>
      </c>
      <c r="E1326" s="89">
        <v>5</v>
      </c>
      <c r="F1326" s="89">
        <v>5</v>
      </c>
      <c r="G1326" s="89">
        <v>5</v>
      </c>
      <c r="H1326" s="89">
        <v>5</v>
      </c>
      <c r="I1326" s="89">
        <v>5</v>
      </c>
      <c r="J1326" s="710">
        <f>(VLOOKUP($C1326,[2]Sheet1!$A$2:$P$18,$M1326+1)/12)*12*D1326</f>
        <v>1147848.8946518251</v>
      </c>
      <c r="K1326" s="711"/>
      <c r="M1326" s="62">
        <f t="shared" si="104"/>
        <v>5</v>
      </c>
    </row>
    <row r="1327" spans="1:13">
      <c r="A1327" s="88">
        <f t="shared" si="105"/>
        <v>7</v>
      </c>
      <c r="B1327" s="69" t="s">
        <v>1069</v>
      </c>
      <c r="C1327" s="69">
        <v>4</v>
      </c>
      <c r="D1327" s="89">
        <v>6</v>
      </c>
      <c r="E1327" s="89">
        <v>7</v>
      </c>
      <c r="F1327" s="89">
        <v>6</v>
      </c>
      <c r="G1327" s="89">
        <v>6</v>
      </c>
      <c r="H1327" s="89">
        <v>7</v>
      </c>
      <c r="I1327" s="89">
        <v>6</v>
      </c>
      <c r="J1327" s="710">
        <f>(VLOOKUP($C1327,[2]Sheet1!$A$2:$P$18,$M1327+1)/12)*12*D1327</f>
        <v>1347257.8735821899</v>
      </c>
      <c r="K1327" s="711"/>
      <c r="M1327" s="62">
        <f t="shared" si="104"/>
        <v>5</v>
      </c>
    </row>
    <row r="1328" spans="1:13">
      <c r="A1328" s="88">
        <f t="shared" si="105"/>
        <v>8</v>
      </c>
      <c r="B1328" s="69" t="s">
        <v>2336</v>
      </c>
      <c r="C1328" s="69">
        <v>3</v>
      </c>
      <c r="D1328" s="89">
        <v>5</v>
      </c>
      <c r="E1328" s="89">
        <v>5</v>
      </c>
      <c r="F1328" s="89">
        <v>5</v>
      </c>
      <c r="G1328" s="89">
        <v>5</v>
      </c>
      <c r="H1328" s="89">
        <v>5</v>
      </c>
      <c r="I1328" s="89">
        <v>5</v>
      </c>
      <c r="J1328" s="710">
        <f>(VLOOKUP($C1328,[2]Sheet1!$A$2:$P$18,$M1328+1)/12)*12*D1328</f>
        <v>1096680.8946518248</v>
      </c>
      <c r="K1328" s="711"/>
      <c r="M1328" s="62">
        <f t="shared" si="104"/>
        <v>5</v>
      </c>
    </row>
    <row r="1329" spans="1:13">
      <c r="A1329" s="88">
        <f t="shared" si="105"/>
        <v>9</v>
      </c>
      <c r="B1329" s="69" t="s">
        <v>3898</v>
      </c>
      <c r="C1329" s="69">
        <v>5</v>
      </c>
      <c r="D1329" s="89">
        <v>2</v>
      </c>
      <c r="E1329" s="89">
        <v>2</v>
      </c>
      <c r="F1329" s="89">
        <v>2</v>
      </c>
      <c r="G1329" s="89">
        <v>2</v>
      </c>
      <c r="H1329" s="89">
        <v>2</v>
      </c>
      <c r="I1329" s="89">
        <v>2</v>
      </c>
      <c r="J1329" s="710">
        <f>(VLOOKUP($C1329,[2]Sheet1!$A$2:$P$18,$M1329+1)/12)*12*D1329</f>
        <v>459139.55786072998</v>
      </c>
      <c r="K1329" s="711"/>
      <c r="M1329" s="62">
        <f t="shared" si="104"/>
        <v>5</v>
      </c>
    </row>
    <row r="1330" spans="1:13">
      <c r="A1330" s="88">
        <f t="shared" si="105"/>
        <v>10</v>
      </c>
      <c r="B1330" s="69" t="s">
        <v>3745</v>
      </c>
      <c r="C1330" s="69">
        <v>4</v>
      </c>
      <c r="D1330" s="89">
        <v>3</v>
      </c>
      <c r="E1330" s="89">
        <v>2</v>
      </c>
      <c r="F1330" s="89">
        <v>3</v>
      </c>
      <c r="G1330" s="89">
        <v>3</v>
      </c>
      <c r="H1330" s="89">
        <v>2</v>
      </c>
      <c r="I1330" s="89">
        <v>3</v>
      </c>
      <c r="J1330" s="710">
        <f>(VLOOKUP($C1330,[2]Sheet1!$A$2:$P$18,$M1330+1)/12)*12*D1330</f>
        <v>673628.93679109495</v>
      </c>
      <c r="K1330" s="711"/>
      <c r="M1330" s="62">
        <f t="shared" si="104"/>
        <v>5</v>
      </c>
    </row>
    <row r="1331" spans="1:13">
      <c r="A1331" s="88">
        <f t="shared" si="105"/>
        <v>11</v>
      </c>
      <c r="B1331" s="69" t="s">
        <v>2403</v>
      </c>
      <c r="C1331" s="69">
        <v>3</v>
      </c>
      <c r="D1331" s="89">
        <v>2</v>
      </c>
      <c r="E1331" s="89">
        <v>2</v>
      </c>
      <c r="F1331" s="89">
        <v>2</v>
      </c>
      <c r="G1331" s="89">
        <v>2</v>
      </c>
      <c r="H1331" s="89">
        <v>2</v>
      </c>
      <c r="I1331" s="89">
        <v>2</v>
      </c>
      <c r="J1331" s="710">
        <f>(VLOOKUP($C1331,[2]Sheet1!$A$2:$P$18,$M1331+1)/12)*12*D1331</f>
        <v>438672.35786072997</v>
      </c>
      <c r="K1331" s="711"/>
      <c r="M1331" s="62">
        <f t="shared" si="104"/>
        <v>5</v>
      </c>
    </row>
    <row r="1332" spans="1:13">
      <c r="A1332" s="88">
        <f t="shared" si="105"/>
        <v>12</v>
      </c>
      <c r="B1332" s="69" t="s">
        <v>2563</v>
      </c>
      <c r="C1332" s="69">
        <v>7</v>
      </c>
      <c r="D1332" s="89">
        <v>3</v>
      </c>
      <c r="E1332" s="89">
        <v>3</v>
      </c>
      <c r="F1332" s="89">
        <v>3</v>
      </c>
      <c r="G1332" s="89">
        <v>3</v>
      </c>
      <c r="H1332" s="89">
        <v>3</v>
      </c>
      <c r="I1332" s="89">
        <v>3</v>
      </c>
      <c r="J1332" s="710">
        <f>(VLOOKUP($C1332,[2]Sheet1!$A$2:$P$18,$M1332+1)/12)*12*D1332</f>
        <v>923120.1072000002</v>
      </c>
      <c r="K1332" s="711"/>
      <c r="M1332" s="62">
        <f t="shared" si="104"/>
        <v>3</v>
      </c>
    </row>
    <row r="1333" spans="1:13">
      <c r="A1333" s="88">
        <f t="shared" si="105"/>
        <v>13</v>
      </c>
      <c r="B1333" s="69" t="s">
        <v>2442</v>
      </c>
      <c r="C1333" s="69">
        <v>6</v>
      </c>
      <c r="D1333" s="89">
        <v>2</v>
      </c>
      <c r="E1333" s="89">
        <v>2</v>
      </c>
      <c r="F1333" s="89">
        <v>2</v>
      </c>
      <c r="G1333" s="89">
        <v>2</v>
      </c>
      <c r="H1333" s="89">
        <v>2</v>
      </c>
      <c r="I1333" s="89">
        <v>2</v>
      </c>
      <c r="J1333" s="710">
        <f>(VLOOKUP($C1333,[2]Sheet1!$A$2:$P$18,$M1333+1)/12)*12*D1333</f>
        <v>476198.75786072994</v>
      </c>
      <c r="K1333" s="711"/>
      <c r="M1333" s="62">
        <f t="shared" si="104"/>
        <v>5</v>
      </c>
    </row>
    <row r="1334" spans="1:13">
      <c r="A1334" s="88">
        <f t="shared" si="105"/>
        <v>14</v>
      </c>
      <c r="B1334" s="69" t="s">
        <v>2232</v>
      </c>
      <c r="C1334" s="69">
        <v>5</v>
      </c>
      <c r="D1334" s="89">
        <v>7</v>
      </c>
      <c r="E1334" s="89">
        <v>9</v>
      </c>
      <c r="F1334" s="89">
        <v>7</v>
      </c>
      <c r="G1334" s="89">
        <v>7</v>
      </c>
      <c r="H1334" s="89">
        <v>9</v>
      </c>
      <c r="I1334" s="89">
        <v>7</v>
      </c>
      <c r="J1334" s="710">
        <f>(VLOOKUP($C1334,[2]Sheet1!$A$2:$P$18,$M1334+1)/12)*12*D1334</f>
        <v>1606988.4525125548</v>
      </c>
      <c r="K1334" s="711"/>
      <c r="M1334" s="62">
        <f t="shared" si="104"/>
        <v>5</v>
      </c>
    </row>
    <row r="1335" spans="1:13">
      <c r="A1335" s="88">
        <f t="shared" si="105"/>
        <v>15</v>
      </c>
      <c r="B1335" s="69" t="s">
        <v>4028</v>
      </c>
      <c r="C1335" s="69">
        <v>4</v>
      </c>
      <c r="D1335" s="89">
        <v>8</v>
      </c>
      <c r="E1335" s="89">
        <v>8</v>
      </c>
      <c r="F1335" s="89">
        <v>8</v>
      </c>
      <c r="G1335" s="89">
        <v>8</v>
      </c>
      <c r="H1335" s="89">
        <v>8</v>
      </c>
      <c r="I1335" s="89">
        <v>8</v>
      </c>
      <c r="J1335" s="710">
        <f>(VLOOKUP($C1335,[2]Sheet1!$A$2:$P$18,$M1335+1)/12)*12*D1335</f>
        <v>1796343.83144292</v>
      </c>
      <c r="K1335" s="711"/>
      <c r="M1335" s="62">
        <f t="shared" si="104"/>
        <v>5</v>
      </c>
    </row>
    <row r="1336" spans="1:13">
      <c r="A1336" s="88">
        <f t="shared" si="105"/>
        <v>16</v>
      </c>
      <c r="B1336" s="69" t="s">
        <v>4029</v>
      </c>
      <c r="C1336" s="69">
        <v>3</v>
      </c>
      <c r="D1336" s="89">
        <v>8</v>
      </c>
      <c r="E1336" s="89">
        <v>9</v>
      </c>
      <c r="F1336" s="89">
        <v>8</v>
      </c>
      <c r="G1336" s="89">
        <v>8</v>
      </c>
      <c r="H1336" s="89">
        <v>9</v>
      </c>
      <c r="I1336" s="89">
        <v>8</v>
      </c>
      <c r="J1336" s="710">
        <f>(VLOOKUP($C1336,[2]Sheet1!$A$2:$P$18,$M1336+1)/12)*12*D1336</f>
        <v>1754689.4314429199</v>
      </c>
      <c r="K1336" s="711"/>
      <c r="M1336" s="62">
        <f t="shared" si="104"/>
        <v>5</v>
      </c>
    </row>
    <row r="1337" spans="1:13">
      <c r="A1337" s="88">
        <f t="shared" si="105"/>
        <v>17</v>
      </c>
      <c r="B1337" s="69" t="s">
        <v>3903</v>
      </c>
      <c r="C1337" s="69">
        <v>6</v>
      </c>
      <c r="D1337" s="89">
        <v>2</v>
      </c>
      <c r="E1337" s="89">
        <v>2</v>
      </c>
      <c r="F1337" s="89">
        <v>2</v>
      </c>
      <c r="G1337" s="89">
        <v>2</v>
      </c>
      <c r="H1337" s="89">
        <v>2</v>
      </c>
      <c r="I1337" s="89">
        <v>2</v>
      </c>
      <c r="J1337" s="710">
        <f>(VLOOKUP($C1337,[2]Sheet1!$A$2:$P$18,$M1337+1)/12)*12*D1337</f>
        <v>476198.75786072994</v>
      </c>
      <c r="K1337" s="711"/>
      <c r="M1337" s="62">
        <f t="shared" si="104"/>
        <v>5</v>
      </c>
    </row>
    <row r="1338" spans="1:13">
      <c r="A1338" s="88">
        <f t="shared" si="105"/>
        <v>18</v>
      </c>
      <c r="B1338" s="69" t="s">
        <v>3904</v>
      </c>
      <c r="C1338" s="69">
        <v>5</v>
      </c>
      <c r="D1338" s="89">
        <v>3</v>
      </c>
      <c r="E1338" s="89">
        <v>3</v>
      </c>
      <c r="F1338" s="89">
        <v>3</v>
      </c>
      <c r="G1338" s="89">
        <v>3</v>
      </c>
      <c r="H1338" s="89">
        <v>3</v>
      </c>
      <c r="I1338" s="89">
        <v>3</v>
      </c>
      <c r="J1338" s="710">
        <f>(VLOOKUP($C1338,[2]Sheet1!$A$2:$P$18,$M1338+1)/12)*12*D1338</f>
        <v>688709.33679109497</v>
      </c>
      <c r="K1338" s="711"/>
      <c r="M1338" s="62">
        <f t="shared" si="104"/>
        <v>5</v>
      </c>
    </row>
    <row r="1339" spans="1:13">
      <c r="A1339" s="88">
        <f t="shared" si="105"/>
        <v>19</v>
      </c>
      <c r="B1339" s="69" t="s">
        <v>1356</v>
      </c>
      <c r="C1339" s="69">
        <v>3</v>
      </c>
      <c r="D1339" s="89">
        <v>2</v>
      </c>
      <c r="E1339" s="89">
        <v>2</v>
      </c>
      <c r="F1339" s="89">
        <v>2</v>
      </c>
      <c r="G1339" s="89">
        <v>2</v>
      </c>
      <c r="H1339" s="89">
        <v>2</v>
      </c>
      <c r="I1339" s="89">
        <v>2</v>
      </c>
      <c r="J1339" s="710">
        <f>(VLOOKUP($C1339,[2]Sheet1!$A$2:$P$18,$M1339+1)/12)*12*D1339</f>
        <v>438672.35786072997</v>
      </c>
      <c r="K1339" s="711"/>
      <c r="M1339" s="62">
        <f t="shared" si="104"/>
        <v>5</v>
      </c>
    </row>
    <row r="1340" spans="1:13">
      <c r="A1340" s="88">
        <f t="shared" si="105"/>
        <v>20</v>
      </c>
      <c r="B1340" s="69" t="s">
        <v>1200</v>
      </c>
      <c r="C1340" s="69">
        <v>4</v>
      </c>
      <c r="D1340" s="89">
        <v>5</v>
      </c>
      <c r="E1340" s="89">
        <v>5</v>
      </c>
      <c r="F1340" s="89">
        <v>5</v>
      </c>
      <c r="G1340" s="89">
        <v>5</v>
      </c>
      <c r="H1340" s="89">
        <v>5</v>
      </c>
      <c r="I1340" s="89">
        <v>5</v>
      </c>
      <c r="J1340" s="710">
        <f>(VLOOKUP($C1340,[2]Sheet1!$A$2:$P$18,$M1340+1)/12)*12*D1340</f>
        <v>1122714.8946518251</v>
      </c>
      <c r="K1340" s="711"/>
      <c r="M1340" s="62">
        <f t="shared" si="104"/>
        <v>5</v>
      </c>
    </row>
    <row r="1341" spans="1:13">
      <c r="A1341" s="88">
        <f t="shared" si="105"/>
        <v>21</v>
      </c>
      <c r="B1341" s="69" t="s">
        <v>1355</v>
      </c>
      <c r="C1341" s="69">
        <v>3</v>
      </c>
      <c r="D1341" s="89">
        <v>5</v>
      </c>
      <c r="E1341" s="89">
        <v>5</v>
      </c>
      <c r="F1341" s="89">
        <v>5</v>
      </c>
      <c r="G1341" s="89">
        <v>5</v>
      </c>
      <c r="H1341" s="89">
        <v>5</v>
      </c>
      <c r="I1341" s="89">
        <v>5</v>
      </c>
      <c r="J1341" s="710">
        <f>(VLOOKUP($C1341,[2]Sheet1!$A$2:$P$18,$M1341+1)/12)*12*D1341</f>
        <v>1096680.8946518248</v>
      </c>
      <c r="K1341" s="711"/>
      <c r="M1341" s="62">
        <f t="shared" si="104"/>
        <v>5</v>
      </c>
    </row>
    <row r="1342" spans="1:13">
      <c r="A1342" s="88">
        <f t="shared" si="105"/>
        <v>22</v>
      </c>
      <c r="B1342" s="69" t="s">
        <v>2787</v>
      </c>
      <c r="C1342" s="69">
        <v>4</v>
      </c>
      <c r="D1342" s="89">
        <v>1</v>
      </c>
      <c r="E1342" s="89">
        <v>1</v>
      </c>
      <c r="F1342" s="89">
        <v>1</v>
      </c>
      <c r="G1342" s="89">
        <v>1</v>
      </c>
      <c r="H1342" s="89">
        <v>1</v>
      </c>
      <c r="I1342" s="89">
        <v>1</v>
      </c>
      <c r="J1342" s="710">
        <f>(VLOOKUP($C1342,[2]Sheet1!$A$2:$P$18,$M1342+1)/12)*12*D1342</f>
        <v>224542.978930365</v>
      </c>
      <c r="K1342" s="711"/>
      <c r="M1342" s="62">
        <f t="shared" si="104"/>
        <v>5</v>
      </c>
    </row>
    <row r="1343" spans="1:13">
      <c r="A1343" s="88">
        <f t="shared" si="105"/>
        <v>23</v>
      </c>
      <c r="B1343" s="69" t="s">
        <v>2543</v>
      </c>
      <c r="C1343" s="69">
        <v>3</v>
      </c>
      <c r="D1343" s="89">
        <v>12</v>
      </c>
      <c r="E1343" s="89">
        <v>15</v>
      </c>
      <c r="F1343" s="89">
        <v>12</v>
      </c>
      <c r="G1343" s="89">
        <v>12</v>
      </c>
      <c r="H1343" s="89">
        <v>12</v>
      </c>
      <c r="I1343" s="89">
        <v>12</v>
      </c>
      <c r="J1343" s="710">
        <f>(VLOOKUP($C1343,[2]Sheet1!$A$2:$P$18,$M1343+1)/12)*12*D1343</f>
        <v>2632034.1471643797</v>
      </c>
      <c r="K1343" s="711"/>
      <c r="M1343" s="62">
        <f t="shared" si="104"/>
        <v>5</v>
      </c>
    </row>
    <row r="1344" spans="1:13">
      <c r="A1344" s="88">
        <f t="shared" si="105"/>
        <v>24</v>
      </c>
      <c r="B1344" s="69" t="s">
        <v>2947</v>
      </c>
      <c r="C1344" s="69">
        <v>3</v>
      </c>
      <c r="D1344" s="89">
        <v>5</v>
      </c>
      <c r="E1344" s="89">
        <v>5</v>
      </c>
      <c r="F1344" s="89">
        <v>5</v>
      </c>
      <c r="G1344" s="89">
        <v>5</v>
      </c>
      <c r="H1344" s="89">
        <v>5</v>
      </c>
      <c r="I1344" s="89">
        <v>5</v>
      </c>
      <c r="J1344" s="710">
        <f>(VLOOKUP($C1344,[2]Sheet1!$A$2:$P$18,$M1344+1)/12)*12*D1344</f>
        <v>1096680.8946518248</v>
      </c>
      <c r="K1344" s="711"/>
      <c r="M1344" s="62">
        <f t="shared" si="104"/>
        <v>5</v>
      </c>
    </row>
    <row r="1345" spans="1:13">
      <c r="A1345" s="88">
        <f t="shared" si="105"/>
        <v>25</v>
      </c>
      <c r="B1345" s="69" t="s">
        <v>2364</v>
      </c>
      <c r="C1345" s="69">
        <v>2</v>
      </c>
      <c r="D1345" s="89">
        <v>15</v>
      </c>
      <c r="E1345" s="89">
        <v>15</v>
      </c>
      <c r="F1345" s="89">
        <v>15</v>
      </c>
      <c r="G1345" s="89">
        <v>15</v>
      </c>
      <c r="H1345" s="89">
        <v>15</v>
      </c>
      <c r="I1345" s="89">
        <v>15</v>
      </c>
      <c r="J1345" s="710">
        <f>(VLOOKUP($C1345,[2]Sheet1!$A$2:$P$18,$M1345+1)/12)*12*D1345</f>
        <v>3219860.6839554752</v>
      </c>
      <c r="K1345" s="711"/>
      <c r="M1345" s="62">
        <f t="shared" si="104"/>
        <v>5</v>
      </c>
    </row>
    <row r="1346" spans="1:13">
      <c r="A1346" s="88">
        <f t="shared" si="105"/>
        <v>26</v>
      </c>
      <c r="B1346" s="69" t="s">
        <v>3674</v>
      </c>
      <c r="C1346" s="69">
        <v>2</v>
      </c>
      <c r="D1346" s="89">
        <v>5</v>
      </c>
      <c r="E1346" s="89">
        <v>5</v>
      </c>
      <c r="F1346" s="89">
        <v>5</v>
      </c>
      <c r="G1346" s="89">
        <v>5</v>
      </c>
      <c r="H1346" s="89">
        <v>5</v>
      </c>
      <c r="I1346" s="89">
        <v>5</v>
      </c>
      <c r="J1346" s="710">
        <f>(VLOOKUP($C1346,[2]Sheet1!$A$2:$P$18,$M1346+1)/12)*12*D1346</f>
        <v>1073286.8946518251</v>
      </c>
      <c r="K1346" s="711"/>
      <c r="M1346" s="62">
        <f t="shared" si="104"/>
        <v>5</v>
      </c>
    </row>
    <row r="1347" spans="1:13">
      <c r="A1347" s="88">
        <f t="shared" si="105"/>
        <v>27</v>
      </c>
      <c r="B1347" s="69" t="s">
        <v>2884</v>
      </c>
      <c r="C1347" s="69">
        <v>4</v>
      </c>
      <c r="D1347" s="89">
        <v>10</v>
      </c>
      <c r="E1347" s="89">
        <v>10</v>
      </c>
      <c r="F1347" s="89">
        <v>10</v>
      </c>
      <c r="G1347" s="89">
        <v>10</v>
      </c>
      <c r="H1347" s="89">
        <v>10</v>
      </c>
      <c r="I1347" s="89">
        <v>10</v>
      </c>
      <c r="J1347" s="710">
        <f>(VLOOKUP($C1347,[2]Sheet1!$A$2:$P$18,$M1347+1)/12)*12*D1347</f>
        <v>2245429.7893036501</v>
      </c>
      <c r="K1347" s="711"/>
      <c r="M1347" s="62">
        <f t="shared" si="104"/>
        <v>5</v>
      </c>
    </row>
    <row r="1348" spans="1:13">
      <c r="A1348" s="88">
        <f t="shared" si="105"/>
        <v>28</v>
      </c>
      <c r="B1348" s="69" t="s">
        <v>3675</v>
      </c>
      <c r="C1348" s="69">
        <v>3</v>
      </c>
      <c r="D1348" s="89">
        <v>30</v>
      </c>
      <c r="E1348" s="89">
        <v>30</v>
      </c>
      <c r="F1348" s="89">
        <v>30</v>
      </c>
      <c r="G1348" s="89">
        <v>30</v>
      </c>
      <c r="H1348" s="89">
        <v>30</v>
      </c>
      <c r="I1348" s="89">
        <v>30</v>
      </c>
      <c r="J1348" s="710">
        <f>(VLOOKUP($C1348,[2]Sheet1!$A$2:$P$18,$M1348+1)/12)*12*D1348</f>
        <v>6580085.3679109495</v>
      </c>
      <c r="K1348" s="711"/>
      <c r="M1348" s="62">
        <f t="shared" si="104"/>
        <v>5</v>
      </c>
    </row>
    <row r="1349" spans="1:13">
      <c r="A1349" s="88">
        <f t="shared" si="105"/>
        <v>29</v>
      </c>
      <c r="B1349" s="69" t="s">
        <v>2885</v>
      </c>
      <c r="C1349" s="69">
        <v>2</v>
      </c>
      <c r="D1349" s="89">
        <v>1</v>
      </c>
      <c r="E1349" s="89">
        <v>1</v>
      </c>
      <c r="F1349" s="89">
        <v>1</v>
      </c>
      <c r="G1349" s="89">
        <v>1</v>
      </c>
      <c r="H1349" s="89">
        <v>1</v>
      </c>
      <c r="I1349" s="89">
        <v>1</v>
      </c>
      <c r="J1349" s="710">
        <f>(VLOOKUP($C1349,[2]Sheet1!$A$2:$P$18,$M1349+1)/12)*12*D1349</f>
        <v>214657.37893036503</v>
      </c>
      <c r="K1349" s="711"/>
      <c r="M1349" s="62">
        <f t="shared" si="104"/>
        <v>5</v>
      </c>
    </row>
    <row r="1350" spans="1:13">
      <c r="A1350" s="88">
        <f t="shared" si="105"/>
        <v>30</v>
      </c>
      <c r="B1350" s="69" t="s">
        <v>2886</v>
      </c>
      <c r="C1350" s="69">
        <v>4</v>
      </c>
      <c r="D1350" s="89">
        <v>1</v>
      </c>
      <c r="E1350" s="89">
        <v>1</v>
      </c>
      <c r="F1350" s="89">
        <v>1</v>
      </c>
      <c r="G1350" s="89">
        <v>1</v>
      </c>
      <c r="H1350" s="89">
        <v>1</v>
      </c>
      <c r="I1350" s="89">
        <v>1</v>
      </c>
      <c r="J1350" s="710">
        <f>(VLOOKUP($C1350,[2]Sheet1!$A$2:$P$18,$M1350+1)/12)*12*D1350</f>
        <v>224542.978930365</v>
      </c>
      <c r="K1350" s="711"/>
      <c r="M1350" s="62">
        <f t="shared" si="104"/>
        <v>5</v>
      </c>
    </row>
    <row r="1351" spans="1:13">
      <c r="A1351" s="88">
        <f t="shared" si="105"/>
        <v>31</v>
      </c>
      <c r="B1351" s="69" t="s">
        <v>2887</v>
      </c>
      <c r="C1351" s="69">
        <v>2</v>
      </c>
      <c r="D1351" s="89">
        <v>17</v>
      </c>
      <c r="E1351" s="89">
        <v>20</v>
      </c>
      <c r="F1351" s="89">
        <v>17</v>
      </c>
      <c r="G1351" s="89">
        <v>17</v>
      </c>
      <c r="H1351" s="89">
        <v>17</v>
      </c>
      <c r="I1351" s="89">
        <v>17</v>
      </c>
      <c r="J1351" s="710">
        <f>(VLOOKUP($C1351,[2]Sheet1!$A$2:$P$18,$M1351+1)/12)*12*D1351</f>
        <v>3649175.4418162056</v>
      </c>
      <c r="K1351" s="711"/>
      <c r="M1351" s="62">
        <f t="shared" si="104"/>
        <v>5</v>
      </c>
    </row>
    <row r="1352" spans="1:13">
      <c r="A1352" s="88">
        <f t="shared" si="105"/>
        <v>32</v>
      </c>
      <c r="B1352" s="69" t="s">
        <v>2888</v>
      </c>
      <c r="C1352" s="69">
        <v>6</v>
      </c>
      <c r="D1352" s="89">
        <v>2</v>
      </c>
      <c r="E1352" s="89">
        <v>2</v>
      </c>
      <c r="F1352" s="89">
        <v>2</v>
      </c>
      <c r="G1352" s="89">
        <v>2</v>
      </c>
      <c r="H1352" s="89">
        <v>2</v>
      </c>
      <c r="I1352" s="89">
        <v>2</v>
      </c>
      <c r="J1352" s="710">
        <f>(VLOOKUP($C1352,[2]Sheet1!$A$2:$P$18,$M1352+1)/12)*12*D1352</f>
        <v>476198.75786072994</v>
      </c>
      <c r="K1352" s="711"/>
      <c r="M1352" s="62">
        <f t="shared" si="104"/>
        <v>5</v>
      </c>
    </row>
    <row r="1353" spans="1:13">
      <c r="A1353" s="88">
        <f t="shared" si="105"/>
        <v>33</v>
      </c>
      <c r="B1353" s="69" t="s">
        <v>2889</v>
      </c>
      <c r="C1353" s="69">
        <v>5</v>
      </c>
      <c r="D1353" s="89">
        <v>6</v>
      </c>
      <c r="E1353" s="89">
        <v>6</v>
      </c>
      <c r="F1353" s="89">
        <v>6</v>
      </c>
      <c r="G1353" s="89">
        <v>6</v>
      </c>
      <c r="H1353" s="89">
        <v>6</v>
      </c>
      <c r="I1353" s="89">
        <v>6</v>
      </c>
      <c r="J1353" s="710">
        <f>(VLOOKUP($C1353,[2]Sheet1!$A$2:$P$18,$M1353+1)/12)*12*D1353</f>
        <v>1377418.6735821899</v>
      </c>
      <c r="K1353" s="711"/>
      <c r="M1353" s="62">
        <f t="shared" si="104"/>
        <v>5</v>
      </c>
    </row>
    <row r="1354" spans="1:13">
      <c r="A1354" s="88">
        <f t="shared" si="105"/>
        <v>34</v>
      </c>
      <c r="B1354" s="69" t="s">
        <v>2890</v>
      </c>
      <c r="C1354" s="69">
        <v>4</v>
      </c>
      <c r="D1354" s="89">
        <v>6</v>
      </c>
      <c r="E1354" s="89">
        <v>6</v>
      </c>
      <c r="F1354" s="89">
        <v>6</v>
      </c>
      <c r="G1354" s="89">
        <v>6</v>
      </c>
      <c r="H1354" s="89">
        <v>6</v>
      </c>
      <c r="I1354" s="89">
        <v>6</v>
      </c>
      <c r="J1354" s="710">
        <f>(VLOOKUP($C1354,[2]Sheet1!$A$2:$P$18,$M1354+1)/12)*12*D1354</f>
        <v>1347257.8735821899</v>
      </c>
      <c r="K1354" s="711"/>
      <c r="M1354" s="62">
        <f t="shared" si="104"/>
        <v>5</v>
      </c>
    </row>
    <row r="1355" spans="1:13" ht="13.5" thickBot="1">
      <c r="A1355" s="88">
        <f t="shared" si="105"/>
        <v>35</v>
      </c>
      <c r="B1355" s="69" t="s">
        <v>2891</v>
      </c>
      <c r="C1355" s="69">
        <v>3</v>
      </c>
      <c r="D1355" s="89">
        <v>6</v>
      </c>
      <c r="E1355" s="89">
        <v>6</v>
      </c>
      <c r="F1355" s="89">
        <v>6</v>
      </c>
      <c r="G1355" s="89">
        <v>6</v>
      </c>
      <c r="H1355" s="89">
        <v>6</v>
      </c>
      <c r="I1355" s="89">
        <v>6</v>
      </c>
      <c r="J1355" s="710">
        <f>(VLOOKUP($C1355,[2]Sheet1!$A$2:$P$18,$M1355+1)/12)*12*D1355</f>
        <v>1316017.0735821899</v>
      </c>
      <c r="K1355" s="711"/>
      <c r="M1355" s="62">
        <f t="shared" si="104"/>
        <v>5</v>
      </c>
    </row>
    <row r="1356" spans="1:13" ht="15.75" thickTop="1">
      <c r="A1356" s="1047" t="s">
        <v>2791</v>
      </c>
      <c r="B1356" s="1049" t="s">
        <v>4126</v>
      </c>
      <c r="C1356" s="1049" t="s">
        <v>854</v>
      </c>
      <c r="D1356" s="1040" t="s">
        <v>4127</v>
      </c>
      <c r="E1356" s="1041"/>
      <c r="F1356" s="1041"/>
      <c r="G1356" s="1040" t="s">
        <v>904</v>
      </c>
      <c r="H1356" s="1041"/>
      <c r="I1356" s="1042"/>
      <c r="J1356" s="1035" t="s">
        <v>855</v>
      </c>
      <c r="K1356" s="389"/>
    </row>
    <row r="1357" spans="1:13" ht="26.25" thickBot="1">
      <c r="A1357" s="1048"/>
      <c r="B1357" s="1050"/>
      <c r="C1357" s="1050"/>
      <c r="D1357" s="285" t="s">
        <v>5505</v>
      </c>
      <c r="E1357" s="285" t="s">
        <v>4485</v>
      </c>
      <c r="F1357" s="285" t="s">
        <v>4486</v>
      </c>
      <c r="G1357" s="287" t="s">
        <v>4487</v>
      </c>
      <c r="H1357" s="285" t="s">
        <v>4488</v>
      </c>
      <c r="I1357" s="287" t="s">
        <v>4489</v>
      </c>
      <c r="J1357" s="1036"/>
      <c r="K1357" s="712"/>
    </row>
    <row r="1358" spans="1:13" ht="13.5" thickTop="1">
      <c r="A1358" s="88">
        <f>+A1355+1</f>
        <v>36</v>
      </c>
      <c r="B1358" s="69" t="s">
        <v>2895</v>
      </c>
      <c r="C1358" s="69">
        <v>4</v>
      </c>
      <c r="D1358" s="89">
        <v>3</v>
      </c>
      <c r="E1358" s="89">
        <v>3</v>
      </c>
      <c r="F1358" s="89">
        <v>3</v>
      </c>
      <c r="G1358" s="89">
        <v>3</v>
      </c>
      <c r="H1358" s="89">
        <v>3</v>
      </c>
      <c r="I1358" s="89">
        <v>3</v>
      </c>
      <c r="J1358" s="710">
        <f>(VLOOKUP($C1358,[2]Sheet1!$A$2:$P$18,$M1358+1)/12)*12*D1358</f>
        <v>673628.93679109495</v>
      </c>
      <c r="K1358" s="711"/>
      <c r="M1358" s="62">
        <f t="shared" si="104"/>
        <v>5</v>
      </c>
    </row>
    <row r="1359" spans="1:13">
      <c r="A1359" s="88">
        <f>+A1358+1</f>
        <v>37</v>
      </c>
      <c r="B1359" s="69" t="s">
        <v>1843</v>
      </c>
      <c r="C1359" s="69">
        <v>3</v>
      </c>
      <c r="D1359" s="89">
        <v>8</v>
      </c>
      <c r="E1359" s="89">
        <v>8</v>
      </c>
      <c r="F1359" s="89">
        <v>8</v>
      </c>
      <c r="G1359" s="89">
        <v>8</v>
      </c>
      <c r="H1359" s="89">
        <v>8</v>
      </c>
      <c r="I1359" s="89">
        <v>8</v>
      </c>
      <c r="J1359" s="710">
        <f>(VLOOKUP($C1359,[2]Sheet1!$A$2:$P$18,$M1359+1)/12)*12*D1359</f>
        <v>1754689.4314429199</v>
      </c>
      <c r="K1359" s="711"/>
      <c r="M1359" s="62">
        <f t="shared" si="104"/>
        <v>5</v>
      </c>
    </row>
    <row r="1360" spans="1:13">
      <c r="A1360" s="88">
        <f t="shared" si="105"/>
        <v>38</v>
      </c>
      <c r="B1360" s="69" t="s">
        <v>1844</v>
      </c>
      <c r="C1360" s="69">
        <v>4</v>
      </c>
      <c r="D1360" s="89">
        <v>3</v>
      </c>
      <c r="E1360" s="89">
        <v>3</v>
      </c>
      <c r="F1360" s="89">
        <v>3</v>
      </c>
      <c r="G1360" s="89">
        <v>3</v>
      </c>
      <c r="H1360" s="89">
        <v>3</v>
      </c>
      <c r="I1360" s="89">
        <v>3</v>
      </c>
      <c r="J1360" s="710">
        <f>(VLOOKUP($C1360,[2]Sheet1!$A$2:$P$18,$M1360+1)/12)*12*D1360</f>
        <v>673628.93679109495</v>
      </c>
      <c r="K1360" s="711"/>
      <c r="M1360" s="62">
        <f t="shared" si="104"/>
        <v>5</v>
      </c>
    </row>
    <row r="1361" spans="1:13">
      <c r="A1361" s="88">
        <f t="shared" si="105"/>
        <v>39</v>
      </c>
      <c r="B1361" s="69" t="s">
        <v>3187</v>
      </c>
      <c r="C1361" s="69">
        <v>3</v>
      </c>
      <c r="D1361" s="89">
        <v>10</v>
      </c>
      <c r="E1361" s="89">
        <v>10</v>
      </c>
      <c r="F1361" s="89">
        <v>10</v>
      </c>
      <c r="G1361" s="89">
        <v>10</v>
      </c>
      <c r="H1361" s="89">
        <v>10</v>
      </c>
      <c r="I1361" s="89">
        <v>10</v>
      </c>
      <c r="J1361" s="710">
        <f>(VLOOKUP($C1361,[2]Sheet1!$A$2:$P$18,$M1361+1)/12)*12*D1361</f>
        <v>2193361.7893036497</v>
      </c>
      <c r="K1361" s="711"/>
      <c r="M1361" s="62">
        <f t="shared" si="104"/>
        <v>5</v>
      </c>
    </row>
    <row r="1362" spans="1:13">
      <c r="A1362" s="88"/>
      <c r="B1362" s="90" t="s">
        <v>1845</v>
      </c>
      <c r="C1362" s="69"/>
      <c r="D1362" s="89"/>
      <c r="E1362" s="89">
        <v>1</v>
      </c>
      <c r="F1362" s="89"/>
      <c r="G1362" s="89"/>
      <c r="H1362" s="89"/>
      <c r="I1362" s="89"/>
      <c r="J1362" s="710"/>
      <c r="K1362" s="711"/>
      <c r="M1362" s="62">
        <f t="shared" si="104"/>
        <v>5</v>
      </c>
    </row>
    <row r="1363" spans="1:13">
      <c r="A1363" s="88">
        <v>40</v>
      </c>
      <c r="B1363" s="69" t="s">
        <v>3905</v>
      </c>
      <c r="C1363" s="69">
        <v>12</v>
      </c>
      <c r="D1363" s="89">
        <v>1</v>
      </c>
      <c r="E1363" s="89">
        <v>1</v>
      </c>
      <c r="F1363" s="89">
        <v>1</v>
      </c>
      <c r="G1363" s="89">
        <v>1</v>
      </c>
      <c r="H1363" s="89">
        <v>1</v>
      </c>
      <c r="I1363" s="89">
        <v>1</v>
      </c>
      <c r="J1363" s="710">
        <f>(VLOOKUP($C1363,[2]Sheet1!$A$2:$P$18,$M1363+1)/12)*12*D1363</f>
        <v>552685.0537200002</v>
      </c>
      <c r="K1363" s="711"/>
      <c r="M1363" s="62">
        <f t="shared" si="104"/>
        <v>3</v>
      </c>
    </row>
    <row r="1364" spans="1:13">
      <c r="A1364" s="88">
        <f>A1363+1</f>
        <v>41</v>
      </c>
      <c r="B1364" s="69" t="s">
        <v>1398</v>
      </c>
      <c r="C1364" s="69">
        <v>10</v>
      </c>
      <c r="D1364" s="89">
        <v>1</v>
      </c>
      <c r="E1364" s="89">
        <v>1</v>
      </c>
      <c r="F1364" s="89">
        <v>1</v>
      </c>
      <c r="G1364" s="89">
        <v>1</v>
      </c>
      <c r="H1364" s="89">
        <v>1</v>
      </c>
      <c r="I1364" s="89">
        <v>1</v>
      </c>
      <c r="J1364" s="710">
        <f>(VLOOKUP($C1364,[2]Sheet1!$A$2:$P$18,$M1364+1)/12)*12*D1364</f>
        <v>483974.5687200001</v>
      </c>
      <c r="K1364" s="711"/>
      <c r="M1364" s="62">
        <f t="shared" si="104"/>
        <v>3</v>
      </c>
    </row>
    <row r="1365" spans="1:13">
      <c r="A1365" s="88">
        <f>A1364+1</f>
        <v>42</v>
      </c>
      <c r="B1365" s="69" t="s">
        <v>1846</v>
      </c>
      <c r="C1365" s="69">
        <v>9</v>
      </c>
      <c r="D1365" s="89">
        <v>0</v>
      </c>
      <c r="E1365" s="89">
        <v>0</v>
      </c>
      <c r="F1365" s="89">
        <v>0</v>
      </c>
      <c r="G1365" s="89">
        <v>0</v>
      </c>
      <c r="H1365" s="89">
        <v>0</v>
      </c>
      <c r="I1365" s="89">
        <v>0</v>
      </c>
      <c r="J1365" s="710">
        <f>(VLOOKUP($C1365,[2]Sheet1!$A$2:$P$18,$M1365+1)/12)*12*D1365</f>
        <v>0</v>
      </c>
      <c r="K1365" s="711"/>
      <c r="M1365" s="62">
        <f t="shared" si="104"/>
        <v>3</v>
      </c>
    </row>
    <row r="1366" spans="1:13">
      <c r="A1366" s="88">
        <f>A1365+1</f>
        <v>43</v>
      </c>
      <c r="B1366" s="69" t="s">
        <v>1104</v>
      </c>
      <c r="C1366" s="69">
        <v>8</v>
      </c>
      <c r="D1366" s="89">
        <v>3</v>
      </c>
      <c r="E1366" s="89">
        <v>3</v>
      </c>
      <c r="F1366" s="89">
        <v>3</v>
      </c>
      <c r="G1366" s="89">
        <v>3</v>
      </c>
      <c r="H1366" s="89">
        <v>3</v>
      </c>
      <c r="I1366" s="89">
        <v>3</v>
      </c>
      <c r="J1366" s="710">
        <f>(VLOOKUP($C1366,[2]Sheet1!$A$2:$P$18,$M1366+1)/12)*12*D1366</f>
        <v>1026423.82224</v>
      </c>
      <c r="K1366" s="711"/>
      <c r="M1366" s="62">
        <f t="shared" si="104"/>
        <v>3</v>
      </c>
    </row>
    <row r="1367" spans="1:13">
      <c r="A1367" s="88">
        <f t="shared" ref="A1367:A1376" si="106">+A1366+1</f>
        <v>44</v>
      </c>
      <c r="B1367" s="69" t="s">
        <v>1105</v>
      </c>
      <c r="C1367" s="69">
        <v>7</v>
      </c>
      <c r="D1367" s="89">
        <v>1</v>
      </c>
      <c r="E1367" s="89">
        <v>1</v>
      </c>
      <c r="F1367" s="89">
        <v>1</v>
      </c>
      <c r="G1367" s="89">
        <v>1</v>
      </c>
      <c r="H1367" s="89">
        <v>1</v>
      </c>
      <c r="I1367" s="89">
        <v>1</v>
      </c>
      <c r="J1367" s="710">
        <f>(VLOOKUP($C1367,[2]Sheet1!$A$2:$P$18,$M1367+1)/12)*12*D1367</f>
        <v>307706.70240000007</v>
      </c>
      <c r="K1367" s="711"/>
      <c r="M1367" s="62">
        <f t="shared" si="104"/>
        <v>3</v>
      </c>
    </row>
    <row r="1368" spans="1:13">
      <c r="A1368" s="88">
        <f t="shared" si="106"/>
        <v>45</v>
      </c>
      <c r="B1368" s="69" t="s">
        <v>1106</v>
      </c>
      <c r="C1368" s="69">
        <v>6</v>
      </c>
      <c r="D1368" s="89">
        <v>1</v>
      </c>
      <c r="E1368" s="89">
        <v>1</v>
      </c>
      <c r="F1368" s="89">
        <v>1</v>
      </c>
      <c r="G1368" s="89">
        <v>1</v>
      </c>
      <c r="H1368" s="89">
        <v>1</v>
      </c>
      <c r="I1368" s="89">
        <v>1</v>
      </c>
      <c r="J1368" s="710">
        <f>(VLOOKUP($C1368,[2]Sheet1!$A$2:$P$18,$M1368+1)/12)*12*D1368</f>
        <v>238099.37893036497</v>
      </c>
      <c r="K1368" s="711"/>
      <c r="M1368" s="62">
        <f t="shared" si="104"/>
        <v>5</v>
      </c>
    </row>
    <row r="1369" spans="1:13">
      <c r="A1369" s="88">
        <f>+A1368+1</f>
        <v>46</v>
      </c>
      <c r="B1369" s="69" t="s">
        <v>1107</v>
      </c>
      <c r="C1369" s="69">
        <v>5</v>
      </c>
      <c r="D1369" s="89">
        <v>2</v>
      </c>
      <c r="E1369" s="89">
        <v>2</v>
      </c>
      <c r="F1369" s="89">
        <v>2</v>
      </c>
      <c r="G1369" s="89">
        <v>2</v>
      </c>
      <c r="H1369" s="89">
        <v>2</v>
      </c>
      <c r="I1369" s="89">
        <v>2</v>
      </c>
      <c r="J1369" s="710">
        <f>(VLOOKUP($C1369,[2]Sheet1!$A$2:$P$18,$M1369+1)/12)*12*D1369</f>
        <v>459139.55786072998</v>
      </c>
      <c r="K1369" s="711"/>
      <c r="M1369" s="62">
        <f t="shared" ref="M1369:M1429" si="107">IF(C1369&gt;6,3,5)</f>
        <v>5</v>
      </c>
    </row>
    <row r="1370" spans="1:13">
      <c r="A1370" s="88">
        <f>+A1368+1</f>
        <v>46</v>
      </c>
      <c r="B1370" s="69" t="s">
        <v>2388</v>
      </c>
      <c r="C1370" s="69">
        <v>5</v>
      </c>
      <c r="D1370" s="89">
        <v>2</v>
      </c>
      <c r="E1370" s="89">
        <v>2</v>
      </c>
      <c r="F1370" s="89">
        <v>2</v>
      </c>
      <c r="G1370" s="89">
        <v>2</v>
      </c>
      <c r="H1370" s="89">
        <v>2</v>
      </c>
      <c r="I1370" s="89">
        <v>2</v>
      </c>
      <c r="J1370" s="710">
        <f>(VLOOKUP($C1370,[2]Sheet1!$A$2:$P$18,$M1370+1)/12)*12*D1370</f>
        <v>459139.55786072998</v>
      </c>
      <c r="K1370" s="711"/>
      <c r="M1370" s="62">
        <f t="shared" si="107"/>
        <v>5</v>
      </c>
    </row>
    <row r="1371" spans="1:13">
      <c r="A1371" s="88">
        <f>+A1369+1</f>
        <v>47</v>
      </c>
      <c r="B1371" s="69" t="s">
        <v>2625</v>
      </c>
      <c r="C1371" s="69">
        <v>3</v>
      </c>
      <c r="D1371" s="89">
        <v>1</v>
      </c>
      <c r="E1371" s="89">
        <v>0</v>
      </c>
      <c r="F1371" s="89">
        <v>1</v>
      </c>
      <c r="G1371" s="89">
        <v>1</v>
      </c>
      <c r="H1371" s="89">
        <v>0</v>
      </c>
      <c r="I1371" s="89">
        <v>1</v>
      </c>
      <c r="J1371" s="710">
        <f>(VLOOKUP($C1371,[2]Sheet1!$A$2:$P$18,$M1371+1)/12)*12*D1371</f>
        <v>219336.17893036499</v>
      </c>
      <c r="K1371" s="711"/>
      <c r="M1371" s="62">
        <f t="shared" si="107"/>
        <v>5</v>
      </c>
    </row>
    <row r="1372" spans="1:13">
      <c r="A1372" s="88">
        <f>+A1370+1</f>
        <v>47</v>
      </c>
      <c r="B1372" s="69" t="s">
        <v>2874</v>
      </c>
      <c r="C1372" s="69">
        <v>4</v>
      </c>
      <c r="D1372" s="89">
        <v>3</v>
      </c>
      <c r="E1372" s="89">
        <v>2</v>
      </c>
      <c r="F1372" s="89">
        <v>3</v>
      </c>
      <c r="G1372" s="89">
        <v>3</v>
      </c>
      <c r="H1372" s="89">
        <v>3</v>
      </c>
      <c r="I1372" s="89">
        <v>3</v>
      </c>
      <c r="J1372" s="710">
        <f>(VLOOKUP($C1372,[2]Sheet1!$A$2:$P$18,$M1372+1)/12)*12*D1372</f>
        <v>673628.93679109495</v>
      </c>
      <c r="K1372" s="711"/>
      <c r="M1372" s="62">
        <f t="shared" si="107"/>
        <v>5</v>
      </c>
    </row>
    <row r="1373" spans="1:13">
      <c r="A1373" s="88">
        <f t="shared" si="106"/>
        <v>48</v>
      </c>
      <c r="B1373" s="69" t="s">
        <v>2416</v>
      </c>
      <c r="C1373" s="69">
        <v>3</v>
      </c>
      <c r="D1373" s="89">
        <v>3</v>
      </c>
      <c r="E1373" s="89">
        <v>3</v>
      </c>
      <c r="F1373" s="89">
        <v>3</v>
      </c>
      <c r="G1373" s="89">
        <v>3</v>
      </c>
      <c r="H1373" s="89">
        <v>3</v>
      </c>
      <c r="I1373" s="89">
        <v>3</v>
      </c>
      <c r="J1373" s="710">
        <f>(VLOOKUP($C1373,[2]Sheet1!$A$2:$P$18,$M1373+1)/12)*12*D1373</f>
        <v>658008.53679109493</v>
      </c>
      <c r="K1373" s="711"/>
      <c r="M1373" s="62">
        <f t="shared" si="107"/>
        <v>5</v>
      </c>
    </row>
    <row r="1374" spans="1:13">
      <c r="A1374" s="88">
        <f t="shared" si="106"/>
        <v>49</v>
      </c>
      <c r="B1374" s="69" t="s">
        <v>2894</v>
      </c>
      <c r="C1374" s="69">
        <v>9</v>
      </c>
      <c r="D1374" s="89">
        <v>0</v>
      </c>
      <c r="E1374" s="89">
        <v>0</v>
      </c>
      <c r="F1374" s="89">
        <v>0</v>
      </c>
      <c r="G1374" s="89">
        <v>0</v>
      </c>
      <c r="H1374" s="89">
        <v>0</v>
      </c>
      <c r="I1374" s="89">
        <v>0</v>
      </c>
      <c r="J1374" s="710">
        <f>(VLOOKUP($C1374,[2]Sheet1!$A$2:$P$18,$M1374+1)/12)*12*D1374</f>
        <v>0</v>
      </c>
      <c r="K1374" s="711"/>
      <c r="M1374" s="62">
        <f t="shared" si="107"/>
        <v>3</v>
      </c>
    </row>
    <row r="1375" spans="1:13">
      <c r="A1375" s="88">
        <f t="shared" si="106"/>
        <v>50</v>
      </c>
      <c r="B1375" s="69" t="s">
        <v>1699</v>
      </c>
      <c r="C1375" s="69">
        <v>8</v>
      </c>
      <c r="D1375" s="89">
        <v>0</v>
      </c>
      <c r="E1375" s="89">
        <v>0</v>
      </c>
      <c r="F1375" s="89">
        <v>0</v>
      </c>
      <c r="G1375" s="89">
        <v>0</v>
      </c>
      <c r="H1375" s="89">
        <v>0</v>
      </c>
      <c r="I1375" s="89">
        <v>0</v>
      </c>
      <c r="J1375" s="710">
        <f>(VLOOKUP($C1375,[2]Sheet1!$A$2:$P$18,$M1375+1)/12)*12*D1375</f>
        <v>0</v>
      </c>
      <c r="K1375" s="711"/>
      <c r="M1375" s="62">
        <f t="shared" si="107"/>
        <v>3</v>
      </c>
    </row>
    <row r="1376" spans="1:13">
      <c r="A1376" s="88">
        <f t="shared" si="106"/>
        <v>51</v>
      </c>
      <c r="B1376" s="69" t="s">
        <v>1832</v>
      </c>
      <c r="C1376" s="69">
        <v>6</v>
      </c>
      <c r="D1376" s="89">
        <v>1</v>
      </c>
      <c r="E1376" s="89">
        <v>1</v>
      </c>
      <c r="F1376" s="89">
        <v>1</v>
      </c>
      <c r="G1376" s="89">
        <v>1</v>
      </c>
      <c r="H1376" s="89">
        <v>1</v>
      </c>
      <c r="I1376" s="89">
        <v>1</v>
      </c>
      <c r="J1376" s="710">
        <f>(VLOOKUP($C1376,[2]Sheet1!$A$2:$P$18,$M1376+1)/12)*12*D1376</f>
        <v>238099.37893036497</v>
      </c>
      <c r="K1376" s="711"/>
      <c r="M1376" s="62">
        <f t="shared" si="107"/>
        <v>5</v>
      </c>
    </row>
    <row r="1377" spans="1:13">
      <c r="A1377" s="88"/>
      <c r="B1377" s="69"/>
      <c r="C1377" s="69"/>
      <c r="D1377" s="89"/>
      <c r="E1377" s="89"/>
      <c r="F1377" s="89"/>
      <c r="G1377" s="89"/>
      <c r="H1377" s="89"/>
      <c r="I1377" s="89"/>
      <c r="J1377" s="713"/>
      <c r="K1377" s="711"/>
      <c r="M1377" s="62">
        <f t="shared" si="107"/>
        <v>5</v>
      </c>
    </row>
    <row r="1378" spans="1:13">
      <c r="A1378" s="92"/>
      <c r="B1378" s="93" t="s">
        <v>1684</v>
      </c>
      <c r="C1378" s="94"/>
      <c r="D1378" s="123">
        <f t="shared" ref="D1378:I1378" si="108">SUM(D1321:D1377)</f>
        <v>238</v>
      </c>
      <c r="E1378" s="123">
        <f t="shared" si="108"/>
        <v>246</v>
      </c>
      <c r="F1378" s="123">
        <f t="shared" si="108"/>
        <v>238</v>
      </c>
      <c r="G1378" s="123">
        <f>SUM(G1321:G1377)</f>
        <v>238</v>
      </c>
      <c r="H1378" s="123">
        <f t="shared" si="108"/>
        <v>240</v>
      </c>
      <c r="I1378" s="123">
        <f t="shared" si="108"/>
        <v>238</v>
      </c>
      <c r="J1378" s="124">
        <f>SUM(J1363:J1377)</f>
        <v>5316241.6731747445</v>
      </c>
      <c r="K1378" s="376"/>
      <c r="M1378" s="62">
        <f t="shared" si="107"/>
        <v>5</v>
      </c>
    </row>
    <row r="1379" spans="1:13">
      <c r="A1379" s="88"/>
      <c r="B1379" s="90" t="s">
        <v>1199</v>
      </c>
      <c r="C1379" s="97"/>
      <c r="D1379" s="98"/>
      <c r="E1379" s="98"/>
      <c r="F1379" s="125"/>
      <c r="G1379" s="240" t="s">
        <v>243</v>
      </c>
      <c r="H1379" s="240" t="s">
        <v>4130</v>
      </c>
      <c r="I1379" s="240" t="s">
        <v>4202</v>
      </c>
      <c r="J1379" s="241" t="s">
        <v>4200</v>
      </c>
      <c r="K1379" s="375"/>
      <c r="M1379" s="62">
        <f t="shared" si="107"/>
        <v>5</v>
      </c>
    </row>
    <row r="1380" spans="1:13">
      <c r="A1380" s="88"/>
      <c r="B1380" s="69" t="s">
        <v>2786</v>
      </c>
      <c r="C1380" s="69"/>
      <c r="D1380" s="89"/>
      <c r="E1380" s="89"/>
      <c r="F1380" s="133"/>
      <c r="G1380" s="100">
        <f>J1378*0.2</f>
        <v>1063248.334634949</v>
      </c>
      <c r="H1380" s="100">
        <f>G1380*1.02</f>
        <v>1084513.3013276479</v>
      </c>
      <c r="I1380" s="100">
        <f>H1380*1.02</f>
        <v>1106203.5673542009</v>
      </c>
      <c r="J1380" s="100">
        <f>SUM(G1380:I1380)</f>
        <v>3253965.203316798</v>
      </c>
      <c r="K1380" s="114"/>
      <c r="M1380" s="62">
        <f t="shared" si="107"/>
        <v>5</v>
      </c>
    </row>
    <row r="1381" spans="1:13">
      <c r="A1381" s="92"/>
      <c r="B1381" s="93" t="s">
        <v>1933</v>
      </c>
      <c r="C1381" s="94"/>
      <c r="D1381" s="101"/>
      <c r="E1381" s="101"/>
      <c r="F1381" s="201"/>
      <c r="G1381" s="201">
        <f>SUM(G1380:G1380)</f>
        <v>1063248.334634949</v>
      </c>
      <c r="H1381" s="201">
        <f>SUM(H1380:H1380)</f>
        <v>1084513.3013276479</v>
      </c>
      <c r="I1381" s="201">
        <f>SUM(I1380:I1380)</f>
        <v>1106203.5673542009</v>
      </c>
      <c r="J1381" s="201">
        <f>SUM(J1380:J1380)</f>
        <v>3253965.203316798</v>
      </c>
      <c r="K1381" s="379"/>
      <c r="M1381" s="62">
        <f t="shared" si="107"/>
        <v>5</v>
      </c>
    </row>
    <row r="1382" spans="1:13">
      <c r="A1382" s="88">
        <v>1</v>
      </c>
      <c r="B1382" s="69" t="s">
        <v>1934</v>
      </c>
      <c r="C1382" s="69"/>
      <c r="D1382" s="89"/>
      <c r="E1382" s="89"/>
      <c r="F1382" s="89"/>
      <c r="G1382" s="100">
        <f>G1381+J1378</f>
        <v>6379490.007809693</v>
      </c>
      <c r="H1382" s="100">
        <f>G1382*1.02</f>
        <v>6507079.8079658868</v>
      </c>
      <c r="I1382" s="100">
        <f>H1382*1.02</f>
        <v>6637221.4041252043</v>
      </c>
      <c r="J1382" s="100">
        <f>SUM(G1382:I1382)</f>
        <v>19523791.219900787</v>
      </c>
      <c r="K1382" s="114"/>
      <c r="L1382" s="112"/>
      <c r="M1382" s="62">
        <f t="shared" si="107"/>
        <v>5</v>
      </c>
    </row>
    <row r="1383" spans="1:13">
      <c r="A1383" s="88">
        <f>+A1382+1</f>
        <v>2</v>
      </c>
      <c r="B1383" s="69" t="s">
        <v>129</v>
      </c>
      <c r="C1383" s="69"/>
      <c r="D1383" s="89"/>
      <c r="E1383" s="89"/>
      <c r="F1383" s="89"/>
      <c r="G1383" s="89">
        <f>C1410</f>
        <v>530800000</v>
      </c>
      <c r="H1383" s="89">
        <f>D1410</f>
        <v>847800000</v>
      </c>
      <c r="I1383" s="89">
        <f>E1410</f>
        <v>847800000</v>
      </c>
      <c r="J1383" s="100">
        <f>SUM(G1383:I1383)</f>
        <v>2226400000</v>
      </c>
      <c r="K1383" s="114"/>
      <c r="M1383" s="62">
        <f t="shared" si="107"/>
        <v>5</v>
      </c>
    </row>
    <row r="1384" spans="1:13" ht="13.5" thickBot="1">
      <c r="A1384" s="102"/>
      <c r="B1384" s="103" t="s">
        <v>2241</v>
      </c>
      <c r="C1384" s="104"/>
      <c r="D1384" s="105"/>
      <c r="E1384" s="105"/>
      <c r="F1384" s="129"/>
      <c r="G1384" s="129">
        <f>+G1383+G1382</f>
        <v>537179490.00780964</v>
      </c>
      <c r="H1384" s="129">
        <f>+H1383+H1382</f>
        <v>854307079.80796587</v>
      </c>
      <c r="I1384" s="129">
        <f>+I1383+I1382</f>
        <v>854437221.40412521</v>
      </c>
      <c r="J1384" s="129">
        <f>+J1383+J1382</f>
        <v>2245923791.2199006</v>
      </c>
      <c r="K1384" s="378"/>
      <c r="M1384" s="62">
        <f t="shared" si="107"/>
        <v>5</v>
      </c>
    </row>
    <row r="1385" spans="1:13" ht="15.75" thickTop="1">
      <c r="C1385" s="77"/>
      <c r="D1385" s="78" t="s">
        <v>5434</v>
      </c>
      <c r="J1385" s="584"/>
      <c r="K1385" s="584"/>
      <c r="M1385" s="62">
        <f t="shared" si="107"/>
        <v>5</v>
      </c>
    </row>
    <row r="1386" spans="1:13" ht="15">
      <c r="C1386" s="77"/>
      <c r="D1386" s="78" t="s">
        <v>716</v>
      </c>
      <c r="J1386" s="584"/>
      <c r="K1386" s="584"/>
      <c r="M1386" s="62">
        <f t="shared" si="107"/>
        <v>5</v>
      </c>
    </row>
    <row r="1387" spans="1:13" ht="15">
      <c r="C1387" s="79" t="s">
        <v>717</v>
      </c>
      <c r="D1387" s="78" t="s">
        <v>244</v>
      </c>
      <c r="J1387" s="584"/>
      <c r="K1387" s="584"/>
      <c r="M1387" s="62">
        <f t="shared" si="107"/>
        <v>3</v>
      </c>
    </row>
    <row r="1388" spans="1:13" ht="15">
      <c r="C1388" s="79" t="s">
        <v>718</v>
      </c>
      <c r="D1388" s="78" t="s">
        <v>1910</v>
      </c>
      <c r="J1388" s="584"/>
      <c r="K1388" s="584"/>
      <c r="M1388" s="62">
        <f t="shared" si="107"/>
        <v>3</v>
      </c>
    </row>
    <row r="1389" spans="1:13" ht="15">
      <c r="A1389" s="634" t="s">
        <v>1839</v>
      </c>
      <c r="B1389" s="635" t="s">
        <v>903</v>
      </c>
      <c r="C1389" s="1037" t="s">
        <v>4127</v>
      </c>
      <c r="D1389" s="1038"/>
      <c r="E1389" s="1039"/>
      <c r="F1389" s="635" t="s">
        <v>1684</v>
      </c>
      <c r="G1389" s="1037" t="s">
        <v>4132</v>
      </c>
      <c r="H1389" s="1038"/>
      <c r="I1389" s="1039"/>
      <c r="J1389" s="726"/>
      <c r="K1389" s="727"/>
    </row>
    <row r="1390" spans="1:13">
      <c r="A1390" s="636" t="s">
        <v>1620</v>
      </c>
      <c r="B1390" s="637"/>
      <c r="C1390" s="635" t="s">
        <v>1841</v>
      </c>
      <c r="D1390" s="635" t="s">
        <v>4133</v>
      </c>
      <c r="E1390" s="635" t="s">
        <v>4133</v>
      </c>
      <c r="F1390" s="1056" t="s">
        <v>4200</v>
      </c>
      <c r="G1390" s="634" t="s">
        <v>4135</v>
      </c>
      <c r="H1390" s="1051" t="s">
        <v>4182</v>
      </c>
      <c r="I1390" s="634" t="s">
        <v>4135</v>
      </c>
      <c r="J1390" s="728" t="s">
        <v>4136</v>
      </c>
      <c r="K1390" s="727"/>
    </row>
    <row r="1391" spans="1:13" ht="12.75" customHeight="1">
      <c r="A1391" s="638" t="s">
        <v>387</v>
      </c>
      <c r="B1391" s="639"/>
      <c r="C1391" s="638">
        <v>2015</v>
      </c>
      <c r="D1391" s="638">
        <v>2016</v>
      </c>
      <c r="E1391" s="638">
        <v>2017</v>
      </c>
      <c r="F1391" s="1057"/>
      <c r="G1391" s="638" t="s">
        <v>4304</v>
      </c>
      <c r="H1391" s="1052"/>
      <c r="I1391" s="638" t="s">
        <v>4303</v>
      </c>
      <c r="J1391" s="639"/>
      <c r="K1391" s="729"/>
    </row>
    <row r="1392" spans="1:13">
      <c r="A1392" s="768"/>
      <c r="B1392" s="768"/>
      <c r="C1392" s="751"/>
      <c r="D1392" s="751"/>
      <c r="E1392" s="751"/>
      <c r="F1392" s="751"/>
      <c r="G1392" s="751"/>
      <c r="H1392" s="751"/>
      <c r="I1392" s="751"/>
      <c r="J1392" s="751"/>
      <c r="K1392" s="754"/>
      <c r="M1392" s="62" t="e">
        <f>IF(#REF!&gt;6,3,5)</f>
        <v>#REF!</v>
      </c>
    </row>
    <row r="1393" spans="1:13">
      <c r="A1393" s="768">
        <v>2</v>
      </c>
      <c r="B1393" s="769" t="s">
        <v>1695</v>
      </c>
      <c r="C1393" s="390">
        <v>120000000</v>
      </c>
      <c r="D1393" s="390">
        <v>150000000</v>
      </c>
      <c r="E1393" s="390">
        <v>150000000</v>
      </c>
      <c r="F1393" s="390">
        <f>SUM(C1393:E1393)</f>
        <v>420000000</v>
      </c>
      <c r="G1393" s="390">
        <v>20240000</v>
      </c>
      <c r="H1393" s="390">
        <v>150000000</v>
      </c>
      <c r="I1393" s="76">
        <f>15000000+15000000+15000000</f>
        <v>45000000</v>
      </c>
      <c r="J1393" s="390">
        <v>136514000</v>
      </c>
      <c r="K1393" s="734"/>
      <c r="M1393" s="62" t="e">
        <f>IF(#REF!&gt;6,3,5)</f>
        <v>#REF!</v>
      </c>
    </row>
    <row r="1394" spans="1:13">
      <c r="A1394" s="768">
        <f t="shared" ref="A1394:A1409" si="109">+A1393+1</f>
        <v>3</v>
      </c>
      <c r="B1394" s="768" t="s">
        <v>1696</v>
      </c>
      <c r="C1394" s="751" t="s">
        <v>1386</v>
      </c>
      <c r="D1394" s="751" t="s">
        <v>1386</v>
      </c>
      <c r="E1394" s="751" t="s">
        <v>1386</v>
      </c>
      <c r="F1394" s="390">
        <f t="shared" ref="F1394:F1409" si="110">SUM(C1394:E1394)</f>
        <v>0</v>
      </c>
      <c r="G1394" s="751"/>
      <c r="H1394" s="751" t="s">
        <v>1386</v>
      </c>
      <c r="I1394" s="751"/>
      <c r="J1394" s="390"/>
      <c r="K1394" s="734"/>
      <c r="M1394" s="62" t="e">
        <f>IF(#REF!&gt;6,3,5)</f>
        <v>#REF!</v>
      </c>
    </row>
    <row r="1395" spans="1:13">
      <c r="A1395" s="768">
        <f t="shared" si="109"/>
        <v>4</v>
      </c>
      <c r="B1395" s="768" t="s">
        <v>1701</v>
      </c>
      <c r="C1395" s="751" t="s">
        <v>1386</v>
      </c>
      <c r="D1395" s="751" t="s">
        <v>1386</v>
      </c>
      <c r="E1395" s="751" t="s">
        <v>1386</v>
      </c>
      <c r="F1395" s="390">
        <f t="shared" si="110"/>
        <v>0</v>
      </c>
      <c r="G1395" s="751"/>
      <c r="H1395" s="751" t="s">
        <v>1386</v>
      </c>
      <c r="I1395" s="751"/>
      <c r="J1395" s="390"/>
      <c r="K1395" s="734"/>
      <c r="M1395" s="62" t="e">
        <f>IF(#REF!&gt;6,3,5)</f>
        <v>#REF!</v>
      </c>
    </row>
    <row r="1396" spans="1:13">
      <c r="A1396" s="768">
        <f t="shared" si="109"/>
        <v>5</v>
      </c>
      <c r="B1396" s="768" t="s">
        <v>1702</v>
      </c>
      <c r="C1396" s="390">
        <v>600000</v>
      </c>
      <c r="D1396" s="390">
        <v>600000</v>
      </c>
      <c r="E1396" s="390">
        <v>600000</v>
      </c>
      <c r="F1396" s="390">
        <f t="shared" si="110"/>
        <v>1800000</v>
      </c>
      <c r="G1396" s="390">
        <v>200000</v>
      </c>
      <c r="H1396" s="390">
        <v>600000</v>
      </c>
      <c r="I1396" s="390">
        <v>0</v>
      </c>
      <c r="J1396" s="390"/>
      <c r="K1396" s="734"/>
      <c r="M1396" s="62" t="e">
        <f>IF(#REF!&gt;6,3,5)</f>
        <v>#REF!</v>
      </c>
    </row>
    <row r="1397" spans="1:13">
      <c r="A1397" s="768">
        <f t="shared" si="109"/>
        <v>6</v>
      </c>
      <c r="B1397" s="768" t="s">
        <v>1544</v>
      </c>
      <c r="C1397" s="390">
        <v>2500000</v>
      </c>
      <c r="D1397" s="390">
        <v>2500000</v>
      </c>
      <c r="E1397" s="390">
        <v>2500000</v>
      </c>
      <c r="F1397" s="390">
        <f t="shared" si="110"/>
        <v>7500000</v>
      </c>
      <c r="G1397" s="390">
        <v>1200000</v>
      </c>
      <c r="H1397" s="390">
        <v>2500000</v>
      </c>
      <c r="I1397" s="390">
        <v>479600</v>
      </c>
      <c r="J1397" s="390">
        <v>479600</v>
      </c>
      <c r="K1397" s="734"/>
      <c r="M1397" s="62" t="e">
        <f>IF(#REF!&gt;6,3,5)</f>
        <v>#REF!</v>
      </c>
    </row>
    <row r="1398" spans="1:13">
      <c r="A1398" s="768">
        <f t="shared" si="109"/>
        <v>7</v>
      </c>
      <c r="B1398" s="768" t="s">
        <v>897</v>
      </c>
      <c r="C1398" s="390">
        <v>8000000</v>
      </c>
      <c r="D1398" s="390">
        <v>30000000</v>
      </c>
      <c r="E1398" s="390">
        <v>30000000</v>
      </c>
      <c r="F1398" s="390">
        <f t="shared" si="110"/>
        <v>68000000</v>
      </c>
      <c r="G1398" s="390">
        <v>6000000</v>
      </c>
      <c r="H1398" s="390">
        <v>10000000</v>
      </c>
      <c r="I1398" s="390">
        <v>2354000</v>
      </c>
      <c r="J1398" s="390">
        <v>2354000</v>
      </c>
      <c r="K1398" s="734"/>
      <c r="M1398" s="62" t="e">
        <f>IF(#REF!&gt;6,3,5)</f>
        <v>#REF!</v>
      </c>
    </row>
    <row r="1399" spans="1:13">
      <c r="A1399" s="768">
        <f t="shared" si="109"/>
        <v>8</v>
      </c>
      <c r="B1399" s="768" t="s">
        <v>1385</v>
      </c>
      <c r="C1399" s="390" t="s">
        <v>3007</v>
      </c>
      <c r="D1399" s="390" t="s">
        <v>3007</v>
      </c>
      <c r="E1399" s="390" t="s">
        <v>3007</v>
      </c>
      <c r="F1399" s="390">
        <f t="shared" si="110"/>
        <v>0</v>
      </c>
      <c r="G1399" s="390"/>
      <c r="H1399" s="390" t="s">
        <v>3007</v>
      </c>
      <c r="I1399" s="390">
        <v>0</v>
      </c>
      <c r="J1399" s="390">
        <v>0</v>
      </c>
      <c r="K1399" s="734"/>
      <c r="M1399" s="62" t="e">
        <f>IF(#REF!&gt;6,3,5)</f>
        <v>#REF!</v>
      </c>
    </row>
    <row r="1400" spans="1:13">
      <c r="A1400" s="768">
        <f t="shared" si="109"/>
        <v>9</v>
      </c>
      <c r="B1400" s="768" t="s">
        <v>2061</v>
      </c>
      <c r="C1400" s="390" t="s">
        <v>3007</v>
      </c>
      <c r="D1400" s="390" t="s">
        <v>3007</v>
      </c>
      <c r="E1400" s="390" t="s">
        <v>3007</v>
      </c>
      <c r="F1400" s="390">
        <f t="shared" si="110"/>
        <v>0</v>
      </c>
      <c r="G1400" s="390"/>
      <c r="H1400" s="390" t="s">
        <v>3007</v>
      </c>
      <c r="I1400" s="390">
        <v>0</v>
      </c>
      <c r="J1400" s="390">
        <v>0</v>
      </c>
      <c r="K1400" s="734"/>
      <c r="M1400" s="62" t="e">
        <f>IF(#REF!&gt;6,3,5)</f>
        <v>#REF!</v>
      </c>
    </row>
    <row r="1401" spans="1:13">
      <c r="A1401" s="768">
        <f t="shared" si="109"/>
        <v>10</v>
      </c>
      <c r="B1401" s="768" t="s">
        <v>1680</v>
      </c>
      <c r="C1401" s="390">
        <v>200000</v>
      </c>
      <c r="D1401" s="390">
        <v>200000</v>
      </c>
      <c r="E1401" s="390">
        <v>200000</v>
      </c>
      <c r="F1401" s="390">
        <f t="shared" si="110"/>
        <v>600000</v>
      </c>
      <c r="G1401" s="390">
        <v>100000</v>
      </c>
      <c r="H1401" s="390">
        <v>200000</v>
      </c>
      <c r="I1401" s="390">
        <v>0</v>
      </c>
      <c r="J1401" s="390">
        <v>0</v>
      </c>
      <c r="K1401" s="734"/>
      <c r="M1401" s="62" t="e">
        <f>IF(#REF!&gt;6,3,5)</f>
        <v>#REF!</v>
      </c>
    </row>
    <row r="1402" spans="1:13">
      <c r="A1402" s="768">
        <f t="shared" si="109"/>
        <v>11</v>
      </c>
      <c r="B1402" s="768" t="s">
        <v>1681</v>
      </c>
      <c r="C1402" s="390">
        <v>100000</v>
      </c>
      <c r="D1402" s="390">
        <v>100000</v>
      </c>
      <c r="E1402" s="390">
        <v>100000</v>
      </c>
      <c r="F1402" s="390">
        <f t="shared" si="110"/>
        <v>300000</v>
      </c>
      <c r="G1402" s="390"/>
      <c r="H1402" s="390">
        <v>100000</v>
      </c>
      <c r="I1402" s="390">
        <v>0</v>
      </c>
      <c r="J1402" s="390">
        <v>0</v>
      </c>
      <c r="K1402" s="734"/>
      <c r="M1402" s="62" t="e">
        <f>IF(#REF!&gt;6,3,5)</f>
        <v>#REF!</v>
      </c>
    </row>
    <row r="1403" spans="1:13">
      <c r="A1403" s="768">
        <f t="shared" si="109"/>
        <v>12</v>
      </c>
      <c r="B1403" s="768" t="s">
        <v>895</v>
      </c>
      <c r="C1403" s="390">
        <v>150000000</v>
      </c>
      <c r="D1403" s="390">
        <v>120000000</v>
      </c>
      <c r="E1403" s="390">
        <v>120000000</v>
      </c>
      <c r="F1403" s="390">
        <f t="shared" si="110"/>
        <v>390000000</v>
      </c>
      <c r="G1403" s="390">
        <f>145000000+10000000</f>
        <v>155000000</v>
      </c>
      <c r="H1403" s="390">
        <v>180000000</v>
      </c>
      <c r="I1403" s="390">
        <f>2947013+5000000+70000000</f>
        <v>77947013</v>
      </c>
      <c r="J1403" s="390">
        <v>2947013</v>
      </c>
      <c r="K1403" s="734"/>
      <c r="M1403" s="62" t="e">
        <f>IF(#REF!&gt;6,3,5)</f>
        <v>#REF!</v>
      </c>
    </row>
    <row r="1404" spans="1:13">
      <c r="A1404" s="768">
        <f t="shared" si="109"/>
        <v>13</v>
      </c>
      <c r="B1404" s="768" t="s">
        <v>2249</v>
      </c>
      <c r="C1404" s="390">
        <v>100000</v>
      </c>
      <c r="D1404" s="390">
        <v>100000</v>
      </c>
      <c r="E1404" s="390">
        <v>100000</v>
      </c>
      <c r="F1404" s="390">
        <f t="shared" si="110"/>
        <v>300000</v>
      </c>
      <c r="G1404" s="390"/>
      <c r="H1404" s="390">
        <v>100000</v>
      </c>
      <c r="I1404" s="390">
        <v>0</v>
      </c>
      <c r="J1404" s="390"/>
      <c r="K1404" s="734"/>
      <c r="M1404" s="62" t="e">
        <f>IF(#REF!&gt;6,3,5)</f>
        <v>#REF!</v>
      </c>
    </row>
    <row r="1405" spans="1:13">
      <c r="A1405" s="768">
        <f t="shared" si="109"/>
        <v>14</v>
      </c>
      <c r="B1405" s="769" t="s">
        <v>1336</v>
      </c>
      <c r="C1405" s="390">
        <v>300000</v>
      </c>
      <c r="D1405" s="390">
        <v>300000</v>
      </c>
      <c r="E1405" s="390">
        <v>300000</v>
      </c>
      <c r="F1405" s="390">
        <f t="shared" si="110"/>
        <v>900000</v>
      </c>
      <c r="G1405" s="390">
        <v>50000</v>
      </c>
      <c r="H1405" s="390">
        <v>300000</v>
      </c>
      <c r="I1405" s="390">
        <v>0</v>
      </c>
      <c r="J1405" s="390"/>
      <c r="K1405" s="734"/>
      <c r="M1405" s="62" t="e">
        <f>IF(#REF!&gt;6,3,5)</f>
        <v>#REF!</v>
      </c>
    </row>
    <row r="1406" spans="1:13">
      <c r="A1406" s="768">
        <f t="shared" si="109"/>
        <v>15</v>
      </c>
      <c r="B1406" s="769" t="s">
        <v>1530</v>
      </c>
      <c r="C1406" s="390">
        <v>55000000</v>
      </c>
      <c r="D1406" s="390">
        <v>120000000</v>
      </c>
      <c r="E1406" s="390">
        <v>120000000</v>
      </c>
      <c r="F1406" s="390">
        <f t="shared" si="110"/>
        <v>295000000</v>
      </c>
      <c r="G1406" s="390">
        <v>59000000</v>
      </c>
      <c r="H1406" s="390">
        <v>80000000</v>
      </c>
      <c r="I1406" s="390">
        <f>35000000+28000000</f>
        <v>63000000</v>
      </c>
      <c r="J1406" s="390">
        <v>109000</v>
      </c>
      <c r="K1406" s="734"/>
      <c r="M1406" s="62" t="e">
        <f>IF(#REF!&gt;6,3,5)</f>
        <v>#REF!</v>
      </c>
    </row>
    <row r="1407" spans="1:13">
      <c r="A1407" s="768">
        <f t="shared" si="109"/>
        <v>16</v>
      </c>
      <c r="B1407" s="769" t="s">
        <v>1906</v>
      </c>
      <c r="C1407" s="390">
        <v>7000000</v>
      </c>
      <c r="D1407" s="390">
        <v>12000000</v>
      </c>
      <c r="E1407" s="390">
        <v>12000000</v>
      </c>
      <c r="F1407" s="390">
        <f t="shared" si="110"/>
        <v>31000000</v>
      </c>
      <c r="G1407" s="390">
        <v>4000000</v>
      </c>
      <c r="H1407" s="390">
        <v>7000000</v>
      </c>
      <c r="I1407" s="390">
        <v>0</v>
      </c>
      <c r="J1407" s="390"/>
      <c r="K1407" s="734"/>
      <c r="M1407" s="62" t="e">
        <f>IF(#REF!&gt;6,3,5)</f>
        <v>#REF!</v>
      </c>
    </row>
    <row r="1408" spans="1:13">
      <c r="A1408" s="768">
        <f t="shared" si="109"/>
        <v>17</v>
      </c>
      <c r="B1408" s="769" t="s">
        <v>1908</v>
      </c>
      <c r="C1408" s="390">
        <v>7000000</v>
      </c>
      <c r="D1408" s="390">
        <v>12000000</v>
      </c>
      <c r="E1408" s="390">
        <v>12000000</v>
      </c>
      <c r="F1408" s="390">
        <f t="shared" si="110"/>
        <v>31000000</v>
      </c>
      <c r="G1408" s="390">
        <v>5000000</v>
      </c>
      <c r="H1408" s="390">
        <v>7000000</v>
      </c>
      <c r="I1408" s="390">
        <v>185000</v>
      </c>
      <c r="J1408" s="390"/>
      <c r="K1408" s="734"/>
      <c r="M1408" s="62" t="e">
        <f>IF(#REF!&gt;6,3,5)</f>
        <v>#REF!</v>
      </c>
    </row>
    <row r="1409" spans="1:13">
      <c r="A1409" s="768">
        <f t="shared" si="109"/>
        <v>18</v>
      </c>
      <c r="B1409" s="769" t="s">
        <v>1909</v>
      </c>
      <c r="C1409" s="390">
        <v>180000000</v>
      </c>
      <c r="D1409" s="390">
        <v>400000000</v>
      </c>
      <c r="E1409" s="390">
        <v>400000000</v>
      </c>
      <c r="F1409" s="390">
        <f t="shared" si="110"/>
        <v>980000000</v>
      </c>
      <c r="G1409" s="390">
        <f>180000000+20000000</f>
        <v>200000000</v>
      </c>
      <c r="H1409" s="390">
        <v>250000000</v>
      </c>
      <c r="I1409" s="76">
        <f>15000000+20000000+15000000+20000000+20000000+40000000+20000000+17500000+15000000+36000000+20000000+20000000+15000000+20000000+20000000</f>
        <v>313500000</v>
      </c>
      <c r="J1409" s="390">
        <v>236650000</v>
      </c>
      <c r="K1409" s="734"/>
      <c r="M1409" s="62" t="e">
        <f>IF(#REF!&gt;6,3,5)</f>
        <v>#REF!</v>
      </c>
    </row>
    <row r="1410" spans="1:13">
      <c r="A1410" s="770"/>
      <c r="B1410" s="770" t="s">
        <v>1684</v>
      </c>
      <c r="C1410" s="771">
        <f t="shared" ref="C1410:I1410" si="111">SUM(C1393:C1409)</f>
        <v>530800000</v>
      </c>
      <c r="D1410" s="771">
        <f t="shared" si="111"/>
        <v>847800000</v>
      </c>
      <c r="E1410" s="771">
        <f t="shared" si="111"/>
        <v>847800000</v>
      </c>
      <c r="F1410" s="771">
        <f t="shared" si="111"/>
        <v>2226400000</v>
      </c>
      <c r="G1410" s="771">
        <f>SUM(G1393:G1409)</f>
        <v>450790000</v>
      </c>
      <c r="H1410" s="771">
        <f t="shared" si="111"/>
        <v>687800000</v>
      </c>
      <c r="I1410" s="771">
        <f t="shared" si="111"/>
        <v>502465613</v>
      </c>
      <c r="J1410" s="771"/>
      <c r="K1410" s="772"/>
      <c r="M1410" s="62" t="e">
        <f>IF(#REF!&gt;6,3,5)</f>
        <v>#REF!</v>
      </c>
    </row>
    <row r="1411" spans="1:13" ht="15">
      <c r="A1411" s="113"/>
      <c r="B1411" s="113"/>
      <c r="C1411" s="113"/>
      <c r="D1411" s="114"/>
      <c r="E1411" s="114"/>
      <c r="F1411" s="114"/>
      <c r="G1411" s="114"/>
      <c r="H1411" s="114"/>
      <c r="I1411" s="114"/>
      <c r="J1411" s="584"/>
      <c r="K1411" s="584"/>
      <c r="M1411" s="62">
        <f t="shared" si="107"/>
        <v>5</v>
      </c>
    </row>
    <row r="1412" spans="1:13" ht="15">
      <c r="C1412" s="77"/>
      <c r="D1412" s="78" t="s">
        <v>5434</v>
      </c>
      <c r="J1412" s="584"/>
      <c r="K1412" s="584"/>
      <c r="M1412" s="62">
        <f t="shared" si="107"/>
        <v>5</v>
      </c>
    </row>
    <row r="1413" spans="1:13" ht="15">
      <c r="C1413" s="77"/>
      <c r="D1413" s="78" t="s">
        <v>1693</v>
      </c>
      <c r="J1413" s="584"/>
      <c r="K1413" s="584"/>
      <c r="M1413" s="62">
        <f t="shared" si="107"/>
        <v>5</v>
      </c>
    </row>
    <row r="1414" spans="1:13" ht="15">
      <c r="C1414" s="79" t="s">
        <v>717</v>
      </c>
      <c r="D1414" s="78" t="s">
        <v>3823</v>
      </c>
      <c r="J1414" s="584"/>
      <c r="K1414" s="584"/>
      <c r="M1414" s="62">
        <f t="shared" si="107"/>
        <v>3</v>
      </c>
    </row>
    <row r="1415" spans="1:13" ht="15.75" thickBot="1">
      <c r="C1415" s="79" t="s">
        <v>718</v>
      </c>
      <c r="D1415" s="78" t="s">
        <v>2469</v>
      </c>
      <c r="J1415" s="584"/>
      <c r="K1415" s="584"/>
      <c r="M1415" s="62">
        <f t="shared" si="107"/>
        <v>3</v>
      </c>
    </row>
    <row r="1416" spans="1:13" ht="15.75" thickTop="1">
      <c r="A1416" s="1047" t="s">
        <v>2791</v>
      </c>
      <c r="B1416" s="1049" t="s">
        <v>4126</v>
      </c>
      <c r="C1416" s="1049" t="s">
        <v>854</v>
      </c>
      <c r="D1416" s="1040" t="s">
        <v>4127</v>
      </c>
      <c r="E1416" s="1041"/>
      <c r="F1416" s="1041"/>
      <c r="G1416" s="1040" t="s">
        <v>904</v>
      </c>
      <c r="H1416" s="1041"/>
      <c r="I1416" s="1042"/>
      <c r="J1416" s="1035" t="s">
        <v>855</v>
      </c>
      <c r="K1416" s="389"/>
    </row>
    <row r="1417" spans="1:13" ht="26.25" thickBot="1">
      <c r="A1417" s="1048"/>
      <c r="B1417" s="1050"/>
      <c r="C1417" s="1050"/>
      <c r="D1417" s="285" t="s">
        <v>5505</v>
      </c>
      <c r="E1417" s="285" t="s">
        <v>4485</v>
      </c>
      <c r="F1417" s="285" t="s">
        <v>4486</v>
      </c>
      <c r="G1417" s="287" t="s">
        <v>4487</v>
      </c>
      <c r="H1417" s="285" t="s">
        <v>4488</v>
      </c>
      <c r="I1417" s="287" t="s">
        <v>4489</v>
      </c>
      <c r="J1417" s="1036"/>
      <c r="K1417" s="712"/>
    </row>
    <row r="1418" spans="1:13" ht="13.5" thickTop="1">
      <c r="A1418" s="107"/>
      <c r="B1418" s="130"/>
      <c r="C1418" s="130"/>
      <c r="D1418" s="122"/>
      <c r="E1418" s="295"/>
      <c r="F1418" s="69"/>
      <c r="G1418" s="122"/>
      <c r="H1418" s="122"/>
      <c r="I1418" s="122"/>
      <c r="J1418" s="713"/>
      <c r="K1418" s="711"/>
      <c r="M1418" s="62">
        <f t="shared" si="107"/>
        <v>5</v>
      </c>
    </row>
    <row r="1419" spans="1:13">
      <c r="A1419" s="88">
        <v>1</v>
      </c>
      <c r="B1419" s="69" t="s">
        <v>2129</v>
      </c>
      <c r="C1419" s="69" t="s">
        <v>2335</v>
      </c>
      <c r="D1419" s="89">
        <v>1</v>
      </c>
      <c r="E1419" s="111">
        <v>1</v>
      </c>
      <c r="F1419" s="89">
        <v>1</v>
      </c>
      <c r="G1419" s="89">
        <v>1</v>
      </c>
      <c r="H1419" s="89">
        <v>1</v>
      </c>
      <c r="I1419" s="89">
        <v>1</v>
      </c>
      <c r="J1419" s="713">
        <f>H1419*L1419</f>
        <v>3000000</v>
      </c>
      <c r="K1419" s="711"/>
      <c r="L1419" s="62">
        <f>250000*12</f>
        <v>3000000</v>
      </c>
      <c r="M1419" s="62">
        <f t="shared" si="107"/>
        <v>3</v>
      </c>
    </row>
    <row r="1420" spans="1:13">
      <c r="A1420" s="88">
        <f t="shared" ref="A1420:A1459" si="112">+A1419+1</f>
        <v>2</v>
      </c>
      <c r="B1420" s="69" t="s">
        <v>2333</v>
      </c>
      <c r="C1420" s="69" t="s">
        <v>2335</v>
      </c>
      <c r="D1420" s="89">
        <v>1</v>
      </c>
      <c r="E1420" s="111">
        <v>1</v>
      </c>
      <c r="F1420" s="89">
        <v>1</v>
      </c>
      <c r="G1420" s="89">
        <v>1</v>
      </c>
      <c r="H1420" s="89">
        <v>1</v>
      </c>
      <c r="I1420" s="89">
        <v>1</v>
      </c>
      <c r="J1420" s="713">
        <f>H1420*L1420</f>
        <v>1478712</v>
      </c>
      <c r="K1420" s="711"/>
      <c r="L1420" s="62">
        <v>1478712</v>
      </c>
      <c r="M1420" s="62">
        <f t="shared" si="107"/>
        <v>3</v>
      </c>
    </row>
    <row r="1421" spans="1:13">
      <c r="A1421" s="88">
        <f t="shared" si="112"/>
        <v>3</v>
      </c>
      <c r="B1421" s="69" t="s">
        <v>1043</v>
      </c>
      <c r="C1421" s="69" t="s">
        <v>2335</v>
      </c>
      <c r="D1421" s="89">
        <v>5</v>
      </c>
      <c r="E1421" s="111">
        <v>5</v>
      </c>
      <c r="F1421" s="89">
        <v>5</v>
      </c>
      <c r="G1421" s="89">
        <v>5</v>
      </c>
      <c r="H1421" s="89">
        <v>5</v>
      </c>
      <c r="I1421" s="89">
        <v>5</v>
      </c>
      <c r="J1421" s="713">
        <f>L1421*H1421</f>
        <v>2200000</v>
      </c>
      <c r="K1421" s="713"/>
      <c r="L1421" s="713">
        <v>440000</v>
      </c>
      <c r="M1421" s="62">
        <f t="shared" si="107"/>
        <v>3</v>
      </c>
    </row>
    <row r="1422" spans="1:13">
      <c r="A1422" s="88">
        <f t="shared" si="112"/>
        <v>4</v>
      </c>
      <c r="B1422" s="69" t="s">
        <v>1044</v>
      </c>
      <c r="C1422" s="69">
        <v>3</v>
      </c>
      <c r="D1422" s="89">
        <v>2</v>
      </c>
      <c r="E1422" s="111">
        <v>2</v>
      </c>
      <c r="F1422" s="89">
        <v>1</v>
      </c>
      <c r="G1422" s="89">
        <v>1</v>
      </c>
      <c r="H1422" s="89">
        <v>2</v>
      </c>
      <c r="I1422" s="89">
        <v>2</v>
      </c>
      <c r="J1422" s="710">
        <f>(VLOOKUP($C1422,[2]Sheet1!$A$2:$P$18,$M1422+1)/12)*12*D1422</f>
        <v>438672.35786072997</v>
      </c>
      <c r="K1422" s="711"/>
      <c r="M1422" s="62">
        <f t="shared" si="107"/>
        <v>5</v>
      </c>
    </row>
    <row r="1423" spans="1:13">
      <c r="A1423" s="88">
        <f t="shared" si="112"/>
        <v>5</v>
      </c>
      <c r="B1423" s="69" t="s">
        <v>3726</v>
      </c>
      <c r="C1423" s="69">
        <v>7</v>
      </c>
      <c r="D1423" s="89">
        <v>2</v>
      </c>
      <c r="E1423" s="111">
        <v>2</v>
      </c>
      <c r="F1423" s="89">
        <v>2</v>
      </c>
      <c r="G1423" s="89">
        <v>2</v>
      </c>
      <c r="H1423" s="89">
        <v>2</v>
      </c>
      <c r="I1423" s="89">
        <v>2</v>
      </c>
      <c r="J1423" s="710">
        <f>(VLOOKUP($C1423,[2]Sheet1!$A$2:$P$18,$M1423+1)/12)*12*D1423</f>
        <v>615413.40480000013</v>
      </c>
      <c r="K1423" s="711"/>
      <c r="M1423" s="62">
        <f t="shared" si="107"/>
        <v>3</v>
      </c>
    </row>
    <row r="1424" spans="1:13">
      <c r="A1424" s="88">
        <f t="shared" si="112"/>
        <v>6</v>
      </c>
      <c r="B1424" s="69" t="s">
        <v>2896</v>
      </c>
      <c r="C1424" s="69">
        <v>4</v>
      </c>
      <c r="D1424" s="89">
        <v>6</v>
      </c>
      <c r="E1424" s="111">
        <v>3</v>
      </c>
      <c r="F1424" s="89">
        <v>1</v>
      </c>
      <c r="G1424" s="89">
        <v>1</v>
      </c>
      <c r="H1424" s="89">
        <v>1</v>
      </c>
      <c r="I1424" s="89">
        <v>6</v>
      </c>
      <c r="J1424" s="710">
        <f>(VLOOKUP($C1424,[2]Sheet1!$A$2:$P$18,$M1424+1)/12)*12*D1424</f>
        <v>1347257.8735821899</v>
      </c>
      <c r="K1424" s="711"/>
      <c r="M1424" s="62">
        <f t="shared" si="107"/>
        <v>5</v>
      </c>
    </row>
    <row r="1425" spans="1:13">
      <c r="A1425" s="88">
        <f t="shared" si="112"/>
        <v>7</v>
      </c>
      <c r="B1425" s="69" t="s">
        <v>2556</v>
      </c>
      <c r="C1425" s="69">
        <v>6</v>
      </c>
      <c r="D1425" s="89">
        <v>2</v>
      </c>
      <c r="E1425" s="111">
        <v>2</v>
      </c>
      <c r="F1425" s="89">
        <v>2</v>
      </c>
      <c r="G1425" s="89">
        <v>2</v>
      </c>
      <c r="H1425" s="89">
        <v>2</v>
      </c>
      <c r="I1425" s="89">
        <v>2</v>
      </c>
      <c r="J1425" s="710">
        <f>(VLOOKUP($C1425,[2]Sheet1!$A$2:$P$18,$M1425+1)/12)*12*D1425</f>
        <v>476198.75786072994</v>
      </c>
      <c r="K1425" s="711"/>
      <c r="M1425" s="62">
        <f t="shared" si="107"/>
        <v>5</v>
      </c>
    </row>
    <row r="1426" spans="1:13">
      <c r="A1426" s="88">
        <f t="shared" si="112"/>
        <v>8</v>
      </c>
      <c r="B1426" s="69" t="s">
        <v>2543</v>
      </c>
      <c r="C1426" s="69">
        <v>4</v>
      </c>
      <c r="D1426" s="89">
        <v>3</v>
      </c>
      <c r="E1426" s="111">
        <v>2</v>
      </c>
      <c r="F1426" s="89">
        <v>2</v>
      </c>
      <c r="G1426" s="89">
        <v>2</v>
      </c>
      <c r="H1426" s="89">
        <v>2</v>
      </c>
      <c r="I1426" s="89">
        <v>3</v>
      </c>
      <c r="J1426" s="710">
        <f>(VLOOKUP($C1426,[2]Sheet1!$A$2:$P$18,$M1426+1)/12)*12*D1426</f>
        <v>673628.93679109495</v>
      </c>
      <c r="K1426" s="711"/>
      <c r="M1426" s="62">
        <f t="shared" si="107"/>
        <v>5</v>
      </c>
    </row>
    <row r="1427" spans="1:13">
      <c r="A1427" s="88">
        <f t="shared" si="112"/>
        <v>9</v>
      </c>
      <c r="B1427" s="69" t="s">
        <v>2543</v>
      </c>
      <c r="C1427" s="69">
        <v>3</v>
      </c>
      <c r="D1427" s="89">
        <v>3</v>
      </c>
      <c r="E1427" s="111">
        <v>3</v>
      </c>
      <c r="F1427" s="89">
        <v>2</v>
      </c>
      <c r="G1427" s="89">
        <v>2</v>
      </c>
      <c r="H1427" s="89">
        <v>3</v>
      </c>
      <c r="I1427" s="89">
        <v>3</v>
      </c>
      <c r="J1427" s="710">
        <f>(VLOOKUP($C1427,[2]Sheet1!$A$2:$P$18,$M1427+1)/12)*12*D1427</f>
        <v>658008.53679109493</v>
      </c>
      <c r="K1427" s="711"/>
      <c r="M1427" s="62">
        <f t="shared" si="107"/>
        <v>5</v>
      </c>
    </row>
    <row r="1428" spans="1:13">
      <c r="A1428" s="88">
        <f>+A1427+1</f>
        <v>10</v>
      </c>
      <c r="B1428" s="69" t="s">
        <v>2543</v>
      </c>
      <c r="C1428" s="69">
        <v>2</v>
      </c>
      <c r="D1428" s="89">
        <v>2</v>
      </c>
      <c r="E1428" s="111">
        <v>3</v>
      </c>
      <c r="F1428" s="89">
        <v>1</v>
      </c>
      <c r="G1428" s="89">
        <v>1</v>
      </c>
      <c r="H1428" s="89">
        <v>3</v>
      </c>
      <c r="I1428" s="89">
        <v>2</v>
      </c>
      <c r="J1428" s="710">
        <f>(VLOOKUP($C1428,[2]Sheet1!$A$2:$P$18,$M1428+1)/12)*12*D1428</f>
        <v>429314.75786073005</v>
      </c>
      <c r="K1428" s="711"/>
      <c r="M1428" s="62">
        <f t="shared" si="107"/>
        <v>5</v>
      </c>
    </row>
    <row r="1429" spans="1:13">
      <c r="A1429" s="88">
        <f>+A1428+1</f>
        <v>11</v>
      </c>
      <c r="B1429" s="69" t="s">
        <v>2172</v>
      </c>
      <c r="C1429" s="69">
        <v>3</v>
      </c>
      <c r="D1429" s="89">
        <v>1</v>
      </c>
      <c r="E1429" s="111">
        <v>2</v>
      </c>
      <c r="F1429" s="89">
        <v>2</v>
      </c>
      <c r="G1429" s="89">
        <v>2</v>
      </c>
      <c r="H1429" s="89">
        <v>2</v>
      </c>
      <c r="I1429" s="89">
        <v>1</v>
      </c>
      <c r="J1429" s="710">
        <f>(VLOOKUP($C1429,[2]Sheet1!$A$2:$P$18,$M1429+1)/12)*12*D1429</f>
        <v>219336.17893036499</v>
      </c>
      <c r="K1429" s="711"/>
      <c r="M1429" s="62">
        <f t="shared" si="107"/>
        <v>5</v>
      </c>
    </row>
    <row r="1430" spans="1:13">
      <c r="A1430" s="88">
        <f t="shared" si="112"/>
        <v>12</v>
      </c>
      <c r="B1430" s="69" t="s">
        <v>2442</v>
      </c>
      <c r="C1430" s="69">
        <v>6</v>
      </c>
      <c r="D1430" s="89">
        <v>5</v>
      </c>
      <c r="E1430" s="111">
        <v>1</v>
      </c>
      <c r="F1430" s="89">
        <v>1</v>
      </c>
      <c r="G1430" s="89">
        <v>1</v>
      </c>
      <c r="H1430" s="89">
        <v>1</v>
      </c>
      <c r="I1430" s="89">
        <v>5</v>
      </c>
      <c r="J1430" s="710">
        <f>(VLOOKUP($C1430,[2]Sheet1!$A$2:$P$18,$M1430+1)/12)*12*D1430</f>
        <v>1190496.8946518248</v>
      </c>
      <c r="K1430" s="711"/>
      <c r="M1430" s="62">
        <f t="shared" ref="M1430:M1477" si="113">IF(C1430&gt;6,3,5)</f>
        <v>5</v>
      </c>
    </row>
    <row r="1431" spans="1:13">
      <c r="A1431" s="88">
        <f t="shared" si="112"/>
        <v>13</v>
      </c>
      <c r="B1431" s="69" t="s">
        <v>3252</v>
      </c>
      <c r="C1431" s="69">
        <v>3</v>
      </c>
      <c r="D1431" s="89">
        <v>3</v>
      </c>
      <c r="E1431" s="111">
        <v>2</v>
      </c>
      <c r="F1431" s="89">
        <v>2</v>
      </c>
      <c r="G1431" s="89">
        <v>2</v>
      </c>
      <c r="H1431" s="89">
        <v>2</v>
      </c>
      <c r="I1431" s="89">
        <v>3</v>
      </c>
      <c r="J1431" s="710">
        <f>(VLOOKUP($C1431,[2]Sheet1!$A$2:$P$18,$M1431+1)/12)*12*D1431</f>
        <v>658008.53679109493</v>
      </c>
      <c r="K1431" s="711"/>
      <c r="M1431" s="62">
        <f t="shared" si="113"/>
        <v>5</v>
      </c>
    </row>
    <row r="1432" spans="1:13">
      <c r="A1432" s="88">
        <f t="shared" si="112"/>
        <v>14</v>
      </c>
      <c r="B1432" s="69" t="s">
        <v>3896</v>
      </c>
      <c r="C1432" s="69">
        <v>4</v>
      </c>
      <c r="D1432" s="89">
        <v>3</v>
      </c>
      <c r="E1432" s="111">
        <v>2</v>
      </c>
      <c r="F1432" s="89">
        <v>1</v>
      </c>
      <c r="G1432" s="89">
        <v>1</v>
      </c>
      <c r="H1432" s="89">
        <v>1</v>
      </c>
      <c r="I1432" s="89">
        <v>3</v>
      </c>
      <c r="J1432" s="710">
        <f>(VLOOKUP($C1432,[2]Sheet1!$A$2:$P$18,$M1432+1)/12)*12*D1432</f>
        <v>673628.93679109495</v>
      </c>
      <c r="K1432" s="711"/>
      <c r="M1432" s="62">
        <f t="shared" si="113"/>
        <v>5</v>
      </c>
    </row>
    <row r="1433" spans="1:13">
      <c r="A1433" s="88">
        <f t="shared" si="112"/>
        <v>15</v>
      </c>
      <c r="B1433" s="69" t="s">
        <v>3674</v>
      </c>
      <c r="C1433" s="69">
        <v>2</v>
      </c>
      <c r="D1433" s="89">
        <v>1</v>
      </c>
      <c r="E1433" s="111">
        <v>3</v>
      </c>
      <c r="F1433" s="89">
        <v>1</v>
      </c>
      <c r="G1433" s="89">
        <v>1</v>
      </c>
      <c r="H1433" s="89">
        <v>1</v>
      </c>
      <c r="I1433" s="89">
        <v>1</v>
      </c>
      <c r="J1433" s="710">
        <f>(VLOOKUP($C1433,[2]Sheet1!$A$2:$P$18,$M1433+1)/12)*12*D1433</f>
        <v>214657.37893036503</v>
      </c>
      <c r="K1433" s="711"/>
      <c r="M1433" s="62">
        <f t="shared" si="113"/>
        <v>5</v>
      </c>
    </row>
    <row r="1434" spans="1:13">
      <c r="A1434" s="88"/>
      <c r="B1434" s="90" t="s">
        <v>2897</v>
      </c>
      <c r="C1434" s="69"/>
      <c r="D1434" s="89"/>
      <c r="E1434" s="111"/>
      <c r="F1434" s="89"/>
      <c r="G1434" s="89"/>
      <c r="H1434" s="89"/>
      <c r="I1434" s="89"/>
      <c r="J1434" s="710"/>
      <c r="K1434" s="711"/>
      <c r="M1434" s="62">
        <f t="shared" si="113"/>
        <v>5</v>
      </c>
    </row>
    <row r="1435" spans="1:13">
      <c r="A1435" s="88">
        <v>16</v>
      </c>
      <c r="B1435" s="69" t="s">
        <v>1533</v>
      </c>
      <c r="C1435" s="69">
        <v>8</v>
      </c>
      <c r="D1435" s="89">
        <v>0</v>
      </c>
      <c r="E1435" s="111">
        <v>0</v>
      </c>
      <c r="F1435" s="89">
        <v>0</v>
      </c>
      <c r="G1435" s="89">
        <v>0</v>
      </c>
      <c r="H1435" s="89">
        <v>0</v>
      </c>
      <c r="I1435" s="89">
        <v>0</v>
      </c>
      <c r="J1435" s="710">
        <f>(VLOOKUP($C1435,[2]Sheet1!$A$2:$P$18,$M1435+1)/12)*12*D1435</f>
        <v>0</v>
      </c>
      <c r="K1435" s="711"/>
      <c r="M1435" s="62">
        <f t="shared" si="113"/>
        <v>3</v>
      </c>
    </row>
    <row r="1436" spans="1:13">
      <c r="A1436" s="88">
        <f>+A1435+1</f>
        <v>17</v>
      </c>
      <c r="B1436" s="69" t="s">
        <v>1697</v>
      </c>
      <c r="C1436" s="69">
        <v>7</v>
      </c>
      <c r="D1436" s="89">
        <v>0</v>
      </c>
      <c r="E1436" s="111">
        <v>1</v>
      </c>
      <c r="F1436" s="89">
        <v>0</v>
      </c>
      <c r="G1436" s="89">
        <v>0</v>
      </c>
      <c r="H1436" s="89">
        <v>1</v>
      </c>
      <c r="I1436" s="89">
        <v>0</v>
      </c>
      <c r="J1436" s="710">
        <f>(VLOOKUP($C1436,[2]Sheet1!$A$2:$P$18,$M1436+1)/12)*12*D1436</f>
        <v>0</v>
      </c>
      <c r="K1436" s="711"/>
      <c r="M1436" s="62">
        <f t="shared" si="113"/>
        <v>3</v>
      </c>
    </row>
    <row r="1437" spans="1:13">
      <c r="A1437" s="88">
        <f>+A1436+1</f>
        <v>18</v>
      </c>
      <c r="B1437" s="69" t="s">
        <v>2874</v>
      </c>
      <c r="C1437" s="69">
        <v>4</v>
      </c>
      <c r="D1437" s="89">
        <v>1</v>
      </c>
      <c r="E1437" s="111">
        <v>1</v>
      </c>
      <c r="F1437" s="89">
        <v>1</v>
      </c>
      <c r="G1437" s="89">
        <v>1</v>
      </c>
      <c r="H1437" s="89">
        <v>1</v>
      </c>
      <c r="I1437" s="89">
        <v>1</v>
      </c>
      <c r="J1437" s="710">
        <f>(VLOOKUP($C1437,[2]Sheet1!$A$2:$P$18,$M1437+1)/12)*12*D1437</f>
        <v>224542.978930365</v>
      </c>
      <c r="K1437" s="711"/>
      <c r="M1437" s="62">
        <f t="shared" si="113"/>
        <v>5</v>
      </c>
    </row>
    <row r="1438" spans="1:13">
      <c r="A1438" s="88">
        <f>+A1437+1</f>
        <v>19</v>
      </c>
      <c r="B1438" s="69" t="s">
        <v>4030</v>
      </c>
      <c r="C1438" s="69">
        <v>4</v>
      </c>
      <c r="D1438" s="89">
        <v>1</v>
      </c>
      <c r="E1438" s="111">
        <v>1</v>
      </c>
      <c r="F1438" s="89">
        <v>1</v>
      </c>
      <c r="G1438" s="89">
        <v>1</v>
      </c>
      <c r="H1438" s="89">
        <v>1</v>
      </c>
      <c r="I1438" s="89">
        <v>1</v>
      </c>
      <c r="J1438" s="710">
        <f>(VLOOKUP($C1438,[2]Sheet1!$A$2:$P$18,$M1438+1)/12)*12*D1438</f>
        <v>224542.978930365</v>
      </c>
      <c r="K1438" s="711"/>
      <c r="M1438" s="62">
        <f t="shared" si="113"/>
        <v>5</v>
      </c>
    </row>
    <row r="1439" spans="1:13">
      <c r="A1439" s="88"/>
      <c r="B1439" s="90" t="s">
        <v>1698</v>
      </c>
      <c r="C1439" s="69"/>
      <c r="D1439" s="89"/>
      <c r="E1439" s="111"/>
      <c r="F1439" s="89"/>
      <c r="G1439" s="89"/>
      <c r="H1439" s="89"/>
      <c r="I1439" s="89"/>
      <c r="J1439" s="710"/>
      <c r="K1439" s="711"/>
      <c r="M1439" s="62">
        <f t="shared" si="113"/>
        <v>5</v>
      </c>
    </row>
    <row r="1440" spans="1:13">
      <c r="A1440" s="88">
        <v>20</v>
      </c>
      <c r="B1440" s="69" t="s">
        <v>3532</v>
      </c>
      <c r="C1440" s="69">
        <v>14</v>
      </c>
      <c r="D1440" s="89">
        <v>1</v>
      </c>
      <c r="E1440" s="111">
        <v>1</v>
      </c>
      <c r="F1440" s="89">
        <v>1</v>
      </c>
      <c r="G1440" s="89">
        <v>1</v>
      </c>
      <c r="H1440" s="89">
        <v>1</v>
      </c>
      <c r="I1440" s="89">
        <v>1</v>
      </c>
      <c r="J1440" s="710">
        <f>(VLOOKUP($C1440,[2]Sheet1!$A$2:$P$18,$M1440+1)/12)*12*D1440</f>
        <v>669099.40824000002</v>
      </c>
      <c r="K1440" s="711"/>
      <c r="M1440" s="62">
        <f t="shared" si="113"/>
        <v>3</v>
      </c>
    </row>
    <row r="1441" spans="1:13">
      <c r="A1441" s="88">
        <v>20</v>
      </c>
      <c r="B1441" s="69" t="s">
        <v>81</v>
      </c>
      <c r="C1441" s="69">
        <v>8</v>
      </c>
      <c r="D1441" s="89">
        <v>1</v>
      </c>
      <c r="E1441" s="111">
        <v>1</v>
      </c>
      <c r="F1441" s="89">
        <v>1</v>
      </c>
      <c r="G1441" s="89">
        <v>1</v>
      </c>
      <c r="H1441" s="89">
        <v>1</v>
      </c>
      <c r="I1441" s="89">
        <v>1</v>
      </c>
      <c r="J1441" s="710">
        <f>(VLOOKUP($C1441,[2]Sheet1!$A$2:$P$18,$M1441+1)/12)*12*D1441</f>
        <v>342141.27408</v>
      </c>
      <c r="K1441" s="711"/>
      <c r="M1441" s="62">
        <f t="shared" si="113"/>
        <v>3</v>
      </c>
    </row>
    <row r="1442" spans="1:13">
      <c r="A1442" s="88">
        <v>20</v>
      </c>
      <c r="B1442" s="69" t="s">
        <v>1099</v>
      </c>
      <c r="C1442" s="69">
        <v>13</v>
      </c>
      <c r="D1442" s="89">
        <v>1</v>
      </c>
      <c r="E1442" s="111">
        <v>1</v>
      </c>
      <c r="F1442" s="89">
        <v>1</v>
      </c>
      <c r="G1442" s="89">
        <v>1</v>
      </c>
      <c r="H1442" s="89">
        <v>1</v>
      </c>
      <c r="I1442" s="89">
        <v>1</v>
      </c>
      <c r="J1442" s="710">
        <f>(VLOOKUP($C1442,[2]Sheet1!$A$2:$P$18,$M1442+1)/12)*12*D1442</f>
        <v>628759.53804000001</v>
      </c>
      <c r="K1442" s="711"/>
      <c r="M1442" s="62">
        <f t="shared" si="113"/>
        <v>3</v>
      </c>
    </row>
    <row r="1443" spans="1:13">
      <c r="A1443" s="88">
        <v>20</v>
      </c>
      <c r="B1443" s="69" t="s">
        <v>3533</v>
      </c>
      <c r="C1443" s="69">
        <v>9</v>
      </c>
      <c r="D1443" s="89">
        <v>1</v>
      </c>
      <c r="E1443" s="111">
        <v>1</v>
      </c>
      <c r="F1443" s="89">
        <v>1</v>
      </c>
      <c r="G1443" s="89">
        <v>1</v>
      </c>
      <c r="H1443" s="89">
        <v>1</v>
      </c>
      <c r="I1443" s="89">
        <v>1</v>
      </c>
      <c r="J1443" s="710">
        <f>(VLOOKUP($C1443,[2]Sheet1!$A$2:$P$18,$M1443+1)/12)*12*D1443</f>
        <v>409681.90619999997</v>
      </c>
      <c r="K1443" s="711"/>
      <c r="M1443" s="62">
        <f t="shared" si="113"/>
        <v>3</v>
      </c>
    </row>
    <row r="1444" spans="1:13">
      <c r="A1444" s="88">
        <v>20</v>
      </c>
      <c r="B1444" s="69" t="s">
        <v>82</v>
      </c>
      <c r="C1444" s="69">
        <v>10</v>
      </c>
      <c r="D1444" s="89">
        <v>1</v>
      </c>
      <c r="E1444" s="111">
        <v>1</v>
      </c>
      <c r="F1444" s="89">
        <v>1</v>
      </c>
      <c r="G1444" s="89">
        <v>1</v>
      </c>
      <c r="H1444" s="89">
        <v>1</v>
      </c>
      <c r="I1444" s="89">
        <v>1</v>
      </c>
      <c r="J1444" s="710">
        <f>(VLOOKUP($C1444,[2]Sheet1!$A$2:$P$18,$M1444+1)/12)*12*D1444</f>
        <v>483974.5687200001</v>
      </c>
      <c r="K1444" s="711"/>
      <c r="M1444" s="62">
        <f t="shared" si="113"/>
        <v>3</v>
      </c>
    </row>
    <row r="1445" spans="1:13">
      <c r="A1445" s="88">
        <f t="shared" si="112"/>
        <v>21</v>
      </c>
      <c r="B1445" s="69" t="s">
        <v>3862</v>
      </c>
      <c r="C1445" s="69">
        <v>7</v>
      </c>
      <c r="D1445" s="89">
        <v>1</v>
      </c>
      <c r="E1445" s="111">
        <v>1</v>
      </c>
      <c r="F1445" s="89">
        <v>1</v>
      </c>
      <c r="G1445" s="89">
        <v>1</v>
      </c>
      <c r="H1445" s="89">
        <v>1</v>
      </c>
      <c r="I1445" s="89">
        <v>1</v>
      </c>
      <c r="J1445" s="710">
        <f>(VLOOKUP($C1445,[2]Sheet1!$A$2:$P$18,$M1445+1)/12)*12*D1445</f>
        <v>307706.70240000007</v>
      </c>
      <c r="K1445" s="711"/>
      <c r="M1445" s="62">
        <f t="shared" si="113"/>
        <v>3</v>
      </c>
    </row>
    <row r="1446" spans="1:13">
      <c r="A1446" s="88"/>
      <c r="B1446" s="90" t="s">
        <v>83</v>
      </c>
      <c r="C1446" s="69"/>
      <c r="D1446" s="89"/>
      <c r="E1446" s="111"/>
      <c r="F1446" s="89"/>
      <c r="G1446" s="89"/>
      <c r="H1446" s="89"/>
      <c r="I1446" s="89"/>
      <c r="J1446" s="710"/>
      <c r="K1446" s="711"/>
      <c r="M1446" s="62">
        <f t="shared" si="113"/>
        <v>5</v>
      </c>
    </row>
    <row r="1447" spans="1:13">
      <c r="A1447" s="88">
        <f>+A1445+1</f>
        <v>22</v>
      </c>
      <c r="B1447" s="69" t="s">
        <v>3532</v>
      </c>
      <c r="C1447" s="69">
        <v>13</v>
      </c>
      <c r="D1447" s="89">
        <v>1</v>
      </c>
      <c r="E1447" s="111">
        <v>1</v>
      </c>
      <c r="F1447" s="89">
        <v>1</v>
      </c>
      <c r="G1447" s="89">
        <v>1</v>
      </c>
      <c r="H1447" s="89">
        <v>1</v>
      </c>
      <c r="I1447" s="89">
        <v>1</v>
      </c>
      <c r="J1447" s="710">
        <f>(VLOOKUP($C1447,[2]Sheet1!$A$2:$P$18,$M1447+1)/12)*12*D1447</f>
        <v>628759.53804000001</v>
      </c>
      <c r="K1447" s="711"/>
      <c r="M1447" s="62">
        <f t="shared" si="113"/>
        <v>3</v>
      </c>
    </row>
    <row r="1448" spans="1:13">
      <c r="A1448" s="88">
        <f t="shared" si="112"/>
        <v>23</v>
      </c>
      <c r="B1448" s="69" t="s">
        <v>1099</v>
      </c>
      <c r="C1448" s="69">
        <v>13</v>
      </c>
      <c r="D1448" s="89">
        <v>1</v>
      </c>
      <c r="E1448" s="111">
        <v>1</v>
      </c>
      <c r="F1448" s="89">
        <v>1</v>
      </c>
      <c r="G1448" s="89">
        <v>1</v>
      </c>
      <c r="H1448" s="89">
        <v>1</v>
      </c>
      <c r="I1448" s="89">
        <v>1</v>
      </c>
      <c r="J1448" s="710">
        <f>(VLOOKUP($C1448,[2]Sheet1!$A$2:$P$18,$M1448+1)/12)*12*D1448</f>
        <v>628759.53804000001</v>
      </c>
      <c r="K1448" s="711"/>
      <c r="M1448" s="62">
        <f t="shared" si="113"/>
        <v>3</v>
      </c>
    </row>
    <row r="1449" spans="1:13">
      <c r="A1449" s="88">
        <f t="shared" si="112"/>
        <v>24</v>
      </c>
      <c r="B1449" s="69" t="s">
        <v>3533</v>
      </c>
      <c r="C1449" s="69">
        <v>13</v>
      </c>
      <c r="D1449" s="89">
        <v>1</v>
      </c>
      <c r="E1449" s="111">
        <v>1</v>
      </c>
      <c r="F1449" s="89">
        <v>1</v>
      </c>
      <c r="G1449" s="89">
        <v>1</v>
      </c>
      <c r="H1449" s="89">
        <v>1</v>
      </c>
      <c r="I1449" s="89">
        <v>1</v>
      </c>
      <c r="J1449" s="710">
        <f>(VLOOKUP($C1449,[2]Sheet1!$A$2:$P$18,$M1449+1)/12)*12*D1449</f>
        <v>628759.53804000001</v>
      </c>
      <c r="K1449" s="711"/>
      <c r="M1449" s="62">
        <f t="shared" si="113"/>
        <v>3</v>
      </c>
    </row>
    <row r="1450" spans="1:13">
      <c r="A1450" s="88">
        <f t="shared" si="112"/>
        <v>25</v>
      </c>
      <c r="B1450" s="69" t="s">
        <v>84</v>
      </c>
      <c r="C1450" s="69">
        <v>13</v>
      </c>
      <c r="D1450" s="89">
        <v>1</v>
      </c>
      <c r="E1450" s="111">
        <v>1</v>
      </c>
      <c r="F1450" s="89">
        <v>1</v>
      </c>
      <c r="G1450" s="89">
        <v>1</v>
      </c>
      <c r="H1450" s="89">
        <v>1</v>
      </c>
      <c r="I1450" s="89">
        <v>1</v>
      </c>
      <c r="J1450" s="710">
        <f>(VLOOKUP($C1450,[2]Sheet1!$A$2:$P$18,$M1450+1)/12)*12*D1450</f>
        <v>628759.53804000001</v>
      </c>
      <c r="K1450" s="711"/>
      <c r="M1450" s="62">
        <f t="shared" si="113"/>
        <v>3</v>
      </c>
    </row>
    <row r="1451" spans="1:13" ht="13.5" thickBot="1">
      <c r="A1451" s="88">
        <f t="shared" si="112"/>
        <v>26</v>
      </c>
      <c r="B1451" s="69" t="s">
        <v>85</v>
      </c>
      <c r="C1451" s="69">
        <v>9</v>
      </c>
      <c r="D1451" s="89">
        <v>1</v>
      </c>
      <c r="E1451" s="111">
        <v>1</v>
      </c>
      <c r="F1451" s="89">
        <v>1</v>
      </c>
      <c r="G1451" s="89">
        <v>1</v>
      </c>
      <c r="H1451" s="89">
        <v>1</v>
      </c>
      <c r="I1451" s="89">
        <v>1</v>
      </c>
      <c r="J1451" s="710">
        <f>(VLOOKUP($C1451,[2]Sheet1!$A$2:$P$18,$M1451+1)/12)*12*D1451</f>
        <v>409681.90619999997</v>
      </c>
      <c r="K1451" s="711"/>
      <c r="M1451" s="62">
        <f t="shared" si="113"/>
        <v>3</v>
      </c>
    </row>
    <row r="1452" spans="1:13" ht="15.75" thickTop="1">
      <c r="A1452" s="1047" t="s">
        <v>2791</v>
      </c>
      <c r="B1452" s="1049" t="s">
        <v>4126</v>
      </c>
      <c r="C1452" s="1049" t="s">
        <v>854</v>
      </c>
      <c r="D1452" s="1040" t="s">
        <v>4127</v>
      </c>
      <c r="E1452" s="1041"/>
      <c r="F1452" s="1041"/>
      <c r="G1452" s="1040" t="s">
        <v>904</v>
      </c>
      <c r="H1452" s="1041"/>
      <c r="I1452" s="1042"/>
      <c r="J1452" s="1035" t="s">
        <v>855</v>
      </c>
      <c r="K1452" s="389"/>
    </row>
    <row r="1453" spans="1:13" ht="26.25" thickBot="1">
      <c r="A1453" s="1048"/>
      <c r="B1453" s="1050"/>
      <c r="C1453" s="1050"/>
      <c r="D1453" s="285" t="s">
        <v>5505</v>
      </c>
      <c r="E1453" s="285" t="s">
        <v>4485</v>
      </c>
      <c r="F1453" s="285" t="s">
        <v>4486</v>
      </c>
      <c r="G1453" s="287" t="s">
        <v>4487</v>
      </c>
      <c r="H1453" s="285" t="s">
        <v>4488</v>
      </c>
      <c r="I1453" s="287" t="s">
        <v>4489</v>
      </c>
      <c r="J1453" s="1036"/>
      <c r="K1453" s="712"/>
    </row>
    <row r="1454" spans="1:13" ht="13.5" thickTop="1">
      <c r="A1454" s="88">
        <f>+A1451+1</f>
        <v>27</v>
      </c>
      <c r="B1454" s="69" t="s">
        <v>1243</v>
      </c>
      <c r="C1454" s="69">
        <v>7</v>
      </c>
      <c r="D1454" s="89">
        <v>1</v>
      </c>
      <c r="E1454" s="111">
        <v>3</v>
      </c>
      <c r="F1454" s="89">
        <v>1</v>
      </c>
      <c r="G1454" s="89">
        <v>1</v>
      </c>
      <c r="H1454" s="89">
        <v>3</v>
      </c>
      <c r="I1454" s="89">
        <v>1</v>
      </c>
      <c r="J1454" s="710">
        <f>(VLOOKUP($C1454,[2]Sheet1!$A$2:$P$18,$M1454+1)/12)*12*D1454</f>
        <v>307706.70240000007</v>
      </c>
      <c r="K1454" s="711"/>
      <c r="M1454" s="62">
        <f t="shared" si="113"/>
        <v>3</v>
      </c>
    </row>
    <row r="1455" spans="1:13">
      <c r="A1455" s="88">
        <f t="shared" si="112"/>
        <v>28</v>
      </c>
      <c r="B1455" s="69" t="s">
        <v>1244</v>
      </c>
      <c r="C1455" s="69">
        <v>7</v>
      </c>
      <c r="D1455" s="89">
        <v>1</v>
      </c>
      <c r="E1455" s="111">
        <v>1</v>
      </c>
      <c r="F1455" s="89">
        <v>1</v>
      </c>
      <c r="G1455" s="89">
        <v>1</v>
      </c>
      <c r="H1455" s="89">
        <v>1</v>
      </c>
      <c r="I1455" s="89">
        <v>1</v>
      </c>
      <c r="J1455" s="710">
        <f>(VLOOKUP($C1455,[2]Sheet1!$A$2:$P$18,$M1455+1)/12)*12*D1455</f>
        <v>307706.70240000007</v>
      </c>
      <c r="K1455" s="711"/>
      <c r="M1455" s="62">
        <f t="shared" si="113"/>
        <v>3</v>
      </c>
    </row>
    <row r="1456" spans="1:13">
      <c r="A1456" s="88">
        <f>+A1455+1</f>
        <v>29</v>
      </c>
      <c r="B1456" s="69" t="s">
        <v>3085</v>
      </c>
      <c r="C1456" s="69">
        <v>4</v>
      </c>
      <c r="D1456" s="89">
        <v>3</v>
      </c>
      <c r="E1456" s="111">
        <v>1</v>
      </c>
      <c r="F1456" s="89">
        <v>4</v>
      </c>
      <c r="G1456" s="89">
        <v>4</v>
      </c>
      <c r="H1456" s="89">
        <v>3</v>
      </c>
      <c r="I1456" s="89">
        <v>3</v>
      </c>
      <c r="J1456" s="710">
        <f>(VLOOKUP($C1456,[2]Sheet1!$A$2:$P$18,$M1456+1)/12)*12*D1456</f>
        <v>673628.93679109495</v>
      </c>
      <c r="K1456" s="711"/>
      <c r="M1456" s="62">
        <f t="shared" si="113"/>
        <v>5</v>
      </c>
    </row>
    <row r="1457" spans="1:13">
      <c r="A1457" s="88">
        <f t="shared" si="112"/>
        <v>30</v>
      </c>
      <c r="B1457" s="69" t="s">
        <v>3086</v>
      </c>
      <c r="C1457" s="69">
        <v>9</v>
      </c>
      <c r="D1457" s="89">
        <v>5</v>
      </c>
      <c r="E1457" s="111">
        <v>5</v>
      </c>
      <c r="F1457" s="89">
        <v>4</v>
      </c>
      <c r="G1457" s="89">
        <v>4</v>
      </c>
      <c r="H1457" s="89">
        <v>3</v>
      </c>
      <c r="I1457" s="89">
        <v>5</v>
      </c>
      <c r="J1457" s="710">
        <f>(VLOOKUP($C1457,[2]Sheet1!$A$2:$P$18,$M1457+1)/12)*12*D1457</f>
        <v>2048409.531</v>
      </c>
      <c r="K1457" s="711"/>
      <c r="M1457" s="62">
        <f t="shared" si="113"/>
        <v>3</v>
      </c>
    </row>
    <row r="1458" spans="1:13">
      <c r="A1458" s="88">
        <f t="shared" si="112"/>
        <v>31</v>
      </c>
      <c r="B1458" s="69" t="s">
        <v>3087</v>
      </c>
      <c r="C1458" s="69">
        <v>4</v>
      </c>
      <c r="D1458" s="89">
        <v>10</v>
      </c>
      <c r="E1458" s="111">
        <v>4</v>
      </c>
      <c r="F1458" s="89">
        <v>4</v>
      </c>
      <c r="G1458" s="89">
        <v>4</v>
      </c>
      <c r="H1458" s="89">
        <v>3</v>
      </c>
      <c r="I1458" s="89">
        <v>10</v>
      </c>
      <c r="J1458" s="710">
        <f>(VLOOKUP($C1458,[2]Sheet1!$A$2:$P$18,$M1458+1)/12)*12*D1458</f>
        <v>2245429.7893036501</v>
      </c>
      <c r="K1458" s="711"/>
      <c r="M1458" s="62">
        <f t="shared" si="113"/>
        <v>5</v>
      </c>
    </row>
    <row r="1459" spans="1:13">
      <c r="A1459" s="88">
        <f t="shared" si="112"/>
        <v>32</v>
      </c>
      <c r="B1459" s="69" t="s">
        <v>3087</v>
      </c>
      <c r="C1459" s="69">
        <v>3</v>
      </c>
      <c r="D1459" s="89">
        <v>10</v>
      </c>
      <c r="E1459" s="111">
        <v>4</v>
      </c>
      <c r="F1459" s="89">
        <v>4</v>
      </c>
      <c r="G1459" s="89">
        <v>4</v>
      </c>
      <c r="H1459" s="89">
        <v>4</v>
      </c>
      <c r="I1459" s="89">
        <v>10</v>
      </c>
      <c r="J1459" s="710">
        <f>(VLOOKUP($C1459,[2]Sheet1!$A$2:$P$18,$M1459+1)/12)*12*D1459</f>
        <v>2193361.7893036497</v>
      </c>
      <c r="K1459" s="711"/>
      <c r="M1459" s="62">
        <f t="shared" si="113"/>
        <v>5</v>
      </c>
    </row>
    <row r="1460" spans="1:13">
      <c r="A1460" s="92"/>
      <c r="B1460" s="93" t="s">
        <v>1684</v>
      </c>
      <c r="C1460" s="94"/>
      <c r="D1460" s="95">
        <f t="shared" ref="D1460:J1460" si="114">SUM(D1419:D1459)</f>
        <v>83</v>
      </c>
      <c r="E1460" s="279">
        <f t="shared" si="114"/>
        <v>66</v>
      </c>
      <c r="F1460" s="279">
        <f t="shared" si="114"/>
        <v>56</v>
      </c>
      <c r="G1460" s="95">
        <f>SUM(G1419:G1459)</f>
        <v>56</v>
      </c>
      <c r="H1460" s="95">
        <f t="shared" si="114"/>
        <v>60</v>
      </c>
      <c r="I1460" s="95">
        <f t="shared" si="114"/>
        <v>83</v>
      </c>
      <c r="J1460" s="96">
        <f t="shared" si="114"/>
        <v>28264747.416740444</v>
      </c>
      <c r="K1460" s="376"/>
      <c r="M1460" s="62">
        <f t="shared" si="113"/>
        <v>5</v>
      </c>
    </row>
    <row r="1461" spans="1:13">
      <c r="A1461" s="88"/>
      <c r="B1461" s="90" t="s">
        <v>1199</v>
      </c>
      <c r="C1461" s="97"/>
      <c r="D1461" s="98"/>
      <c r="E1461" s="98"/>
      <c r="F1461" s="125"/>
      <c r="G1461" s="240" t="s">
        <v>243</v>
      </c>
      <c r="H1461" s="240" t="s">
        <v>4130</v>
      </c>
      <c r="I1461" s="240" t="s">
        <v>4202</v>
      </c>
      <c r="J1461" s="241" t="s">
        <v>4200</v>
      </c>
      <c r="K1461" s="375"/>
      <c r="M1461" s="62">
        <f t="shared" si="113"/>
        <v>5</v>
      </c>
    </row>
    <row r="1462" spans="1:13">
      <c r="A1462" s="88">
        <v>1</v>
      </c>
      <c r="B1462" s="69" t="s">
        <v>2786</v>
      </c>
      <c r="C1462" s="69"/>
      <c r="D1462" s="89"/>
      <c r="E1462" s="89"/>
      <c r="F1462" s="100"/>
      <c r="G1462" s="100">
        <f>J1460*0.2</f>
        <v>5652949.4833480893</v>
      </c>
      <c r="H1462" s="100">
        <f t="shared" ref="H1462:I1466" si="115">G1462*1.02</f>
        <v>5766008.4730150513</v>
      </c>
      <c r="I1462" s="100">
        <f t="shared" si="115"/>
        <v>5881328.6424753526</v>
      </c>
      <c r="J1462" s="100">
        <f>SUM(G1462:I1462)</f>
        <v>17300286.598838493</v>
      </c>
      <c r="K1462" s="114"/>
      <c r="M1462" s="62">
        <f t="shared" si="113"/>
        <v>5</v>
      </c>
    </row>
    <row r="1463" spans="1:13">
      <c r="A1463" s="88">
        <f>+A1462+1</f>
        <v>2</v>
      </c>
      <c r="B1463" s="69" t="s">
        <v>2877</v>
      </c>
      <c r="C1463" s="69"/>
      <c r="D1463" s="89"/>
      <c r="E1463" s="89"/>
      <c r="F1463" s="100"/>
      <c r="G1463" s="100">
        <f>G1462/2</f>
        <v>2826474.7416740446</v>
      </c>
      <c r="H1463" s="100">
        <f t="shared" si="115"/>
        <v>2883004.2365075257</v>
      </c>
      <c r="I1463" s="100">
        <f t="shared" si="115"/>
        <v>2940664.3212376763</v>
      </c>
      <c r="J1463" s="100">
        <f>SUM(G1463:I1463)</f>
        <v>8650143.2994192466</v>
      </c>
      <c r="K1463" s="114"/>
      <c r="M1463" s="62">
        <f t="shared" si="113"/>
        <v>5</v>
      </c>
    </row>
    <row r="1464" spans="1:13">
      <c r="A1464" s="88">
        <f>+A1463+1</f>
        <v>3</v>
      </c>
      <c r="B1464" s="69" t="s">
        <v>1342</v>
      </c>
      <c r="C1464" s="69"/>
      <c r="D1464" s="89"/>
      <c r="E1464" s="89"/>
      <c r="F1464" s="100"/>
      <c r="G1464" s="100">
        <f>G1463/2</f>
        <v>1413237.3708370223</v>
      </c>
      <c r="H1464" s="100">
        <f t="shared" si="115"/>
        <v>1441502.1182537628</v>
      </c>
      <c r="I1464" s="100">
        <f t="shared" si="115"/>
        <v>1470332.1606188382</v>
      </c>
      <c r="J1464" s="100">
        <f>SUM(G1464:I1464)</f>
        <v>4325071.6497096233</v>
      </c>
      <c r="K1464" s="114"/>
      <c r="M1464" s="62">
        <f t="shared" si="113"/>
        <v>5</v>
      </c>
    </row>
    <row r="1465" spans="1:13">
      <c r="A1465" s="88">
        <f>+A1464+1</f>
        <v>4</v>
      </c>
      <c r="B1465" s="69" t="s">
        <v>1420</v>
      </c>
      <c r="C1465" s="69"/>
      <c r="D1465" s="89"/>
      <c r="E1465" s="89"/>
      <c r="F1465" s="111"/>
      <c r="G1465" s="100">
        <v>440000000</v>
      </c>
      <c r="H1465" s="100">
        <f t="shared" si="115"/>
        <v>448800000</v>
      </c>
      <c r="I1465" s="100">
        <f t="shared" si="115"/>
        <v>457776000</v>
      </c>
      <c r="J1465" s="100">
        <f>SUM(G1465:I1465)</f>
        <v>1346576000</v>
      </c>
      <c r="K1465" s="114"/>
      <c r="M1465" s="62">
        <f t="shared" si="113"/>
        <v>5</v>
      </c>
    </row>
    <row r="1466" spans="1:13">
      <c r="A1466" s="88">
        <f>+A1465+1</f>
        <v>5</v>
      </c>
      <c r="B1466" s="69" t="s">
        <v>2001</v>
      </c>
      <c r="C1466" s="69"/>
      <c r="D1466" s="89"/>
      <c r="E1466" s="89"/>
      <c r="F1466" s="111"/>
      <c r="G1466" s="100">
        <v>400000000</v>
      </c>
      <c r="H1466" s="100">
        <f t="shared" si="115"/>
        <v>408000000</v>
      </c>
      <c r="I1466" s="100">
        <f t="shared" si="115"/>
        <v>416160000</v>
      </c>
      <c r="J1466" s="100">
        <f>SUM(G1466:I1466)</f>
        <v>1224160000</v>
      </c>
      <c r="K1466" s="114"/>
      <c r="M1466" s="62">
        <f t="shared" si="113"/>
        <v>5</v>
      </c>
    </row>
    <row r="1467" spans="1:13">
      <c r="A1467" s="88"/>
      <c r="B1467" s="69"/>
      <c r="C1467" s="69"/>
      <c r="D1467" s="89"/>
      <c r="E1467" s="89"/>
      <c r="F1467" s="111"/>
      <c r="G1467" s="111"/>
      <c r="H1467" s="111"/>
      <c r="I1467" s="111"/>
      <c r="J1467" s="111"/>
      <c r="K1467" s="114"/>
      <c r="M1467" s="62">
        <f t="shared" si="113"/>
        <v>5</v>
      </c>
    </row>
    <row r="1468" spans="1:13">
      <c r="A1468" s="92"/>
      <c r="B1468" s="93" t="s">
        <v>1933</v>
      </c>
      <c r="C1468" s="94"/>
      <c r="D1468" s="101"/>
      <c r="E1468" s="101"/>
      <c r="F1468" s="95"/>
      <c r="G1468" s="95">
        <f>SUM(G1462:G1466)</f>
        <v>849892661.59585917</v>
      </c>
      <c r="H1468" s="95">
        <f>SUM(H1462:H1466)</f>
        <v>866890514.82777631</v>
      </c>
      <c r="I1468" s="95">
        <f>SUM(I1462:I1466)</f>
        <v>884228325.12433195</v>
      </c>
      <c r="J1468" s="95">
        <f>SUM(J1462:J1466)</f>
        <v>2601011501.5479674</v>
      </c>
      <c r="K1468" s="378"/>
      <c r="M1468" s="62">
        <f t="shared" si="113"/>
        <v>5</v>
      </c>
    </row>
    <row r="1469" spans="1:13">
      <c r="A1469" s="88"/>
      <c r="B1469" s="69"/>
      <c r="C1469" s="69"/>
      <c r="D1469" s="89"/>
      <c r="E1469" s="89"/>
      <c r="F1469" s="89"/>
      <c r="G1469" s="89"/>
      <c r="H1469" s="89"/>
      <c r="I1469" s="89"/>
      <c r="J1469" s="89"/>
      <c r="K1469" s="114"/>
      <c r="M1469" s="62">
        <f t="shared" si="113"/>
        <v>5</v>
      </c>
    </row>
    <row r="1470" spans="1:13">
      <c r="A1470" s="88">
        <v>1</v>
      </c>
      <c r="B1470" s="69" t="s">
        <v>1693</v>
      </c>
      <c r="C1470" s="69"/>
      <c r="D1470" s="89"/>
      <c r="E1470" s="89"/>
      <c r="F1470" s="89"/>
      <c r="G1470" s="100">
        <f>G1468+J1460</f>
        <v>878157409.01259959</v>
      </c>
      <c r="H1470" s="100">
        <f>G1470*1.02</f>
        <v>895720557.19285154</v>
      </c>
      <c r="I1470" s="100">
        <f>H1470*1.02</f>
        <v>913634968.33670855</v>
      </c>
      <c r="J1470" s="100">
        <f>SUM(G1470:I1470)</f>
        <v>2687512934.5421596</v>
      </c>
      <c r="K1470" s="114"/>
      <c r="L1470" s="112"/>
      <c r="M1470" s="62">
        <f t="shared" si="113"/>
        <v>5</v>
      </c>
    </row>
    <row r="1471" spans="1:13">
      <c r="A1471" s="88">
        <f>+A1470+1</f>
        <v>2</v>
      </c>
      <c r="B1471" s="69" t="s">
        <v>3944</v>
      </c>
      <c r="C1471" s="69"/>
      <c r="D1471" s="89"/>
      <c r="E1471" s="89"/>
      <c r="F1471" s="89"/>
      <c r="G1471" s="89">
        <f>C1498</f>
        <v>8500000</v>
      </c>
      <c r="H1471" s="89">
        <f>D1498</f>
        <v>6000000</v>
      </c>
      <c r="I1471" s="89">
        <f>E1498</f>
        <v>6000000</v>
      </c>
      <c r="J1471" s="100">
        <f>SUM(G1471:I1471)</f>
        <v>20500000</v>
      </c>
      <c r="K1471" s="114"/>
      <c r="M1471" s="62">
        <f t="shared" si="113"/>
        <v>5</v>
      </c>
    </row>
    <row r="1472" spans="1:13">
      <c r="A1472" s="88"/>
      <c r="B1472" s="69"/>
      <c r="C1472" s="69"/>
      <c r="D1472" s="89"/>
      <c r="E1472" s="89"/>
      <c r="F1472" s="89"/>
      <c r="G1472" s="89"/>
      <c r="H1472" s="89"/>
      <c r="I1472" s="89"/>
      <c r="J1472" s="89"/>
      <c r="K1472" s="114"/>
      <c r="M1472" s="62">
        <f t="shared" si="113"/>
        <v>5</v>
      </c>
    </row>
    <row r="1473" spans="1:13" ht="13.5" thickBot="1">
      <c r="A1473" s="102"/>
      <c r="B1473" s="103" t="s">
        <v>2241</v>
      </c>
      <c r="C1473" s="104"/>
      <c r="D1473" s="105"/>
      <c r="E1473" s="105"/>
      <c r="F1473" s="106"/>
      <c r="G1473" s="106">
        <f>+G1471+G1470</f>
        <v>886657409.01259959</v>
      </c>
      <c r="H1473" s="106">
        <f>+H1471+H1470</f>
        <v>901720557.19285154</v>
      </c>
      <c r="I1473" s="106">
        <f>+I1471+I1470</f>
        <v>919634968.33670855</v>
      </c>
      <c r="J1473" s="106">
        <f>+J1471+J1470</f>
        <v>2708012934.5421596</v>
      </c>
      <c r="K1473" s="378"/>
      <c r="M1473" s="62">
        <f t="shared" si="113"/>
        <v>5</v>
      </c>
    </row>
    <row r="1474" spans="1:13" ht="15.75" thickTop="1">
      <c r="A1474" s="113"/>
      <c r="B1474" s="113"/>
      <c r="C1474" s="77"/>
      <c r="D1474" s="78" t="s">
        <v>5434</v>
      </c>
      <c r="E1474" s="114"/>
      <c r="F1474" s="114"/>
      <c r="G1474" s="114"/>
      <c r="H1474" s="114"/>
      <c r="I1474" s="114"/>
      <c r="J1474" s="584"/>
      <c r="K1474" s="584"/>
      <c r="M1474" s="62">
        <f t="shared" si="113"/>
        <v>5</v>
      </c>
    </row>
    <row r="1475" spans="1:13" ht="15">
      <c r="A1475" s="113"/>
      <c r="B1475" s="113"/>
      <c r="C1475" s="77"/>
      <c r="D1475" s="78" t="s">
        <v>716</v>
      </c>
      <c r="E1475" s="114"/>
      <c r="F1475" s="114"/>
      <c r="G1475" s="114"/>
      <c r="H1475" s="114"/>
      <c r="I1475" s="114"/>
      <c r="J1475" s="584"/>
      <c r="K1475" s="584"/>
      <c r="M1475" s="62">
        <f t="shared" si="113"/>
        <v>5</v>
      </c>
    </row>
    <row r="1476" spans="1:13" ht="15">
      <c r="A1476" s="113"/>
      <c r="B1476" s="113"/>
      <c r="C1476" s="79" t="s">
        <v>717</v>
      </c>
      <c r="D1476" s="78" t="s">
        <v>3823</v>
      </c>
      <c r="E1476" s="114"/>
      <c r="F1476" s="114"/>
      <c r="G1476" s="114"/>
      <c r="H1476" s="114"/>
      <c r="I1476" s="114"/>
      <c r="J1476" s="584"/>
      <c r="K1476" s="584"/>
      <c r="M1476" s="62">
        <f t="shared" si="113"/>
        <v>3</v>
      </c>
    </row>
    <row r="1477" spans="1:13" ht="15">
      <c r="A1477" s="113"/>
      <c r="B1477" s="113"/>
      <c r="C1477" s="79" t="s">
        <v>718</v>
      </c>
      <c r="D1477" s="78" t="s">
        <v>2469</v>
      </c>
      <c r="E1477" s="114"/>
      <c r="F1477" s="114"/>
      <c r="G1477" s="114"/>
      <c r="H1477" s="114"/>
      <c r="I1477" s="114"/>
      <c r="J1477" s="584"/>
      <c r="K1477" s="584"/>
      <c r="M1477" s="62">
        <f t="shared" si="113"/>
        <v>3</v>
      </c>
    </row>
    <row r="1478" spans="1:13" ht="15">
      <c r="A1478" s="634" t="s">
        <v>1839</v>
      </c>
      <c r="B1478" s="635" t="s">
        <v>903</v>
      </c>
      <c r="C1478" s="1037" t="s">
        <v>4127</v>
      </c>
      <c r="D1478" s="1038"/>
      <c r="E1478" s="1039"/>
      <c r="F1478" s="635" t="s">
        <v>1684</v>
      </c>
      <c r="G1478" s="1037" t="s">
        <v>4132</v>
      </c>
      <c r="H1478" s="1038"/>
      <c r="I1478" s="1039"/>
      <c r="J1478" s="726"/>
      <c r="K1478" s="727"/>
    </row>
    <row r="1479" spans="1:13">
      <c r="A1479" s="636" t="s">
        <v>1620</v>
      </c>
      <c r="B1479" s="637"/>
      <c r="C1479" s="635" t="s">
        <v>1841</v>
      </c>
      <c r="D1479" s="635" t="s">
        <v>4133</v>
      </c>
      <c r="E1479" s="635" t="s">
        <v>4133</v>
      </c>
      <c r="F1479" s="1056" t="s">
        <v>4200</v>
      </c>
      <c r="G1479" s="634" t="s">
        <v>4135</v>
      </c>
      <c r="H1479" s="1051" t="s">
        <v>4182</v>
      </c>
      <c r="I1479" s="634" t="s">
        <v>4135</v>
      </c>
      <c r="J1479" s="728" t="s">
        <v>4136</v>
      </c>
      <c r="K1479" s="727"/>
    </row>
    <row r="1480" spans="1:13" ht="12.75" customHeight="1">
      <c r="A1480" s="638" t="s">
        <v>387</v>
      </c>
      <c r="B1480" s="639"/>
      <c r="C1480" s="638">
        <v>2015</v>
      </c>
      <c r="D1480" s="638">
        <v>2016</v>
      </c>
      <c r="E1480" s="638">
        <v>2017</v>
      </c>
      <c r="F1480" s="1057"/>
      <c r="G1480" s="638" t="s">
        <v>4304</v>
      </c>
      <c r="H1480" s="1052"/>
      <c r="I1480" s="638" t="s">
        <v>4303</v>
      </c>
      <c r="J1480" s="639"/>
      <c r="K1480" s="729"/>
    </row>
    <row r="1481" spans="1:13">
      <c r="A1481" s="730"/>
      <c r="B1481" s="730"/>
      <c r="C1481" s="748"/>
      <c r="D1481" s="748"/>
      <c r="E1481" s="748"/>
      <c r="F1481" s="748"/>
      <c r="G1481" s="748"/>
      <c r="H1481" s="748"/>
      <c r="I1481" s="748"/>
      <c r="J1481" s="748"/>
      <c r="K1481" s="749"/>
      <c r="M1481" s="62" t="e">
        <f>IF(#REF!&gt;6,3,5)</f>
        <v>#REF!</v>
      </c>
    </row>
    <row r="1482" spans="1:13">
      <c r="A1482" s="730">
        <v>2</v>
      </c>
      <c r="B1482" s="730" t="s">
        <v>1695</v>
      </c>
      <c r="C1482" s="390">
        <v>1500000</v>
      </c>
      <c r="D1482" s="390">
        <v>1500000</v>
      </c>
      <c r="E1482" s="390">
        <v>1500000</v>
      </c>
      <c r="F1482" s="390">
        <f>SUM(C1482:E1482)</f>
        <v>4500000</v>
      </c>
      <c r="G1482" s="390">
        <v>767700</v>
      </c>
      <c r="H1482" s="390">
        <v>1000000</v>
      </c>
      <c r="I1482" s="390">
        <v>839900</v>
      </c>
      <c r="J1482" s="748"/>
      <c r="K1482" s="749"/>
      <c r="M1482" s="62" t="e">
        <f>IF(#REF!&gt;6,3,5)</f>
        <v>#REF!</v>
      </c>
    </row>
    <row r="1483" spans="1:13">
      <c r="A1483" s="730">
        <f t="shared" ref="A1483:A1496" si="116">+A1482+1</f>
        <v>3</v>
      </c>
      <c r="B1483" s="730" t="s">
        <v>2134</v>
      </c>
      <c r="C1483" s="390" t="s">
        <v>1386</v>
      </c>
      <c r="D1483" s="390" t="s">
        <v>1386</v>
      </c>
      <c r="E1483" s="390" t="s">
        <v>1386</v>
      </c>
      <c r="F1483" s="390">
        <f t="shared" ref="F1483:F1496" si="117">SUM(C1483:E1483)</f>
        <v>0</v>
      </c>
      <c r="G1483" s="390"/>
      <c r="H1483" s="390" t="s">
        <v>1386</v>
      </c>
      <c r="I1483" s="390"/>
      <c r="J1483" s="748"/>
      <c r="K1483" s="749"/>
      <c r="M1483" s="62" t="e">
        <f>IF(#REF!&gt;6,3,5)</f>
        <v>#REF!</v>
      </c>
    </row>
    <row r="1484" spans="1:13">
      <c r="A1484" s="730">
        <f t="shared" si="116"/>
        <v>4</v>
      </c>
      <c r="B1484" s="730" t="s">
        <v>1701</v>
      </c>
      <c r="C1484" s="390" t="s">
        <v>1386</v>
      </c>
      <c r="D1484" s="390" t="s">
        <v>1386</v>
      </c>
      <c r="E1484" s="390" t="s">
        <v>1386</v>
      </c>
      <c r="F1484" s="390">
        <f t="shared" si="117"/>
        <v>0</v>
      </c>
      <c r="G1484" s="390"/>
      <c r="H1484" s="390" t="s">
        <v>1386</v>
      </c>
      <c r="I1484" s="390"/>
      <c r="J1484" s="748"/>
      <c r="K1484" s="749"/>
      <c r="M1484" s="62" t="e">
        <f>IF(#REF!&gt;6,3,5)</f>
        <v>#REF!</v>
      </c>
    </row>
    <row r="1485" spans="1:13">
      <c r="A1485" s="730">
        <f t="shared" si="116"/>
        <v>5</v>
      </c>
      <c r="B1485" s="730" t="s">
        <v>1702</v>
      </c>
      <c r="C1485" s="731">
        <v>500000</v>
      </c>
      <c r="D1485" s="731">
        <v>500000</v>
      </c>
      <c r="E1485" s="731">
        <v>500000</v>
      </c>
      <c r="F1485" s="390">
        <f t="shared" si="117"/>
        <v>1500000</v>
      </c>
      <c r="G1485" s="731">
        <v>112250</v>
      </c>
      <c r="H1485" s="731">
        <v>500000</v>
      </c>
      <c r="I1485" s="731">
        <v>220530</v>
      </c>
      <c r="J1485" s="748"/>
      <c r="K1485" s="749"/>
      <c r="M1485" s="62" t="e">
        <f>IF(#REF!&gt;6,3,5)</f>
        <v>#REF!</v>
      </c>
    </row>
    <row r="1486" spans="1:13">
      <c r="A1486" s="730">
        <f t="shared" si="116"/>
        <v>6</v>
      </c>
      <c r="B1486" s="730" t="s">
        <v>1544</v>
      </c>
      <c r="C1486" s="731">
        <v>500000</v>
      </c>
      <c r="D1486" s="390">
        <v>200000</v>
      </c>
      <c r="E1486" s="390">
        <v>200000</v>
      </c>
      <c r="F1486" s="390">
        <f t="shared" si="117"/>
        <v>900000</v>
      </c>
      <c r="G1486" s="390">
        <v>109000</v>
      </c>
      <c r="H1486" s="390">
        <v>200000</v>
      </c>
      <c r="I1486" s="390">
        <v>59900</v>
      </c>
      <c r="J1486" s="748"/>
      <c r="K1486" s="749"/>
      <c r="M1486" s="62" t="e">
        <f>IF(#REF!&gt;6,3,5)</f>
        <v>#REF!</v>
      </c>
    </row>
    <row r="1487" spans="1:13">
      <c r="A1487" s="730">
        <f t="shared" si="116"/>
        <v>7</v>
      </c>
      <c r="B1487" s="730" t="s">
        <v>897</v>
      </c>
      <c r="C1487" s="390">
        <v>500000</v>
      </c>
      <c r="D1487" s="390">
        <v>500000</v>
      </c>
      <c r="E1487" s="390">
        <v>500000</v>
      </c>
      <c r="F1487" s="390">
        <f t="shared" si="117"/>
        <v>1500000</v>
      </c>
      <c r="G1487" s="390">
        <v>348300</v>
      </c>
      <c r="H1487" s="390">
        <v>500000</v>
      </c>
      <c r="I1487" s="390">
        <v>420970</v>
      </c>
      <c r="J1487" s="748"/>
      <c r="K1487" s="749"/>
      <c r="M1487" s="62" t="e">
        <f>IF(#REF!&gt;6,3,5)</f>
        <v>#REF!</v>
      </c>
    </row>
    <row r="1488" spans="1:13">
      <c r="A1488" s="730">
        <f t="shared" si="116"/>
        <v>8</v>
      </c>
      <c r="B1488" s="730" t="s">
        <v>1385</v>
      </c>
      <c r="C1488" s="731" t="s">
        <v>3007</v>
      </c>
      <c r="D1488" s="731" t="s">
        <v>3007</v>
      </c>
      <c r="E1488" s="731" t="s">
        <v>3007</v>
      </c>
      <c r="F1488" s="390">
        <f t="shared" si="117"/>
        <v>0</v>
      </c>
      <c r="G1488" s="731"/>
      <c r="H1488" s="731" t="s">
        <v>3007</v>
      </c>
      <c r="I1488" s="731"/>
      <c r="J1488" s="748"/>
      <c r="K1488" s="749"/>
      <c r="M1488" s="62" t="e">
        <f>IF(#REF!&gt;6,3,5)</f>
        <v>#REF!</v>
      </c>
    </row>
    <row r="1489" spans="1:13">
      <c r="A1489" s="730">
        <f t="shared" si="116"/>
        <v>9</v>
      </c>
      <c r="B1489" s="730" t="s">
        <v>2061</v>
      </c>
      <c r="C1489" s="731" t="s">
        <v>3007</v>
      </c>
      <c r="D1489" s="731" t="s">
        <v>3007</v>
      </c>
      <c r="E1489" s="731" t="s">
        <v>3007</v>
      </c>
      <c r="F1489" s="390">
        <f t="shared" si="117"/>
        <v>0</v>
      </c>
      <c r="G1489" s="731"/>
      <c r="H1489" s="731" t="s">
        <v>3007</v>
      </c>
      <c r="I1489" s="731"/>
      <c r="J1489" s="748"/>
      <c r="K1489" s="749"/>
      <c r="M1489" s="62" t="e">
        <f>IF(#REF!&gt;6,3,5)</f>
        <v>#REF!</v>
      </c>
    </row>
    <row r="1490" spans="1:13">
      <c r="A1490" s="730">
        <f t="shared" si="116"/>
        <v>10</v>
      </c>
      <c r="B1490" s="730" t="s">
        <v>4236</v>
      </c>
      <c r="C1490" s="731">
        <v>1600000</v>
      </c>
      <c r="D1490" s="731">
        <v>500000</v>
      </c>
      <c r="E1490" s="731">
        <v>500000</v>
      </c>
      <c r="F1490" s="390">
        <f t="shared" si="117"/>
        <v>2600000</v>
      </c>
      <c r="G1490" s="731">
        <v>245000</v>
      </c>
      <c r="H1490" s="731">
        <v>5500000</v>
      </c>
      <c r="I1490" s="731">
        <v>900000</v>
      </c>
      <c r="J1490" s="748"/>
      <c r="K1490" s="749"/>
      <c r="M1490" s="62" t="e">
        <f>IF(#REF!&gt;6,3,5)</f>
        <v>#REF!</v>
      </c>
    </row>
    <row r="1491" spans="1:13">
      <c r="A1491" s="730">
        <f t="shared" si="116"/>
        <v>11</v>
      </c>
      <c r="B1491" s="730" t="s">
        <v>1681</v>
      </c>
      <c r="C1491" s="731">
        <v>200000</v>
      </c>
      <c r="D1491" s="731">
        <v>100000</v>
      </c>
      <c r="E1491" s="731">
        <v>100000</v>
      </c>
      <c r="F1491" s="390">
        <f t="shared" si="117"/>
        <v>400000</v>
      </c>
      <c r="G1491" s="731">
        <v>2000</v>
      </c>
      <c r="H1491" s="731">
        <v>100000</v>
      </c>
      <c r="I1491" s="731">
        <v>85200</v>
      </c>
      <c r="J1491" s="748"/>
      <c r="K1491" s="749"/>
      <c r="M1491" s="62" t="e">
        <f>IF(#REF!&gt;6,3,5)</f>
        <v>#REF!</v>
      </c>
    </row>
    <row r="1492" spans="1:13">
      <c r="A1492" s="730">
        <f t="shared" si="116"/>
        <v>12</v>
      </c>
      <c r="B1492" s="730" t="s">
        <v>1682</v>
      </c>
      <c r="C1492" s="390">
        <v>1500000</v>
      </c>
      <c r="D1492" s="390">
        <v>1500000</v>
      </c>
      <c r="E1492" s="390">
        <v>1500000</v>
      </c>
      <c r="F1492" s="390">
        <f t="shared" si="117"/>
        <v>4500000</v>
      </c>
      <c r="G1492" s="390">
        <v>675770</v>
      </c>
      <c r="H1492" s="390">
        <v>1500000</v>
      </c>
      <c r="I1492" s="390">
        <v>644795.9</v>
      </c>
      <c r="J1492" s="748"/>
      <c r="K1492" s="749"/>
      <c r="M1492" s="62" t="e">
        <f>IF(#REF!&gt;6,3,5)</f>
        <v>#REF!</v>
      </c>
    </row>
    <row r="1493" spans="1:13">
      <c r="A1493" s="730">
        <f t="shared" si="116"/>
        <v>13</v>
      </c>
      <c r="B1493" s="768" t="s">
        <v>2249</v>
      </c>
      <c r="C1493" s="390">
        <v>200000</v>
      </c>
      <c r="D1493" s="390">
        <v>100000</v>
      </c>
      <c r="E1493" s="390">
        <v>100000</v>
      </c>
      <c r="F1493" s="390">
        <f t="shared" si="117"/>
        <v>400000</v>
      </c>
      <c r="G1493" s="390">
        <v>50000</v>
      </c>
      <c r="H1493" s="390">
        <v>100000</v>
      </c>
      <c r="I1493" s="390">
        <v>24000</v>
      </c>
      <c r="J1493" s="748"/>
      <c r="K1493" s="749"/>
      <c r="M1493" s="62" t="e">
        <f>IF(#REF!&gt;6,3,5)</f>
        <v>#REF!</v>
      </c>
    </row>
    <row r="1494" spans="1:13">
      <c r="A1494" s="730">
        <f t="shared" si="116"/>
        <v>14</v>
      </c>
      <c r="B1494" s="768" t="s">
        <v>1336</v>
      </c>
      <c r="C1494" s="390">
        <v>1000000</v>
      </c>
      <c r="D1494" s="390">
        <v>800000</v>
      </c>
      <c r="E1494" s="390">
        <v>800000</v>
      </c>
      <c r="F1494" s="390">
        <f t="shared" si="117"/>
        <v>2600000</v>
      </c>
      <c r="G1494" s="390">
        <v>392000</v>
      </c>
      <c r="H1494" s="390">
        <v>800000</v>
      </c>
      <c r="I1494" s="390">
        <v>465000</v>
      </c>
      <c r="J1494" s="748"/>
      <c r="K1494" s="749"/>
      <c r="M1494" s="62" t="e">
        <f>IF(#REF!&gt;6,3,5)</f>
        <v>#REF!</v>
      </c>
    </row>
    <row r="1495" spans="1:13">
      <c r="A1495" s="730">
        <f t="shared" si="116"/>
        <v>15</v>
      </c>
      <c r="B1495" s="730" t="s">
        <v>2002</v>
      </c>
      <c r="C1495" s="390">
        <v>1000000</v>
      </c>
      <c r="D1495" s="390">
        <v>300000</v>
      </c>
      <c r="E1495" s="390">
        <v>300000</v>
      </c>
      <c r="F1495" s="390">
        <f t="shared" si="117"/>
        <v>1600000</v>
      </c>
      <c r="G1495" s="390">
        <v>150000</v>
      </c>
      <c r="H1495" s="390">
        <v>300000</v>
      </c>
      <c r="I1495" s="390">
        <v>190000</v>
      </c>
      <c r="J1495" s="748"/>
      <c r="K1495" s="749"/>
      <c r="M1495" s="62" t="e">
        <f>IF(#REF!&gt;6,3,5)</f>
        <v>#REF!</v>
      </c>
    </row>
    <row r="1496" spans="1:13">
      <c r="A1496" s="730">
        <f t="shared" si="116"/>
        <v>16</v>
      </c>
      <c r="B1496" s="730" t="s">
        <v>251</v>
      </c>
      <c r="C1496" s="390" t="s">
        <v>1386</v>
      </c>
      <c r="D1496" s="390" t="s">
        <v>1386</v>
      </c>
      <c r="E1496" s="390" t="s">
        <v>1386</v>
      </c>
      <c r="F1496" s="390">
        <f t="shared" si="117"/>
        <v>0</v>
      </c>
      <c r="G1496" s="390"/>
      <c r="H1496" s="390">
        <v>5000000</v>
      </c>
      <c r="I1496" s="390"/>
      <c r="J1496" s="748"/>
      <c r="K1496" s="749"/>
      <c r="M1496" s="62" t="e">
        <f>IF(#REF!&gt;6,3,5)</f>
        <v>#REF!</v>
      </c>
    </row>
    <row r="1497" spans="1:13">
      <c r="A1497" s="730">
        <v>17</v>
      </c>
      <c r="B1497" s="730" t="s">
        <v>4187</v>
      </c>
      <c r="C1497" s="390" t="s">
        <v>1386</v>
      </c>
      <c r="D1497" s="743"/>
      <c r="E1497" s="743"/>
      <c r="F1497" s="743"/>
      <c r="G1497" s="743"/>
      <c r="H1497" s="743">
        <v>5000000</v>
      </c>
      <c r="I1497" s="743">
        <f>16615000*2</f>
        <v>33230000</v>
      </c>
      <c r="J1497" s="743"/>
      <c r="K1497" s="744"/>
      <c r="M1497" s="62" t="e">
        <f>IF(#REF!&gt;6,3,5)</f>
        <v>#REF!</v>
      </c>
    </row>
    <row r="1498" spans="1:13">
      <c r="A1498" s="738"/>
      <c r="B1498" s="738" t="s">
        <v>1684</v>
      </c>
      <c r="C1498" s="739">
        <f t="shared" ref="C1498:I1498" si="118">SUM(C1481:C1497)</f>
        <v>8500000</v>
      </c>
      <c r="D1498" s="739">
        <f t="shared" si="118"/>
        <v>6000000</v>
      </c>
      <c r="E1498" s="739">
        <f t="shared" si="118"/>
        <v>6000000</v>
      </c>
      <c r="F1498" s="739">
        <f t="shared" si="118"/>
        <v>20500000</v>
      </c>
      <c r="G1498" s="739">
        <f>SUM(G1481:G1497)</f>
        <v>2852020</v>
      </c>
      <c r="H1498" s="739">
        <f t="shared" si="118"/>
        <v>20500000</v>
      </c>
      <c r="I1498" s="739">
        <f t="shared" si="118"/>
        <v>37080295.899999999</v>
      </c>
      <c r="J1498" s="739"/>
      <c r="K1498" s="740"/>
      <c r="M1498" s="62" t="e">
        <f>IF(#REF!&gt;6,3,5)</f>
        <v>#REF!</v>
      </c>
    </row>
    <row r="1499" spans="1:13" ht="15">
      <c r="C1499" s="77"/>
      <c r="D1499" s="78" t="s">
        <v>5434</v>
      </c>
      <c r="J1499" s="584"/>
      <c r="K1499" s="584"/>
      <c r="M1499" s="62">
        <f t="shared" ref="M1499:M1535" si="119">IF(C1499&gt;6,3,5)</f>
        <v>5</v>
      </c>
    </row>
    <row r="1500" spans="1:13" ht="15">
      <c r="C1500" s="77"/>
      <c r="D1500" s="78" t="s">
        <v>1693</v>
      </c>
      <c r="J1500" s="584"/>
      <c r="K1500" s="584"/>
      <c r="M1500" s="62">
        <f t="shared" si="119"/>
        <v>5</v>
      </c>
    </row>
    <row r="1501" spans="1:13" ht="15">
      <c r="C1501" s="79" t="s">
        <v>717</v>
      </c>
      <c r="D1501" s="78" t="s">
        <v>86</v>
      </c>
      <c r="J1501" s="584"/>
      <c r="K1501" s="584"/>
      <c r="M1501" s="62">
        <f t="shared" si="119"/>
        <v>3</v>
      </c>
    </row>
    <row r="1502" spans="1:13" ht="15.75" thickBot="1">
      <c r="C1502" s="79" t="s">
        <v>718</v>
      </c>
      <c r="D1502" s="78" t="s">
        <v>2929</v>
      </c>
      <c r="J1502" s="584"/>
      <c r="K1502" s="584"/>
      <c r="M1502" s="62">
        <f t="shared" si="119"/>
        <v>3</v>
      </c>
    </row>
    <row r="1503" spans="1:13" ht="15.75" thickTop="1">
      <c r="A1503" s="1047" t="s">
        <v>2791</v>
      </c>
      <c r="B1503" s="1049" t="s">
        <v>4126</v>
      </c>
      <c r="C1503" s="1049" t="s">
        <v>854</v>
      </c>
      <c r="D1503" s="1040" t="s">
        <v>4127</v>
      </c>
      <c r="E1503" s="1041"/>
      <c r="F1503" s="1041"/>
      <c r="G1503" s="1040" t="s">
        <v>904</v>
      </c>
      <c r="H1503" s="1041"/>
      <c r="I1503" s="1042"/>
      <c r="J1503" s="1035" t="s">
        <v>855</v>
      </c>
      <c r="K1503" s="389"/>
    </row>
    <row r="1504" spans="1:13" ht="26.25" thickBot="1">
      <c r="A1504" s="1048"/>
      <c r="B1504" s="1050"/>
      <c r="C1504" s="1050"/>
      <c r="D1504" s="285" t="s">
        <v>5505</v>
      </c>
      <c r="E1504" s="285" t="s">
        <v>4485</v>
      </c>
      <c r="F1504" s="285" t="s">
        <v>4486</v>
      </c>
      <c r="G1504" s="287" t="s">
        <v>4487</v>
      </c>
      <c r="H1504" s="285" t="s">
        <v>4488</v>
      </c>
      <c r="I1504" s="287" t="s">
        <v>4489</v>
      </c>
      <c r="J1504" s="1036"/>
      <c r="K1504" s="712"/>
    </row>
    <row r="1505" spans="1:256" ht="13.5" thickTop="1">
      <c r="A1505" s="107"/>
      <c r="B1505" s="128" t="s">
        <v>86</v>
      </c>
      <c r="C1505" s="109"/>
      <c r="D1505" s="110"/>
      <c r="E1505" s="110"/>
      <c r="F1505" s="69"/>
      <c r="G1505" s="110"/>
      <c r="H1505" s="110"/>
      <c r="I1505" s="110"/>
      <c r="J1505" s="713"/>
      <c r="K1505" s="711"/>
      <c r="M1505" s="62">
        <f t="shared" si="119"/>
        <v>5</v>
      </c>
    </row>
    <row r="1506" spans="1:256">
      <c r="A1506" s="88">
        <v>1</v>
      </c>
      <c r="B1506" s="69" t="s">
        <v>2003</v>
      </c>
      <c r="C1506" s="69" t="s">
        <v>2335</v>
      </c>
      <c r="D1506" s="89">
        <v>1</v>
      </c>
      <c r="E1506" s="89">
        <v>1</v>
      </c>
      <c r="F1506" s="89">
        <v>1</v>
      </c>
      <c r="G1506" s="89">
        <v>1</v>
      </c>
      <c r="H1506" s="89">
        <v>1</v>
      </c>
      <c r="I1506" s="89">
        <v>1</v>
      </c>
      <c r="J1506" s="713">
        <f>H1506*L1506</f>
        <v>6600000</v>
      </c>
      <c r="K1506" s="711"/>
      <c r="L1506" s="183">
        <f>550000*12</f>
        <v>6600000</v>
      </c>
      <c r="M1506" s="62">
        <f t="shared" si="119"/>
        <v>3</v>
      </c>
    </row>
    <row r="1507" spans="1:256">
      <c r="A1507" s="88">
        <f>+A1506+1</f>
        <v>2</v>
      </c>
      <c r="B1507" s="69" t="s">
        <v>3840</v>
      </c>
      <c r="C1507" s="69" t="s">
        <v>2335</v>
      </c>
      <c r="D1507" s="89">
        <v>43</v>
      </c>
      <c r="E1507" s="89">
        <v>45</v>
      </c>
      <c r="F1507" s="89">
        <v>39</v>
      </c>
      <c r="G1507" s="89">
        <v>39</v>
      </c>
      <c r="H1507" s="89">
        <v>39</v>
      </c>
      <c r="I1507" s="89">
        <v>39</v>
      </c>
      <c r="J1507" s="713">
        <f>H1507*L1507</f>
        <v>117000000</v>
      </c>
      <c r="K1507" s="711"/>
      <c r="L1507" s="183">
        <f>250000*12</f>
        <v>3000000</v>
      </c>
      <c r="M1507" s="62">
        <f t="shared" si="119"/>
        <v>3</v>
      </c>
    </row>
    <row r="1508" spans="1:256">
      <c r="A1508" s="88">
        <f t="shared" ref="A1508:A1516" si="120">+A1507+1</f>
        <v>3</v>
      </c>
      <c r="B1508" s="69" t="s">
        <v>3682</v>
      </c>
      <c r="C1508" s="69" t="s">
        <v>2335</v>
      </c>
      <c r="D1508" s="89">
        <v>40</v>
      </c>
      <c r="E1508" s="89">
        <v>45</v>
      </c>
      <c r="F1508" s="89">
        <v>40</v>
      </c>
      <c r="G1508" s="89">
        <v>40</v>
      </c>
      <c r="H1508" s="89">
        <v>40</v>
      </c>
      <c r="I1508" s="89">
        <v>40</v>
      </c>
      <c r="J1508" s="713">
        <f>H1508*L1508</f>
        <v>57600000</v>
      </c>
      <c r="K1508" s="711"/>
      <c r="L1508" s="183">
        <f>120000*12</f>
        <v>1440000</v>
      </c>
      <c r="M1508" s="62">
        <f>IF(C1508&gt;6,3,5)</f>
        <v>3</v>
      </c>
    </row>
    <row r="1509" spans="1:256">
      <c r="A1509" s="88">
        <f t="shared" si="120"/>
        <v>4</v>
      </c>
      <c r="B1509" s="69" t="s">
        <v>1857</v>
      </c>
      <c r="C1509" s="69">
        <v>8</v>
      </c>
      <c r="D1509" s="89">
        <v>3</v>
      </c>
      <c r="E1509" s="89">
        <v>4</v>
      </c>
      <c r="F1509" s="89">
        <v>3</v>
      </c>
      <c r="G1509" s="89">
        <v>3</v>
      </c>
      <c r="H1509" s="89">
        <v>4</v>
      </c>
      <c r="I1509" s="89">
        <v>3</v>
      </c>
      <c r="J1509" s="710">
        <f>(VLOOKUP($C1509,[2]Sheet1!$A$2:$P$18,$M1509+1)/12)*12*D1509</f>
        <v>1026423.82224</v>
      </c>
      <c r="K1509" s="711"/>
      <c r="M1509" s="62">
        <f t="shared" si="119"/>
        <v>3</v>
      </c>
    </row>
    <row r="1510" spans="1:256">
      <c r="A1510" s="88">
        <f t="shared" si="120"/>
        <v>5</v>
      </c>
      <c r="B1510" s="69" t="s">
        <v>2443</v>
      </c>
      <c r="C1510" s="69">
        <v>6</v>
      </c>
      <c r="D1510" s="89">
        <v>1</v>
      </c>
      <c r="E1510" s="89">
        <v>2</v>
      </c>
      <c r="F1510" s="89">
        <v>1</v>
      </c>
      <c r="G1510" s="89">
        <v>1</v>
      </c>
      <c r="H1510" s="89">
        <v>2</v>
      </c>
      <c r="I1510" s="89">
        <v>1</v>
      </c>
      <c r="J1510" s="710">
        <f>(VLOOKUP($C1510,[2]Sheet1!$A$2:$P$18,$M1510+1)/12)*12*D1510</f>
        <v>238099.37893036497</v>
      </c>
      <c r="K1510" s="711"/>
      <c r="M1510" s="62">
        <f t="shared" si="119"/>
        <v>5</v>
      </c>
    </row>
    <row r="1511" spans="1:256">
      <c r="A1511" s="88">
        <f t="shared" si="120"/>
        <v>6</v>
      </c>
      <c r="B1511" s="69" t="s">
        <v>2288</v>
      </c>
      <c r="C1511" s="69">
        <v>5</v>
      </c>
      <c r="D1511" s="89">
        <v>1</v>
      </c>
      <c r="E1511" s="89">
        <v>1</v>
      </c>
      <c r="F1511" s="89">
        <v>1</v>
      </c>
      <c r="G1511" s="89">
        <v>1</v>
      </c>
      <c r="H1511" s="89">
        <v>1</v>
      </c>
      <c r="I1511" s="89">
        <v>1</v>
      </c>
      <c r="J1511" s="710">
        <f>(VLOOKUP($C1511,[2]Sheet1!$A$2:$P$18,$M1511+1)/12)*12*D1511</f>
        <v>229569.77893036499</v>
      </c>
      <c r="K1511" s="711"/>
      <c r="M1511" s="62">
        <f t="shared" si="119"/>
        <v>5</v>
      </c>
    </row>
    <row r="1512" spans="1:256">
      <c r="A1512" s="88">
        <f t="shared" si="120"/>
        <v>7</v>
      </c>
      <c r="B1512" s="69" t="s">
        <v>3145</v>
      </c>
      <c r="C1512" s="69">
        <v>4</v>
      </c>
      <c r="D1512" s="89">
        <v>4</v>
      </c>
      <c r="E1512" s="89">
        <v>6</v>
      </c>
      <c r="F1512" s="89">
        <v>4</v>
      </c>
      <c r="G1512" s="89">
        <v>4</v>
      </c>
      <c r="H1512" s="89">
        <v>4</v>
      </c>
      <c r="I1512" s="89">
        <v>4</v>
      </c>
      <c r="J1512" s="710">
        <f>(VLOOKUP($C1512,[2]Sheet1!$A$2:$P$18,$M1512+1)/12)*12*D1512</f>
        <v>898171.91572146001</v>
      </c>
      <c r="K1512" s="711"/>
      <c r="M1512" s="62">
        <f t="shared" si="119"/>
        <v>5</v>
      </c>
    </row>
    <row r="1513" spans="1:256">
      <c r="A1513" s="88">
        <f t="shared" si="120"/>
        <v>8</v>
      </c>
      <c r="B1513" s="69" t="s">
        <v>2572</v>
      </c>
      <c r="C1513" s="69">
        <v>7</v>
      </c>
      <c r="D1513" s="89">
        <v>1</v>
      </c>
      <c r="E1513" s="89">
        <v>1</v>
      </c>
      <c r="F1513" s="89">
        <v>1</v>
      </c>
      <c r="G1513" s="89">
        <v>1</v>
      </c>
      <c r="H1513" s="89">
        <v>1</v>
      </c>
      <c r="I1513" s="89">
        <v>1</v>
      </c>
      <c r="J1513" s="710">
        <f>(VLOOKUP($C1513,[2]Sheet1!$A$2:$P$18,$M1513+1)/12)*12*D1513</f>
        <v>307706.70240000007</v>
      </c>
      <c r="K1513" s="711"/>
      <c r="M1513" s="62">
        <f t="shared" si="119"/>
        <v>3</v>
      </c>
    </row>
    <row r="1514" spans="1:256">
      <c r="A1514" s="88">
        <f t="shared" si="120"/>
        <v>9</v>
      </c>
      <c r="B1514" s="69" t="s">
        <v>2232</v>
      </c>
      <c r="C1514" s="69">
        <v>4</v>
      </c>
      <c r="D1514" s="89">
        <v>4</v>
      </c>
      <c r="E1514" s="89">
        <v>2</v>
      </c>
      <c r="F1514" s="89">
        <v>4</v>
      </c>
      <c r="G1514" s="89">
        <v>4</v>
      </c>
      <c r="H1514" s="89">
        <v>2</v>
      </c>
      <c r="I1514" s="89">
        <v>4</v>
      </c>
      <c r="J1514" s="710">
        <f>(VLOOKUP($C1514,[2]Sheet1!$A$2:$P$18,$M1514+1)/12)*12*D1514</f>
        <v>898171.91572146001</v>
      </c>
      <c r="K1514" s="711"/>
      <c r="M1514" s="62">
        <f t="shared" si="119"/>
        <v>5</v>
      </c>
    </row>
    <row r="1515" spans="1:256">
      <c r="A1515" s="88">
        <f t="shared" si="120"/>
        <v>10</v>
      </c>
      <c r="B1515" s="69" t="s">
        <v>3674</v>
      </c>
      <c r="C1515" s="69">
        <v>2</v>
      </c>
      <c r="D1515" s="89">
        <v>2</v>
      </c>
      <c r="E1515" s="89">
        <v>2</v>
      </c>
      <c r="F1515" s="89">
        <v>2</v>
      </c>
      <c r="G1515" s="89">
        <v>2</v>
      </c>
      <c r="H1515" s="89">
        <v>2</v>
      </c>
      <c r="I1515" s="89">
        <v>2</v>
      </c>
      <c r="J1515" s="710">
        <f>(VLOOKUP($C1515,[2]Sheet1!$A$2:$P$18,$M1515+1)/12)*12*D1515</f>
        <v>429314.75786073005</v>
      </c>
      <c r="K1515" s="711"/>
      <c r="M1515" s="62">
        <f t="shared" si="119"/>
        <v>5</v>
      </c>
    </row>
    <row r="1516" spans="1:256">
      <c r="A1516" s="88">
        <f t="shared" si="120"/>
        <v>11</v>
      </c>
      <c r="B1516" s="69" t="s">
        <v>2543</v>
      </c>
      <c r="C1516" s="69">
        <v>2</v>
      </c>
      <c r="D1516" s="89">
        <v>2</v>
      </c>
      <c r="E1516" s="89">
        <v>2</v>
      </c>
      <c r="F1516" s="89">
        <v>2</v>
      </c>
      <c r="G1516" s="89">
        <v>2</v>
      </c>
      <c r="H1516" s="89">
        <v>2</v>
      </c>
      <c r="I1516" s="89">
        <v>2</v>
      </c>
      <c r="J1516" s="710">
        <f>(VLOOKUP($C1516,[2]Sheet1!$A$2:$P$18,$M1516+1)/12)*12*D1516</f>
        <v>429314.75786073005</v>
      </c>
      <c r="K1516" s="711"/>
      <c r="M1516" s="62">
        <f t="shared" si="119"/>
        <v>5</v>
      </c>
    </row>
    <row r="1517" spans="1:256">
      <c r="A1517" s="92"/>
      <c r="B1517" s="93" t="s">
        <v>1684</v>
      </c>
      <c r="C1517" s="94"/>
      <c r="D1517" s="123">
        <f t="shared" ref="D1517:J1517" si="121">SUM(D1506:D1516)</f>
        <v>102</v>
      </c>
      <c r="E1517" s="123">
        <f t="shared" si="121"/>
        <v>111</v>
      </c>
      <c r="F1517" s="123">
        <f t="shared" si="121"/>
        <v>98</v>
      </c>
      <c r="G1517" s="123">
        <f>SUM(G1506:G1516)</f>
        <v>98</v>
      </c>
      <c r="H1517" s="123">
        <f t="shared" si="121"/>
        <v>98</v>
      </c>
      <c r="I1517" s="123">
        <f t="shared" si="121"/>
        <v>98</v>
      </c>
      <c r="J1517" s="123">
        <f t="shared" si="121"/>
        <v>185656773.02966505</v>
      </c>
      <c r="K1517" s="378"/>
      <c r="M1517" s="62">
        <f t="shared" si="119"/>
        <v>5</v>
      </c>
    </row>
    <row r="1518" spans="1:256">
      <c r="A1518" s="69"/>
      <c r="B1518" s="69"/>
      <c r="C1518" s="69"/>
      <c r="D1518" s="69"/>
      <c r="E1518" s="69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  <c r="HV1518" s="69"/>
      <c r="HW1518" s="69"/>
      <c r="HX1518" s="69"/>
      <c r="HY1518" s="69"/>
      <c r="HZ1518" s="69"/>
      <c r="IA1518" s="69"/>
      <c r="IB1518" s="69"/>
      <c r="IC1518" s="69"/>
      <c r="ID1518" s="69"/>
      <c r="IE1518" s="69"/>
      <c r="IF1518" s="69"/>
      <c r="IG1518" s="69"/>
      <c r="IH1518" s="69"/>
      <c r="II1518" s="69"/>
      <c r="IJ1518" s="69"/>
      <c r="IK1518" s="69"/>
      <c r="IL1518" s="69"/>
      <c r="IM1518" s="69"/>
      <c r="IN1518" s="69"/>
      <c r="IO1518" s="69"/>
      <c r="IP1518" s="69"/>
      <c r="IQ1518" s="69"/>
      <c r="IR1518" s="69"/>
      <c r="IS1518" s="69"/>
      <c r="IT1518" s="69"/>
      <c r="IU1518" s="69"/>
      <c r="IV1518" s="69"/>
    </row>
    <row r="1519" spans="1:256">
      <c r="A1519" s="88"/>
      <c r="B1519" s="90" t="s">
        <v>1199</v>
      </c>
      <c r="C1519" s="97"/>
      <c r="D1519" s="98"/>
      <c r="E1519" s="98"/>
      <c r="F1519" s="125"/>
      <c r="G1519" s="240" t="s">
        <v>243</v>
      </c>
      <c r="H1519" s="240" t="s">
        <v>4130</v>
      </c>
      <c r="I1519" s="240" t="s">
        <v>4202</v>
      </c>
      <c r="J1519" s="241" t="s">
        <v>4200</v>
      </c>
      <c r="K1519" s="375"/>
      <c r="M1519" s="62">
        <f t="shared" si="119"/>
        <v>5</v>
      </c>
    </row>
    <row r="1520" spans="1:256">
      <c r="A1520" s="88"/>
      <c r="B1520" s="69" t="s">
        <v>2786</v>
      </c>
      <c r="C1520" s="69"/>
      <c r="D1520" s="89"/>
      <c r="E1520" s="89"/>
      <c r="F1520" s="89"/>
      <c r="G1520" s="100">
        <f>J1517*0.2</f>
        <v>37131354.605933011</v>
      </c>
      <c r="H1520" s="100">
        <f t="shared" ref="H1520:I1524" si="122">G1520*1.02</f>
        <v>37873981.698051669</v>
      </c>
      <c r="I1520" s="100">
        <f t="shared" si="122"/>
        <v>38631461.332012706</v>
      </c>
      <c r="J1520" s="100">
        <f>SUM(G1520:I1520)</f>
        <v>113636797.63599738</v>
      </c>
      <c r="K1520" s="114"/>
      <c r="M1520" s="62">
        <f t="shared" si="119"/>
        <v>5</v>
      </c>
    </row>
    <row r="1521" spans="1:13">
      <c r="A1521" s="88"/>
      <c r="B1521" s="69" t="s">
        <v>3146</v>
      </c>
      <c r="C1521" s="69"/>
      <c r="D1521" s="89"/>
      <c r="E1521" s="89"/>
      <c r="F1521" s="89"/>
      <c r="G1521" s="100">
        <f>G1520/6</f>
        <v>6188559.1009888351</v>
      </c>
      <c r="H1521" s="100">
        <f t="shared" si="122"/>
        <v>6312330.2830086118</v>
      </c>
      <c r="I1521" s="100">
        <f t="shared" si="122"/>
        <v>6438576.8886687839</v>
      </c>
      <c r="J1521" s="100">
        <f>SUM(G1521:I1521)</f>
        <v>18939466.272666231</v>
      </c>
      <c r="K1521" s="114"/>
      <c r="M1521" s="62">
        <f t="shared" si="119"/>
        <v>5</v>
      </c>
    </row>
    <row r="1522" spans="1:13">
      <c r="A1522" s="88"/>
      <c r="B1522" s="69" t="s">
        <v>2877</v>
      </c>
      <c r="C1522" s="69"/>
      <c r="D1522" s="89"/>
      <c r="E1522" s="89"/>
      <c r="F1522" s="89"/>
      <c r="G1522" s="100">
        <f>G1521/6</f>
        <v>1031426.5168314725</v>
      </c>
      <c r="H1522" s="100">
        <f t="shared" si="122"/>
        <v>1052055.0471681019</v>
      </c>
      <c r="I1522" s="100">
        <f t="shared" si="122"/>
        <v>1073096.148111464</v>
      </c>
      <c r="J1522" s="100">
        <f>SUM(G1522:I1522)</f>
        <v>3156577.7121110382</v>
      </c>
      <c r="K1522" s="114"/>
      <c r="M1522" s="62">
        <f t="shared" si="119"/>
        <v>5</v>
      </c>
    </row>
    <row r="1523" spans="1:13">
      <c r="A1523" s="88"/>
      <c r="B1523" s="69" t="s">
        <v>2878</v>
      </c>
      <c r="C1523" s="69"/>
      <c r="D1523" s="89"/>
      <c r="E1523" s="89"/>
      <c r="F1523" s="89"/>
      <c r="G1523" s="100">
        <f>G1522</f>
        <v>1031426.5168314725</v>
      </c>
      <c r="H1523" s="100">
        <f t="shared" si="122"/>
        <v>1052055.0471681019</v>
      </c>
      <c r="I1523" s="100">
        <f t="shared" si="122"/>
        <v>1073096.148111464</v>
      </c>
      <c r="J1523" s="100">
        <f>SUM(G1523:I1523)</f>
        <v>3156577.7121110382</v>
      </c>
      <c r="K1523" s="114"/>
      <c r="M1523" s="62">
        <f t="shared" si="119"/>
        <v>5</v>
      </c>
    </row>
    <row r="1524" spans="1:13">
      <c r="A1524" s="88"/>
      <c r="B1524" s="69" t="s">
        <v>1342</v>
      </c>
      <c r="C1524" s="69"/>
      <c r="D1524" s="89"/>
      <c r="E1524" s="89"/>
      <c r="F1524" s="89"/>
      <c r="G1524" s="100">
        <v>1190408.7353600003</v>
      </c>
      <c r="H1524" s="100">
        <f t="shared" si="122"/>
        <v>1214216.9100672002</v>
      </c>
      <c r="I1524" s="100">
        <f t="shared" si="122"/>
        <v>1238501.2482685442</v>
      </c>
      <c r="J1524" s="100">
        <f>SUM(G1524:I1524)</f>
        <v>3643126.8936957447</v>
      </c>
      <c r="K1524" s="114"/>
      <c r="M1524" s="62">
        <f t="shared" si="119"/>
        <v>5</v>
      </c>
    </row>
    <row r="1525" spans="1:13">
      <c r="A1525" s="88"/>
      <c r="B1525" s="69"/>
      <c r="C1525" s="69"/>
      <c r="D1525" s="89"/>
      <c r="E1525" s="89"/>
      <c r="F1525" s="111"/>
      <c r="G1525" s="111"/>
      <c r="H1525" s="111"/>
      <c r="I1525" s="111"/>
      <c r="J1525" s="111"/>
      <c r="K1525" s="114"/>
      <c r="M1525" s="62">
        <f t="shared" si="119"/>
        <v>5</v>
      </c>
    </row>
    <row r="1526" spans="1:13">
      <c r="A1526" s="92"/>
      <c r="B1526" s="93" t="s">
        <v>1933</v>
      </c>
      <c r="C1526" s="94"/>
      <c r="D1526" s="101"/>
      <c r="E1526" s="101"/>
      <c r="F1526" s="95"/>
      <c r="G1526" s="95">
        <f>SUM(G1520:G1524)</f>
        <v>46573175.475944787</v>
      </c>
      <c r="H1526" s="95">
        <f>SUM(H1520:H1524)</f>
        <v>47504638.985463679</v>
      </c>
      <c r="I1526" s="95">
        <f>SUM(I1520:I1524)</f>
        <v>48454731.765172958</v>
      </c>
      <c r="J1526" s="95">
        <f>SUM(J1520:J1524)</f>
        <v>142532546.22658142</v>
      </c>
      <c r="K1526" s="378"/>
      <c r="M1526" s="62">
        <f t="shared" si="119"/>
        <v>5</v>
      </c>
    </row>
    <row r="1527" spans="1:13">
      <c r="A1527" s="88"/>
      <c r="B1527" s="69"/>
      <c r="C1527" s="69"/>
      <c r="D1527" s="89"/>
      <c r="E1527" s="89"/>
      <c r="F1527" s="89"/>
      <c r="G1527" s="89"/>
      <c r="H1527" s="89"/>
      <c r="I1527" s="89"/>
      <c r="J1527" s="89"/>
      <c r="K1527" s="114"/>
      <c r="M1527" s="62">
        <f t="shared" si="119"/>
        <v>5</v>
      </c>
    </row>
    <row r="1528" spans="1:13">
      <c r="A1528" s="88">
        <v>1</v>
      </c>
      <c r="B1528" s="69" t="s">
        <v>1934</v>
      </c>
      <c r="C1528" s="69"/>
      <c r="D1528" s="89"/>
      <c r="E1528" s="89"/>
      <c r="F1528" s="89"/>
      <c r="G1528" s="100">
        <f>G1526+J1517</f>
        <v>232229948.50560984</v>
      </c>
      <c r="H1528" s="100">
        <f>G1528*1.02</f>
        <v>236874547.47572204</v>
      </c>
      <c r="I1528" s="100">
        <f>H1528*1.02</f>
        <v>241612038.42523649</v>
      </c>
      <c r="J1528" s="100">
        <f>SUM(G1528:I1528)</f>
        <v>710716534.40656841</v>
      </c>
      <c r="K1528" s="114"/>
      <c r="L1528" s="112"/>
      <c r="M1528" s="62">
        <f t="shared" si="119"/>
        <v>5</v>
      </c>
    </row>
    <row r="1529" spans="1:13">
      <c r="A1529" s="88">
        <f>+A1528+1</f>
        <v>2</v>
      </c>
      <c r="B1529" s="69" t="s">
        <v>129</v>
      </c>
      <c r="C1529" s="69"/>
      <c r="D1529" s="89"/>
      <c r="E1529" s="89"/>
      <c r="F1529" s="89"/>
      <c r="G1529" s="89">
        <f>C1561</f>
        <v>222000000</v>
      </c>
      <c r="H1529" s="89">
        <f>D1561</f>
        <v>376008000</v>
      </c>
      <c r="I1529" s="89">
        <f>E1561</f>
        <v>376008000</v>
      </c>
      <c r="J1529" s="100">
        <f>SUM(G1529:I1529)</f>
        <v>974016000</v>
      </c>
      <c r="K1529" s="114"/>
      <c r="M1529" s="62">
        <f t="shared" si="119"/>
        <v>5</v>
      </c>
    </row>
    <row r="1530" spans="1:13">
      <c r="A1530" s="88"/>
      <c r="B1530" s="69"/>
      <c r="C1530" s="69"/>
      <c r="D1530" s="89"/>
      <c r="E1530" s="89"/>
      <c r="F1530" s="89"/>
      <c r="G1530" s="89"/>
      <c r="H1530" s="89"/>
      <c r="I1530" s="89"/>
      <c r="J1530" s="89"/>
      <c r="K1530" s="114"/>
      <c r="M1530" s="62">
        <f t="shared" si="119"/>
        <v>5</v>
      </c>
    </row>
    <row r="1531" spans="1:13" ht="13.5" thickBot="1">
      <c r="A1531" s="102"/>
      <c r="B1531" s="103" t="s">
        <v>2241</v>
      </c>
      <c r="C1531" s="104"/>
      <c r="D1531" s="105"/>
      <c r="E1531" s="105"/>
      <c r="F1531" s="129"/>
      <c r="G1531" s="129">
        <f>+G1529+G1528</f>
        <v>454229948.50560987</v>
      </c>
      <c r="H1531" s="129">
        <f>+H1529+H1528</f>
        <v>612882547.47572207</v>
      </c>
      <c r="I1531" s="129">
        <f>+I1529+I1528</f>
        <v>617620038.42523646</v>
      </c>
      <c r="J1531" s="129">
        <f>+J1529+J1528</f>
        <v>1684732534.4065685</v>
      </c>
      <c r="K1531" s="378"/>
      <c r="M1531" s="62">
        <f t="shared" si="119"/>
        <v>5</v>
      </c>
    </row>
    <row r="1532" spans="1:13" ht="15.75" thickTop="1">
      <c r="C1532" s="77"/>
      <c r="D1532" s="78" t="s">
        <v>5434</v>
      </c>
      <c r="J1532" s="584"/>
      <c r="K1532" s="584"/>
      <c r="M1532" s="62">
        <f t="shared" si="119"/>
        <v>5</v>
      </c>
    </row>
    <row r="1533" spans="1:13" ht="15">
      <c r="C1533" s="77"/>
      <c r="D1533" s="78" t="s">
        <v>716</v>
      </c>
      <c r="J1533" s="584"/>
      <c r="K1533" s="584"/>
      <c r="M1533" s="62">
        <f t="shared" si="119"/>
        <v>5</v>
      </c>
    </row>
    <row r="1534" spans="1:13" ht="15">
      <c r="C1534" s="79" t="s">
        <v>717</v>
      </c>
      <c r="D1534" s="78" t="s">
        <v>86</v>
      </c>
      <c r="J1534" s="584"/>
      <c r="K1534" s="584"/>
      <c r="M1534" s="62">
        <f t="shared" si="119"/>
        <v>3</v>
      </c>
    </row>
    <row r="1535" spans="1:13" ht="15">
      <c r="C1535" s="79" t="s">
        <v>718</v>
      </c>
      <c r="D1535" s="78" t="s">
        <v>2929</v>
      </c>
      <c r="J1535" s="584"/>
      <c r="K1535" s="584"/>
      <c r="M1535" s="62">
        <f t="shared" si="119"/>
        <v>3</v>
      </c>
    </row>
    <row r="1536" spans="1:13" ht="15">
      <c r="A1536" s="634" t="s">
        <v>1839</v>
      </c>
      <c r="B1536" s="635" t="s">
        <v>903</v>
      </c>
      <c r="C1536" s="1037" t="s">
        <v>4127</v>
      </c>
      <c r="D1536" s="1038"/>
      <c r="E1536" s="1039"/>
      <c r="F1536" s="635" t="s">
        <v>1684</v>
      </c>
      <c r="G1536" s="1037" t="s">
        <v>4132</v>
      </c>
      <c r="H1536" s="1038"/>
      <c r="I1536" s="1039"/>
      <c r="J1536" s="726"/>
      <c r="K1536" s="727"/>
    </row>
    <row r="1537" spans="1:13">
      <c r="A1537" s="636" t="s">
        <v>1620</v>
      </c>
      <c r="B1537" s="637"/>
      <c r="C1537" s="635" t="s">
        <v>1841</v>
      </c>
      <c r="D1537" s="635" t="s">
        <v>4133</v>
      </c>
      <c r="E1537" s="635" t="s">
        <v>4133</v>
      </c>
      <c r="F1537" s="1056" t="s">
        <v>4200</v>
      </c>
      <c r="G1537" s="634" t="s">
        <v>4135</v>
      </c>
      <c r="H1537" s="1051" t="s">
        <v>4182</v>
      </c>
      <c r="I1537" s="634" t="s">
        <v>4135</v>
      </c>
      <c r="J1537" s="728" t="s">
        <v>4136</v>
      </c>
      <c r="K1537" s="727"/>
    </row>
    <row r="1538" spans="1:13" ht="12.75" customHeight="1">
      <c r="A1538" s="638" t="s">
        <v>387</v>
      </c>
      <c r="B1538" s="639"/>
      <c r="C1538" s="638">
        <v>2015</v>
      </c>
      <c r="D1538" s="638">
        <v>2016</v>
      </c>
      <c r="E1538" s="638">
        <v>2017</v>
      </c>
      <c r="F1538" s="1057"/>
      <c r="G1538" s="638" t="s">
        <v>4304</v>
      </c>
      <c r="H1538" s="1052"/>
      <c r="I1538" s="638" t="s">
        <v>4303</v>
      </c>
      <c r="J1538" s="639"/>
      <c r="K1538" s="729"/>
    </row>
    <row r="1539" spans="1:13" ht="20.100000000000001" customHeight="1">
      <c r="A1539" s="768">
        <v>2</v>
      </c>
      <c r="B1539" s="773" t="s">
        <v>1695</v>
      </c>
      <c r="C1539" s="774">
        <v>10000000</v>
      </c>
      <c r="D1539" s="774">
        <v>8320000</v>
      </c>
      <c r="E1539" s="774">
        <v>8320000</v>
      </c>
      <c r="F1539" s="774">
        <f>SUM(C1539:E1539)</f>
        <v>26640000</v>
      </c>
      <c r="G1539" s="774">
        <f>10000000</f>
        <v>10000000</v>
      </c>
      <c r="H1539" s="774">
        <v>8000000</v>
      </c>
      <c r="I1539" s="774">
        <v>3125000</v>
      </c>
      <c r="J1539" s="774">
        <v>3125000</v>
      </c>
      <c r="K1539" s="754"/>
      <c r="M1539" s="62" t="e">
        <f>IF(#REF!&gt;6,3,5)</f>
        <v>#REF!</v>
      </c>
    </row>
    <row r="1540" spans="1:13" ht="20.100000000000001" customHeight="1">
      <c r="A1540" s="768">
        <f t="shared" ref="A1540:A1559" si="123">A1539+1</f>
        <v>3</v>
      </c>
      <c r="B1540" s="773" t="s">
        <v>1696</v>
      </c>
      <c r="C1540" s="774" t="s">
        <v>3007</v>
      </c>
      <c r="D1540" s="774" t="s">
        <v>3007</v>
      </c>
      <c r="E1540" s="774" t="s">
        <v>3007</v>
      </c>
      <c r="F1540" s="774">
        <f t="shared" ref="F1540:F1560" si="124">SUM(C1540:E1540)</f>
        <v>0</v>
      </c>
      <c r="G1540" s="774"/>
      <c r="H1540" s="774" t="s">
        <v>3007</v>
      </c>
      <c r="I1540" s="774"/>
      <c r="J1540" s="774"/>
      <c r="K1540" s="754"/>
      <c r="M1540" s="62" t="e">
        <f>IF(#REF!&gt;6,3,5)</f>
        <v>#REF!</v>
      </c>
    </row>
    <row r="1541" spans="1:13" ht="20.100000000000001" customHeight="1">
      <c r="A1541" s="768">
        <f t="shared" si="123"/>
        <v>4</v>
      </c>
      <c r="B1541" s="773" t="s">
        <v>1701</v>
      </c>
      <c r="C1541" s="774" t="s">
        <v>3007</v>
      </c>
      <c r="D1541" s="774" t="s">
        <v>3007</v>
      </c>
      <c r="E1541" s="774" t="s">
        <v>3007</v>
      </c>
      <c r="F1541" s="774">
        <f t="shared" si="124"/>
        <v>0</v>
      </c>
      <c r="G1541" s="774"/>
      <c r="H1541" s="774" t="s">
        <v>3007</v>
      </c>
      <c r="I1541" s="774"/>
      <c r="J1541" s="774"/>
      <c r="K1541" s="754"/>
      <c r="M1541" s="62" t="e">
        <f>IF(#REF!&gt;6,3,5)</f>
        <v>#REF!</v>
      </c>
    </row>
    <row r="1542" spans="1:13" ht="20.100000000000001" customHeight="1">
      <c r="A1542" s="768">
        <f t="shared" si="123"/>
        <v>5</v>
      </c>
      <c r="B1542" s="773" t="s">
        <v>1702</v>
      </c>
      <c r="C1542" s="774">
        <v>800000</v>
      </c>
      <c r="D1542" s="774">
        <v>728000</v>
      </c>
      <c r="E1542" s="774">
        <v>728000</v>
      </c>
      <c r="F1542" s="774">
        <f t="shared" si="124"/>
        <v>2256000</v>
      </c>
      <c r="G1542" s="774"/>
      <c r="H1542" s="774">
        <v>700000</v>
      </c>
      <c r="I1542" s="774">
        <v>50000</v>
      </c>
      <c r="J1542" s="774">
        <v>50000</v>
      </c>
      <c r="K1542" s="754"/>
      <c r="M1542" s="62" t="e">
        <f>IF(#REF!&gt;6,3,5)</f>
        <v>#REF!</v>
      </c>
    </row>
    <row r="1543" spans="1:13" ht="20.100000000000001" customHeight="1">
      <c r="A1543" s="768">
        <f t="shared" si="123"/>
        <v>6</v>
      </c>
      <c r="B1543" s="773" t="s">
        <v>1544</v>
      </c>
      <c r="C1543" s="774">
        <v>800000</v>
      </c>
      <c r="D1543" s="774">
        <v>832000</v>
      </c>
      <c r="E1543" s="774">
        <v>832000</v>
      </c>
      <c r="F1543" s="774">
        <f t="shared" si="124"/>
        <v>2464000</v>
      </c>
      <c r="G1543" s="774"/>
      <c r="H1543" s="774">
        <v>800000</v>
      </c>
      <c r="I1543" s="774">
        <v>330000</v>
      </c>
      <c r="J1543" s="774">
        <v>330000</v>
      </c>
      <c r="K1543" s="754"/>
      <c r="M1543" s="62" t="e">
        <f>IF(#REF!&gt;6,3,5)</f>
        <v>#REF!</v>
      </c>
    </row>
    <row r="1544" spans="1:13" ht="20.100000000000001" customHeight="1">
      <c r="A1544" s="768">
        <f t="shared" si="123"/>
        <v>7</v>
      </c>
      <c r="B1544" s="773" t="s">
        <v>897</v>
      </c>
      <c r="C1544" s="774">
        <v>2000000</v>
      </c>
      <c r="D1544" s="774">
        <v>2080000</v>
      </c>
      <c r="E1544" s="774">
        <v>2080000</v>
      </c>
      <c r="F1544" s="774">
        <f t="shared" si="124"/>
        <v>6160000</v>
      </c>
      <c r="G1544" s="774"/>
      <c r="H1544" s="774">
        <v>2000000</v>
      </c>
      <c r="I1544" s="774">
        <v>850000</v>
      </c>
      <c r="J1544" s="774">
        <v>850000</v>
      </c>
      <c r="K1544" s="754"/>
      <c r="M1544" s="62" t="e">
        <f>IF(#REF!&gt;6,3,5)</f>
        <v>#REF!</v>
      </c>
    </row>
    <row r="1545" spans="1:13" ht="20.100000000000001" customHeight="1">
      <c r="A1545" s="768">
        <f t="shared" si="123"/>
        <v>8</v>
      </c>
      <c r="B1545" s="773" t="s">
        <v>1385</v>
      </c>
      <c r="C1545" s="774" t="s">
        <v>1386</v>
      </c>
      <c r="D1545" s="774" t="s">
        <v>1386</v>
      </c>
      <c r="E1545" s="774" t="s">
        <v>1386</v>
      </c>
      <c r="F1545" s="774">
        <f t="shared" si="124"/>
        <v>0</v>
      </c>
      <c r="G1545" s="774"/>
      <c r="H1545" s="774" t="s">
        <v>1386</v>
      </c>
      <c r="I1545" s="774"/>
      <c r="J1545" s="774"/>
      <c r="K1545" s="754"/>
      <c r="M1545" s="62" t="e">
        <f>IF(#REF!&gt;6,3,5)</f>
        <v>#REF!</v>
      </c>
    </row>
    <row r="1546" spans="1:13" ht="20.100000000000001" customHeight="1">
      <c r="A1546" s="768">
        <f t="shared" si="123"/>
        <v>9</v>
      </c>
      <c r="B1546" s="773" t="s">
        <v>2061</v>
      </c>
      <c r="C1546" s="774" t="s">
        <v>1386</v>
      </c>
      <c r="D1546" s="774" t="s">
        <v>1386</v>
      </c>
      <c r="E1546" s="774" t="s">
        <v>1386</v>
      </c>
      <c r="F1546" s="774">
        <f t="shared" si="124"/>
        <v>0</v>
      </c>
      <c r="G1546" s="774"/>
      <c r="H1546" s="774" t="s">
        <v>1386</v>
      </c>
      <c r="I1546" s="774"/>
      <c r="J1546" s="774"/>
      <c r="K1546" s="754"/>
      <c r="M1546" s="62" t="e">
        <f>IF(#REF!&gt;6,3,5)</f>
        <v>#REF!</v>
      </c>
    </row>
    <row r="1547" spans="1:13" ht="20.100000000000001" customHeight="1">
      <c r="A1547" s="768">
        <f t="shared" si="123"/>
        <v>10</v>
      </c>
      <c r="B1547" s="773" t="s">
        <v>1680</v>
      </c>
      <c r="C1547" s="774">
        <v>1000000</v>
      </c>
      <c r="D1547" s="774">
        <v>832000</v>
      </c>
      <c r="E1547" s="774">
        <v>832000</v>
      </c>
      <c r="F1547" s="774">
        <f t="shared" si="124"/>
        <v>2664000</v>
      </c>
      <c r="G1547" s="774"/>
      <c r="H1547" s="774">
        <v>8000000</v>
      </c>
      <c r="I1547" s="774">
        <f>12000+50000+50000</f>
        <v>112000</v>
      </c>
      <c r="J1547" s="774">
        <f>12000+50000+50000</f>
        <v>112000</v>
      </c>
      <c r="K1547" s="754"/>
      <c r="M1547" s="62" t="e">
        <f>IF(#REF!&gt;6,3,5)</f>
        <v>#REF!</v>
      </c>
    </row>
    <row r="1548" spans="1:13" ht="20.100000000000001" customHeight="1">
      <c r="A1548" s="768">
        <f t="shared" si="123"/>
        <v>11</v>
      </c>
      <c r="B1548" s="773" t="s">
        <v>1681</v>
      </c>
      <c r="C1548" s="774">
        <v>500000</v>
      </c>
      <c r="D1548" s="774">
        <v>416000</v>
      </c>
      <c r="E1548" s="774">
        <v>416000</v>
      </c>
      <c r="F1548" s="774">
        <f t="shared" si="124"/>
        <v>1332000</v>
      </c>
      <c r="G1548" s="774"/>
      <c r="H1548" s="774">
        <v>400000</v>
      </c>
      <c r="I1548" s="774"/>
      <c r="J1548" s="751"/>
      <c r="K1548" s="754"/>
      <c r="M1548" s="62" t="e">
        <f>IF(#REF!&gt;6,3,5)</f>
        <v>#REF!</v>
      </c>
    </row>
    <row r="1549" spans="1:13" ht="20.100000000000001" customHeight="1">
      <c r="A1549" s="768">
        <f t="shared" si="123"/>
        <v>12</v>
      </c>
      <c r="B1549" s="773" t="s">
        <v>895</v>
      </c>
      <c r="C1549" s="774">
        <v>5900000</v>
      </c>
      <c r="D1549" s="774">
        <v>3120000</v>
      </c>
      <c r="E1549" s="774">
        <v>3120000</v>
      </c>
      <c r="F1549" s="774">
        <f t="shared" si="124"/>
        <v>12140000</v>
      </c>
      <c r="G1549" s="774">
        <v>1000000</v>
      </c>
      <c r="H1549" s="774">
        <v>3000000</v>
      </c>
      <c r="I1549" s="76">
        <f>1050000+1000000</f>
        <v>2050000</v>
      </c>
      <c r="J1549" s="774">
        <v>1202000</v>
      </c>
      <c r="K1549" s="754"/>
      <c r="M1549" s="62" t="e">
        <f>IF(#REF!&gt;6,3,5)</f>
        <v>#REF!</v>
      </c>
    </row>
    <row r="1550" spans="1:13" ht="20.100000000000001" customHeight="1">
      <c r="A1550" s="768">
        <f t="shared" si="123"/>
        <v>13</v>
      </c>
      <c r="B1550" s="773" t="s">
        <v>2249</v>
      </c>
      <c r="C1550" s="774">
        <v>1000000</v>
      </c>
      <c r="D1550" s="774">
        <v>1040000</v>
      </c>
      <c r="E1550" s="774">
        <v>1040000</v>
      </c>
      <c r="F1550" s="774">
        <f t="shared" si="124"/>
        <v>3080000</v>
      </c>
      <c r="G1550" s="774"/>
      <c r="H1550" s="774">
        <v>100000</v>
      </c>
      <c r="I1550" s="774"/>
      <c r="J1550" s="751"/>
      <c r="K1550" s="754"/>
      <c r="M1550" s="62" t="e">
        <f>IF(#REF!&gt;6,3,5)</f>
        <v>#REF!</v>
      </c>
    </row>
    <row r="1551" spans="1:13" ht="20.100000000000001" customHeight="1">
      <c r="A1551" s="768">
        <f t="shared" si="123"/>
        <v>14</v>
      </c>
      <c r="B1551" s="773" t="s">
        <v>1336</v>
      </c>
      <c r="C1551" s="774">
        <v>5000000</v>
      </c>
      <c r="D1551" s="774">
        <v>5200000</v>
      </c>
      <c r="E1551" s="774">
        <v>5200000</v>
      </c>
      <c r="F1551" s="774">
        <f t="shared" si="124"/>
        <v>15400000</v>
      </c>
      <c r="G1551" s="774"/>
      <c r="H1551" s="774">
        <v>3000000</v>
      </c>
      <c r="I1551" s="774"/>
      <c r="J1551" s="751"/>
      <c r="K1551" s="754"/>
      <c r="M1551" s="62" t="e">
        <f>IF(#REF!&gt;6,3,5)</f>
        <v>#REF!</v>
      </c>
    </row>
    <row r="1552" spans="1:13" ht="20.100000000000001" customHeight="1">
      <c r="A1552" s="768">
        <f t="shared" si="123"/>
        <v>15</v>
      </c>
      <c r="B1552" s="773" t="s">
        <v>2415</v>
      </c>
      <c r="C1552" s="774">
        <v>10000000</v>
      </c>
      <c r="D1552" s="774">
        <v>10400000</v>
      </c>
      <c r="E1552" s="774">
        <v>10400000</v>
      </c>
      <c r="F1552" s="774">
        <f t="shared" si="124"/>
        <v>30800000</v>
      </c>
      <c r="G1552" s="774"/>
      <c r="H1552" s="774">
        <v>10000000</v>
      </c>
      <c r="I1552" s="774"/>
      <c r="J1552" s="751"/>
      <c r="K1552" s="754"/>
      <c r="M1552" s="62" t="e">
        <f>IF(#REF!&gt;6,3,5)</f>
        <v>#REF!</v>
      </c>
    </row>
    <row r="1553" spans="1:13" ht="20.100000000000001" customHeight="1">
      <c r="A1553" s="768">
        <f t="shared" si="123"/>
        <v>16</v>
      </c>
      <c r="B1553" s="773" t="s">
        <v>2898</v>
      </c>
      <c r="C1553" s="774">
        <v>5000000</v>
      </c>
      <c r="D1553" s="774">
        <v>5200000</v>
      </c>
      <c r="E1553" s="774">
        <v>5200000</v>
      </c>
      <c r="F1553" s="774">
        <f t="shared" si="124"/>
        <v>15400000</v>
      </c>
      <c r="G1553" s="774"/>
      <c r="H1553" s="774">
        <v>5000000</v>
      </c>
      <c r="I1553" s="774"/>
      <c r="J1553" s="751"/>
      <c r="K1553" s="754"/>
      <c r="M1553" s="62" t="e">
        <f>IF(#REF!&gt;6,3,5)</f>
        <v>#REF!</v>
      </c>
    </row>
    <row r="1554" spans="1:13" ht="20.100000000000001" customHeight="1">
      <c r="A1554" s="768">
        <f t="shared" si="123"/>
        <v>17</v>
      </c>
      <c r="B1554" s="773" t="s">
        <v>2413</v>
      </c>
      <c r="C1554" s="774">
        <v>100000000</v>
      </c>
      <c r="D1554" s="774">
        <v>260000000</v>
      </c>
      <c r="E1554" s="774">
        <v>260000000</v>
      </c>
      <c r="F1554" s="774">
        <f t="shared" si="124"/>
        <v>620000000</v>
      </c>
      <c r="G1554" s="774">
        <f>860000+7500000</f>
        <v>8360000</v>
      </c>
      <c r="H1554" s="774">
        <v>170000000</v>
      </c>
      <c r="I1554" s="774"/>
      <c r="J1554" s="751"/>
      <c r="K1554" s="754"/>
      <c r="M1554" s="62" t="e">
        <f>IF(#REF!&gt;6,3,5)</f>
        <v>#REF!</v>
      </c>
    </row>
    <row r="1555" spans="1:13" ht="20.100000000000001" customHeight="1">
      <c r="A1555" s="768">
        <f t="shared" si="123"/>
        <v>18</v>
      </c>
      <c r="B1555" s="773" t="s">
        <v>2899</v>
      </c>
      <c r="C1555" s="774">
        <v>4000000</v>
      </c>
      <c r="D1555" s="774">
        <v>5200000</v>
      </c>
      <c r="E1555" s="774">
        <v>5200000</v>
      </c>
      <c r="F1555" s="774">
        <f t="shared" si="124"/>
        <v>14400000</v>
      </c>
      <c r="G1555" s="774"/>
      <c r="H1555" s="774" t="s">
        <v>1386</v>
      </c>
      <c r="I1555" s="774"/>
      <c r="J1555" s="751"/>
      <c r="K1555" s="754"/>
    </row>
    <row r="1556" spans="1:13" ht="20.100000000000001" customHeight="1">
      <c r="A1556" s="768">
        <f t="shared" si="123"/>
        <v>19</v>
      </c>
      <c r="B1556" s="773" t="s">
        <v>3830</v>
      </c>
      <c r="C1556" s="774">
        <v>4000000</v>
      </c>
      <c r="D1556" s="774">
        <v>3120000</v>
      </c>
      <c r="E1556" s="774">
        <v>3120000</v>
      </c>
      <c r="F1556" s="774">
        <f t="shared" si="124"/>
        <v>10240000</v>
      </c>
      <c r="G1556" s="774">
        <v>2171300</v>
      </c>
      <c r="H1556" s="774">
        <v>3000000</v>
      </c>
      <c r="I1556" s="774">
        <v>143000</v>
      </c>
      <c r="J1556" s="751"/>
      <c r="K1556" s="754"/>
      <c r="M1556" s="62" t="e">
        <f>IF(#REF!&gt;6,3,5)</f>
        <v>#REF!</v>
      </c>
    </row>
    <row r="1557" spans="1:13" ht="25.5">
      <c r="A1557" s="768">
        <f t="shared" si="123"/>
        <v>20</v>
      </c>
      <c r="B1557" s="775" t="s">
        <v>4034</v>
      </c>
      <c r="C1557" s="774">
        <v>27000000</v>
      </c>
      <c r="D1557" s="774">
        <v>26000000</v>
      </c>
      <c r="E1557" s="774">
        <v>26000000</v>
      </c>
      <c r="F1557" s="774">
        <f t="shared" si="124"/>
        <v>79000000</v>
      </c>
      <c r="G1557" s="774">
        <v>13660000</v>
      </c>
      <c r="H1557" s="774">
        <v>25000000</v>
      </c>
      <c r="I1557" s="774"/>
      <c r="J1557" s="751"/>
      <c r="K1557" s="754"/>
      <c r="M1557" s="62" t="e">
        <f>IF(#REF!&gt;6,3,5)</f>
        <v>#REF!</v>
      </c>
    </row>
    <row r="1558" spans="1:13" ht="25.5">
      <c r="A1558" s="768">
        <f t="shared" si="123"/>
        <v>21</v>
      </c>
      <c r="B1558" s="773" t="s">
        <v>1617</v>
      </c>
      <c r="C1558" s="774">
        <v>5000000</v>
      </c>
      <c r="D1558" s="774">
        <v>5200000</v>
      </c>
      <c r="E1558" s="774">
        <v>5200000</v>
      </c>
      <c r="F1558" s="774">
        <f t="shared" si="124"/>
        <v>15400000</v>
      </c>
      <c r="G1558" s="774"/>
      <c r="H1558" s="774">
        <v>5000000</v>
      </c>
      <c r="I1558" s="774"/>
      <c r="J1558" s="751"/>
      <c r="K1558" s="754"/>
      <c r="L1558" s="185"/>
      <c r="M1558" s="62" t="e">
        <f>IF(#REF!&gt;6,3,5)</f>
        <v>#REF!</v>
      </c>
    </row>
    <row r="1559" spans="1:13" ht="20.100000000000001" customHeight="1">
      <c r="A1559" s="768">
        <f t="shared" si="123"/>
        <v>22</v>
      </c>
      <c r="B1559" s="773" t="s">
        <v>841</v>
      </c>
      <c r="C1559" s="774">
        <v>10000000</v>
      </c>
      <c r="D1559" s="774">
        <v>8320000</v>
      </c>
      <c r="E1559" s="774">
        <v>8320000</v>
      </c>
      <c r="F1559" s="774">
        <f t="shared" si="124"/>
        <v>26640000</v>
      </c>
      <c r="G1559" s="774"/>
      <c r="H1559" s="774">
        <v>8000000</v>
      </c>
      <c r="I1559" s="774"/>
      <c r="J1559" s="751"/>
      <c r="K1559" s="754"/>
      <c r="L1559" s="185"/>
    </row>
    <row r="1560" spans="1:13" ht="20.100000000000001" customHeight="1">
      <c r="A1560" s="768">
        <v>23</v>
      </c>
      <c r="B1560" s="773" t="s">
        <v>4295</v>
      </c>
      <c r="C1560" s="774">
        <v>30000000</v>
      </c>
      <c r="D1560" s="774">
        <v>30000000</v>
      </c>
      <c r="E1560" s="774">
        <v>30000000</v>
      </c>
      <c r="F1560" s="774">
        <f t="shared" si="124"/>
        <v>90000000</v>
      </c>
      <c r="G1560" s="774"/>
      <c r="H1560" s="774" t="s">
        <v>1386</v>
      </c>
      <c r="I1560" s="774"/>
      <c r="J1560" s="751"/>
      <c r="K1560" s="754"/>
      <c r="L1560" s="185"/>
    </row>
    <row r="1561" spans="1:13" ht="20.100000000000001" customHeight="1">
      <c r="A1561" s="770"/>
      <c r="B1561" s="770" t="s">
        <v>1684</v>
      </c>
      <c r="C1561" s="771">
        <f>SUM(C1539:C1560)</f>
        <v>222000000</v>
      </c>
      <c r="D1561" s="771">
        <f t="shared" ref="D1561:I1561" si="125">SUM(D1539:D1560)</f>
        <v>376008000</v>
      </c>
      <c r="E1561" s="771">
        <f t="shared" si="125"/>
        <v>376008000</v>
      </c>
      <c r="F1561" s="771">
        <f t="shared" si="125"/>
        <v>974016000</v>
      </c>
      <c r="G1561" s="771">
        <f t="shared" si="125"/>
        <v>35191300</v>
      </c>
      <c r="H1561" s="771">
        <f t="shared" si="125"/>
        <v>252000000</v>
      </c>
      <c r="I1561" s="771">
        <f t="shared" si="125"/>
        <v>6660000</v>
      </c>
      <c r="J1561" s="771"/>
      <c r="K1561" s="772"/>
      <c r="M1561" s="62" t="e">
        <f>IF(#REF!&gt;6,3,5)</f>
        <v>#REF!</v>
      </c>
    </row>
    <row r="1562" spans="1:13" ht="15">
      <c r="A1562" s="113"/>
      <c r="B1562" s="131"/>
      <c r="C1562" s="113"/>
      <c r="D1562" s="114"/>
      <c r="E1562" s="114"/>
      <c r="F1562" s="132"/>
      <c r="G1562" s="132"/>
      <c r="H1562" s="132"/>
      <c r="I1562" s="132"/>
      <c r="J1562" s="584"/>
      <c r="K1562" s="584"/>
      <c r="M1562" s="62">
        <f t="shared" ref="M1562:M1609" si="126">IF(C1562&gt;6,3,5)</f>
        <v>5</v>
      </c>
    </row>
    <row r="1563" spans="1:13" ht="15">
      <c r="C1563" s="77"/>
      <c r="D1563" s="78" t="s">
        <v>5434</v>
      </c>
      <c r="J1563" s="584"/>
      <c r="K1563" s="584"/>
      <c r="M1563" s="62">
        <f t="shared" si="126"/>
        <v>5</v>
      </c>
    </row>
    <row r="1564" spans="1:13" ht="15">
      <c r="C1564" s="324"/>
      <c r="D1564" s="78" t="s">
        <v>1693</v>
      </c>
      <c r="J1564" s="584"/>
      <c r="K1564" s="584"/>
      <c r="M1564" s="62">
        <f t="shared" si="126"/>
        <v>5</v>
      </c>
    </row>
    <row r="1565" spans="1:13" ht="15">
      <c r="C1565" s="79" t="s">
        <v>717</v>
      </c>
      <c r="D1565" s="78" t="s">
        <v>87</v>
      </c>
      <c r="J1565" s="584"/>
      <c r="K1565" s="584"/>
      <c r="M1565" s="62">
        <f t="shared" si="126"/>
        <v>3</v>
      </c>
    </row>
    <row r="1566" spans="1:13" ht="15.75" thickBot="1">
      <c r="C1566" s="79" t="s">
        <v>718</v>
      </c>
      <c r="D1566" s="78" t="s">
        <v>2414</v>
      </c>
      <c r="J1566" s="584"/>
      <c r="K1566" s="584"/>
      <c r="M1566" s="62">
        <f t="shared" si="126"/>
        <v>3</v>
      </c>
    </row>
    <row r="1567" spans="1:13" ht="15.75" thickTop="1">
      <c r="A1567" s="1047" t="s">
        <v>2791</v>
      </c>
      <c r="B1567" s="1049" t="s">
        <v>4126</v>
      </c>
      <c r="C1567" s="1049" t="s">
        <v>854</v>
      </c>
      <c r="D1567" s="1040" t="s">
        <v>4127</v>
      </c>
      <c r="E1567" s="1041"/>
      <c r="F1567" s="1041"/>
      <c r="G1567" s="1040" t="s">
        <v>904</v>
      </c>
      <c r="H1567" s="1041"/>
      <c r="I1567" s="1042"/>
      <c r="J1567" s="1035" t="s">
        <v>855</v>
      </c>
      <c r="K1567" s="389"/>
    </row>
    <row r="1568" spans="1:13" ht="26.25" thickBot="1">
      <c r="A1568" s="1048"/>
      <c r="B1568" s="1050"/>
      <c r="C1568" s="1050"/>
      <c r="D1568" s="285" t="s">
        <v>5505</v>
      </c>
      <c r="E1568" s="285" t="s">
        <v>4485</v>
      </c>
      <c r="F1568" s="285" t="s">
        <v>4486</v>
      </c>
      <c r="G1568" s="287" t="s">
        <v>4487</v>
      </c>
      <c r="H1568" s="285" t="s">
        <v>4488</v>
      </c>
      <c r="I1568" s="287" t="s">
        <v>4489</v>
      </c>
      <c r="J1568" s="1036"/>
      <c r="K1568" s="712"/>
    </row>
    <row r="1569" spans="1:13" ht="13.5" thickTop="1">
      <c r="A1569" s="88"/>
      <c r="B1569" s="90" t="s">
        <v>3147</v>
      </c>
      <c r="C1569" s="69"/>
      <c r="D1569" s="110"/>
      <c r="E1569" s="110"/>
      <c r="F1569" s="69"/>
      <c r="G1569" s="89"/>
      <c r="H1569" s="110"/>
      <c r="I1569" s="89"/>
      <c r="J1569" s="713"/>
      <c r="K1569" s="711"/>
      <c r="M1569" s="62">
        <f t="shared" si="126"/>
        <v>5</v>
      </c>
    </row>
    <row r="1570" spans="1:13">
      <c r="A1570" s="88">
        <v>1</v>
      </c>
      <c r="B1570" s="69" t="s">
        <v>3532</v>
      </c>
      <c r="C1570" s="69">
        <v>16</v>
      </c>
      <c r="D1570" s="89">
        <v>10</v>
      </c>
      <c r="E1570" s="89">
        <v>15</v>
      </c>
      <c r="F1570" s="89">
        <v>10</v>
      </c>
      <c r="G1570" s="89">
        <v>10</v>
      </c>
      <c r="H1570" s="89">
        <v>15</v>
      </c>
      <c r="I1570" s="89">
        <v>10</v>
      </c>
      <c r="J1570" s="710">
        <f>(VLOOKUP($C1570,[2]Sheet1!$A$2:$P$18,$M1570+1)/12)*12*D1570</f>
        <v>6772812.6084000003</v>
      </c>
      <c r="K1570" s="711"/>
      <c r="M1570" s="62">
        <f t="shared" si="126"/>
        <v>3</v>
      </c>
    </row>
    <row r="1571" spans="1:13">
      <c r="A1571" s="88">
        <f t="shared" ref="A1571:A1596" si="127">+A1570+1</f>
        <v>2</v>
      </c>
      <c r="B1571" s="69" t="s">
        <v>1099</v>
      </c>
      <c r="C1571" s="69">
        <v>15</v>
      </c>
      <c r="D1571" s="89">
        <v>28</v>
      </c>
      <c r="E1571" s="89">
        <v>35</v>
      </c>
      <c r="F1571" s="89">
        <v>28</v>
      </c>
      <c r="G1571" s="89">
        <v>28</v>
      </c>
      <c r="H1571" s="89">
        <v>35</v>
      </c>
      <c r="I1571" s="89">
        <v>28</v>
      </c>
      <c r="J1571" s="710">
        <f>(VLOOKUP($C1571,[2]Sheet1!$A$2:$P$18,$M1571+1)/12)*12*D1571</f>
        <v>18433293.197760001</v>
      </c>
      <c r="K1571" s="711"/>
      <c r="M1571" s="62">
        <f t="shared" si="126"/>
        <v>3</v>
      </c>
    </row>
    <row r="1572" spans="1:13">
      <c r="A1572" s="88">
        <f t="shared" si="127"/>
        <v>3</v>
      </c>
      <c r="B1572" s="69" t="s">
        <v>3144</v>
      </c>
      <c r="C1572" s="69">
        <v>14</v>
      </c>
      <c r="D1572" s="89">
        <v>45</v>
      </c>
      <c r="E1572" s="89">
        <v>50</v>
      </c>
      <c r="F1572" s="89">
        <v>45</v>
      </c>
      <c r="G1572" s="89">
        <v>45</v>
      </c>
      <c r="H1572" s="89">
        <v>50</v>
      </c>
      <c r="I1572" s="89">
        <v>45</v>
      </c>
      <c r="J1572" s="710">
        <f>(VLOOKUP($C1572,[2]Sheet1!$A$2:$P$18,$M1572+1)/12)*12*D1572</f>
        <v>30109473.3708</v>
      </c>
      <c r="K1572" s="711"/>
      <c r="M1572" s="62">
        <f t="shared" si="126"/>
        <v>3</v>
      </c>
    </row>
    <row r="1573" spans="1:13">
      <c r="A1573" s="88">
        <f t="shared" si="127"/>
        <v>4</v>
      </c>
      <c r="B1573" s="69" t="s">
        <v>1853</v>
      </c>
      <c r="C1573" s="69">
        <v>13</v>
      </c>
      <c r="D1573" s="89">
        <v>30</v>
      </c>
      <c r="E1573" s="89">
        <v>40</v>
      </c>
      <c r="F1573" s="89">
        <v>30</v>
      </c>
      <c r="G1573" s="89">
        <v>30</v>
      </c>
      <c r="H1573" s="89">
        <v>40</v>
      </c>
      <c r="I1573" s="89">
        <v>30</v>
      </c>
      <c r="J1573" s="710">
        <f>(VLOOKUP($C1573,[2]Sheet1!$A$2:$P$18,$M1573+1)/12)*12*D1573</f>
        <v>18862786.141199999</v>
      </c>
      <c r="K1573" s="711"/>
      <c r="M1573" s="62">
        <f t="shared" si="126"/>
        <v>3</v>
      </c>
    </row>
    <row r="1574" spans="1:13">
      <c r="A1574" s="88">
        <f t="shared" si="127"/>
        <v>5</v>
      </c>
      <c r="B1574" s="69" t="s">
        <v>277</v>
      </c>
      <c r="C1574" s="69">
        <v>12</v>
      </c>
      <c r="D1574" s="89">
        <v>20</v>
      </c>
      <c r="E1574" s="89">
        <v>30</v>
      </c>
      <c r="F1574" s="89">
        <v>20</v>
      </c>
      <c r="G1574" s="89">
        <v>20</v>
      </c>
      <c r="H1574" s="89">
        <v>30</v>
      </c>
      <c r="I1574" s="89">
        <v>20</v>
      </c>
      <c r="J1574" s="710">
        <f>(VLOOKUP($C1574,[2]Sheet1!$A$2:$P$18,$M1574+1)/12)*12*D1574</f>
        <v>11053701.074400004</v>
      </c>
      <c r="K1574" s="711"/>
      <c r="M1574" s="62">
        <f t="shared" si="126"/>
        <v>3</v>
      </c>
    </row>
    <row r="1575" spans="1:13">
      <c r="A1575" s="88">
        <f t="shared" si="127"/>
        <v>6</v>
      </c>
      <c r="B1575" s="69" t="s">
        <v>1661</v>
      </c>
      <c r="C1575" s="69">
        <v>10</v>
      </c>
      <c r="D1575" s="89">
        <v>30</v>
      </c>
      <c r="E1575" s="89">
        <v>30</v>
      </c>
      <c r="F1575" s="89">
        <v>30</v>
      </c>
      <c r="G1575" s="89">
        <v>30</v>
      </c>
      <c r="H1575" s="89">
        <v>30</v>
      </c>
      <c r="I1575" s="89">
        <v>30</v>
      </c>
      <c r="J1575" s="710">
        <f>(VLOOKUP($C1575,[2]Sheet1!$A$2:$P$18,$M1575+1)/12)*12*D1575</f>
        <v>14519237.061600003</v>
      </c>
      <c r="K1575" s="711"/>
      <c r="M1575" s="62">
        <f t="shared" si="126"/>
        <v>3</v>
      </c>
    </row>
    <row r="1576" spans="1:13">
      <c r="A1576" s="88">
        <f t="shared" si="127"/>
        <v>7</v>
      </c>
      <c r="B1576" s="69" t="s">
        <v>2865</v>
      </c>
      <c r="C1576" s="69">
        <v>9</v>
      </c>
      <c r="D1576" s="89">
        <v>35</v>
      </c>
      <c r="E1576" s="89">
        <v>45</v>
      </c>
      <c r="F1576" s="89">
        <v>35</v>
      </c>
      <c r="G1576" s="89">
        <v>35</v>
      </c>
      <c r="H1576" s="89">
        <v>45</v>
      </c>
      <c r="I1576" s="89">
        <v>35</v>
      </c>
      <c r="J1576" s="710">
        <f>(VLOOKUP($C1576,[2]Sheet1!$A$2:$P$18,$M1576+1)/12)*12*D1576</f>
        <v>14338866.716999998</v>
      </c>
      <c r="K1576" s="711"/>
      <c r="M1576" s="62">
        <f t="shared" si="126"/>
        <v>3</v>
      </c>
    </row>
    <row r="1577" spans="1:13">
      <c r="A1577" s="88">
        <f t="shared" si="127"/>
        <v>8</v>
      </c>
      <c r="B1577" s="69" t="s">
        <v>2866</v>
      </c>
      <c r="C1577" s="69">
        <v>8</v>
      </c>
      <c r="D1577" s="89">
        <v>110</v>
      </c>
      <c r="E1577" s="89">
        <v>100</v>
      </c>
      <c r="F1577" s="89">
        <v>110</v>
      </c>
      <c r="G1577" s="89">
        <v>110</v>
      </c>
      <c r="H1577" s="89">
        <v>100</v>
      </c>
      <c r="I1577" s="89">
        <v>110</v>
      </c>
      <c r="J1577" s="710">
        <f>(VLOOKUP($C1577,[2]Sheet1!$A$2:$P$18,$M1577+1)/12)*12*D1577</f>
        <v>37635540.148800001</v>
      </c>
      <c r="K1577" s="711"/>
      <c r="M1577" s="62">
        <f t="shared" si="126"/>
        <v>3</v>
      </c>
    </row>
    <row r="1578" spans="1:13">
      <c r="A1578" s="88">
        <f t="shared" si="127"/>
        <v>9</v>
      </c>
      <c r="B1578" s="69" t="s">
        <v>1968</v>
      </c>
      <c r="C1578" s="69">
        <v>10</v>
      </c>
      <c r="D1578" s="89">
        <v>1</v>
      </c>
      <c r="E1578" s="89">
        <v>1</v>
      </c>
      <c r="F1578" s="89">
        <v>1</v>
      </c>
      <c r="G1578" s="89">
        <v>1</v>
      </c>
      <c r="H1578" s="89">
        <v>1</v>
      </c>
      <c r="I1578" s="89">
        <v>1</v>
      </c>
      <c r="J1578" s="710">
        <f>(VLOOKUP($C1578,[2]Sheet1!$A$2:$P$18,$M1578+1)/12)*12*D1578</f>
        <v>483974.5687200001</v>
      </c>
      <c r="K1578" s="711"/>
      <c r="M1578" s="62">
        <f t="shared" si="126"/>
        <v>3</v>
      </c>
    </row>
    <row r="1579" spans="1:13">
      <c r="A1579" s="88">
        <f t="shared" si="127"/>
        <v>10</v>
      </c>
      <c r="B1579" s="69" t="s">
        <v>3023</v>
      </c>
      <c r="C1579" s="69">
        <v>9</v>
      </c>
      <c r="D1579" s="89">
        <v>3</v>
      </c>
      <c r="E1579" s="89">
        <v>3</v>
      </c>
      <c r="F1579" s="89">
        <v>3</v>
      </c>
      <c r="G1579" s="89">
        <v>3</v>
      </c>
      <c r="H1579" s="89">
        <v>3</v>
      </c>
      <c r="I1579" s="89">
        <v>3</v>
      </c>
      <c r="J1579" s="710">
        <f>(VLOOKUP($C1579,[2]Sheet1!$A$2:$P$18,$M1579+1)/12)*12*D1579</f>
        <v>1229045.7185999998</v>
      </c>
      <c r="K1579" s="711"/>
      <c r="M1579" s="62">
        <f t="shared" si="126"/>
        <v>3</v>
      </c>
    </row>
    <row r="1580" spans="1:13">
      <c r="A1580" s="88">
        <f t="shared" si="127"/>
        <v>11</v>
      </c>
      <c r="B1580" s="69" t="s">
        <v>3024</v>
      </c>
      <c r="C1580" s="69">
        <v>8</v>
      </c>
      <c r="D1580" s="89">
        <v>3</v>
      </c>
      <c r="E1580" s="89">
        <v>6</v>
      </c>
      <c r="F1580" s="89">
        <v>3</v>
      </c>
      <c r="G1580" s="89">
        <v>3</v>
      </c>
      <c r="H1580" s="89">
        <v>6</v>
      </c>
      <c r="I1580" s="89">
        <v>3</v>
      </c>
      <c r="J1580" s="710">
        <f>(VLOOKUP($C1580,[2]Sheet1!$A$2:$P$18,$M1580+1)/12)*12*D1580</f>
        <v>1026423.82224</v>
      </c>
      <c r="K1580" s="711"/>
      <c r="M1580" s="62">
        <f t="shared" si="126"/>
        <v>3</v>
      </c>
    </row>
    <row r="1581" spans="1:13">
      <c r="A1581" s="88">
        <f t="shared" si="127"/>
        <v>12</v>
      </c>
      <c r="B1581" s="69" t="s">
        <v>2443</v>
      </c>
      <c r="C1581" s="69">
        <v>6</v>
      </c>
      <c r="D1581" s="89">
        <v>20</v>
      </c>
      <c r="E1581" s="89">
        <v>20</v>
      </c>
      <c r="F1581" s="89">
        <v>20</v>
      </c>
      <c r="G1581" s="89">
        <v>20</v>
      </c>
      <c r="H1581" s="89">
        <v>20</v>
      </c>
      <c r="I1581" s="89">
        <v>20</v>
      </c>
      <c r="J1581" s="710">
        <f>(VLOOKUP($C1581,[2]Sheet1!$A$2:$P$18,$M1581+1)/12)*12*D1581</f>
        <v>4761987.5786072994</v>
      </c>
      <c r="K1581" s="711"/>
      <c r="M1581" s="62">
        <f t="shared" si="126"/>
        <v>5</v>
      </c>
    </row>
    <row r="1582" spans="1:13">
      <c r="A1582" s="88">
        <f t="shared" si="127"/>
        <v>13</v>
      </c>
      <c r="B1582" s="69" t="s">
        <v>2288</v>
      </c>
      <c r="C1582" s="69">
        <v>5</v>
      </c>
      <c r="D1582" s="89">
        <v>5</v>
      </c>
      <c r="E1582" s="89">
        <v>4</v>
      </c>
      <c r="F1582" s="89">
        <v>5</v>
      </c>
      <c r="G1582" s="89">
        <v>5</v>
      </c>
      <c r="H1582" s="89">
        <v>4</v>
      </c>
      <c r="I1582" s="89">
        <v>5</v>
      </c>
      <c r="J1582" s="710">
        <f>(VLOOKUP($C1582,[2]Sheet1!$A$2:$P$18,$M1582+1)/12)*12*D1582</f>
        <v>1147848.8946518251</v>
      </c>
      <c r="K1582" s="711"/>
      <c r="M1582" s="62">
        <f t="shared" si="126"/>
        <v>5</v>
      </c>
    </row>
    <row r="1583" spans="1:13">
      <c r="A1583" s="88">
        <f t="shared" si="127"/>
        <v>14</v>
      </c>
      <c r="B1583" s="69" t="s">
        <v>3145</v>
      </c>
      <c r="C1583" s="69">
        <v>4</v>
      </c>
      <c r="D1583" s="89">
        <v>5</v>
      </c>
      <c r="E1583" s="89">
        <v>5</v>
      </c>
      <c r="F1583" s="89">
        <v>5</v>
      </c>
      <c r="G1583" s="89">
        <v>5</v>
      </c>
      <c r="H1583" s="89">
        <v>5</v>
      </c>
      <c r="I1583" s="89">
        <v>5</v>
      </c>
      <c r="J1583" s="710">
        <f>(VLOOKUP($C1583,[2]Sheet1!$A$2:$P$18,$M1583+1)/12)*12*D1583</f>
        <v>1122714.8946518251</v>
      </c>
      <c r="K1583" s="711"/>
      <c r="M1583" s="62">
        <f t="shared" si="126"/>
        <v>5</v>
      </c>
    </row>
    <row r="1584" spans="1:13">
      <c r="A1584" s="88">
        <f t="shared" si="127"/>
        <v>15</v>
      </c>
      <c r="B1584" s="69" t="s">
        <v>2572</v>
      </c>
      <c r="C1584" s="69">
        <v>7</v>
      </c>
      <c r="D1584" s="89">
        <v>10</v>
      </c>
      <c r="E1584" s="89">
        <v>10</v>
      </c>
      <c r="F1584" s="89">
        <v>10</v>
      </c>
      <c r="G1584" s="89">
        <v>10</v>
      </c>
      <c r="H1584" s="89">
        <v>10</v>
      </c>
      <c r="I1584" s="89">
        <v>10</v>
      </c>
      <c r="J1584" s="710">
        <f>(VLOOKUP($C1584,[2]Sheet1!$A$2:$P$18,$M1584+1)/12)*12*D1584</f>
        <v>3077067.0240000007</v>
      </c>
      <c r="K1584" s="711"/>
      <c r="M1584" s="62">
        <f t="shared" si="126"/>
        <v>3</v>
      </c>
    </row>
    <row r="1585" spans="1:13">
      <c r="A1585" s="88">
        <f t="shared" si="127"/>
        <v>16</v>
      </c>
      <c r="B1585" s="69" t="s">
        <v>3674</v>
      </c>
      <c r="C1585" s="69">
        <v>3</v>
      </c>
      <c r="D1585" s="89">
        <v>5</v>
      </c>
      <c r="E1585" s="89">
        <v>0</v>
      </c>
      <c r="F1585" s="89">
        <v>5</v>
      </c>
      <c r="G1585" s="89">
        <v>5</v>
      </c>
      <c r="H1585" s="89">
        <v>0</v>
      </c>
      <c r="I1585" s="89">
        <v>5</v>
      </c>
      <c r="J1585" s="710">
        <f>(VLOOKUP($C1585,[2]Sheet1!$A$2:$P$18,$M1585+1)/12)*12*D1585</f>
        <v>1096680.8946518248</v>
      </c>
      <c r="K1585" s="711"/>
      <c r="M1585" s="62">
        <f t="shared" si="126"/>
        <v>5</v>
      </c>
    </row>
    <row r="1586" spans="1:13">
      <c r="A1586" s="88">
        <f t="shared" si="127"/>
        <v>17</v>
      </c>
      <c r="B1586" s="69" t="s">
        <v>3025</v>
      </c>
      <c r="C1586" s="69">
        <v>3</v>
      </c>
      <c r="D1586" s="89">
        <v>5</v>
      </c>
      <c r="E1586" s="89">
        <v>5</v>
      </c>
      <c r="F1586" s="89">
        <v>5</v>
      </c>
      <c r="G1586" s="89">
        <v>5</v>
      </c>
      <c r="H1586" s="89">
        <v>5</v>
      </c>
      <c r="I1586" s="89">
        <v>5</v>
      </c>
      <c r="J1586" s="710">
        <f>(VLOOKUP($C1586,[2]Sheet1!$A$2:$P$18,$M1586+1)/12)*12*D1586</f>
        <v>1096680.8946518248</v>
      </c>
      <c r="K1586" s="711"/>
      <c r="M1586" s="62">
        <f t="shared" si="126"/>
        <v>5</v>
      </c>
    </row>
    <row r="1587" spans="1:13">
      <c r="A1587" s="88">
        <f t="shared" si="127"/>
        <v>18</v>
      </c>
      <c r="B1587" s="69" t="s">
        <v>2543</v>
      </c>
      <c r="C1587" s="69">
        <v>2</v>
      </c>
      <c r="D1587" s="89">
        <v>4</v>
      </c>
      <c r="E1587" s="89">
        <v>4</v>
      </c>
      <c r="F1587" s="89">
        <v>4</v>
      </c>
      <c r="G1587" s="89">
        <v>4</v>
      </c>
      <c r="H1587" s="89">
        <v>4</v>
      </c>
      <c r="I1587" s="89">
        <v>4</v>
      </c>
      <c r="J1587" s="710">
        <f>(VLOOKUP($C1587,[2]Sheet1!$A$2:$P$18,$M1587+1)/12)*12*D1587</f>
        <v>858629.51572146011</v>
      </c>
      <c r="K1587" s="711"/>
      <c r="M1587" s="62">
        <f t="shared" si="126"/>
        <v>5</v>
      </c>
    </row>
    <row r="1588" spans="1:13">
      <c r="A1588" s="88">
        <f t="shared" si="127"/>
        <v>19</v>
      </c>
      <c r="B1588" s="69" t="s">
        <v>2172</v>
      </c>
      <c r="C1588" s="69">
        <v>1</v>
      </c>
      <c r="D1588" s="89">
        <v>4</v>
      </c>
      <c r="E1588" s="89">
        <v>5</v>
      </c>
      <c r="F1588" s="89">
        <v>4</v>
      </c>
      <c r="G1588" s="89">
        <v>4</v>
      </c>
      <c r="H1588" s="89">
        <v>5</v>
      </c>
      <c r="I1588" s="89">
        <v>4</v>
      </c>
      <c r="J1588" s="710">
        <f>(VLOOKUP($C1588,[2]Sheet1!$A$2:$P$18,$M1588+1)/12)*12*D1588</f>
        <v>828430.31572145992</v>
      </c>
      <c r="K1588" s="711"/>
      <c r="M1588" s="62">
        <f t="shared" si="126"/>
        <v>5</v>
      </c>
    </row>
    <row r="1589" spans="1:13">
      <c r="A1589" s="88">
        <f t="shared" si="127"/>
        <v>20</v>
      </c>
      <c r="B1589" s="69" t="s">
        <v>2867</v>
      </c>
      <c r="C1589" s="69">
        <v>6</v>
      </c>
      <c r="D1589" s="89">
        <v>4</v>
      </c>
      <c r="E1589" s="89">
        <v>4</v>
      </c>
      <c r="F1589" s="89">
        <v>4</v>
      </c>
      <c r="G1589" s="89">
        <v>4</v>
      </c>
      <c r="H1589" s="89">
        <v>4</v>
      </c>
      <c r="I1589" s="89">
        <v>4</v>
      </c>
      <c r="J1589" s="710">
        <f>(VLOOKUP($C1589,[2]Sheet1!$A$2:$P$18,$M1589+1)/12)*12*D1589</f>
        <v>952397.51572145987</v>
      </c>
      <c r="K1589" s="711"/>
      <c r="M1589" s="62">
        <f t="shared" si="126"/>
        <v>5</v>
      </c>
    </row>
    <row r="1590" spans="1:13">
      <c r="A1590" s="88">
        <f t="shared" si="127"/>
        <v>21</v>
      </c>
      <c r="B1590" s="69" t="s">
        <v>3021</v>
      </c>
      <c r="C1590" s="69">
        <v>4</v>
      </c>
      <c r="D1590" s="89">
        <v>4</v>
      </c>
      <c r="E1590" s="89">
        <v>4</v>
      </c>
      <c r="F1590" s="89">
        <v>4</v>
      </c>
      <c r="G1590" s="89">
        <v>4</v>
      </c>
      <c r="H1590" s="89">
        <v>4</v>
      </c>
      <c r="I1590" s="89">
        <v>4</v>
      </c>
      <c r="J1590" s="710">
        <f>(VLOOKUP($C1590,[2]Sheet1!$A$2:$P$18,$M1590+1)/12)*12*D1590</f>
        <v>898171.91572146001</v>
      </c>
      <c r="K1590" s="711"/>
      <c r="M1590" s="62">
        <f t="shared" si="126"/>
        <v>5</v>
      </c>
    </row>
    <row r="1591" spans="1:13">
      <c r="A1591" s="88">
        <f t="shared" si="127"/>
        <v>22</v>
      </c>
      <c r="B1591" s="69" t="s">
        <v>3022</v>
      </c>
      <c r="C1591" s="69">
        <v>2</v>
      </c>
      <c r="D1591" s="89">
        <v>4</v>
      </c>
      <c r="E1591" s="89">
        <v>1</v>
      </c>
      <c r="F1591" s="89">
        <v>4</v>
      </c>
      <c r="G1591" s="89">
        <v>4</v>
      </c>
      <c r="H1591" s="89">
        <v>1</v>
      </c>
      <c r="I1591" s="89">
        <v>4</v>
      </c>
      <c r="J1591" s="710">
        <f>(VLOOKUP($C1591,[2]Sheet1!$A$2:$P$18,$M1591+1)/12)*12*D1591</f>
        <v>858629.51572146011</v>
      </c>
      <c r="K1591" s="711"/>
      <c r="M1591" s="62">
        <f t="shared" si="126"/>
        <v>5</v>
      </c>
    </row>
    <row r="1592" spans="1:13">
      <c r="A1592" s="88">
        <f t="shared" si="127"/>
        <v>23</v>
      </c>
      <c r="B1592" s="69" t="s">
        <v>3674</v>
      </c>
      <c r="C1592" s="69">
        <v>1</v>
      </c>
      <c r="D1592" s="89">
        <v>3</v>
      </c>
      <c r="E1592" s="89">
        <v>4</v>
      </c>
      <c r="F1592" s="89">
        <v>3</v>
      </c>
      <c r="G1592" s="89">
        <v>3</v>
      </c>
      <c r="H1592" s="89">
        <v>4</v>
      </c>
      <c r="I1592" s="89">
        <v>3</v>
      </c>
      <c r="J1592" s="710">
        <f>(VLOOKUP($C1592,[2]Sheet1!$A$2:$P$18,$M1592+1)/12)*12*D1592</f>
        <v>621322.736791095</v>
      </c>
      <c r="K1592" s="711"/>
      <c r="M1592" s="62">
        <f t="shared" si="126"/>
        <v>5</v>
      </c>
    </row>
    <row r="1593" spans="1:13">
      <c r="A1593" s="88">
        <f t="shared" si="127"/>
        <v>24</v>
      </c>
      <c r="B1593" s="69" t="s">
        <v>2416</v>
      </c>
      <c r="C1593" s="69">
        <v>4</v>
      </c>
      <c r="D1593" s="89">
        <v>3</v>
      </c>
      <c r="E1593" s="89">
        <v>3</v>
      </c>
      <c r="F1593" s="89">
        <v>3</v>
      </c>
      <c r="G1593" s="89">
        <v>3</v>
      </c>
      <c r="H1593" s="89">
        <v>3</v>
      </c>
      <c r="I1593" s="89">
        <v>3</v>
      </c>
      <c r="J1593" s="710">
        <f>(VLOOKUP($C1593,[2]Sheet1!$A$2:$P$18,$M1593+1)/12)*12*D1593</f>
        <v>673628.93679109495</v>
      </c>
      <c r="K1593" s="711"/>
      <c r="M1593" s="62">
        <f t="shared" si="126"/>
        <v>5</v>
      </c>
    </row>
    <row r="1594" spans="1:13">
      <c r="A1594" s="88">
        <f t="shared" si="127"/>
        <v>25</v>
      </c>
      <c r="B1594" s="69" t="s">
        <v>499</v>
      </c>
      <c r="C1594" s="69">
        <v>2</v>
      </c>
      <c r="D1594" s="89">
        <v>2</v>
      </c>
      <c r="E1594" s="89">
        <v>2</v>
      </c>
      <c r="F1594" s="89">
        <v>2</v>
      </c>
      <c r="G1594" s="89">
        <v>2</v>
      </c>
      <c r="H1594" s="89">
        <v>2</v>
      </c>
      <c r="I1594" s="89">
        <v>2</v>
      </c>
      <c r="J1594" s="710">
        <f>(VLOOKUP($C1594,[2]Sheet1!$A$2:$P$18,$M1594+1)/12)*12*D1594</f>
        <v>429314.75786073005</v>
      </c>
      <c r="K1594" s="711"/>
      <c r="M1594" s="62">
        <f t="shared" si="126"/>
        <v>5</v>
      </c>
    </row>
    <row r="1595" spans="1:13">
      <c r="A1595" s="88">
        <f t="shared" si="127"/>
        <v>26</v>
      </c>
      <c r="B1595" s="69" t="s">
        <v>1699</v>
      </c>
      <c r="C1595" s="69">
        <v>9</v>
      </c>
      <c r="D1595" s="89">
        <v>0</v>
      </c>
      <c r="E1595" s="89">
        <v>1</v>
      </c>
      <c r="F1595" s="89">
        <v>0</v>
      </c>
      <c r="G1595" s="89">
        <v>0</v>
      </c>
      <c r="H1595" s="89">
        <v>1</v>
      </c>
      <c r="I1595" s="89">
        <v>0</v>
      </c>
      <c r="J1595" s="710">
        <f>(VLOOKUP($C1595,[2]Sheet1!$A$2:$P$18,$M1595+1)/12)*12*D1595</f>
        <v>0</v>
      </c>
      <c r="K1595" s="711"/>
      <c r="M1595" s="62">
        <f t="shared" si="126"/>
        <v>3</v>
      </c>
    </row>
    <row r="1596" spans="1:13">
      <c r="A1596" s="88">
        <f t="shared" si="127"/>
        <v>27</v>
      </c>
      <c r="B1596" s="69" t="s">
        <v>1700</v>
      </c>
      <c r="C1596" s="69">
        <v>4</v>
      </c>
      <c r="D1596" s="89">
        <v>1</v>
      </c>
      <c r="E1596" s="89">
        <v>1</v>
      </c>
      <c r="F1596" s="89">
        <v>1</v>
      </c>
      <c r="G1596" s="89">
        <v>1</v>
      </c>
      <c r="H1596" s="89">
        <v>1</v>
      </c>
      <c r="I1596" s="89">
        <v>1</v>
      </c>
      <c r="J1596" s="710">
        <f>(VLOOKUP($C1596,[2]Sheet1!$A$2:$P$18,$M1596+1)/12)*12*D1596</f>
        <v>224542.978930365</v>
      </c>
      <c r="K1596" s="711"/>
      <c r="M1596" s="62">
        <f t="shared" si="126"/>
        <v>5</v>
      </c>
    </row>
    <row r="1597" spans="1:13">
      <c r="A1597" s="88"/>
      <c r="B1597" s="90" t="s">
        <v>1487</v>
      </c>
      <c r="C1597" s="69"/>
      <c r="D1597" s="89"/>
      <c r="E1597" s="89"/>
      <c r="F1597" s="89"/>
      <c r="G1597" s="89"/>
      <c r="H1597" s="89"/>
      <c r="I1597" s="89"/>
      <c r="J1597" s="713"/>
      <c r="K1597" s="711"/>
      <c r="M1597" s="62">
        <f t="shared" si="126"/>
        <v>5</v>
      </c>
    </row>
    <row r="1598" spans="1:13">
      <c r="A1598" s="88">
        <f>+A1596+1</f>
        <v>28</v>
      </c>
      <c r="B1598" s="69" t="s">
        <v>2867</v>
      </c>
      <c r="C1598" s="69">
        <v>7</v>
      </c>
      <c r="D1598" s="89">
        <v>1</v>
      </c>
      <c r="E1598" s="89">
        <v>1</v>
      </c>
      <c r="F1598" s="89">
        <v>1</v>
      </c>
      <c r="G1598" s="89">
        <v>1</v>
      </c>
      <c r="H1598" s="89">
        <v>1</v>
      </c>
      <c r="I1598" s="89">
        <v>1</v>
      </c>
      <c r="J1598" s="710">
        <f>(VLOOKUP($C1598,[2]Sheet1!$A$2:$P$18,$M1598+1)/12)*12*D1598</f>
        <v>307706.70240000007</v>
      </c>
      <c r="K1598" s="711"/>
      <c r="M1598" s="62">
        <f t="shared" si="126"/>
        <v>3</v>
      </c>
    </row>
    <row r="1599" spans="1:13">
      <c r="A1599" s="88">
        <f t="shared" ref="A1599:A1606" si="128">+A1598+1</f>
        <v>29</v>
      </c>
      <c r="B1599" s="69" t="s">
        <v>3021</v>
      </c>
      <c r="C1599" s="69">
        <v>4</v>
      </c>
      <c r="D1599" s="89">
        <v>1</v>
      </c>
      <c r="E1599" s="89">
        <v>1</v>
      </c>
      <c r="F1599" s="89">
        <v>1</v>
      </c>
      <c r="G1599" s="89">
        <v>1</v>
      </c>
      <c r="H1599" s="89">
        <v>1</v>
      </c>
      <c r="I1599" s="89">
        <v>1</v>
      </c>
      <c r="J1599" s="710">
        <f>(VLOOKUP($C1599,[2]Sheet1!$A$2:$P$18,$M1599+1)/12)*12*D1599</f>
        <v>224542.978930365</v>
      </c>
      <c r="K1599" s="711"/>
      <c r="M1599" s="62">
        <f t="shared" si="126"/>
        <v>5</v>
      </c>
    </row>
    <row r="1600" spans="1:13">
      <c r="A1600" s="88">
        <f t="shared" si="128"/>
        <v>30</v>
      </c>
      <c r="B1600" s="69" t="s">
        <v>3022</v>
      </c>
      <c r="C1600" s="69">
        <v>2</v>
      </c>
      <c r="D1600" s="89">
        <v>1</v>
      </c>
      <c r="E1600" s="89">
        <v>1</v>
      </c>
      <c r="F1600" s="89">
        <v>1</v>
      </c>
      <c r="G1600" s="89">
        <v>1</v>
      </c>
      <c r="H1600" s="89">
        <v>1</v>
      </c>
      <c r="I1600" s="89">
        <v>1</v>
      </c>
      <c r="J1600" s="710">
        <f>(VLOOKUP($C1600,[2]Sheet1!$A$2:$P$18,$M1600+1)/12)*12*D1600</f>
        <v>214657.37893036503</v>
      </c>
      <c r="K1600" s="711"/>
      <c r="M1600" s="62">
        <f t="shared" si="126"/>
        <v>5</v>
      </c>
    </row>
    <row r="1601" spans="1:13">
      <c r="A1601" s="88">
        <f t="shared" si="128"/>
        <v>31</v>
      </c>
      <c r="B1601" s="69" t="s">
        <v>3674</v>
      </c>
      <c r="C1601" s="69">
        <v>1</v>
      </c>
      <c r="D1601" s="89">
        <v>1</v>
      </c>
      <c r="E1601" s="89">
        <v>1</v>
      </c>
      <c r="F1601" s="89">
        <v>1</v>
      </c>
      <c r="G1601" s="89">
        <v>1</v>
      </c>
      <c r="H1601" s="89">
        <v>1</v>
      </c>
      <c r="I1601" s="89">
        <v>1</v>
      </c>
      <c r="J1601" s="710">
        <f>(VLOOKUP($C1601,[2]Sheet1!$A$2:$P$18,$M1601+1)/12)*12*D1601</f>
        <v>207107.57893036498</v>
      </c>
      <c r="K1601" s="711"/>
      <c r="M1601" s="62">
        <f t="shared" si="126"/>
        <v>5</v>
      </c>
    </row>
    <row r="1602" spans="1:13">
      <c r="A1602" s="88">
        <f t="shared" si="128"/>
        <v>32</v>
      </c>
      <c r="B1602" s="69" t="s">
        <v>2416</v>
      </c>
      <c r="C1602" s="69">
        <v>4</v>
      </c>
      <c r="D1602" s="89">
        <v>1</v>
      </c>
      <c r="E1602" s="89">
        <v>1</v>
      </c>
      <c r="F1602" s="89">
        <v>1</v>
      </c>
      <c r="G1602" s="89">
        <v>1</v>
      </c>
      <c r="H1602" s="89">
        <v>1</v>
      </c>
      <c r="I1602" s="89">
        <v>1</v>
      </c>
      <c r="J1602" s="710">
        <f>(VLOOKUP($C1602,[2]Sheet1!$A$2:$P$18,$M1602+1)/12)*12*D1602</f>
        <v>224542.978930365</v>
      </c>
      <c r="K1602" s="711"/>
      <c r="M1602" s="62">
        <f t="shared" si="126"/>
        <v>5</v>
      </c>
    </row>
    <row r="1603" spans="1:13">
      <c r="A1603" s="88">
        <f t="shared" si="128"/>
        <v>33</v>
      </c>
      <c r="B1603" s="69" t="s">
        <v>499</v>
      </c>
      <c r="C1603" s="69">
        <v>2</v>
      </c>
      <c r="D1603" s="89">
        <v>1</v>
      </c>
      <c r="E1603" s="89">
        <v>1</v>
      </c>
      <c r="F1603" s="89">
        <v>1</v>
      </c>
      <c r="G1603" s="89">
        <v>1</v>
      </c>
      <c r="H1603" s="89">
        <v>1</v>
      </c>
      <c r="I1603" s="89">
        <v>1</v>
      </c>
      <c r="J1603" s="710">
        <f>(VLOOKUP($C1603,[2]Sheet1!$A$2:$P$18,$M1603+1)/12)*12*D1603</f>
        <v>214657.37893036503</v>
      </c>
      <c r="K1603" s="711"/>
      <c r="M1603" s="62">
        <f t="shared" si="126"/>
        <v>5</v>
      </c>
    </row>
    <row r="1604" spans="1:13">
      <c r="A1604" s="88"/>
      <c r="B1604" s="90" t="s">
        <v>3844</v>
      </c>
      <c r="C1604" s="69"/>
      <c r="D1604" s="89"/>
      <c r="E1604" s="89"/>
      <c r="F1604" s="89"/>
      <c r="G1604" s="89"/>
      <c r="H1604" s="89"/>
      <c r="I1604" s="89"/>
      <c r="J1604" s="710"/>
      <c r="K1604" s="711"/>
      <c r="M1604" s="62">
        <f t="shared" si="126"/>
        <v>5</v>
      </c>
    </row>
    <row r="1605" spans="1:13">
      <c r="A1605" s="88">
        <f>+A1603+1</f>
        <v>34</v>
      </c>
      <c r="B1605" s="69" t="s">
        <v>1699</v>
      </c>
      <c r="C1605" s="69">
        <v>9</v>
      </c>
      <c r="D1605" s="89">
        <v>0</v>
      </c>
      <c r="E1605" s="89">
        <v>1</v>
      </c>
      <c r="F1605" s="89">
        <v>0</v>
      </c>
      <c r="G1605" s="89">
        <v>0</v>
      </c>
      <c r="H1605" s="89">
        <v>1</v>
      </c>
      <c r="I1605" s="89">
        <v>0</v>
      </c>
      <c r="J1605" s="710">
        <f>(VLOOKUP($C1605,[2]Sheet1!$A$2:$P$18,$M1605+1)/12)*12*D1605</f>
        <v>0</v>
      </c>
      <c r="K1605" s="711"/>
      <c r="M1605" s="62">
        <f t="shared" si="126"/>
        <v>3</v>
      </c>
    </row>
    <row r="1606" spans="1:13">
      <c r="A1606" s="88">
        <f t="shared" si="128"/>
        <v>35</v>
      </c>
      <c r="B1606" s="69" t="s">
        <v>1700</v>
      </c>
      <c r="C1606" s="69">
        <v>4</v>
      </c>
      <c r="D1606" s="89">
        <v>0</v>
      </c>
      <c r="E1606" s="89">
        <v>1</v>
      </c>
      <c r="F1606" s="89">
        <v>0</v>
      </c>
      <c r="G1606" s="89">
        <v>0</v>
      </c>
      <c r="H1606" s="89">
        <v>1</v>
      </c>
      <c r="I1606" s="89">
        <v>0</v>
      </c>
      <c r="J1606" s="710">
        <f>(VLOOKUP($C1606,[2]Sheet1!$A$2:$P$18,$M1606+1)/12)*12*D1606</f>
        <v>0</v>
      </c>
      <c r="K1606" s="711"/>
      <c r="M1606" s="62">
        <f t="shared" si="126"/>
        <v>5</v>
      </c>
    </row>
    <row r="1607" spans="1:13">
      <c r="A1607" s="92"/>
      <c r="B1607" s="93" t="s">
        <v>1684</v>
      </c>
      <c r="C1607" s="94"/>
      <c r="D1607" s="123">
        <f t="shared" ref="D1607:I1607" si="129">SUM(D1569:D1606)</f>
        <v>400</v>
      </c>
      <c r="E1607" s="123">
        <f t="shared" si="129"/>
        <v>436</v>
      </c>
      <c r="F1607" s="123">
        <f t="shared" si="129"/>
        <v>400</v>
      </c>
      <c r="G1607" s="123">
        <f>SUM(G1569:G1606)</f>
        <v>400</v>
      </c>
      <c r="H1607" s="123">
        <f t="shared" si="129"/>
        <v>436</v>
      </c>
      <c r="I1607" s="123">
        <f t="shared" si="129"/>
        <v>400</v>
      </c>
      <c r="J1607" s="123">
        <f>SUM(J1569:J1606)+100000000</f>
        <v>274506417.796767</v>
      </c>
      <c r="K1607" s="378"/>
      <c r="M1607" s="62">
        <f t="shared" si="126"/>
        <v>5</v>
      </c>
    </row>
    <row r="1608" spans="1:13">
      <c r="A1608" s="88"/>
      <c r="B1608" s="90" t="s">
        <v>1199</v>
      </c>
      <c r="C1608" s="97"/>
      <c r="D1608" s="98"/>
      <c r="E1608" s="98"/>
      <c r="F1608" s="125"/>
      <c r="G1608" s="240" t="s">
        <v>243</v>
      </c>
      <c r="H1608" s="240" t="s">
        <v>4130</v>
      </c>
      <c r="I1608" s="240" t="s">
        <v>4202</v>
      </c>
      <c r="J1608" s="241" t="s">
        <v>4200</v>
      </c>
      <c r="K1608" s="375"/>
      <c r="M1608" s="62">
        <f t="shared" si="126"/>
        <v>5</v>
      </c>
    </row>
    <row r="1609" spans="1:13">
      <c r="A1609" s="88"/>
      <c r="B1609" s="69" t="s">
        <v>2786</v>
      </c>
      <c r="C1609" s="69"/>
      <c r="D1609" s="89"/>
      <c r="E1609" s="89"/>
      <c r="F1609" s="89"/>
      <c r="G1609" s="100">
        <f>J1607*0.2</f>
        <v>54901283.559353404</v>
      </c>
      <c r="H1609" s="100">
        <f>G1609*1.02</f>
        <v>55999309.230540469</v>
      </c>
      <c r="I1609" s="100">
        <f>H1609*1.02</f>
        <v>57119295.415151283</v>
      </c>
      <c r="J1609" s="100">
        <f>SUM(G1609:I1609)</f>
        <v>168019888.20504516</v>
      </c>
      <c r="K1609" s="114"/>
      <c r="M1609" s="62">
        <f t="shared" si="126"/>
        <v>5</v>
      </c>
    </row>
    <row r="1610" spans="1:13">
      <c r="A1610" s="88"/>
      <c r="B1610" s="69"/>
      <c r="C1610" s="69"/>
      <c r="D1610" s="89"/>
      <c r="E1610" s="89"/>
      <c r="F1610" s="89"/>
      <c r="G1610" s="89"/>
      <c r="H1610" s="89"/>
      <c r="I1610" s="89"/>
      <c r="J1610" s="89"/>
      <c r="K1610" s="114"/>
      <c r="M1610" s="62">
        <f t="shared" ref="M1610:M1618" si="130">IF(C1610&gt;6,3,5)</f>
        <v>5</v>
      </c>
    </row>
    <row r="1611" spans="1:13">
      <c r="A1611" s="92"/>
      <c r="B1611" s="93" t="s">
        <v>1933</v>
      </c>
      <c r="C1611" s="94"/>
      <c r="D1611" s="101"/>
      <c r="E1611" s="101"/>
      <c r="F1611" s="95"/>
      <c r="G1611" s="95">
        <f>SUM(G1609:G1610)</f>
        <v>54901283.559353404</v>
      </c>
      <c r="H1611" s="95">
        <f>SUM(H1609:H1610)</f>
        <v>55999309.230540469</v>
      </c>
      <c r="I1611" s="95">
        <f>SUM(I1609:I1610)</f>
        <v>57119295.415151283</v>
      </c>
      <c r="J1611" s="95">
        <f>SUM(J1609:J1610)</f>
        <v>168019888.20504516</v>
      </c>
      <c r="K1611" s="378"/>
      <c r="M1611" s="62">
        <f t="shared" si="130"/>
        <v>5</v>
      </c>
    </row>
    <row r="1612" spans="1:13">
      <c r="A1612" s="88">
        <v>1</v>
      </c>
      <c r="B1612" s="69" t="s">
        <v>1934</v>
      </c>
      <c r="C1612" s="69"/>
      <c r="D1612" s="89"/>
      <c r="E1612" s="89"/>
      <c r="F1612" s="89"/>
      <c r="G1612" s="100">
        <f>G1611+J1607</f>
        <v>329407701.35612041</v>
      </c>
      <c r="H1612" s="100">
        <f>G1612*1.02</f>
        <v>335995855.38324285</v>
      </c>
      <c r="I1612" s="100">
        <f>H1612*1.02</f>
        <v>342715772.49090773</v>
      </c>
      <c r="J1612" s="100">
        <f>SUM(G1612:I1612)</f>
        <v>1008119329.2302709</v>
      </c>
      <c r="K1612" s="114"/>
      <c r="L1612" s="112"/>
      <c r="M1612" s="62">
        <f t="shared" si="130"/>
        <v>5</v>
      </c>
    </row>
    <row r="1613" spans="1:13">
      <c r="A1613" s="88">
        <f>+A1612+1</f>
        <v>2</v>
      </c>
      <c r="B1613" s="69" t="s">
        <v>129</v>
      </c>
      <c r="C1613" s="69"/>
      <c r="D1613" s="89"/>
      <c r="E1613" s="89"/>
      <c r="F1613" s="89"/>
      <c r="G1613" s="89">
        <f>C1639</f>
        <v>15000000</v>
      </c>
      <c r="H1613" s="89">
        <f>D1639</f>
        <v>20900000</v>
      </c>
      <c r="I1613" s="89">
        <f>E1639</f>
        <v>20900000</v>
      </c>
      <c r="J1613" s="100">
        <f>SUM(G1613:I1613)</f>
        <v>56800000</v>
      </c>
      <c r="K1613" s="114"/>
      <c r="M1613" s="62">
        <f t="shared" si="130"/>
        <v>5</v>
      </c>
    </row>
    <row r="1614" spans="1:13" ht="13.5" thickBot="1">
      <c r="A1614" s="102"/>
      <c r="B1614" s="103" t="s">
        <v>2241</v>
      </c>
      <c r="C1614" s="104"/>
      <c r="D1614" s="105"/>
      <c r="E1614" s="105"/>
      <c r="F1614" s="129"/>
      <c r="G1614" s="129">
        <f>+G1613+G1612</f>
        <v>344407701.35612041</v>
      </c>
      <c r="H1614" s="129">
        <f>+H1613+H1612</f>
        <v>356895855.38324285</v>
      </c>
      <c r="I1614" s="129">
        <f>+I1613+I1612</f>
        <v>363615772.49090773</v>
      </c>
      <c r="J1614" s="129">
        <f>+J1613+J1612</f>
        <v>1064919329.2302709</v>
      </c>
      <c r="K1614" s="378"/>
      <c r="M1614" s="62">
        <f t="shared" si="130"/>
        <v>5</v>
      </c>
    </row>
    <row r="1615" spans="1:13" ht="15.75" thickTop="1">
      <c r="C1615" s="77"/>
      <c r="D1615" s="78" t="s">
        <v>5434</v>
      </c>
      <c r="J1615" s="584"/>
      <c r="K1615" s="584"/>
      <c r="M1615" s="62">
        <f t="shared" si="130"/>
        <v>5</v>
      </c>
    </row>
    <row r="1616" spans="1:13" ht="15">
      <c r="C1616" s="77"/>
      <c r="D1616" s="78" t="s">
        <v>716</v>
      </c>
      <c r="J1616" s="606"/>
      <c r="K1616" s="606"/>
      <c r="M1616" s="62">
        <f t="shared" si="130"/>
        <v>5</v>
      </c>
    </row>
    <row r="1617" spans="1:13" ht="15">
      <c r="C1617" s="79" t="s">
        <v>717</v>
      </c>
      <c r="D1617" s="78" t="s">
        <v>87</v>
      </c>
      <c r="J1617" s="584"/>
      <c r="K1617" s="584"/>
      <c r="M1617" s="62">
        <f t="shared" si="130"/>
        <v>3</v>
      </c>
    </row>
    <row r="1618" spans="1:13" ht="15">
      <c r="C1618" s="79" t="s">
        <v>718</v>
      </c>
      <c r="D1618" s="78" t="s">
        <v>2414</v>
      </c>
      <c r="J1618" s="584"/>
      <c r="K1618" s="584"/>
      <c r="M1618" s="62">
        <f t="shared" si="130"/>
        <v>3</v>
      </c>
    </row>
    <row r="1619" spans="1:13" ht="15">
      <c r="A1619" s="634" t="s">
        <v>1839</v>
      </c>
      <c r="B1619" s="635" t="s">
        <v>903</v>
      </c>
      <c r="C1619" s="1037" t="s">
        <v>4127</v>
      </c>
      <c r="D1619" s="1038"/>
      <c r="E1619" s="1039"/>
      <c r="F1619" s="635" t="s">
        <v>1684</v>
      </c>
      <c r="G1619" s="1037" t="s">
        <v>4132</v>
      </c>
      <c r="H1619" s="1038"/>
      <c r="I1619" s="1039"/>
      <c r="J1619" s="726"/>
      <c r="K1619" s="727"/>
    </row>
    <row r="1620" spans="1:13">
      <c r="A1620" s="636" t="s">
        <v>1620</v>
      </c>
      <c r="B1620" s="637"/>
      <c r="C1620" s="635" t="s">
        <v>1841</v>
      </c>
      <c r="D1620" s="635" t="s">
        <v>4133</v>
      </c>
      <c r="E1620" s="635" t="s">
        <v>4133</v>
      </c>
      <c r="F1620" s="1056" t="s">
        <v>4200</v>
      </c>
      <c r="G1620" s="634" t="s">
        <v>4135</v>
      </c>
      <c r="H1620" s="1051" t="s">
        <v>4182</v>
      </c>
      <c r="I1620" s="634" t="s">
        <v>4135</v>
      </c>
      <c r="J1620" s="728" t="s">
        <v>4136</v>
      </c>
      <c r="K1620" s="727"/>
    </row>
    <row r="1621" spans="1:13" ht="12.75" customHeight="1">
      <c r="A1621" s="638" t="s">
        <v>387</v>
      </c>
      <c r="B1621" s="639"/>
      <c r="C1621" s="638">
        <v>2015</v>
      </c>
      <c r="D1621" s="638">
        <v>2016</v>
      </c>
      <c r="E1621" s="638">
        <v>2017</v>
      </c>
      <c r="F1621" s="1057"/>
      <c r="G1621" s="638" t="s">
        <v>4304</v>
      </c>
      <c r="H1621" s="1052"/>
      <c r="I1621" s="638" t="s">
        <v>4303</v>
      </c>
      <c r="J1621" s="639"/>
      <c r="K1621" s="729"/>
    </row>
    <row r="1622" spans="1:13">
      <c r="A1622" s="768"/>
      <c r="B1622" s="768"/>
      <c r="C1622" s="774"/>
      <c r="D1622" s="774"/>
      <c r="E1622" s="774"/>
      <c r="F1622" s="774"/>
      <c r="G1622" s="774"/>
      <c r="H1622" s="774"/>
      <c r="I1622" s="774"/>
      <c r="J1622" s="774"/>
      <c r="K1622" s="776"/>
      <c r="M1622" s="62" t="e">
        <f>IF(#REF!&gt;6,3,5)</f>
        <v>#REF!</v>
      </c>
    </row>
    <row r="1623" spans="1:13">
      <c r="A1623" s="768">
        <v>2</v>
      </c>
      <c r="B1623" s="768" t="s">
        <v>1695</v>
      </c>
      <c r="C1623" s="774">
        <v>2000000</v>
      </c>
      <c r="D1623" s="774">
        <v>2000000</v>
      </c>
      <c r="E1623" s="774">
        <v>2000000</v>
      </c>
      <c r="F1623" s="774">
        <f>SUM(C1623:E1623)</f>
        <v>6000000</v>
      </c>
      <c r="G1623" s="774">
        <v>1000000</v>
      </c>
      <c r="H1623" s="774">
        <v>2000000</v>
      </c>
      <c r="I1623" s="774">
        <v>0</v>
      </c>
      <c r="J1623" s="774"/>
      <c r="K1623" s="776"/>
      <c r="M1623" s="62" t="e">
        <f>IF(#REF!&gt;6,3,5)</f>
        <v>#REF!</v>
      </c>
    </row>
    <row r="1624" spans="1:13">
      <c r="A1624" s="768">
        <f>1+A1623</f>
        <v>3</v>
      </c>
      <c r="B1624" s="768" t="s">
        <v>1696</v>
      </c>
      <c r="C1624" s="774" t="s">
        <v>3007</v>
      </c>
      <c r="D1624" s="774" t="s">
        <v>3007</v>
      </c>
      <c r="E1624" s="774" t="s">
        <v>3007</v>
      </c>
      <c r="F1624" s="774">
        <f t="shared" ref="F1624:F1637" si="131">SUM(C1624:E1624)</f>
        <v>0</v>
      </c>
      <c r="G1624" s="774"/>
      <c r="H1624" s="774" t="s">
        <v>3007</v>
      </c>
      <c r="I1624" s="774"/>
      <c r="J1624" s="774"/>
      <c r="K1624" s="776"/>
      <c r="M1624" s="62" t="e">
        <f>IF(#REF!&gt;6,3,5)</f>
        <v>#REF!</v>
      </c>
    </row>
    <row r="1625" spans="1:13">
      <c r="A1625" s="768">
        <f>1+A1624</f>
        <v>4</v>
      </c>
      <c r="B1625" s="768" t="s">
        <v>1701</v>
      </c>
      <c r="C1625" s="774" t="s">
        <v>3007</v>
      </c>
      <c r="D1625" s="774" t="s">
        <v>3007</v>
      </c>
      <c r="E1625" s="774" t="s">
        <v>3007</v>
      </c>
      <c r="F1625" s="774">
        <f t="shared" si="131"/>
        <v>0</v>
      </c>
      <c r="G1625" s="774"/>
      <c r="H1625" s="774" t="s">
        <v>3007</v>
      </c>
      <c r="I1625" s="774"/>
      <c r="J1625" s="774"/>
      <c r="K1625" s="776"/>
      <c r="M1625" s="62" t="e">
        <f>IF(#REF!&gt;6,3,5)</f>
        <v>#REF!</v>
      </c>
    </row>
    <row r="1626" spans="1:13">
      <c r="A1626" s="768">
        <f t="shared" ref="A1626:A1635" si="132">1+A1625</f>
        <v>5</v>
      </c>
      <c r="B1626" s="768" t="s">
        <v>1702</v>
      </c>
      <c r="C1626" s="774">
        <v>800000</v>
      </c>
      <c r="D1626" s="774">
        <v>800000</v>
      </c>
      <c r="E1626" s="774">
        <v>800000</v>
      </c>
      <c r="F1626" s="774">
        <f t="shared" si="131"/>
        <v>2400000</v>
      </c>
      <c r="G1626" s="774">
        <v>45000</v>
      </c>
      <c r="H1626" s="774">
        <v>800000</v>
      </c>
      <c r="I1626" s="774">
        <v>0</v>
      </c>
      <c r="J1626" s="774"/>
      <c r="K1626" s="776"/>
      <c r="M1626" s="62" t="e">
        <f>IF(#REF!&gt;6,3,5)</f>
        <v>#REF!</v>
      </c>
    </row>
    <row r="1627" spans="1:13">
      <c r="A1627" s="768">
        <f t="shared" si="132"/>
        <v>6</v>
      </c>
      <c r="B1627" s="768" t="s">
        <v>1544</v>
      </c>
      <c r="C1627" s="774">
        <v>500000</v>
      </c>
      <c r="D1627" s="774">
        <v>500000</v>
      </c>
      <c r="E1627" s="774">
        <v>500000</v>
      </c>
      <c r="F1627" s="774">
        <f t="shared" si="131"/>
        <v>1500000</v>
      </c>
      <c r="G1627" s="774">
        <v>185000</v>
      </c>
      <c r="H1627" s="774">
        <v>500000</v>
      </c>
      <c r="I1627" s="774">
        <v>0</v>
      </c>
      <c r="J1627" s="774"/>
      <c r="K1627" s="776"/>
      <c r="M1627" s="62" t="e">
        <f>IF(#REF!&gt;6,3,5)</f>
        <v>#REF!</v>
      </c>
    </row>
    <row r="1628" spans="1:13">
      <c r="A1628" s="768">
        <f t="shared" si="132"/>
        <v>7</v>
      </c>
      <c r="B1628" s="768" t="s">
        <v>897</v>
      </c>
      <c r="C1628" s="774">
        <v>1000000</v>
      </c>
      <c r="D1628" s="774">
        <v>1000000</v>
      </c>
      <c r="E1628" s="774">
        <v>1000000</v>
      </c>
      <c r="F1628" s="774">
        <f t="shared" si="131"/>
        <v>3000000</v>
      </c>
      <c r="G1628" s="774">
        <v>626760</v>
      </c>
      <c r="H1628" s="774">
        <v>1000000</v>
      </c>
      <c r="I1628" s="774">
        <v>0</v>
      </c>
      <c r="J1628" s="774"/>
      <c r="K1628" s="776"/>
      <c r="M1628" s="62" t="e">
        <f>IF(#REF!&gt;6,3,5)</f>
        <v>#REF!</v>
      </c>
    </row>
    <row r="1629" spans="1:13">
      <c r="A1629" s="768">
        <f t="shared" si="132"/>
        <v>8</v>
      </c>
      <c r="B1629" s="768" t="s">
        <v>1385</v>
      </c>
      <c r="C1629" s="774" t="s">
        <v>3007</v>
      </c>
      <c r="D1629" s="774" t="s">
        <v>3007</v>
      </c>
      <c r="E1629" s="774" t="s">
        <v>3007</v>
      </c>
      <c r="F1629" s="774">
        <f t="shared" si="131"/>
        <v>0</v>
      </c>
      <c r="G1629" s="774"/>
      <c r="H1629" s="774" t="s">
        <v>3007</v>
      </c>
      <c r="I1629" s="774">
        <v>0</v>
      </c>
      <c r="J1629" s="774"/>
      <c r="K1629" s="776"/>
      <c r="M1629" s="62" t="e">
        <f>IF(#REF!&gt;6,3,5)</f>
        <v>#REF!</v>
      </c>
    </row>
    <row r="1630" spans="1:13">
      <c r="A1630" s="768">
        <f t="shared" si="132"/>
        <v>9</v>
      </c>
      <c r="B1630" s="768" t="s">
        <v>2061</v>
      </c>
      <c r="C1630" s="774" t="s">
        <v>3007</v>
      </c>
      <c r="D1630" s="774" t="s">
        <v>3007</v>
      </c>
      <c r="E1630" s="774" t="s">
        <v>3007</v>
      </c>
      <c r="F1630" s="774">
        <f t="shared" si="131"/>
        <v>0</v>
      </c>
      <c r="G1630" s="774"/>
      <c r="H1630" s="774" t="s">
        <v>3007</v>
      </c>
      <c r="I1630" s="774">
        <v>0</v>
      </c>
      <c r="J1630" s="774"/>
      <c r="K1630" s="776"/>
      <c r="M1630" s="62" t="e">
        <f>IF(#REF!&gt;6,3,5)</f>
        <v>#REF!</v>
      </c>
    </row>
    <row r="1631" spans="1:13">
      <c r="A1631" s="768">
        <f t="shared" si="132"/>
        <v>10</v>
      </c>
      <c r="B1631" s="768" t="s">
        <v>1680</v>
      </c>
      <c r="C1631" s="774">
        <v>500000</v>
      </c>
      <c r="D1631" s="774">
        <v>500000</v>
      </c>
      <c r="E1631" s="774">
        <v>500000</v>
      </c>
      <c r="F1631" s="774">
        <f t="shared" si="131"/>
        <v>1500000</v>
      </c>
      <c r="G1631" s="774"/>
      <c r="H1631" s="774">
        <v>500000</v>
      </c>
      <c r="I1631" s="774">
        <v>0</v>
      </c>
      <c r="J1631" s="774"/>
      <c r="K1631" s="776"/>
      <c r="M1631" s="62" t="e">
        <f>IF(#REF!&gt;6,3,5)</f>
        <v>#REF!</v>
      </c>
    </row>
    <row r="1632" spans="1:13">
      <c r="A1632" s="768">
        <f t="shared" si="132"/>
        <v>11</v>
      </c>
      <c r="B1632" s="768" t="s">
        <v>1681</v>
      </c>
      <c r="C1632" s="774">
        <v>1000000</v>
      </c>
      <c r="D1632" s="774">
        <v>100000</v>
      </c>
      <c r="E1632" s="774">
        <v>100000</v>
      </c>
      <c r="F1632" s="774">
        <f t="shared" si="131"/>
        <v>1200000</v>
      </c>
      <c r="G1632" s="774">
        <v>16000</v>
      </c>
      <c r="H1632" s="774">
        <v>100000</v>
      </c>
      <c r="I1632" s="774">
        <v>0</v>
      </c>
      <c r="J1632" s="774"/>
      <c r="K1632" s="776"/>
      <c r="M1632" s="62" t="e">
        <f>IF(#REF!&gt;6,3,5)</f>
        <v>#REF!</v>
      </c>
    </row>
    <row r="1633" spans="1:13">
      <c r="A1633" s="768">
        <f t="shared" si="132"/>
        <v>12</v>
      </c>
      <c r="B1633" s="768" t="s">
        <v>895</v>
      </c>
      <c r="C1633" s="774">
        <v>2700000</v>
      </c>
      <c r="D1633" s="774">
        <v>2000000</v>
      </c>
      <c r="E1633" s="774">
        <v>2000000</v>
      </c>
      <c r="F1633" s="774">
        <f t="shared" si="131"/>
        <v>6700000</v>
      </c>
      <c r="G1633" s="774">
        <v>872240</v>
      </c>
      <c r="H1633" s="774">
        <v>2000000</v>
      </c>
      <c r="I1633" s="774">
        <v>0</v>
      </c>
      <c r="J1633" s="774"/>
      <c r="K1633" s="776"/>
      <c r="M1633" s="62" t="e">
        <f>IF(#REF!&gt;6,3,5)</f>
        <v>#REF!</v>
      </c>
    </row>
    <row r="1634" spans="1:13">
      <c r="A1634" s="768">
        <f t="shared" si="132"/>
        <v>13</v>
      </c>
      <c r="B1634" s="768" t="s">
        <v>2249</v>
      </c>
      <c r="C1634" s="774" t="s">
        <v>3007</v>
      </c>
      <c r="D1634" s="774" t="s">
        <v>3007</v>
      </c>
      <c r="E1634" s="774" t="s">
        <v>3007</v>
      </c>
      <c r="F1634" s="774">
        <f t="shared" si="131"/>
        <v>0</v>
      </c>
      <c r="G1634" s="774"/>
      <c r="H1634" s="774" t="s">
        <v>3007</v>
      </c>
      <c r="I1634" s="774"/>
      <c r="J1634" s="774"/>
      <c r="K1634" s="776"/>
      <c r="M1634" s="62" t="e">
        <f>IF(#REF!&gt;6,3,5)</f>
        <v>#REF!</v>
      </c>
    </row>
    <row r="1635" spans="1:13">
      <c r="A1635" s="768">
        <f t="shared" si="132"/>
        <v>14</v>
      </c>
      <c r="B1635" s="768" t="s">
        <v>1336</v>
      </c>
      <c r="C1635" s="774">
        <v>1000000</v>
      </c>
      <c r="D1635" s="774">
        <v>1000000</v>
      </c>
      <c r="E1635" s="774">
        <v>1000000</v>
      </c>
      <c r="F1635" s="774">
        <f t="shared" si="131"/>
        <v>3000000</v>
      </c>
      <c r="G1635" s="774"/>
      <c r="H1635" s="774">
        <v>1000000</v>
      </c>
      <c r="I1635" s="774"/>
      <c r="J1635" s="774"/>
      <c r="K1635" s="776"/>
      <c r="M1635" s="62" t="e">
        <f>IF(#REF!&gt;6,3,5)</f>
        <v>#REF!</v>
      </c>
    </row>
    <row r="1636" spans="1:13">
      <c r="A1636" s="768">
        <v>15</v>
      </c>
      <c r="B1636" s="768" t="s">
        <v>3683</v>
      </c>
      <c r="C1636" s="774">
        <v>3500000</v>
      </c>
      <c r="D1636" s="774">
        <v>10000000</v>
      </c>
      <c r="E1636" s="774">
        <v>10000000</v>
      </c>
      <c r="F1636" s="774">
        <f t="shared" si="131"/>
        <v>23500000</v>
      </c>
      <c r="G1636" s="774"/>
      <c r="H1636" s="774">
        <v>5000000</v>
      </c>
      <c r="I1636" s="774"/>
      <c r="J1636" s="774"/>
      <c r="K1636" s="776"/>
      <c r="M1636" s="62" t="e">
        <f>IF(#REF!&gt;6,3,5)</f>
        <v>#REF!</v>
      </c>
    </row>
    <row r="1637" spans="1:13">
      <c r="A1637" s="768">
        <v>16</v>
      </c>
      <c r="B1637" s="768" t="s">
        <v>140</v>
      </c>
      <c r="C1637" s="774">
        <v>2000000</v>
      </c>
      <c r="D1637" s="774">
        <v>3000000</v>
      </c>
      <c r="E1637" s="774">
        <v>3000000</v>
      </c>
      <c r="F1637" s="774">
        <f t="shared" si="131"/>
        <v>8000000</v>
      </c>
      <c r="G1637" s="774">
        <v>1428444</v>
      </c>
      <c r="H1637" s="774">
        <v>3000000</v>
      </c>
      <c r="I1637" s="774">
        <v>1919419</v>
      </c>
      <c r="J1637" s="774"/>
      <c r="K1637" s="776"/>
      <c r="M1637" s="62" t="e">
        <f>IF(#REF!&gt;6,3,5)</f>
        <v>#REF!</v>
      </c>
    </row>
    <row r="1638" spans="1:13">
      <c r="A1638" s="768">
        <v>17</v>
      </c>
      <c r="B1638" s="768" t="s">
        <v>4142</v>
      </c>
      <c r="C1638" s="774" t="s">
        <v>1386</v>
      </c>
      <c r="D1638" s="774" t="s">
        <v>1386</v>
      </c>
      <c r="E1638" s="774">
        <v>7000000</v>
      </c>
      <c r="F1638" s="774">
        <v>7000000</v>
      </c>
      <c r="G1638" s="774">
        <v>0</v>
      </c>
      <c r="H1638" s="774">
        <v>0</v>
      </c>
      <c r="I1638" s="774"/>
      <c r="J1638" s="774"/>
      <c r="K1638" s="776"/>
      <c r="M1638" s="62" t="e">
        <f>IF(#REF!&gt;6,3,5)</f>
        <v>#REF!</v>
      </c>
    </row>
    <row r="1639" spans="1:13">
      <c r="A1639" s="770"/>
      <c r="B1639" s="770" t="s">
        <v>1684</v>
      </c>
      <c r="C1639" s="771">
        <f t="shared" ref="C1639:J1639" si="133">SUM(C1622:C1637)</f>
        <v>15000000</v>
      </c>
      <c r="D1639" s="771">
        <f t="shared" si="133"/>
        <v>20900000</v>
      </c>
      <c r="E1639" s="771">
        <f t="shared" si="133"/>
        <v>20900000</v>
      </c>
      <c r="F1639" s="771">
        <f t="shared" si="133"/>
        <v>56800000</v>
      </c>
      <c r="G1639" s="771">
        <f>SUM(G1622:G1637)</f>
        <v>4173444</v>
      </c>
      <c r="H1639" s="771">
        <f t="shared" si="133"/>
        <v>15900000</v>
      </c>
      <c r="I1639" s="771">
        <f t="shared" si="133"/>
        <v>1919419</v>
      </c>
      <c r="J1639" s="771">
        <f t="shared" si="133"/>
        <v>0</v>
      </c>
      <c r="K1639" s="772"/>
      <c r="M1639" s="62" t="e">
        <f>IF(#REF!&gt;6,3,5)</f>
        <v>#REF!</v>
      </c>
    </row>
    <row r="1640" spans="1:13" ht="15">
      <c r="C1640" s="77"/>
      <c r="D1640" s="78" t="s">
        <v>5434</v>
      </c>
      <c r="J1640" s="584"/>
      <c r="K1640" s="584"/>
      <c r="M1640" s="62">
        <f t="shared" ref="M1640:M1670" si="134">IF(C1640&gt;6,3,5)</f>
        <v>5</v>
      </c>
    </row>
    <row r="1641" spans="1:13" ht="15">
      <c r="C1641" s="77"/>
      <c r="D1641" s="78" t="s">
        <v>1693</v>
      </c>
      <c r="J1641" s="584"/>
      <c r="K1641" s="584"/>
      <c r="M1641" s="62">
        <f t="shared" si="134"/>
        <v>5</v>
      </c>
    </row>
    <row r="1642" spans="1:13" ht="15">
      <c r="C1642" s="79" t="s">
        <v>717</v>
      </c>
      <c r="D1642" s="78" t="s">
        <v>4111</v>
      </c>
      <c r="J1642" s="584"/>
      <c r="K1642" s="584"/>
      <c r="M1642" s="62">
        <f t="shared" si="134"/>
        <v>3</v>
      </c>
    </row>
    <row r="1643" spans="1:13" ht="15.75" thickBot="1">
      <c r="C1643" s="79" t="s">
        <v>718</v>
      </c>
      <c r="D1643" s="78" t="s">
        <v>2304</v>
      </c>
      <c r="J1643" s="584"/>
      <c r="K1643" s="584"/>
      <c r="M1643" s="62">
        <f t="shared" si="134"/>
        <v>3</v>
      </c>
    </row>
    <row r="1644" spans="1:13" ht="15.75" thickTop="1">
      <c r="A1644" s="1047" t="s">
        <v>2791</v>
      </c>
      <c r="B1644" s="1049" t="s">
        <v>4126</v>
      </c>
      <c r="C1644" s="1049" t="s">
        <v>854</v>
      </c>
      <c r="D1644" s="1040" t="s">
        <v>4127</v>
      </c>
      <c r="E1644" s="1041"/>
      <c r="F1644" s="1041"/>
      <c r="G1644" s="1040" t="s">
        <v>904</v>
      </c>
      <c r="H1644" s="1041"/>
      <c r="I1644" s="1042"/>
      <c r="J1644" s="1035" t="s">
        <v>855</v>
      </c>
      <c r="K1644" s="389"/>
    </row>
    <row r="1645" spans="1:13" ht="26.25" thickBot="1">
      <c r="A1645" s="1048"/>
      <c r="B1645" s="1050"/>
      <c r="C1645" s="1050"/>
      <c r="D1645" s="285" t="s">
        <v>5505</v>
      </c>
      <c r="E1645" s="285" t="s">
        <v>4485</v>
      </c>
      <c r="F1645" s="285" t="s">
        <v>4486</v>
      </c>
      <c r="G1645" s="287" t="s">
        <v>4487</v>
      </c>
      <c r="H1645" s="285" t="s">
        <v>4488</v>
      </c>
      <c r="I1645" s="287" t="s">
        <v>4489</v>
      </c>
      <c r="J1645" s="1036"/>
      <c r="K1645" s="712"/>
    </row>
    <row r="1646" spans="1:13" ht="13.5" thickTop="1">
      <c r="A1646" s="88"/>
      <c r="B1646" s="90" t="s">
        <v>1893</v>
      </c>
      <c r="C1646" s="69"/>
      <c r="D1646" s="89"/>
      <c r="E1646" s="89"/>
      <c r="F1646" s="69"/>
      <c r="G1646" s="89"/>
      <c r="H1646" s="89"/>
      <c r="I1646" s="89"/>
      <c r="J1646" s="713"/>
      <c r="K1646" s="711"/>
    </row>
    <row r="1647" spans="1:13">
      <c r="A1647" s="88">
        <f>+A1646+1</f>
        <v>1</v>
      </c>
      <c r="B1647" s="69" t="s">
        <v>1043</v>
      </c>
      <c r="C1647" s="69" t="s">
        <v>2335</v>
      </c>
      <c r="D1647" s="89">
        <v>0</v>
      </c>
      <c r="E1647" s="89">
        <v>1</v>
      </c>
      <c r="F1647" s="89">
        <v>0</v>
      </c>
      <c r="G1647" s="89">
        <v>0</v>
      </c>
      <c r="H1647" s="89">
        <v>1</v>
      </c>
      <c r="I1647" s="89">
        <v>0</v>
      </c>
      <c r="J1647" s="713">
        <f>L1647*H1647</f>
        <v>440000</v>
      </c>
      <c r="K1647" s="713"/>
      <c r="L1647" s="713">
        <v>440000</v>
      </c>
      <c r="M1647" s="62">
        <f>IF(C1647&gt;6,3,5)</f>
        <v>3</v>
      </c>
    </row>
    <row r="1648" spans="1:13">
      <c r="A1648" s="88">
        <f>A1647+1</f>
        <v>2</v>
      </c>
      <c r="B1648" s="69" t="s">
        <v>3845</v>
      </c>
      <c r="C1648" s="69">
        <v>7</v>
      </c>
      <c r="D1648" s="89">
        <v>0</v>
      </c>
      <c r="E1648" s="89">
        <v>0</v>
      </c>
      <c r="F1648" s="89">
        <v>0</v>
      </c>
      <c r="G1648" s="89">
        <v>0</v>
      </c>
      <c r="H1648" s="89">
        <v>0</v>
      </c>
      <c r="I1648" s="89">
        <v>0</v>
      </c>
      <c r="J1648" s="710">
        <f>(VLOOKUP($C1648,[2]Sheet1!$A$2:$P$18,$M1648+1)/12)*12*D1648</f>
        <v>0</v>
      </c>
      <c r="K1648" s="711"/>
      <c r="M1648" s="62">
        <f t="shared" si="134"/>
        <v>3</v>
      </c>
    </row>
    <row r="1649" spans="1:13">
      <c r="A1649" s="88">
        <f t="shared" ref="A1649:A1701" si="135">+A1648+1</f>
        <v>3</v>
      </c>
      <c r="B1649" s="69" t="s">
        <v>3846</v>
      </c>
      <c r="C1649" s="69">
        <v>6</v>
      </c>
      <c r="D1649" s="89">
        <v>0</v>
      </c>
      <c r="E1649" s="89">
        <v>1</v>
      </c>
      <c r="F1649" s="89">
        <v>0</v>
      </c>
      <c r="G1649" s="89">
        <v>0</v>
      </c>
      <c r="H1649" s="89">
        <v>1</v>
      </c>
      <c r="I1649" s="89">
        <v>0</v>
      </c>
      <c r="J1649" s="710">
        <f>(VLOOKUP($C1649,[2]Sheet1!$A$2:$P$18,$M1649+1)/12)*12*D1649</f>
        <v>0</v>
      </c>
      <c r="K1649" s="711"/>
      <c r="M1649" s="62">
        <f t="shared" si="134"/>
        <v>5</v>
      </c>
    </row>
    <row r="1650" spans="1:13">
      <c r="A1650" s="88">
        <f t="shared" si="135"/>
        <v>4</v>
      </c>
      <c r="B1650" s="69" t="s">
        <v>3847</v>
      </c>
      <c r="C1650" s="69">
        <v>5</v>
      </c>
      <c r="D1650" s="89">
        <v>0</v>
      </c>
      <c r="E1650" s="89">
        <v>0</v>
      </c>
      <c r="F1650" s="89">
        <v>0</v>
      </c>
      <c r="G1650" s="89">
        <v>0</v>
      </c>
      <c r="H1650" s="89">
        <v>0</v>
      </c>
      <c r="I1650" s="89">
        <v>0</v>
      </c>
      <c r="J1650" s="710">
        <f>(VLOOKUP($C1650,[2]Sheet1!$A$2:$P$18,$M1650+1)/12)*12*D1650</f>
        <v>0</v>
      </c>
      <c r="K1650" s="711"/>
      <c r="M1650" s="62">
        <f t="shared" si="134"/>
        <v>5</v>
      </c>
    </row>
    <row r="1651" spans="1:13">
      <c r="A1651" s="88">
        <f t="shared" si="135"/>
        <v>5</v>
      </c>
      <c r="B1651" s="69" t="s">
        <v>2336</v>
      </c>
      <c r="C1651" s="69">
        <v>4</v>
      </c>
      <c r="D1651" s="89">
        <v>0</v>
      </c>
      <c r="E1651" s="89">
        <v>0</v>
      </c>
      <c r="F1651" s="89">
        <v>0</v>
      </c>
      <c r="G1651" s="89">
        <v>0</v>
      </c>
      <c r="H1651" s="89">
        <v>0</v>
      </c>
      <c r="I1651" s="89">
        <v>0</v>
      </c>
      <c r="J1651" s="710">
        <f>(VLOOKUP($C1651,[2]Sheet1!$A$2:$P$18,$M1651+1)/12)*12*D1651</f>
        <v>0</v>
      </c>
      <c r="K1651" s="711"/>
      <c r="M1651" s="62">
        <f t="shared" si="134"/>
        <v>5</v>
      </c>
    </row>
    <row r="1652" spans="1:13">
      <c r="A1652" s="88">
        <f t="shared" si="135"/>
        <v>6</v>
      </c>
      <c r="B1652" s="69" t="s">
        <v>1069</v>
      </c>
      <c r="C1652" s="69">
        <v>3</v>
      </c>
      <c r="D1652" s="89">
        <v>0</v>
      </c>
      <c r="E1652" s="89">
        <v>0</v>
      </c>
      <c r="F1652" s="89">
        <v>0</v>
      </c>
      <c r="G1652" s="89">
        <v>0</v>
      </c>
      <c r="H1652" s="89">
        <v>0</v>
      </c>
      <c r="I1652" s="89">
        <v>0</v>
      </c>
      <c r="J1652" s="710">
        <f>(VLOOKUP($C1652,[2]Sheet1!$A$2:$P$18,$M1652+1)/12)*12*D1652</f>
        <v>0</v>
      </c>
      <c r="K1652" s="711"/>
      <c r="M1652" s="62">
        <f t="shared" si="134"/>
        <v>5</v>
      </c>
    </row>
    <row r="1653" spans="1:13">
      <c r="A1653" s="88">
        <f t="shared" si="135"/>
        <v>7</v>
      </c>
      <c r="B1653" s="69" t="s">
        <v>3848</v>
      </c>
      <c r="C1653" s="69">
        <v>7</v>
      </c>
      <c r="D1653" s="89">
        <v>0</v>
      </c>
      <c r="E1653" s="89">
        <v>1</v>
      </c>
      <c r="F1653" s="89">
        <v>0</v>
      </c>
      <c r="G1653" s="89">
        <v>0</v>
      </c>
      <c r="H1653" s="89">
        <v>1</v>
      </c>
      <c r="I1653" s="89">
        <v>0</v>
      </c>
      <c r="J1653" s="710">
        <f>(VLOOKUP($C1653,[2]Sheet1!$A$2:$P$18,$M1653+1)/12)*12*D1653</f>
        <v>0</v>
      </c>
      <c r="K1653" s="711"/>
      <c r="M1653" s="62">
        <f t="shared" si="134"/>
        <v>3</v>
      </c>
    </row>
    <row r="1654" spans="1:13">
      <c r="A1654" s="88">
        <f t="shared" si="135"/>
        <v>8</v>
      </c>
      <c r="B1654" s="69" t="s">
        <v>3849</v>
      </c>
      <c r="C1654" s="69">
        <v>5</v>
      </c>
      <c r="D1654" s="89">
        <v>0</v>
      </c>
      <c r="E1654" s="89">
        <v>1</v>
      </c>
      <c r="F1654" s="89">
        <v>0</v>
      </c>
      <c r="G1654" s="89">
        <v>0</v>
      </c>
      <c r="H1654" s="89">
        <v>1</v>
      </c>
      <c r="I1654" s="89">
        <v>0</v>
      </c>
      <c r="J1654" s="710">
        <f>(VLOOKUP($C1654,[2]Sheet1!$A$2:$P$18,$M1654+1)/12)*12*D1654</f>
        <v>0</v>
      </c>
      <c r="K1654" s="711"/>
      <c r="M1654" s="62">
        <f t="shared" si="134"/>
        <v>5</v>
      </c>
    </row>
    <row r="1655" spans="1:13">
      <c r="A1655" s="88">
        <f t="shared" si="135"/>
        <v>9</v>
      </c>
      <c r="B1655" s="69" t="s">
        <v>3796</v>
      </c>
      <c r="C1655" s="69">
        <v>6</v>
      </c>
      <c r="D1655" s="89">
        <v>0</v>
      </c>
      <c r="E1655" s="89">
        <v>0</v>
      </c>
      <c r="F1655" s="89">
        <v>0</v>
      </c>
      <c r="G1655" s="89">
        <v>0</v>
      </c>
      <c r="H1655" s="89">
        <v>0</v>
      </c>
      <c r="I1655" s="89">
        <v>0</v>
      </c>
      <c r="J1655" s="710">
        <f>(VLOOKUP($C1655,[2]Sheet1!$A$2:$P$18,$M1655+1)/12)*12*D1655</f>
        <v>0</v>
      </c>
      <c r="K1655" s="711"/>
      <c r="M1655" s="62">
        <f t="shared" si="134"/>
        <v>5</v>
      </c>
    </row>
    <row r="1656" spans="1:13">
      <c r="A1656" s="88">
        <f t="shared" si="135"/>
        <v>10</v>
      </c>
      <c r="B1656" s="69" t="s">
        <v>3797</v>
      </c>
      <c r="C1656" s="69">
        <v>5</v>
      </c>
      <c r="D1656" s="89">
        <v>0</v>
      </c>
      <c r="E1656" s="89">
        <v>0</v>
      </c>
      <c r="F1656" s="89">
        <v>0</v>
      </c>
      <c r="G1656" s="89">
        <v>0</v>
      </c>
      <c r="H1656" s="89">
        <v>0</v>
      </c>
      <c r="I1656" s="89">
        <v>0</v>
      </c>
      <c r="J1656" s="710">
        <f>(VLOOKUP($C1656,[2]Sheet1!$A$2:$P$18,$M1656+1)/12)*12*D1656</f>
        <v>0</v>
      </c>
      <c r="K1656" s="711"/>
      <c r="M1656" s="62">
        <f t="shared" si="134"/>
        <v>5</v>
      </c>
    </row>
    <row r="1657" spans="1:13">
      <c r="A1657" s="88">
        <f t="shared" si="135"/>
        <v>11</v>
      </c>
      <c r="B1657" s="69" t="s">
        <v>3798</v>
      </c>
      <c r="C1657" s="69">
        <v>4</v>
      </c>
      <c r="D1657" s="89">
        <v>0</v>
      </c>
      <c r="E1657" s="89">
        <v>0</v>
      </c>
      <c r="F1657" s="89">
        <v>0</v>
      </c>
      <c r="G1657" s="89">
        <v>0</v>
      </c>
      <c r="H1657" s="89">
        <v>0</v>
      </c>
      <c r="I1657" s="89">
        <v>0</v>
      </c>
      <c r="J1657" s="710">
        <f>(VLOOKUP($C1657,[2]Sheet1!$A$2:$P$18,$M1657+1)/12)*12*D1657</f>
        <v>0</v>
      </c>
      <c r="K1657" s="711"/>
      <c r="M1657" s="62">
        <f t="shared" si="134"/>
        <v>5</v>
      </c>
    </row>
    <row r="1658" spans="1:13">
      <c r="A1658" s="88">
        <f t="shared" si="135"/>
        <v>12</v>
      </c>
      <c r="B1658" s="69" t="s">
        <v>3250</v>
      </c>
      <c r="C1658" s="69">
        <v>3</v>
      </c>
      <c r="D1658" s="89">
        <v>0</v>
      </c>
      <c r="E1658" s="89">
        <v>0</v>
      </c>
      <c r="F1658" s="89">
        <v>0</v>
      </c>
      <c r="G1658" s="89">
        <v>0</v>
      </c>
      <c r="H1658" s="89">
        <v>0</v>
      </c>
      <c r="I1658" s="89">
        <v>0</v>
      </c>
      <c r="J1658" s="710">
        <f>(VLOOKUP($C1658,[2]Sheet1!$A$2:$P$18,$M1658+1)/12)*12*D1658</f>
        <v>0</v>
      </c>
      <c r="K1658" s="711"/>
      <c r="M1658" s="62">
        <f t="shared" si="134"/>
        <v>5</v>
      </c>
    </row>
    <row r="1659" spans="1:13">
      <c r="A1659" s="88">
        <f t="shared" si="135"/>
        <v>13</v>
      </c>
      <c r="B1659" s="69" t="s">
        <v>3251</v>
      </c>
      <c r="C1659" s="69">
        <v>7</v>
      </c>
      <c r="D1659" s="89">
        <v>0</v>
      </c>
      <c r="E1659" s="89">
        <v>1</v>
      </c>
      <c r="F1659" s="89">
        <v>0</v>
      </c>
      <c r="G1659" s="89">
        <v>0</v>
      </c>
      <c r="H1659" s="89">
        <v>1</v>
      </c>
      <c r="I1659" s="89">
        <v>0</v>
      </c>
      <c r="J1659" s="710">
        <f>(VLOOKUP($C1659,[2]Sheet1!$A$2:$P$18,$M1659+1)/12)*12*D1659</f>
        <v>0</v>
      </c>
      <c r="K1659" s="711"/>
      <c r="M1659" s="62">
        <f t="shared" si="134"/>
        <v>3</v>
      </c>
    </row>
    <row r="1660" spans="1:13">
      <c r="A1660" s="88">
        <f t="shared" si="135"/>
        <v>14</v>
      </c>
      <c r="B1660" s="69" t="s">
        <v>3850</v>
      </c>
      <c r="C1660" s="69">
        <v>6</v>
      </c>
      <c r="D1660" s="89">
        <v>0</v>
      </c>
      <c r="E1660" s="89">
        <v>0</v>
      </c>
      <c r="F1660" s="89">
        <v>0</v>
      </c>
      <c r="G1660" s="89">
        <v>0</v>
      </c>
      <c r="H1660" s="89">
        <v>0</v>
      </c>
      <c r="I1660" s="89">
        <v>0</v>
      </c>
      <c r="J1660" s="710">
        <f>(VLOOKUP($C1660,[2]Sheet1!$A$2:$P$18,$M1660+1)/12)*12*D1660</f>
        <v>0</v>
      </c>
      <c r="K1660" s="711"/>
      <c r="M1660" s="62">
        <f t="shared" si="134"/>
        <v>5</v>
      </c>
    </row>
    <row r="1661" spans="1:13">
      <c r="A1661" s="88">
        <f t="shared" si="135"/>
        <v>15</v>
      </c>
      <c r="B1661" s="69" t="s">
        <v>1387</v>
      </c>
      <c r="C1661" s="69">
        <v>5</v>
      </c>
      <c r="D1661" s="89">
        <v>0</v>
      </c>
      <c r="E1661" s="89">
        <v>0</v>
      </c>
      <c r="F1661" s="89">
        <v>0</v>
      </c>
      <c r="G1661" s="89">
        <v>0</v>
      </c>
      <c r="H1661" s="89">
        <v>0</v>
      </c>
      <c r="I1661" s="89">
        <v>0</v>
      </c>
      <c r="J1661" s="710">
        <f>(VLOOKUP($C1661,[2]Sheet1!$A$2:$P$18,$M1661+1)/12)*12*D1661</f>
        <v>0</v>
      </c>
      <c r="K1661" s="711"/>
      <c r="M1661" s="62">
        <f t="shared" si="134"/>
        <v>5</v>
      </c>
    </row>
    <row r="1662" spans="1:13">
      <c r="A1662" s="88">
        <f t="shared" si="135"/>
        <v>16</v>
      </c>
      <c r="B1662" s="69" t="s">
        <v>2232</v>
      </c>
      <c r="C1662" s="69">
        <v>4</v>
      </c>
      <c r="D1662" s="89">
        <v>0</v>
      </c>
      <c r="E1662" s="89">
        <v>1</v>
      </c>
      <c r="F1662" s="89">
        <v>0</v>
      </c>
      <c r="G1662" s="89">
        <v>0</v>
      </c>
      <c r="H1662" s="89">
        <v>1</v>
      </c>
      <c r="I1662" s="89">
        <v>0</v>
      </c>
      <c r="J1662" s="710">
        <f>(VLOOKUP($C1662,[2]Sheet1!$A$2:$P$18,$M1662+1)/12)*12*D1662</f>
        <v>0</v>
      </c>
      <c r="K1662" s="711"/>
      <c r="M1662" s="62">
        <f t="shared" si="134"/>
        <v>5</v>
      </c>
    </row>
    <row r="1663" spans="1:13">
      <c r="A1663" s="88">
        <f t="shared" si="135"/>
        <v>17</v>
      </c>
      <c r="B1663" s="69" t="s">
        <v>2179</v>
      </c>
      <c r="C1663" s="69">
        <v>4</v>
      </c>
      <c r="D1663" s="89">
        <v>0</v>
      </c>
      <c r="E1663" s="89">
        <v>0</v>
      </c>
      <c r="F1663" s="89">
        <v>0</v>
      </c>
      <c r="G1663" s="89">
        <v>0</v>
      </c>
      <c r="H1663" s="89">
        <v>0</v>
      </c>
      <c r="I1663" s="89">
        <v>0</v>
      </c>
      <c r="J1663" s="710">
        <f>(VLOOKUP($C1663,[2]Sheet1!$A$2:$P$18,$M1663+1)/12)*12*D1663</f>
        <v>0</v>
      </c>
      <c r="K1663" s="711"/>
      <c r="M1663" s="62">
        <f t="shared" si="134"/>
        <v>5</v>
      </c>
    </row>
    <row r="1664" spans="1:13">
      <c r="A1664" s="88">
        <f t="shared" si="135"/>
        <v>18</v>
      </c>
      <c r="B1664" s="69" t="s">
        <v>3025</v>
      </c>
      <c r="C1664" s="69">
        <v>4</v>
      </c>
      <c r="D1664" s="89">
        <v>0</v>
      </c>
      <c r="E1664" s="89">
        <v>1</v>
      </c>
      <c r="F1664" s="89">
        <v>0</v>
      </c>
      <c r="G1664" s="89">
        <v>0</v>
      </c>
      <c r="H1664" s="89">
        <v>1</v>
      </c>
      <c r="I1664" s="89">
        <v>0</v>
      </c>
      <c r="J1664" s="710">
        <f>(VLOOKUP($C1664,[2]Sheet1!$A$2:$P$18,$M1664+1)/12)*12*D1664</f>
        <v>0</v>
      </c>
      <c r="K1664" s="711"/>
      <c r="M1664" s="62">
        <f t="shared" si="134"/>
        <v>5</v>
      </c>
    </row>
    <row r="1665" spans="1:13">
      <c r="A1665" s="88">
        <f t="shared" si="135"/>
        <v>19</v>
      </c>
      <c r="B1665" s="69" t="s">
        <v>2543</v>
      </c>
      <c r="C1665" s="69">
        <v>3</v>
      </c>
      <c r="D1665" s="89">
        <v>0</v>
      </c>
      <c r="E1665" s="89">
        <v>1</v>
      </c>
      <c r="F1665" s="89">
        <v>0</v>
      </c>
      <c r="G1665" s="89">
        <v>0</v>
      </c>
      <c r="H1665" s="89">
        <v>1</v>
      </c>
      <c r="I1665" s="89">
        <v>0</v>
      </c>
      <c r="J1665" s="710">
        <f>(VLOOKUP($C1665,[2]Sheet1!$A$2:$P$18,$M1665+1)/12)*12*D1665</f>
        <v>0</v>
      </c>
      <c r="K1665" s="711"/>
      <c r="M1665" s="62">
        <f t="shared" si="134"/>
        <v>5</v>
      </c>
    </row>
    <row r="1666" spans="1:13">
      <c r="A1666" s="88">
        <f t="shared" si="135"/>
        <v>20</v>
      </c>
      <c r="B1666" s="69" t="s">
        <v>3019</v>
      </c>
      <c r="C1666" s="69">
        <v>2</v>
      </c>
      <c r="D1666" s="89">
        <v>0</v>
      </c>
      <c r="E1666" s="89">
        <v>0</v>
      </c>
      <c r="F1666" s="89">
        <v>0</v>
      </c>
      <c r="G1666" s="89">
        <v>0</v>
      </c>
      <c r="H1666" s="89">
        <v>0</v>
      </c>
      <c r="I1666" s="89">
        <v>0</v>
      </c>
      <c r="J1666" s="710">
        <f>(VLOOKUP($C1666,[2]Sheet1!$A$2:$P$18,$M1666+1)/12)*12*D1666</f>
        <v>0</v>
      </c>
      <c r="K1666" s="711"/>
      <c r="M1666" s="62">
        <f t="shared" si="134"/>
        <v>5</v>
      </c>
    </row>
    <row r="1667" spans="1:13">
      <c r="A1667" s="88">
        <f t="shared" si="135"/>
        <v>21</v>
      </c>
      <c r="B1667" s="69" t="s">
        <v>3189</v>
      </c>
      <c r="C1667" s="69">
        <v>4</v>
      </c>
      <c r="D1667" s="89">
        <v>0</v>
      </c>
      <c r="E1667" s="89">
        <v>0</v>
      </c>
      <c r="F1667" s="89">
        <v>0</v>
      </c>
      <c r="G1667" s="89">
        <v>0</v>
      </c>
      <c r="H1667" s="89">
        <v>0</v>
      </c>
      <c r="I1667" s="89">
        <v>0</v>
      </c>
      <c r="J1667" s="710">
        <f>(VLOOKUP($C1667,[2]Sheet1!$A$2:$P$18,$M1667+1)/12)*12*D1667</f>
        <v>0</v>
      </c>
      <c r="K1667" s="711"/>
      <c r="M1667" s="62">
        <f t="shared" si="134"/>
        <v>5</v>
      </c>
    </row>
    <row r="1668" spans="1:13">
      <c r="A1668" s="88">
        <f t="shared" si="135"/>
        <v>22</v>
      </c>
      <c r="B1668" s="69" t="s">
        <v>3256</v>
      </c>
      <c r="C1668" s="69">
        <v>2</v>
      </c>
      <c r="D1668" s="89">
        <v>0</v>
      </c>
      <c r="E1668" s="89">
        <v>0</v>
      </c>
      <c r="F1668" s="89">
        <v>0</v>
      </c>
      <c r="G1668" s="89">
        <v>0</v>
      </c>
      <c r="H1668" s="89">
        <v>0</v>
      </c>
      <c r="I1668" s="89">
        <v>0</v>
      </c>
      <c r="J1668" s="710">
        <f>(VLOOKUP($C1668,[2]Sheet1!$A$2:$P$18,$M1668+1)/12)*12*D1668</f>
        <v>0</v>
      </c>
      <c r="K1668" s="711"/>
      <c r="M1668" s="62">
        <f t="shared" si="134"/>
        <v>5</v>
      </c>
    </row>
    <row r="1669" spans="1:13">
      <c r="A1669" s="88">
        <f t="shared" si="135"/>
        <v>23</v>
      </c>
      <c r="B1669" s="69" t="s">
        <v>2364</v>
      </c>
      <c r="C1669" s="69">
        <v>2</v>
      </c>
      <c r="D1669" s="89">
        <v>0</v>
      </c>
      <c r="E1669" s="89">
        <v>0</v>
      </c>
      <c r="F1669" s="89">
        <v>0</v>
      </c>
      <c r="G1669" s="89">
        <v>0</v>
      </c>
      <c r="H1669" s="89">
        <v>0</v>
      </c>
      <c r="I1669" s="89">
        <v>0</v>
      </c>
      <c r="J1669" s="710">
        <f>(VLOOKUP($C1669,[2]Sheet1!$A$2:$P$18,$M1669+1)/12)*12*D1669</f>
        <v>0</v>
      </c>
      <c r="K1669" s="711"/>
      <c r="M1669" s="62">
        <f t="shared" si="134"/>
        <v>5</v>
      </c>
    </row>
    <row r="1670" spans="1:13">
      <c r="A1670" s="88">
        <f t="shared" si="135"/>
        <v>24</v>
      </c>
      <c r="B1670" s="69" t="s">
        <v>1388</v>
      </c>
      <c r="C1670" s="69">
        <v>2</v>
      </c>
      <c r="D1670" s="89">
        <v>0</v>
      </c>
      <c r="E1670" s="89">
        <v>1</v>
      </c>
      <c r="F1670" s="89">
        <v>0</v>
      </c>
      <c r="G1670" s="89">
        <v>0</v>
      </c>
      <c r="H1670" s="89">
        <v>1</v>
      </c>
      <c r="I1670" s="89">
        <v>0</v>
      </c>
      <c r="J1670" s="710">
        <f>(VLOOKUP($C1670,[2]Sheet1!$A$2:$P$18,$M1670+1)/12)*12*D1670</f>
        <v>0</v>
      </c>
      <c r="K1670" s="711"/>
      <c r="M1670" s="62">
        <f t="shared" si="134"/>
        <v>5</v>
      </c>
    </row>
    <row r="1671" spans="1:13">
      <c r="A1671" s="88">
        <f t="shared" si="135"/>
        <v>25</v>
      </c>
      <c r="B1671" s="69" t="s">
        <v>3674</v>
      </c>
      <c r="C1671" s="69">
        <v>2</v>
      </c>
      <c r="D1671" s="89">
        <v>0</v>
      </c>
      <c r="E1671" s="89">
        <v>0</v>
      </c>
      <c r="F1671" s="89">
        <v>0</v>
      </c>
      <c r="G1671" s="89">
        <v>0</v>
      </c>
      <c r="H1671" s="89">
        <v>0</v>
      </c>
      <c r="I1671" s="89">
        <v>0</v>
      </c>
      <c r="J1671" s="710">
        <f>(VLOOKUP($C1671,[2]Sheet1!$A$2:$P$18,$M1671+1)/12)*12*D1671</f>
        <v>0</v>
      </c>
      <c r="K1671" s="711"/>
      <c r="M1671" s="62">
        <f t="shared" ref="M1671:M1686" si="136">IF(C1671&gt;6,3,5)</f>
        <v>5</v>
      </c>
    </row>
    <row r="1672" spans="1:13">
      <c r="A1672" s="88">
        <f t="shared" si="135"/>
        <v>26</v>
      </c>
      <c r="B1672" s="69" t="s">
        <v>3674</v>
      </c>
      <c r="C1672" s="69">
        <v>1</v>
      </c>
      <c r="D1672" s="89">
        <v>0</v>
      </c>
      <c r="E1672" s="89">
        <v>0</v>
      </c>
      <c r="F1672" s="89">
        <v>0</v>
      </c>
      <c r="G1672" s="89">
        <v>0</v>
      </c>
      <c r="H1672" s="89">
        <v>0</v>
      </c>
      <c r="I1672" s="89">
        <v>0</v>
      </c>
      <c r="J1672" s="710">
        <f>(VLOOKUP($C1672,[2]Sheet1!$A$2:$P$18,$M1672+1)/12)*12*D1672</f>
        <v>0</v>
      </c>
      <c r="K1672" s="711"/>
      <c r="M1672" s="62">
        <f t="shared" si="136"/>
        <v>5</v>
      </c>
    </row>
    <row r="1673" spans="1:13">
      <c r="A1673" s="88">
        <f t="shared" si="135"/>
        <v>27</v>
      </c>
      <c r="B1673" s="69" t="s">
        <v>2172</v>
      </c>
      <c r="C1673" s="69">
        <v>2</v>
      </c>
      <c r="D1673" s="89">
        <v>0</v>
      </c>
      <c r="E1673" s="89">
        <v>2</v>
      </c>
      <c r="F1673" s="89">
        <v>0</v>
      </c>
      <c r="G1673" s="89">
        <v>0</v>
      </c>
      <c r="H1673" s="89">
        <v>2</v>
      </c>
      <c r="I1673" s="89">
        <v>0</v>
      </c>
      <c r="J1673" s="710">
        <f>(VLOOKUP($C1673,[2]Sheet1!$A$2:$P$18,$M1673+1)/12)*12*D1673</f>
        <v>0</v>
      </c>
      <c r="K1673" s="711"/>
      <c r="M1673" s="62">
        <f t="shared" si="136"/>
        <v>5</v>
      </c>
    </row>
    <row r="1674" spans="1:13">
      <c r="A1674" s="88"/>
      <c r="B1674" s="90" t="s">
        <v>1487</v>
      </c>
      <c r="C1674" s="69"/>
      <c r="D1674" s="89"/>
      <c r="E1674" s="89"/>
      <c r="F1674" s="89"/>
      <c r="G1674" s="89"/>
      <c r="H1674" s="89"/>
      <c r="I1674" s="89"/>
      <c r="J1674" s="710"/>
      <c r="K1674" s="711"/>
      <c r="M1674" s="62">
        <f t="shared" si="136"/>
        <v>5</v>
      </c>
    </row>
    <row r="1675" spans="1:13">
      <c r="A1675" s="88">
        <f>+A1673+1</f>
        <v>28</v>
      </c>
      <c r="B1675" s="69" t="s">
        <v>1317</v>
      </c>
      <c r="C1675" s="69">
        <v>6</v>
      </c>
      <c r="D1675" s="89">
        <v>0</v>
      </c>
      <c r="E1675" s="89">
        <v>1</v>
      </c>
      <c r="F1675" s="89">
        <v>0</v>
      </c>
      <c r="G1675" s="89">
        <v>0</v>
      </c>
      <c r="H1675" s="89">
        <v>1</v>
      </c>
      <c r="I1675" s="89">
        <v>0</v>
      </c>
      <c r="J1675" s="710">
        <f>(VLOOKUP($C1675,[2]Sheet1!$A$2:$P$18,$M1675+1)/12)*12*D1675</f>
        <v>0</v>
      </c>
      <c r="K1675" s="711"/>
      <c r="M1675" s="62">
        <f t="shared" si="136"/>
        <v>5</v>
      </c>
    </row>
    <row r="1676" spans="1:13">
      <c r="A1676" s="88">
        <f t="shared" si="135"/>
        <v>29</v>
      </c>
      <c r="B1676" s="69" t="s">
        <v>602</v>
      </c>
      <c r="C1676" s="69">
        <v>5</v>
      </c>
      <c r="D1676" s="89">
        <v>0</v>
      </c>
      <c r="E1676" s="89">
        <v>0</v>
      </c>
      <c r="F1676" s="89">
        <v>0</v>
      </c>
      <c r="G1676" s="89">
        <v>0</v>
      </c>
      <c r="H1676" s="89">
        <v>0</v>
      </c>
      <c r="I1676" s="89">
        <v>0</v>
      </c>
      <c r="J1676" s="710">
        <f>(VLOOKUP($C1676,[2]Sheet1!$A$2:$P$18,$M1676+1)/12)*12*D1676</f>
        <v>0</v>
      </c>
      <c r="K1676" s="711"/>
      <c r="M1676" s="62">
        <f t="shared" si="136"/>
        <v>5</v>
      </c>
    </row>
    <row r="1677" spans="1:13">
      <c r="A1677" s="88">
        <f t="shared" si="135"/>
        <v>30</v>
      </c>
      <c r="B1677" s="69" t="s">
        <v>603</v>
      </c>
      <c r="C1677" s="69">
        <v>4</v>
      </c>
      <c r="D1677" s="89">
        <v>0</v>
      </c>
      <c r="E1677" s="89">
        <v>0</v>
      </c>
      <c r="F1677" s="89">
        <v>0</v>
      </c>
      <c r="G1677" s="89">
        <v>0</v>
      </c>
      <c r="H1677" s="89">
        <v>0</v>
      </c>
      <c r="I1677" s="89">
        <v>0</v>
      </c>
      <c r="J1677" s="710">
        <f>(VLOOKUP($C1677,[2]Sheet1!$A$2:$P$18,$M1677+1)/12)*12*D1677</f>
        <v>0</v>
      </c>
      <c r="K1677" s="711"/>
      <c r="M1677" s="62">
        <f t="shared" si="136"/>
        <v>5</v>
      </c>
    </row>
    <row r="1678" spans="1:13">
      <c r="A1678" s="88">
        <f t="shared" si="135"/>
        <v>31</v>
      </c>
      <c r="B1678" s="69" t="s">
        <v>604</v>
      </c>
      <c r="C1678" s="69">
        <v>3</v>
      </c>
      <c r="D1678" s="89">
        <v>0</v>
      </c>
      <c r="E1678" s="89">
        <v>0</v>
      </c>
      <c r="F1678" s="89">
        <v>0</v>
      </c>
      <c r="G1678" s="89">
        <v>0</v>
      </c>
      <c r="H1678" s="89">
        <v>0</v>
      </c>
      <c r="I1678" s="89">
        <v>0</v>
      </c>
      <c r="J1678" s="710">
        <f>(VLOOKUP($C1678,[2]Sheet1!$A$2:$P$18,$M1678+1)/12)*12*D1678</f>
        <v>0</v>
      </c>
      <c r="K1678" s="711"/>
      <c r="M1678" s="62">
        <f t="shared" si="136"/>
        <v>5</v>
      </c>
    </row>
    <row r="1679" spans="1:13">
      <c r="A1679" s="88">
        <f t="shared" si="135"/>
        <v>32</v>
      </c>
      <c r="B1679" s="69" t="s">
        <v>3523</v>
      </c>
      <c r="C1679" s="69">
        <v>8</v>
      </c>
      <c r="D1679" s="89">
        <v>0</v>
      </c>
      <c r="E1679" s="89">
        <v>1</v>
      </c>
      <c r="F1679" s="89">
        <v>0</v>
      </c>
      <c r="G1679" s="89">
        <v>0</v>
      </c>
      <c r="H1679" s="89">
        <v>1</v>
      </c>
      <c r="I1679" s="89">
        <v>0</v>
      </c>
      <c r="J1679" s="710">
        <f>(VLOOKUP($C1679,[2]Sheet1!$A$2:$P$18,$M1679+1)/12)*12*D1679</f>
        <v>0</v>
      </c>
      <c r="K1679" s="711"/>
      <c r="M1679" s="62">
        <f t="shared" si="136"/>
        <v>3</v>
      </c>
    </row>
    <row r="1680" spans="1:13">
      <c r="A1680" s="88">
        <f t="shared" si="135"/>
        <v>33</v>
      </c>
      <c r="B1680" s="69" t="s">
        <v>2784</v>
      </c>
      <c r="C1680" s="69">
        <v>7</v>
      </c>
      <c r="D1680" s="89">
        <v>0</v>
      </c>
      <c r="E1680" s="89">
        <v>0</v>
      </c>
      <c r="F1680" s="89">
        <v>0</v>
      </c>
      <c r="G1680" s="89">
        <v>0</v>
      </c>
      <c r="H1680" s="89">
        <v>0</v>
      </c>
      <c r="I1680" s="89">
        <v>0</v>
      </c>
      <c r="J1680" s="710">
        <f>(VLOOKUP($C1680,[2]Sheet1!$A$2:$P$18,$M1680+1)/12)*12*D1680</f>
        <v>0</v>
      </c>
      <c r="K1680" s="711"/>
      <c r="M1680" s="62">
        <f t="shared" si="136"/>
        <v>3</v>
      </c>
    </row>
    <row r="1681" spans="1:13">
      <c r="A1681" s="88">
        <f t="shared" si="135"/>
        <v>34</v>
      </c>
      <c r="B1681" s="69" t="s">
        <v>499</v>
      </c>
      <c r="C1681" s="69">
        <v>3</v>
      </c>
      <c r="D1681" s="89">
        <v>0</v>
      </c>
      <c r="E1681" s="89">
        <v>1</v>
      </c>
      <c r="F1681" s="89">
        <v>0</v>
      </c>
      <c r="G1681" s="89">
        <v>0</v>
      </c>
      <c r="H1681" s="89">
        <v>1</v>
      </c>
      <c r="I1681" s="89">
        <v>0</v>
      </c>
      <c r="J1681" s="710">
        <f>(VLOOKUP($C1681,[2]Sheet1!$A$2:$P$18,$M1681+1)/12)*12*D1681</f>
        <v>0</v>
      </c>
      <c r="K1681" s="711"/>
      <c r="M1681" s="62">
        <f t="shared" si="136"/>
        <v>5</v>
      </c>
    </row>
    <row r="1682" spans="1:13" ht="13.5" thickBot="1">
      <c r="A1682" s="88">
        <f t="shared" si="135"/>
        <v>35</v>
      </c>
      <c r="B1682" s="69" t="s">
        <v>2387</v>
      </c>
      <c r="C1682" s="69">
        <v>7</v>
      </c>
      <c r="D1682" s="89">
        <v>0</v>
      </c>
      <c r="E1682" s="89">
        <v>0</v>
      </c>
      <c r="F1682" s="89">
        <v>0</v>
      </c>
      <c r="G1682" s="89">
        <v>0</v>
      </c>
      <c r="H1682" s="89">
        <v>0</v>
      </c>
      <c r="I1682" s="89">
        <v>0</v>
      </c>
      <c r="J1682" s="710">
        <f>(VLOOKUP($C1682,[2]Sheet1!$A$2:$P$18,$M1682+1)/12)*12*D1682</f>
        <v>0</v>
      </c>
      <c r="K1682" s="711"/>
      <c r="M1682" s="62">
        <f t="shared" si="136"/>
        <v>3</v>
      </c>
    </row>
    <row r="1683" spans="1:13" ht="15.75" thickTop="1">
      <c r="A1683" s="1047" t="s">
        <v>2791</v>
      </c>
      <c r="B1683" s="1049" t="s">
        <v>4126</v>
      </c>
      <c r="C1683" s="1049" t="s">
        <v>854</v>
      </c>
      <c r="D1683" s="1040" t="s">
        <v>4127</v>
      </c>
      <c r="E1683" s="1041"/>
      <c r="F1683" s="1041"/>
      <c r="G1683" s="1040" t="s">
        <v>904</v>
      </c>
      <c r="H1683" s="1041"/>
      <c r="I1683" s="1042"/>
      <c r="J1683" s="1035" t="s">
        <v>855</v>
      </c>
      <c r="K1683" s="389"/>
    </row>
    <row r="1684" spans="1:13" ht="26.25" thickBot="1">
      <c r="A1684" s="1048"/>
      <c r="B1684" s="1050"/>
      <c r="C1684" s="1050"/>
      <c r="D1684" s="285" t="s">
        <v>5505</v>
      </c>
      <c r="E1684" s="285" t="s">
        <v>4485</v>
      </c>
      <c r="F1684" s="285" t="s">
        <v>4486</v>
      </c>
      <c r="G1684" s="287" t="s">
        <v>4487</v>
      </c>
      <c r="H1684" s="285" t="s">
        <v>4488</v>
      </c>
      <c r="I1684" s="287" t="s">
        <v>4489</v>
      </c>
      <c r="J1684" s="1036"/>
      <c r="K1684" s="712"/>
    </row>
    <row r="1685" spans="1:13" ht="13.5" thickTop="1">
      <c r="A1685" s="88">
        <f>+A1682+1</f>
        <v>36</v>
      </c>
      <c r="B1685" s="69" t="s">
        <v>1699</v>
      </c>
      <c r="C1685" s="69">
        <v>9</v>
      </c>
      <c r="D1685" s="89">
        <v>0</v>
      </c>
      <c r="E1685" s="89">
        <v>0</v>
      </c>
      <c r="F1685" s="89">
        <v>0</v>
      </c>
      <c r="G1685" s="89">
        <v>0</v>
      </c>
      <c r="H1685" s="89">
        <v>0</v>
      </c>
      <c r="I1685" s="89">
        <v>0</v>
      </c>
      <c r="J1685" s="710">
        <f>(VLOOKUP($C1685,[2]Sheet1!$A$2:$P$18,$M1685+1)/12)*12*D1685</f>
        <v>0</v>
      </c>
      <c r="K1685" s="711"/>
      <c r="M1685" s="62">
        <f t="shared" si="136"/>
        <v>3</v>
      </c>
    </row>
    <row r="1686" spans="1:13">
      <c r="A1686" s="88">
        <f>+A1685+1</f>
        <v>37</v>
      </c>
      <c r="B1686" s="69" t="s">
        <v>606</v>
      </c>
      <c r="C1686" s="69">
        <v>3</v>
      </c>
      <c r="D1686" s="89">
        <v>0</v>
      </c>
      <c r="E1686" s="89">
        <v>0</v>
      </c>
      <c r="F1686" s="69"/>
      <c r="G1686" s="89">
        <v>0</v>
      </c>
      <c r="H1686" s="89">
        <v>0</v>
      </c>
      <c r="I1686" s="89">
        <v>0</v>
      </c>
      <c r="J1686" s="710">
        <f>(VLOOKUP($C1686,[2]Sheet1!$A$2:$P$18,$M1686+1)/12)*12*D1686</f>
        <v>0</v>
      </c>
      <c r="K1686" s="711"/>
      <c r="M1686" s="62">
        <f t="shared" si="136"/>
        <v>5</v>
      </c>
    </row>
    <row r="1687" spans="1:13">
      <c r="A1687" s="88"/>
      <c r="B1687" s="90" t="s">
        <v>4103</v>
      </c>
      <c r="C1687" s="69"/>
      <c r="D1687" s="89"/>
      <c r="E1687" s="89"/>
      <c r="F1687" s="69"/>
      <c r="G1687" s="89"/>
      <c r="H1687" s="89"/>
      <c r="I1687" s="89"/>
      <c r="J1687" s="710"/>
      <c r="K1687" s="711"/>
      <c r="M1687" s="62">
        <f t="shared" ref="M1687:M1715" si="137">IF(C1687&gt;6,3,5)</f>
        <v>5</v>
      </c>
    </row>
    <row r="1688" spans="1:13">
      <c r="A1688" s="88">
        <f>+A1686+1</f>
        <v>38</v>
      </c>
      <c r="B1688" s="69" t="s">
        <v>3532</v>
      </c>
      <c r="C1688" s="69">
        <v>16</v>
      </c>
      <c r="D1688" s="89">
        <v>0</v>
      </c>
      <c r="E1688" s="89">
        <v>1</v>
      </c>
      <c r="F1688" s="89">
        <v>0</v>
      </c>
      <c r="G1688" s="89">
        <v>0</v>
      </c>
      <c r="H1688" s="89">
        <v>1</v>
      </c>
      <c r="I1688" s="89">
        <v>0</v>
      </c>
      <c r="J1688" s="710">
        <f>(VLOOKUP($C1688,[2]Sheet1!$A$2:$P$18,$M1688+1)/12)*12*D1688</f>
        <v>0</v>
      </c>
      <c r="K1688" s="711"/>
      <c r="M1688" s="62">
        <f t="shared" si="137"/>
        <v>3</v>
      </c>
    </row>
    <row r="1689" spans="1:13">
      <c r="A1689" s="88">
        <f>A1688+1</f>
        <v>39</v>
      </c>
      <c r="B1689" s="69" t="s">
        <v>2770</v>
      </c>
      <c r="C1689" s="69">
        <v>12</v>
      </c>
      <c r="D1689" s="89">
        <v>0</v>
      </c>
      <c r="E1689" s="89">
        <v>1</v>
      </c>
      <c r="F1689" s="89">
        <v>0</v>
      </c>
      <c r="G1689" s="89">
        <v>0</v>
      </c>
      <c r="H1689" s="89">
        <v>1</v>
      </c>
      <c r="I1689" s="89">
        <v>0</v>
      </c>
      <c r="J1689" s="710">
        <f>(VLOOKUP($C1689,[2]Sheet1!$A$2:$P$18,$M1689+1)/12)*12*D1689</f>
        <v>0</v>
      </c>
      <c r="K1689" s="711"/>
      <c r="M1689" s="62">
        <f t="shared" si="137"/>
        <v>3</v>
      </c>
    </row>
    <row r="1690" spans="1:13">
      <c r="A1690" s="88">
        <f>+A1688+1</f>
        <v>39</v>
      </c>
      <c r="B1690" s="69" t="s">
        <v>4104</v>
      </c>
      <c r="C1690" s="69">
        <v>10</v>
      </c>
      <c r="D1690" s="89">
        <v>0</v>
      </c>
      <c r="E1690" s="89">
        <v>1</v>
      </c>
      <c r="F1690" s="89">
        <v>0</v>
      </c>
      <c r="G1690" s="89">
        <v>0</v>
      </c>
      <c r="H1690" s="89">
        <v>1</v>
      </c>
      <c r="I1690" s="89">
        <v>0</v>
      </c>
      <c r="J1690" s="710">
        <f>(VLOOKUP($C1690,[2]Sheet1!$A$2:$P$18,$M1690+1)/12)*12*D1690</f>
        <v>0</v>
      </c>
      <c r="K1690" s="711"/>
      <c r="M1690" s="62">
        <f t="shared" si="137"/>
        <v>3</v>
      </c>
    </row>
    <row r="1691" spans="1:13">
      <c r="A1691" s="88">
        <f>+A1690+1</f>
        <v>40</v>
      </c>
      <c r="B1691" s="69" t="s">
        <v>4105</v>
      </c>
      <c r="C1691" s="69">
        <v>9</v>
      </c>
      <c r="D1691" s="89">
        <v>0</v>
      </c>
      <c r="E1691" s="89">
        <v>1</v>
      </c>
      <c r="F1691" s="89">
        <v>0</v>
      </c>
      <c r="G1691" s="89">
        <v>0</v>
      </c>
      <c r="H1691" s="89">
        <v>1</v>
      </c>
      <c r="I1691" s="89">
        <v>0</v>
      </c>
      <c r="J1691" s="710">
        <f>(VLOOKUP($C1691,[2]Sheet1!$A$2:$P$18,$M1691+1)/12)*12*D1691</f>
        <v>0</v>
      </c>
      <c r="K1691" s="711"/>
      <c r="M1691" s="62">
        <f t="shared" si="137"/>
        <v>3</v>
      </c>
    </row>
    <row r="1692" spans="1:13">
      <c r="A1692" s="88">
        <f>+A1691+1</f>
        <v>41</v>
      </c>
      <c r="B1692" s="69" t="s">
        <v>4106</v>
      </c>
      <c r="C1692" s="69">
        <v>8</v>
      </c>
      <c r="D1692" s="89">
        <v>0</v>
      </c>
      <c r="E1692" s="89">
        <v>0</v>
      </c>
      <c r="F1692" s="89">
        <v>0</v>
      </c>
      <c r="G1692" s="89">
        <v>0</v>
      </c>
      <c r="H1692" s="89">
        <v>0</v>
      </c>
      <c r="I1692" s="89">
        <v>0</v>
      </c>
      <c r="J1692" s="710">
        <f>(VLOOKUP($C1692,[2]Sheet1!$A$2:$P$18,$M1692+1)/12)*12*D1692</f>
        <v>0</v>
      </c>
      <c r="K1692" s="711"/>
      <c r="M1692" s="62">
        <f t="shared" si="137"/>
        <v>3</v>
      </c>
    </row>
    <row r="1693" spans="1:13">
      <c r="A1693" s="88"/>
      <c r="B1693" s="90" t="s">
        <v>4107</v>
      </c>
      <c r="C1693" s="69"/>
      <c r="D1693" s="89"/>
      <c r="E1693" s="89"/>
      <c r="F1693" s="89"/>
      <c r="G1693" s="89"/>
      <c r="H1693" s="89"/>
      <c r="I1693" s="89"/>
      <c r="J1693" s="710"/>
      <c r="K1693" s="711"/>
      <c r="M1693" s="62">
        <f t="shared" si="137"/>
        <v>5</v>
      </c>
    </row>
    <row r="1694" spans="1:13">
      <c r="A1694" s="88">
        <v>48</v>
      </c>
      <c r="B1694" s="69" t="s">
        <v>3532</v>
      </c>
      <c r="C1694" s="69">
        <v>16</v>
      </c>
      <c r="D1694" s="89">
        <v>0</v>
      </c>
      <c r="E1694" s="89">
        <v>1</v>
      </c>
      <c r="F1694" s="89">
        <v>0</v>
      </c>
      <c r="G1694" s="89">
        <v>0</v>
      </c>
      <c r="H1694" s="89">
        <v>1</v>
      </c>
      <c r="I1694" s="89">
        <v>0</v>
      </c>
      <c r="J1694" s="710">
        <f>(VLOOKUP($C1694,[2]Sheet1!$A$2:$P$18,$M1694+1)/12)*12*D1694</f>
        <v>0</v>
      </c>
      <c r="K1694" s="711"/>
      <c r="M1694" s="62">
        <f t="shared" si="137"/>
        <v>3</v>
      </c>
    </row>
    <row r="1695" spans="1:13">
      <c r="A1695" s="88">
        <f t="shared" si="135"/>
        <v>49</v>
      </c>
      <c r="B1695" s="69" t="s">
        <v>2770</v>
      </c>
      <c r="C1695" s="69">
        <v>12</v>
      </c>
      <c r="D1695" s="89">
        <v>0</v>
      </c>
      <c r="E1695" s="89">
        <v>1</v>
      </c>
      <c r="F1695" s="89">
        <v>0</v>
      </c>
      <c r="G1695" s="89">
        <v>0</v>
      </c>
      <c r="H1695" s="89">
        <v>1</v>
      </c>
      <c r="I1695" s="89">
        <v>0</v>
      </c>
      <c r="J1695" s="710">
        <f>(VLOOKUP($C1695,[2]Sheet1!$A$2:$P$18,$M1695+1)/12)*12*D1695</f>
        <v>0</v>
      </c>
      <c r="K1695" s="711"/>
      <c r="M1695" s="62">
        <f t="shared" si="137"/>
        <v>3</v>
      </c>
    </row>
    <row r="1696" spans="1:13">
      <c r="A1696" s="88">
        <f>+A1695+1</f>
        <v>50</v>
      </c>
      <c r="B1696" s="69" t="s">
        <v>4104</v>
      </c>
      <c r="C1696" s="69">
        <v>10</v>
      </c>
      <c r="D1696" s="89">
        <v>0</v>
      </c>
      <c r="E1696" s="89">
        <v>1</v>
      </c>
      <c r="F1696" s="89">
        <v>0</v>
      </c>
      <c r="G1696" s="89">
        <v>0</v>
      </c>
      <c r="H1696" s="89">
        <v>1</v>
      </c>
      <c r="I1696" s="89">
        <v>0</v>
      </c>
      <c r="J1696" s="710">
        <f>(VLOOKUP($C1696,[2]Sheet1!$A$2:$P$18,$M1696+1)/12)*12*D1696</f>
        <v>0</v>
      </c>
      <c r="K1696" s="711"/>
      <c r="M1696" s="62">
        <f t="shared" si="137"/>
        <v>3</v>
      </c>
    </row>
    <row r="1697" spans="1:13">
      <c r="A1697" s="88">
        <f t="shared" si="135"/>
        <v>51</v>
      </c>
      <c r="B1697" s="69" t="s">
        <v>4105</v>
      </c>
      <c r="C1697" s="69">
        <v>9</v>
      </c>
      <c r="D1697" s="89">
        <v>0</v>
      </c>
      <c r="E1697" s="89">
        <v>1</v>
      </c>
      <c r="F1697" s="89">
        <v>0</v>
      </c>
      <c r="G1697" s="89">
        <v>0</v>
      </c>
      <c r="H1697" s="89">
        <v>1</v>
      </c>
      <c r="I1697" s="89">
        <v>0</v>
      </c>
      <c r="J1697" s="710">
        <f>(VLOOKUP($C1697,[2]Sheet1!$A$2:$P$18,$M1697+1)/12)*12*D1697</f>
        <v>0</v>
      </c>
      <c r="K1697" s="711"/>
      <c r="M1697" s="62">
        <f t="shared" si="137"/>
        <v>3</v>
      </c>
    </row>
    <row r="1698" spans="1:13">
      <c r="A1698" s="88">
        <f>+A1697+1</f>
        <v>52</v>
      </c>
      <c r="B1698" s="69" t="s">
        <v>4106</v>
      </c>
      <c r="C1698" s="69">
        <v>8</v>
      </c>
      <c r="D1698" s="89">
        <v>0</v>
      </c>
      <c r="E1698" s="89">
        <v>0</v>
      </c>
      <c r="F1698" s="89">
        <v>0</v>
      </c>
      <c r="G1698" s="89">
        <v>0</v>
      </c>
      <c r="H1698" s="89">
        <v>0</v>
      </c>
      <c r="I1698" s="89">
        <v>0</v>
      </c>
      <c r="J1698" s="710">
        <f>(VLOOKUP($C1698,[2]Sheet1!$A$2:$P$18,$M1698+1)/12)*12*D1698</f>
        <v>0</v>
      </c>
      <c r="K1698" s="711"/>
      <c r="M1698" s="62">
        <f t="shared" si="137"/>
        <v>3</v>
      </c>
    </row>
    <row r="1699" spans="1:13">
      <c r="A1699" s="88"/>
      <c r="B1699" s="90" t="s">
        <v>4108</v>
      </c>
      <c r="C1699" s="69"/>
      <c r="D1699" s="89"/>
      <c r="E1699" s="89"/>
      <c r="F1699" s="89"/>
      <c r="G1699" s="89"/>
      <c r="H1699" s="89"/>
      <c r="I1699" s="89"/>
      <c r="J1699" s="710"/>
      <c r="K1699" s="711"/>
      <c r="M1699" s="62">
        <f t="shared" si="137"/>
        <v>5</v>
      </c>
    </row>
    <row r="1700" spans="1:13">
      <c r="A1700" s="88">
        <v>53</v>
      </c>
      <c r="B1700" s="69" t="s">
        <v>3532</v>
      </c>
      <c r="C1700" s="69">
        <v>16</v>
      </c>
      <c r="D1700" s="89">
        <v>0</v>
      </c>
      <c r="E1700" s="89">
        <v>1</v>
      </c>
      <c r="F1700" s="89">
        <v>0</v>
      </c>
      <c r="G1700" s="89">
        <v>0</v>
      </c>
      <c r="H1700" s="89">
        <v>1</v>
      </c>
      <c r="I1700" s="89">
        <v>0</v>
      </c>
      <c r="J1700" s="710">
        <f>(VLOOKUP($C1700,[2]Sheet1!$A$2:$P$18,$M1700+1)/12)*12*D1700</f>
        <v>0</v>
      </c>
      <c r="K1700" s="711"/>
      <c r="M1700" s="62">
        <f t="shared" si="137"/>
        <v>3</v>
      </c>
    </row>
    <row r="1701" spans="1:13">
      <c r="A1701" s="88">
        <f t="shared" si="135"/>
        <v>54</v>
      </c>
      <c r="B1701" s="69" t="s">
        <v>2770</v>
      </c>
      <c r="C1701" s="69">
        <v>12</v>
      </c>
      <c r="D1701" s="89">
        <v>0</v>
      </c>
      <c r="E1701" s="89">
        <v>1</v>
      </c>
      <c r="F1701" s="89">
        <v>0</v>
      </c>
      <c r="G1701" s="89">
        <v>0</v>
      </c>
      <c r="H1701" s="89">
        <v>1</v>
      </c>
      <c r="I1701" s="89">
        <v>0</v>
      </c>
      <c r="J1701" s="710">
        <f>(VLOOKUP($C1701,[2]Sheet1!$A$2:$P$18,$M1701+1)/12)*12*D1701</f>
        <v>0</v>
      </c>
      <c r="K1701" s="711"/>
      <c r="M1701" s="62">
        <f t="shared" si="137"/>
        <v>3</v>
      </c>
    </row>
    <row r="1702" spans="1:13">
      <c r="A1702" s="88">
        <f>+A1701+1</f>
        <v>55</v>
      </c>
      <c r="B1702" s="69" t="s">
        <v>4104</v>
      </c>
      <c r="C1702" s="69">
        <v>10</v>
      </c>
      <c r="D1702" s="89">
        <v>0</v>
      </c>
      <c r="E1702" s="89">
        <v>1</v>
      </c>
      <c r="F1702" s="89">
        <v>0</v>
      </c>
      <c r="G1702" s="89">
        <v>0</v>
      </c>
      <c r="H1702" s="89">
        <v>1</v>
      </c>
      <c r="I1702" s="89">
        <v>0</v>
      </c>
      <c r="J1702" s="710">
        <f>(VLOOKUP($C1702,[2]Sheet1!$A$2:$P$18,$M1702+1)/12)*12*D1702</f>
        <v>0</v>
      </c>
      <c r="K1702" s="711"/>
      <c r="M1702" s="62">
        <f t="shared" si="137"/>
        <v>3</v>
      </c>
    </row>
    <row r="1703" spans="1:13">
      <c r="A1703" s="88">
        <f>+A1702+1</f>
        <v>56</v>
      </c>
      <c r="B1703" s="69" t="s">
        <v>4105</v>
      </c>
      <c r="C1703" s="69">
        <v>9</v>
      </c>
      <c r="D1703" s="89">
        <v>0</v>
      </c>
      <c r="E1703" s="89">
        <v>1</v>
      </c>
      <c r="F1703" s="89">
        <v>0</v>
      </c>
      <c r="G1703" s="89">
        <v>0</v>
      </c>
      <c r="H1703" s="89">
        <v>1</v>
      </c>
      <c r="I1703" s="89">
        <v>0</v>
      </c>
      <c r="J1703" s="710">
        <f>(VLOOKUP($C1703,[2]Sheet1!$A$2:$P$18,$M1703+1)/12)*12*D1703</f>
        <v>0</v>
      </c>
      <c r="K1703" s="711"/>
      <c r="M1703" s="62">
        <f t="shared" si="137"/>
        <v>3</v>
      </c>
    </row>
    <row r="1704" spans="1:13">
      <c r="A1704" s="88">
        <f>+A1703+1</f>
        <v>57</v>
      </c>
      <c r="B1704" s="69" t="s">
        <v>4106</v>
      </c>
      <c r="C1704" s="69">
        <v>8</v>
      </c>
      <c r="D1704" s="89">
        <v>0</v>
      </c>
      <c r="E1704" s="89">
        <v>0</v>
      </c>
      <c r="F1704" s="89">
        <v>0</v>
      </c>
      <c r="G1704" s="89">
        <v>0</v>
      </c>
      <c r="H1704" s="89">
        <v>0</v>
      </c>
      <c r="I1704" s="89">
        <v>0</v>
      </c>
      <c r="J1704" s="710">
        <f>(VLOOKUP($C1704,[2]Sheet1!$A$2:$P$18,$M1704+1)/12)*12*D1704</f>
        <v>0</v>
      </c>
      <c r="K1704" s="711"/>
      <c r="M1704" s="62">
        <f t="shared" si="137"/>
        <v>3</v>
      </c>
    </row>
    <row r="1705" spans="1:13">
      <c r="A1705" s="92"/>
      <c r="B1705" s="93" t="s">
        <v>1684</v>
      </c>
      <c r="C1705" s="94"/>
      <c r="D1705" s="123">
        <f t="shared" ref="D1705:J1705" si="138">SUM(D1646:D1704)</f>
        <v>0</v>
      </c>
      <c r="E1705" s="123">
        <f t="shared" si="138"/>
        <v>26</v>
      </c>
      <c r="F1705" s="123">
        <f t="shared" si="138"/>
        <v>0</v>
      </c>
      <c r="G1705" s="123">
        <f>SUM(G1646:G1704)</f>
        <v>0</v>
      </c>
      <c r="H1705" s="123">
        <f t="shared" si="138"/>
        <v>26</v>
      </c>
      <c r="I1705" s="123">
        <f t="shared" si="138"/>
        <v>0</v>
      </c>
      <c r="J1705" s="124">
        <f t="shared" si="138"/>
        <v>440000</v>
      </c>
      <c r="K1705" s="376"/>
      <c r="M1705" s="62">
        <f t="shared" si="137"/>
        <v>5</v>
      </c>
    </row>
    <row r="1706" spans="1:13">
      <c r="A1706" s="88"/>
      <c r="B1706" s="90" t="s">
        <v>1199</v>
      </c>
      <c r="C1706" s="97"/>
      <c r="D1706" s="98"/>
      <c r="E1706" s="98"/>
      <c r="F1706" s="125"/>
      <c r="G1706" s="240" t="s">
        <v>243</v>
      </c>
      <c r="H1706" s="240" t="s">
        <v>4130</v>
      </c>
      <c r="I1706" s="240" t="s">
        <v>4202</v>
      </c>
      <c r="J1706" s="241" t="s">
        <v>4200</v>
      </c>
      <c r="K1706" s="375"/>
      <c r="M1706" s="62">
        <f t="shared" si="137"/>
        <v>5</v>
      </c>
    </row>
    <row r="1707" spans="1:13">
      <c r="A1707" s="88"/>
      <c r="B1707" s="69" t="s">
        <v>2786</v>
      </c>
      <c r="C1707" s="69"/>
      <c r="D1707" s="89"/>
      <c r="E1707" s="89"/>
      <c r="F1707" s="89"/>
      <c r="G1707" s="100">
        <f>J1705*0.2</f>
        <v>88000</v>
      </c>
      <c r="H1707" s="100">
        <f>G1707*1.02</f>
        <v>89760</v>
      </c>
      <c r="I1707" s="100">
        <f>H1707*1.02</f>
        <v>91555.199999999997</v>
      </c>
      <c r="J1707" s="100">
        <f>SUM(G1707:I1707)</f>
        <v>269315.20000000001</v>
      </c>
      <c r="K1707" s="114"/>
      <c r="M1707" s="62">
        <f t="shared" si="137"/>
        <v>5</v>
      </c>
    </row>
    <row r="1708" spans="1:13">
      <c r="A1708" s="92"/>
      <c r="B1708" s="93" t="s">
        <v>1933</v>
      </c>
      <c r="C1708" s="94"/>
      <c r="D1708" s="101"/>
      <c r="E1708" s="101"/>
      <c r="F1708" s="95"/>
      <c r="G1708" s="95">
        <f>SUM(G1707:G1707)</f>
        <v>88000</v>
      </c>
      <c r="H1708" s="95">
        <f>SUM(H1707:H1707)</f>
        <v>89760</v>
      </c>
      <c r="I1708" s="95">
        <f>SUM(I1707:I1707)</f>
        <v>91555.199999999997</v>
      </c>
      <c r="J1708" s="95">
        <f>SUM(J1707:J1707)</f>
        <v>269315.20000000001</v>
      </c>
      <c r="K1708" s="378"/>
      <c r="M1708" s="62">
        <f t="shared" si="137"/>
        <v>5</v>
      </c>
    </row>
    <row r="1709" spans="1:13">
      <c r="A1709" s="88">
        <v>1</v>
      </c>
      <c r="B1709" s="69" t="s">
        <v>1934</v>
      </c>
      <c r="C1709" s="69"/>
      <c r="D1709" s="89"/>
      <c r="E1709" s="89"/>
      <c r="F1709" s="89"/>
      <c r="G1709" s="100">
        <f>G1708+J1705</f>
        <v>528000</v>
      </c>
      <c r="H1709" s="100">
        <f>G1709*1.02</f>
        <v>538560</v>
      </c>
      <c r="I1709" s="100">
        <f>H1709*1.02</f>
        <v>549331.19999999995</v>
      </c>
      <c r="J1709" s="100">
        <f>SUM(G1709:I1709)</f>
        <v>1615891.2</v>
      </c>
      <c r="K1709" s="114"/>
      <c r="L1709" s="112"/>
      <c r="M1709" s="62">
        <f t="shared" si="137"/>
        <v>5</v>
      </c>
    </row>
    <row r="1710" spans="1:13">
      <c r="A1710" s="88">
        <f>+A1709+1</f>
        <v>2</v>
      </c>
      <c r="B1710" s="69" t="s">
        <v>129</v>
      </c>
      <c r="C1710" s="69"/>
      <c r="D1710" s="89"/>
      <c r="E1710" s="89"/>
      <c r="F1710" s="89"/>
      <c r="G1710" s="89">
        <f>C1736</f>
        <v>31750000</v>
      </c>
      <c r="H1710" s="89">
        <f>D1736</f>
        <v>6750000</v>
      </c>
      <c r="I1710" s="89">
        <f>E1736</f>
        <v>36750000</v>
      </c>
      <c r="J1710" s="100">
        <f>SUM(G1710:I1710)</f>
        <v>75250000</v>
      </c>
      <c r="K1710" s="114"/>
      <c r="M1710" s="62">
        <f t="shared" si="137"/>
        <v>5</v>
      </c>
    </row>
    <row r="1711" spans="1:13" ht="13.5" thickBot="1">
      <c r="A1711" s="102"/>
      <c r="B1711" s="103" t="s">
        <v>2241</v>
      </c>
      <c r="C1711" s="104"/>
      <c r="D1711" s="105"/>
      <c r="E1711" s="105"/>
      <c r="F1711" s="129"/>
      <c r="G1711" s="129">
        <f>+G1710+G1709</f>
        <v>32278000</v>
      </c>
      <c r="H1711" s="129">
        <f>+H1710+H1709</f>
        <v>7288560</v>
      </c>
      <c r="I1711" s="129">
        <f>+I1710+I1709</f>
        <v>37299331.200000003</v>
      </c>
      <c r="J1711" s="129">
        <f>+J1710+J1709</f>
        <v>76865891.200000003</v>
      </c>
      <c r="K1711" s="378"/>
      <c r="M1711" s="62">
        <f t="shared" si="137"/>
        <v>5</v>
      </c>
    </row>
    <row r="1712" spans="1:13" ht="13.5" thickTop="1">
      <c r="C1712" s="77"/>
      <c r="D1712" s="78" t="s">
        <v>5434</v>
      </c>
      <c r="J1712" s="76"/>
      <c r="K1712" s="76"/>
      <c r="M1712" s="62">
        <f t="shared" si="137"/>
        <v>5</v>
      </c>
    </row>
    <row r="1713" spans="1:13" ht="15">
      <c r="C1713" s="77"/>
      <c r="D1713" s="78" t="s">
        <v>716</v>
      </c>
      <c r="J1713" s="584"/>
      <c r="K1713" s="584"/>
      <c r="M1713" s="62">
        <f t="shared" si="137"/>
        <v>5</v>
      </c>
    </row>
    <row r="1714" spans="1:13" ht="15">
      <c r="C1714" s="79" t="s">
        <v>717</v>
      </c>
      <c r="D1714" s="78" t="s">
        <v>4111</v>
      </c>
      <c r="J1714" s="584"/>
      <c r="K1714" s="584"/>
      <c r="M1714" s="62">
        <f t="shared" si="137"/>
        <v>3</v>
      </c>
    </row>
    <row r="1715" spans="1:13" ht="15">
      <c r="C1715" s="79" t="s">
        <v>718</v>
      </c>
      <c r="D1715" s="78" t="s">
        <v>2304</v>
      </c>
      <c r="J1715" s="584"/>
      <c r="K1715" s="584"/>
      <c r="M1715" s="62">
        <f t="shared" si="137"/>
        <v>3</v>
      </c>
    </row>
    <row r="1716" spans="1:13" ht="15">
      <c r="A1716" s="634" t="s">
        <v>1839</v>
      </c>
      <c r="B1716" s="635" t="s">
        <v>903</v>
      </c>
      <c r="C1716" s="1037" t="s">
        <v>4127</v>
      </c>
      <c r="D1716" s="1038"/>
      <c r="E1716" s="1039"/>
      <c r="F1716" s="635" t="s">
        <v>1684</v>
      </c>
      <c r="G1716" s="1037" t="s">
        <v>4132</v>
      </c>
      <c r="H1716" s="1038"/>
      <c r="I1716" s="1039"/>
      <c r="J1716" s="726"/>
      <c r="K1716" s="727"/>
    </row>
    <row r="1717" spans="1:13">
      <c r="A1717" s="636" t="s">
        <v>1620</v>
      </c>
      <c r="B1717" s="637"/>
      <c r="C1717" s="635" t="s">
        <v>1841</v>
      </c>
      <c r="D1717" s="635" t="s">
        <v>4133</v>
      </c>
      <c r="E1717" s="635" t="s">
        <v>4133</v>
      </c>
      <c r="F1717" s="1056" t="s">
        <v>4200</v>
      </c>
      <c r="G1717" s="634" t="s">
        <v>4135</v>
      </c>
      <c r="H1717" s="1051" t="s">
        <v>4182</v>
      </c>
      <c r="I1717" s="634" t="s">
        <v>4135</v>
      </c>
      <c r="J1717" s="728" t="s">
        <v>4136</v>
      </c>
      <c r="K1717" s="727"/>
    </row>
    <row r="1718" spans="1:13" ht="12.75" customHeight="1">
      <c r="A1718" s="638" t="s">
        <v>387</v>
      </c>
      <c r="B1718" s="639"/>
      <c r="C1718" s="638">
        <v>2015</v>
      </c>
      <c r="D1718" s="638">
        <v>2016</v>
      </c>
      <c r="E1718" s="638">
        <v>2017</v>
      </c>
      <c r="F1718" s="1057"/>
      <c r="G1718" s="638" t="s">
        <v>4304</v>
      </c>
      <c r="H1718" s="1052"/>
      <c r="I1718" s="638" t="s">
        <v>4303</v>
      </c>
      <c r="J1718" s="639"/>
      <c r="K1718" s="729"/>
    </row>
    <row r="1719" spans="1:13">
      <c r="A1719" s="768"/>
      <c r="B1719" s="768"/>
      <c r="C1719" s="390"/>
      <c r="D1719" s="390"/>
      <c r="E1719" s="390"/>
      <c r="F1719" s="158"/>
      <c r="G1719" s="390"/>
      <c r="H1719" s="756"/>
      <c r="I1719" s="390"/>
      <c r="J1719" s="390"/>
      <c r="K1719" s="734"/>
      <c r="M1719" s="62" t="e">
        <f>IF(#REF!&gt;6,3,5)</f>
        <v>#REF!</v>
      </c>
    </row>
    <row r="1720" spans="1:13">
      <c r="A1720" s="768">
        <v>2</v>
      </c>
      <c r="B1720" s="773" t="s">
        <v>1695</v>
      </c>
      <c r="C1720" s="390">
        <v>3000000</v>
      </c>
      <c r="D1720" s="390">
        <v>3000000</v>
      </c>
      <c r="E1720" s="390">
        <v>3000000</v>
      </c>
      <c r="F1720" s="288">
        <f>SUM(C1720:E1720)</f>
        <v>9000000</v>
      </c>
      <c r="G1720" s="390">
        <v>0</v>
      </c>
      <c r="H1720" s="756">
        <v>2500000</v>
      </c>
      <c r="I1720" s="390">
        <v>0</v>
      </c>
      <c r="J1720" s="390"/>
      <c r="K1720" s="734"/>
      <c r="M1720" s="62" t="e">
        <f>IF(#REF!&gt;6,3,5)</f>
        <v>#REF!</v>
      </c>
    </row>
    <row r="1721" spans="1:13">
      <c r="A1721" s="768">
        <f t="shared" ref="A1721:A1733" si="139">+A1720+1</f>
        <v>3</v>
      </c>
      <c r="B1721" s="773" t="s">
        <v>1696</v>
      </c>
      <c r="C1721" s="390" t="s">
        <v>3007</v>
      </c>
      <c r="D1721" s="390" t="s">
        <v>3007</v>
      </c>
      <c r="E1721" s="390" t="s">
        <v>3007</v>
      </c>
      <c r="F1721" s="288">
        <f t="shared" ref="F1721:F1733" si="140">SUM(C1721:E1721)</f>
        <v>0</v>
      </c>
      <c r="G1721" s="390">
        <v>0</v>
      </c>
      <c r="H1721" s="756" t="s">
        <v>3007</v>
      </c>
      <c r="I1721" s="390">
        <v>0</v>
      </c>
      <c r="J1721" s="390"/>
      <c r="K1721" s="734"/>
      <c r="M1721" s="62" t="e">
        <f>IF(#REF!&gt;6,3,5)</f>
        <v>#REF!</v>
      </c>
    </row>
    <row r="1722" spans="1:13">
      <c r="A1722" s="768">
        <f t="shared" si="139"/>
        <v>4</v>
      </c>
      <c r="B1722" s="773" t="s">
        <v>1701</v>
      </c>
      <c r="C1722" s="390" t="s">
        <v>3007</v>
      </c>
      <c r="D1722" s="390" t="s">
        <v>3007</v>
      </c>
      <c r="E1722" s="390" t="s">
        <v>3007</v>
      </c>
      <c r="F1722" s="288">
        <f t="shared" si="140"/>
        <v>0</v>
      </c>
      <c r="G1722" s="390">
        <v>0</v>
      </c>
      <c r="H1722" s="756" t="s">
        <v>3007</v>
      </c>
      <c r="I1722" s="390">
        <v>0</v>
      </c>
      <c r="J1722" s="390"/>
      <c r="K1722" s="734"/>
      <c r="M1722" s="62" t="e">
        <f>IF(#REF!&gt;6,3,5)</f>
        <v>#REF!</v>
      </c>
    </row>
    <row r="1723" spans="1:13">
      <c r="A1723" s="768">
        <f t="shared" si="139"/>
        <v>5</v>
      </c>
      <c r="B1723" s="773" t="s">
        <v>1702</v>
      </c>
      <c r="C1723" s="390">
        <v>500000</v>
      </c>
      <c r="D1723" s="390">
        <v>500000</v>
      </c>
      <c r="E1723" s="390">
        <v>500000</v>
      </c>
      <c r="F1723" s="288">
        <f t="shared" si="140"/>
        <v>1500000</v>
      </c>
      <c r="G1723" s="390">
        <v>0</v>
      </c>
      <c r="H1723" s="756">
        <v>1000000</v>
      </c>
      <c r="I1723" s="390">
        <v>0</v>
      </c>
      <c r="J1723" s="390"/>
      <c r="K1723" s="734"/>
      <c r="M1723" s="62" t="e">
        <f>IF(#REF!&gt;6,3,5)</f>
        <v>#REF!</v>
      </c>
    </row>
    <row r="1724" spans="1:13" ht="25.5">
      <c r="A1724" s="768">
        <f t="shared" si="139"/>
        <v>6</v>
      </c>
      <c r="B1724" s="773" t="s">
        <v>1544</v>
      </c>
      <c r="C1724" s="390">
        <v>250000</v>
      </c>
      <c r="D1724" s="390">
        <v>250000</v>
      </c>
      <c r="E1724" s="390">
        <v>250000</v>
      </c>
      <c r="F1724" s="288">
        <f t="shared" si="140"/>
        <v>750000</v>
      </c>
      <c r="G1724" s="390">
        <v>0</v>
      </c>
      <c r="H1724" s="756">
        <v>1000000</v>
      </c>
      <c r="I1724" s="390">
        <v>0</v>
      </c>
      <c r="J1724" s="390"/>
      <c r="K1724" s="734"/>
      <c r="M1724" s="62" t="e">
        <f>IF(#REF!&gt;6,3,5)</f>
        <v>#REF!</v>
      </c>
    </row>
    <row r="1725" spans="1:13">
      <c r="A1725" s="768">
        <f t="shared" si="139"/>
        <v>7</v>
      </c>
      <c r="B1725" s="773" t="s">
        <v>897</v>
      </c>
      <c r="C1725" s="390">
        <v>500000</v>
      </c>
      <c r="D1725" s="390">
        <v>500000</v>
      </c>
      <c r="E1725" s="390">
        <v>500000</v>
      </c>
      <c r="F1725" s="288">
        <f t="shared" si="140"/>
        <v>1500000</v>
      </c>
      <c r="G1725" s="390">
        <v>0</v>
      </c>
      <c r="H1725" s="756">
        <v>1000000</v>
      </c>
      <c r="I1725" s="390">
        <v>0</v>
      </c>
      <c r="J1725" s="390"/>
      <c r="K1725" s="734"/>
      <c r="M1725" s="62" t="e">
        <f>IF(#REF!&gt;6,3,5)</f>
        <v>#REF!</v>
      </c>
    </row>
    <row r="1726" spans="1:13">
      <c r="A1726" s="768">
        <f t="shared" si="139"/>
        <v>8</v>
      </c>
      <c r="B1726" s="773" t="s">
        <v>1385</v>
      </c>
      <c r="C1726" s="390" t="s">
        <v>3007</v>
      </c>
      <c r="D1726" s="390" t="s">
        <v>3007</v>
      </c>
      <c r="E1726" s="390" t="s">
        <v>3007</v>
      </c>
      <c r="F1726" s="288">
        <f t="shared" si="140"/>
        <v>0</v>
      </c>
      <c r="G1726" s="390">
        <v>0</v>
      </c>
      <c r="H1726" s="756" t="s">
        <v>3007</v>
      </c>
      <c r="I1726" s="390">
        <v>0</v>
      </c>
      <c r="J1726" s="390"/>
      <c r="K1726" s="734"/>
      <c r="M1726" s="62" t="e">
        <f>IF(#REF!&gt;6,3,5)</f>
        <v>#REF!</v>
      </c>
    </row>
    <row r="1727" spans="1:13">
      <c r="A1727" s="768">
        <f t="shared" si="139"/>
        <v>9</v>
      </c>
      <c r="B1727" s="773" t="s">
        <v>2061</v>
      </c>
      <c r="C1727" s="390" t="s">
        <v>3007</v>
      </c>
      <c r="D1727" s="390" t="s">
        <v>3007</v>
      </c>
      <c r="E1727" s="390" t="s">
        <v>3007</v>
      </c>
      <c r="F1727" s="288">
        <f t="shared" si="140"/>
        <v>0</v>
      </c>
      <c r="G1727" s="390">
        <v>0</v>
      </c>
      <c r="H1727" s="756" t="s">
        <v>3007</v>
      </c>
      <c r="I1727" s="390">
        <v>0</v>
      </c>
      <c r="J1727" s="390"/>
      <c r="K1727" s="734"/>
      <c r="M1727" s="62" t="e">
        <f>IF(#REF!&gt;6,3,5)</f>
        <v>#REF!</v>
      </c>
    </row>
    <row r="1728" spans="1:13">
      <c r="A1728" s="768">
        <f t="shared" si="139"/>
        <v>10</v>
      </c>
      <c r="B1728" s="773" t="s">
        <v>1680</v>
      </c>
      <c r="C1728" s="390">
        <v>800000</v>
      </c>
      <c r="D1728" s="390">
        <v>800000</v>
      </c>
      <c r="E1728" s="390">
        <v>800000</v>
      </c>
      <c r="F1728" s="288">
        <f t="shared" si="140"/>
        <v>2400000</v>
      </c>
      <c r="G1728" s="390">
        <v>0</v>
      </c>
      <c r="H1728" s="756">
        <v>800000</v>
      </c>
      <c r="I1728" s="390">
        <v>0</v>
      </c>
      <c r="J1728" s="390"/>
      <c r="K1728" s="734"/>
      <c r="M1728" s="62" t="e">
        <f>IF(#REF!&gt;6,3,5)</f>
        <v>#REF!</v>
      </c>
    </row>
    <row r="1729" spans="1:13">
      <c r="A1729" s="768">
        <f t="shared" si="139"/>
        <v>11</v>
      </c>
      <c r="B1729" s="773" t="s">
        <v>1681</v>
      </c>
      <c r="C1729" s="390">
        <v>100000</v>
      </c>
      <c r="D1729" s="390">
        <v>100000</v>
      </c>
      <c r="E1729" s="390">
        <v>100000</v>
      </c>
      <c r="F1729" s="288">
        <f t="shared" si="140"/>
        <v>300000</v>
      </c>
      <c r="G1729" s="390">
        <v>0</v>
      </c>
      <c r="H1729" s="756">
        <v>100000</v>
      </c>
      <c r="I1729" s="390">
        <v>0</v>
      </c>
      <c r="J1729" s="390"/>
      <c r="K1729" s="734"/>
      <c r="M1729" s="62" t="e">
        <f>IF(#REF!&gt;6,3,5)</f>
        <v>#REF!</v>
      </c>
    </row>
    <row r="1730" spans="1:13">
      <c r="A1730" s="768">
        <f t="shared" si="139"/>
        <v>12</v>
      </c>
      <c r="B1730" s="773" t="s">
        <v>1682</v>
      </c>
      <c r="C1730" s="390">
        <v>1000000</v>
      </c>
      <c r="D1730" s="390">
        <v>1000000</v>
      </c>
      <c r="E1730" s="390">
        <v>1000000</v>
      </c>
      <c r="F1730" s="288">
        <f t="shared" si="140"/>
        <v>3000000</v>
      </c>
      <c r="G1730" s="390">
        <v>0</v>
      </c>
      <c r="H1730" s="756">
        <v>2000000</v>
      </c>
      <c r="I1730" s="390">
        <v>0</v>
      </c>
      <c r="J1730" s="390"/>
      <c r="K1730" s="734"/>
      <c r="M1730" s="62" t="e">
        <f>IF(#REF!&gt;6,3,5)</f>
        <v>#REF!</v>
      </c>
    </row>
    <row r="1731" spans="1:13">
      <c r="A1731" s="768">
        <f t="shared" si="139"/>
        <v>13</v>
      </c>
      <c r="B1731" s="773" t="s">
        <v>2249</v>
      </c>
      <c r="C1731" s="390">
        <v>100000</v>
      </c>
      <c r="D1731" s="390">
        <v>100000</v>
      </c>
      <c r="E1731" s="390">
        <v>100000</v>
      </c>
      <c r="F1731" s="288">
        <f t="shared" si="140"/>
        <v>300000</v>
      </c>
      <c r="G1731" s="390">
        <v>0</v>
      </c>
      <c r="H1731" s="756">
        <v>100000</v>
      </c>
      <c r="I1731" s="390">
        <v>0</v>
      </c>
      <c r="J1731" s="390"/>
      <c r="K1731" s="734"/>
      <c r="M1731" s="62" t="e">
        <f>IF(#REF!&gt;6,3,5)</f>
        <v>#REF!</v>
      </c>
    </row>
    <row r="1732" spans="1:13">
      <c r="A1732" s="768">
        <f t="shared" si="139"/>
        <v>14</v>
      </c>
      <c r="B1732" s="773" t="s">
        <v>1336</v>
      </c>
      <c r="C1732" s="390">
        <v>500000</v>
      </c>
      <c r="D1732" s="390">
        <v>500000</v>
      </c>
      <c r="E1732" s="390">
        <v>500000</v>
      </c>
      <c r="F1732" s="288">
        <f t="shared" si="140"/>
        <v>1500000</v>
      </c>
      <c r="G1732" s="390">
        <v>0</v>
      </c>
      <c r="H1732" s="756">
        <v>1500000</v>
      </c>
      <c r="I1732" s="390">
        <v>0</v>
      </c>
      <c r="J1732" s="390"/>
      <c r="K1732" s="734"/>
      <c r="M1732" s="62" t="e">
        <f>IF(#REF!&gt;6,3,5)</f>
        <v>#REF!</v>
      </c>
    </row>
    <row r="1733" spans="1:13">
      <c r="A1733" s="768">
        <f t="shared" si="139"/>
        <v>15</v>
      </c>
      <c r="B1733" s="768" t="s">
        <v>4109</v>
      </c>
      <c r="C1733" s="390">
        <v>25000000</v>
      </c>
      <c r="D1733" s="390">
        <v>0</v>
      </c>
      <c r="E1733" s="390">
        <v>30000000</v>
      </c>
      <c r="F1733" s="288">
        <f t="shared" si="140"/>
        <v>55000000</v>
      </c>
      <c r="G1733" s="390">
        <v>0</v>
      </c>
      <c r="H1733" s="756">
        <v>30000000</v>
      </c>
      <c r="I1733" s="390">
        <v>0</v>
      </c>
      <c r="J1733" s="390"/>
      <c r="K1733" s="734"/>
      <c r="M1733" s="62" t="e">
        <f>IF(#REF!&gt;6,3,5)</f>
        <v>#REF!</v>
      </c>
    </row>
    <row r="1734" spans="1:13">
      <c r="A1734" s="768"/>
      <c r="B1734" s="768"/>
      <c r="C1734" s="390"/>
      <c r="D1734" s="390"/>
      <c r="E1734" s="390"/>
      <c r="F1734" s="158"/>
      <c r="G1734" s="390"/>
      <c r="H1734" s="756"/>
      <c r="I1734" s="390"/>
      <c r="J1734" s="390"/>
      <c r="K1734" s="734"/>
      <c r="M1734" s="62" t="e">
        <f>IF(#REF!&gt;6,3,5)</f>
        <v>#REF!</v>
      </c>
    </row>
    <row r="1735" spans="1:13">
      <c r="A1735" s="768"/>
      <c r="B1735" s="768"/>
      <c r="C1735" s="390"/>
      <c r="D1735" s="390"/>
      <c r="E1735" s="390"/>
      <c r="F1735" s="158"/>
      <c r="G1735" s="390"/>
      <c r="H1735" s="756"/>
      <c r="I1735" s="390"/>
      <c r="J1735" s="390"/>
      <c r="K1735" s="734"/>
      <c r="M1735" s="62" t="e">
        <f>IF(#REF!&gt;6,3,5)</f>
        <v>#REF!</v>
      </c>
    </row>
    <row r="1736" spans="1:13">
      <c r="A1736" s="777"/>
      <c r="B1736" s="777" t="s">
        <v>1684</v>
      </c>
      <c r="C1736" s="778">
        <f t="shared" ref="C1736:I1736" si="141">SUM(C1719:C1735)</f>
        <v>31750000</v>
      </c>
      <c r="D1736" s="778">
        <f t="shared" si="141"/>
        <v>6750000</v>
      </c>
      <c r="E1736" s="778">
        <f t="shared" si="141"/>
        <v>36750000</v>
      </c>
      <c r="F1736" s="778">
        <f t="shared" si="141"/>
        <v>75250000</v>
      </c>
      <c r="G1736" s="778">
        <f>SUM(G1719:G1735)</f>
        <v>0</v>
      </c>
      <c r="H1736" s="778">
        <f t="shared" si="141"/>
        <v>40000000</v>
      </c>
      <c r="I1736" s="778">
        <f t="shared" si="141"/>
        <v>0</v>
      </c>
      <c r="J1736" s="778"/>
      <c r="K1736" s="779"/>
      <c r="M1736" s="62" t="e">
        <f>IF(#REF!&gt;6,3,5)</f>
        <v>#REF!</v>
      </c>
    </row>
    <row r="1737" spans="1:13" ht="15">
      <c r="A1737" s="113"/>
      <c r="B1737" s="131"/>
      <c r="C1737" s="113"/>
      <c r="D1737" s="114"/>
      <c r="E1737" s="114"/>
      <c r="F1737" s="132"/>
      <c r="G1737" s="132"/>
      <c r="H1737" s="132"/>
      <c r="I1737" s="132"/>
      <c r="J1737" s="584"/>
      <c r="K1737" s="584"/>
    </row>
    <row r="1738" spans="1:13" ht="15">
      <c r="C1738" s="77"/>
      <c r="D1738" s="78" t="s">
        <v>5434</v>
      </c>
      <c r="J1738" s="584"/>
      <c r="K1738" s="584"/>
      <c r="M1738" s="62">
        <f t="shared" ref="M1738:M1768" si="142">IF(C1738&gt;6,3,5)</f>
        <v>5</v>
      </c>
    </row>
    <row r="1739" spans="1:13" ht="15">
      <c r="C1739" s="77"/>
      <c r="D1739" s="78" t="s">
        <v>1693</v>
      </c>
      <c r="J1739" s="584"/>
      <c r="K1739" s="584"/>
      <c r="M1739" s="62">
        <f t="shared" si="142"/>
        <v>5</v>
      </c>
    </row>
    <row r="1740" spans="1:13" ht="15">
      <c r="C1740" s="79" t="s">
        <v>717</v>
      </c>
      <c r="D1740" s="78" t="s">
        <v>2303</v>
      </c>
      <c r="J1740" s="584"/>
      <c r="K1740" s="584"/>
      <c r="M1740" s="62">
        <f t="shared" si="142"/>
        <v>3</v>
      </c>
    </row>
    <row r="1741" spans="1:13" ht="15.75" thickBot="1">
      <c r="C1741" s="79" t="s">
        <v>718</v>
      </c>
      <c r="D1741" s="78" t="s">
        <v>1064</v>
      </c>
      <c r="J1741" s="584"/>
      <c r="K1741" s="584"/>
      <c r="M1741" s="62">
        <f t="shared" si="142"/>
        <v>3</v>
      </c>
    </row>
    <row r="1742" spans="1:13" ht="15.75" thickTop="1">
      <c r="A1742" s="1047" t="s">
        <v>2791</v>
      </c>
      <c r="B1742" s="1049" t="s">
        <v>4126</v>
      </c>
      <c r="C1742" s="1049" t="s">
        <v>854</v>
      </c>
      <c r="D1742" s="1040" t="s">
        <v>4127</v>
      </c>
      <c r="E1742" s="1041"/>
      <c r="F1742" s="1041"/>
      <c r="G1742" s="1040" t="s">
        <v>904</v>
      </c>
      <c r="H1742" s="1041"/>
      <c r="I1742" s="1042"/>
      <c r="J1742" s="1035" t="s">
        <v>855</v>
      </c>
      <c r="K1742" s="389"/>
    </row>
    <row r="1743" spans="1:13" ht="26.25" thickBot="1">
      <c r="A1743" s="1048"/>
      <c r="B1743" s="1050"/>
      <c r="C1743" s="1050"/>
      <c r="D1743" s="285" t="s">
        <v>5505</v>
      </c>
      <c r="E1743" s="285" t="s">
        <v>4485</v>
      </c>
      <c r="F1743" s="285" t="s">
        <v>4486</v>
      </c>
      <c r="G1743" s="287" t="s">
        <v>4487</v>
      </c>
      <c r="H1743" s="285" t="s">
        <v>4488</v>
      </c>
      <c r="I1743" s="287" t="s">
        <v>4489</v>
      </c>
      <c r="J1743" s="1036"/>
      <c r="K1743" s="712"/>
    </row>
    <row r="1744" spans="1:13" ht="13.5" thickTop="1">
      <c r="A1744" s="88"/>
      <c r="B1744" s="90" t="s">
        <v>1893</v>
      </c>
      <c r="C1744" s="69"/>
      <c r="D1744" s="89"/>
      <c r="E1744" s="89"/>
      <c r="F1744" s="69"/>
      <c r="G1744" s="89"/>
      <c r="H1744" s="89"/>
      <c r="I1744" s="89"/>
      <c r="J1744" s="713"/>
      <c r="K1744" s="711"/>
      <c r="M1744" s="62">
        <f t="shared" si="142"/>
        <v>5</v>
      </c>
    </row>
    <row r="1745" spans="1:13">
      <c r="A1745" s="88">
        <v>1</v>
      </c>
      <c r="B1745" s="69" t="s">
        <v>3179</v>
      </c>
      <c r="C1745" s="69">
        <v>8</v>
      </c>
      <c r="D1745" s="89">
        <v>1</v>
      </c>
      <c r="E1745" s="89">
        <v>2</v>
      </c>
      <c r="F1745" s="89">
        <v>1</v>
      </c>
      <c r="G1745" s="89">
        <v>1</v>
      </c>
      <c r="H1745" s="89">
        <v>2</v>
      </c>
      <c r="I1745" s="89">
        <v>1</v>
      </c>
      <c r="J1745" s="710">
        <f>(VLOOKUP($C1745,[2]Sheet1!$A$2:$P$18,$M1745+1)/12)*12*D1745</f>
        <v>342141.27408</v>
      </c>
      <c r="K1745" s="711"/>
      <c r="M1745" s="62">
        <f t="shared" si="142"/>
        <v>3</v>
      </c>
    </row>
    <row r="1746" spans="1:13">
      <c r="A1746" s="88">
        <v>2</v>
      </c>
      <c r="B1746" s="69" t="s">
        <v>3845</v>
      </c>
      <c r="C1746" s="69">
        <v>7</v>
      </c>
      <c r="D1746" s="89">
        <v>0</v>
      </c>
      <c r="E1746" s="89">
        <v>2</v>
      </c>
      <c r="F1746" s="89">
        <v>1</v>
      </c>
      <c r="G1746" s="89">
        <v>1</v>
      </c>
      <c r="H1746" s="89">
        <v>2</v>
      </c>
      <c r="I1746" s="89">
        <v>0</v>
      </c>
      <c r="J1746" s="710">
        <f>(VLOOKUP($C1746,[2]Sheet1!$A$2:$P$18,$M1746+1)/12)*12*D1746</f>
        <v>0</v>
      </c>
      <c r="K1746" s="711"/>
      <c r="M1746" s="62">
        <f>IF(C1746&gt;6,3,5)</f>
        <v>3</v>
      </c>
    </row>
    <row r="1747" spans="1:13">
      <c r="A1747" s="88">
        <f>A1746+1</f>
        <v>3</v>
      </c>
      <c r="B1747" s="69" t="s">
        <v>3846</v>
      </c>
      <c r="C1747" s="69">
        <v>6</v>
      </c>
      <c r="D1747" s="89">
        <v>2</v>
      </c>
      <c r="E1747" s="89">
        <v>2</v>
      </c>
      <c r="F1747" s="89">
        <v>2</v>
      </c>
      <c r="G1747" s="89">
        <v>2</v>
      </c>
      <c r="H1747" s="89">
        <v>2</v>
      </c>
      <c r="I1747" s="89">
        <v>2</v>
      </c>
      <c r="J1747" s="710">
        <f>(VLOOKUP($C1747,[2]Sheet1!$A$2:$P$18,$M1747+1)/12)*12*D1747</f>
        <v>476198.75786072994</v>
      </c>
      <c r="K1747" s="711"/>
      <c r="M1747" s="62">
        <f t="shared" si="142"/>
        <v>5</v>
      </c>
    </row>
    <row r="1748" spans="1:13">
      <c r="A1748" s="88">
        <f t="shared" ref="A1748:A1811" si="143">+A1747+1</f>
        <v>4</v>
      </c>
      <c r="B1748" s="69" t="s">
        <v>3847</v>
      </c>
      <c r="C1748" s="69">
        <v>5</v>
      </c>
      <c r="D1748" s="89">
        <v>2</v>
      </c>
      <c r="E1748" s="89">
        <v>1</v>
      </c>
      <c r="F1748" s="89">
        <v>1</v>
      </c>
      <c r="G1748" s="89">
        <v>1</v>
      </c>
      <c r="H1748" s="89">
        <v>1</v>
      </c>
      <c r="I1748" s="89">
        <v>2</v>
      </c>
      <c r="J1748" s="710">
        <f>(VLOOKUP($C1748,[2]Sheet1!$A$2:$P$18,$M1748+1)/12)*12*D1748</f>
        <v>459139.55786072998</v>
      </c>
      <c r="K1748" s="711"/>
      <c r="M1748" s="62">
        <f t="shared" si="142"/>
        <v>5</v>
      </c>
    </row>
    <row r="1749" spans="1:13">
      <c r="A1749" s="88">
        <f t="shared" si="143"/>
        <v>5</v>
      </c>
      <c r="B1749" s="69" t="s">
        <v>2336</v>
      </c>
      <c r="C1749" s="69">
        <v>4</v>
      </c>
      <c r="D1749" s="89">
        <v>1</v>
      </c>
      <c r="E1749" s="89">
        <v>5</v>
      </c>
      <c r="F1749" s="89">
        <v>3</v>
      </c>
      <c r="G1749" s="89">
        <v>3</v>
      </c>
      <c r="H1749" s="89">
        <v>5</v>
      </c>
      <c r="I1749" s="89">
        <v>1</v>
      </c>
      <c r="J1749" s="710">
        <f>(VLOOKUP($C1749,[2]Sheet1!$A$2:$P$18,$M1749+1)/12)*12*D1749</f>
        <v>224542.978930365</v>
      </c>
      <c r="K1749" s="711"/>
      <c r="M1749" s="62">
        <f t="shared" si="142"/>
        <v>5</v>
      </c>
    </row>
    <row r="1750" spans="1:13">
      <c r="A1750" s="88">
        <f t="shared" si="143"/>
        <v>6</v>
      </c>
      <c r="B1750" s="69" t="s">
        <v>1069</v>
      </c>
      <c r="C1750" s="69">
        <v>3</v>
      </c>
      <c r="D1750" s="89">
        <v>2</v>
      </c>
      <c r="E1750" s="89">
        <v>9</v>
      </c>
      <c r="F1750" s="89">
        <v>9</v>
      </c>
      <c r="G1750" s="89">
        <v>9</v>
      </c>
      <c r="H1750" s="89">
        <v>9</v>
      </c>
      <c r="I1750" s="89">
        <v>2</v>
      </c>
      <c r="J1750" s="710">
        <f>(VLOOKUP($C1750,[2]Sheet1!$A$2:$P$18,$M1750+1)/12)*12*D1750</f>
        <v>438672.35786072997</v>
      </c>
      <c r="K1750" s="711"/>
      <c r="M1750" s="62">
        <f t="shared" si="142"/>
        <v>5</v>
      </c>
    </row>
    <row r="1751" spans="1:13">
      <c r="A1751" s="88">
        <f t="shared" si="143"/>
        <v>7</v>
      </c>
      <c r="B1751" s="69" t="s">
        <v>3848</v>
      </c>
      <c r="C1751" s="69">
        <v>7</v>
      </c>
      <c r="D1751" s="89">
        <v>0</v>
      </c>
      <c r="E1751" s="89">
        <v>1</v>
      </c>
      <c r="F1751" s="89">
        <v>1</v>
      </c>
      <c r="G1751" s="89">
        <v>1</v>
      </c>
      <c r="H1751" s="89">
        <v>1</v>
      </c>
      <c r="I1751" s="89">
        <v>0</v>
      </c>
      <c r="J1751" s="710">
        <f>(VLOOKUP($C1751,[2]Sheet1!$A$2:$P$18,$M1751+1)/12)*12*D1751</f>
        <v>0</v>
      </c>
      <c r="K1751" s="711"/>
      <c r="M1751" s="62">
        <f t="shared" si="142"/>
        <v>3</v>
      </c>
    </row>
    <row r="1752" spans="1:13">
      <c r="A1752" s="88">
        <f t="shared" si="143"/>
        <v>8</v>
      </c>
      <c r="B1752" s="69" t="s">
        <v>3849</v>
      </c>
      <c r="C1752" s="69">
        <v>5</v>
      </c>
      <c r="D1752" s="89">
        <v>0</v>
      </c>
      <c r="E1752" s="89">
        <v>1</v>
      </c>
      <c r="F1752" s="89">
        <v>1</v>
      </c>
      <c r="G1752" s="89">
        <v>1</v>
      </c>
      <c r="H1752" s="89">
        <v>1</v>
      </c>
      <c r="I1752" s="89">
        <v>0</v>
      </c>
      <c r="J1752" s="710">
        <f>(VLOOKUP($C1752,[2]Sheet1!$A$2:$P$18,$M1752+1)/12)*12*D1752</f>
        <v>0</v>
      </c>
      <c r="K1752" s="711"/>
      <c r="M1752" s="62">
        <f t="shared" si="142"/>
        <v>5</v>
      </c>
    </row>
    <row r="1753" spans="1:13">
      <c r="A1753" s="88">
        <f t="shared" si="143"/>
        <v>9</v>
      </c>
      <c r="B1753" s="69" t="s">
        <v>3796</v>
      </c>
      <c r="C1753" s="69">
        <v>6</v>
      </c>
      <c r="D1753" s="89">
        <v>0</v>
      </c>
      <c r="E1753" s="89">
        <v>0</v>
      </c>
      <c r="F1753" s="89">
        <v>0</v>
      </c>
      <c r="G1753" s="89">
        <v>0</v>
      </c>
      <c r="H1753" s="89">
        <v>0</v>
      </c>
      <c r="I1753" s="89">
        <v>0</v>
      </c>
      <c r="J1753" s="710">
        <f>(VLOOKUP($C1753,[2]Sheet1!$A$2:$P$18,$M1753+1)/12)*12*D1753</f>
        <v>0</v>
      </c>
      <c r="K1753" s="711"/>
      <c r="M1753" s="62">
        <f t="shared" si="142"/>
        <v>5</v>
      </c>
    </row>
    <row r="1754" spans="1:13">
      <c r="A1754" s="88">
        <f t="shared" si="143"/>
        <v>10</v>
      </c>
      <c r="B1754" s="69" t="s">
        <v>3797</v>
      </c>
      <c r="C1754" s="69">
        <v>5</v>
      </c>
      <c r="D1754" s="89">
        <v>0</v>
      </c>
      <c r="E1754" s="89">
        <v>0</v>
      </c>
      <c r="F1754" s="89">
        <v>0</v>
      </c>
      <c r="G1754" s="89">
        <v>0</v>
      </c>
      <c r="H1754" s="89">
        <v>0</v>
      </c>
      <c r="I1754" s="89">
        <v>0</v>
      </c>
      <c r="J1754" s="710">
        <f>(VLOOKUP($C1754,[2]Sheet1!$A$2:$P$18,$M1754+1)/12)*12*D1754</f>
        <v>0</v>
      </c>
      <c r="K1754" s="711"/>
      <c r="M1754" s="62">
        <f t="shared" si="142"/>
        <v>5</v>
      </c>
    </row>
    <row r="1755" spans="1:13">
      <c r="A1755" s="88">
        <f t="shared" si="143"/>
        <v>11</v>
      </c>
      <c r="B1755" s="69" t="s">
        <v>3798</v>
      </c>
      <c r="C1755" s="69">
        <v>4</v>
      </c>
      <c r="D1755" s="89">
        <v>1</v>
      </c>
      <c r="E1755" s="89">
        <v>0</v>
      </c>
      <c r="F1755" s="89">
        <v>0</v>
      </c>
      <c r="G1755" s="89">
        <v>0</v>
      </c>
      <c r="H1755" s="89">
        <v>0</v>
      </c>
      <c r="I1755" s="89">
        <v>1</v>
      </c>
      <c r="J1755" s="710">
        <f>(VLOOKUP($C1755,[2]Sheet1!$A$2:$P$18,$M1755+1)/12)*12*D1755</f>
        <v>224542.978930365</v>
      </c>
      <c r="K1755" s="711"/>
      <c r="M1755" s="62">
        <f t="shared" si="142"/>
        <v>5</v>
      </c>
    </row>
    <row r="1756" spans="1:13">
      <c r="A1756" s="88">
        <f t="shared" si="143"/>
        <v>12</v>
      </c>
      <c r="B1756" s="69" t="s">
        <v>3250</v>
      </c>
      <c r="C1756" s="69">
        <v>3</v>
      </c>
      <c r="D1756" s="89">
        <v>1</v>
      </c>
      <c r="E1756" s="89">
        <v>0</v>
      </c>
      <c r="F1756" s="89">
        <v>0</v>
      </c>
      <c r="G1756" s="89">
        <v>0</v>
      </c>
      <c r="H1756" s="89">
        <v>0</v>
      </c>
      <c r="I1756" s="89">
        <v>1</v>
      </c>
      <c r="J1756" s="710">
        <f>(VLOOKUP($C1756,[2]Sheet1!$A$2:$P$18,$M1756+1)/12)*12*D1756</f>
        <v>219336.17893036499</v>
      </c>
      <c r="K1756" s="711"/>
      <c r="M1756" s="62">
        <f t="shared" si="142"/>
        <v>5</v>
      </c>
    </row>
    <row r="1757" spans="1:13">
      <c r="A1757" s="88">
        <f t="shared" si="143"/>
        <v>13</v>
      </c>
      <c r="B1757" s="69" t="s">
        <v>3251</v>
      </c>
      <c r="C1757" s="69">
        <v>7</v>
      </c>
      <c r="D1757" s="89">
        <v>1</v>
      </c>
      <c r="E1757" s="89">
        <v>4</v>
      </c>
      <c r="F1757" s="89">
        <v>4</v>
      </c>
      <c r="G1757" s="89">
        <v>4</v>
      </c>
      <c r="H1757" s="89">
        <v>4</v>
      </c>
      <c r="I1757" s="89">
        <v>1</v>
      </c>
      <c r="J1757" s="710">
        <f>(VLOOKUP($C1757,[2]Sheet1!$A$2:$P$18,$M1757+1)/12)*12*D1757</f>
        <v>307706.70240000007</v>
      </c>
      <c r="K1757" s="711"/>
      <c r="M1757" s="62">
        <f t="shared" si="142"/>
        <v>3</v>
      </c>
    </row>
    <row r="1758" spans="1:13">
      <c r="A1758" s="88">
        <f t="shared" si="143"/>
        <v>14</v>
      </c>
      <c r="B1758" s="69" t="s">
        <v>3850</v>
      </c>
      <c r="C1758" s="69">
        <v>6</v>
      </c>
      <c r="D1758" s="89">
        <v>0</v>
      </c>
      <c r="E1758" s="89">
        <v>0</v>
      </c>
      <c r="F1758" s="89">
        <v>0</v>
      </c>
      <c r="G1758" s="89">
        <v>0</v>
      </c>
      <c r="H1758" s="89">
        <v>0</v>
      </c>
      <c r="I1758" s="89">
        <v>0</v>
      </c>
      <c r="J1758" s="710">
        <f>(VLOOKUP($C1758,[2]Sheet1!$A$2:$P$18,$M1758+1)/12)*12*D1758</f>
        <v>0</v>
      </c>
      <c r="K1758" s="711"/>
      <c r="M1758" s="62">
        <f t="shared" si="142"/>
        <v>5</v>
      </c>
    </row>
    <row r="1759" spans="1:13">
      <c r="A1759" s="88">
        <f t="shared" si="143"/>
        <v>15</v>
      </c>
      <c r="B1759" s="69" t="s">
        <v>1387</v>
      </c>
      <c r="C1759" s="69">
        <v>5</v>
      </c>
      <c r="D1759" s="89">
        <v>0</v>
      </c>
      <c r="E1759" s="89">
        <v>0</v>
      </c>
      <c r="F1759" s="89">
        <v>0</v>
      </c>
      <c r="G1759" s="89">
        <v>0</v>
      </c>
      <c r="H1759" s="89">
        <v>0</v>
      </c>
      <c r="I1759" s="89">
        <v>0</v>
      </c>
      <c r="J1759" s="710">
        <f>(VLOOKUP($C1759,[2]Sheet1!$A$2:$P$18,$M1759+1)/12)*12*D1759</f>
        <v>0</v>
      </c>
      <c r="K1759" s="711"/>
      <c r="M1759" s="62">
        <f t="shared" si="142"/>
        <v>5</v>
      </c>
    </row>
    <row r="1760" spans="1:13">
      <c r="A1760" s="88">
        <f t="shared" si="143"/>
        <v>16</v>
      </c>
      <c r="B1760" s="69" t="s">
        <v>2232</v>
      </c>
      <c r="C1760" s="69">
        <v>4</v>
      </c>
      <c r="D1760" s="89">
        <v>0</v>
      </c>
      <c r="E1760" s="89">
        <v>0</v>
      </c>
      <c r="F1760" s="89">
        <v>0</v>
      </c>
      <c r="G1760" s="89">
        <v>0</v>
      </c>
      <c r="H1760" s="89">
        <v>0</v>
      </c>
      <c r="I1760" s="89">
        <v>0</v>
      </c>
      <c r="J1760" s="710">
        <f>(VLOOKUP($C1760,[2]Sheet1!$A$2:$P$18,$M1760+1)/12)*12*D1760</f>
        <v>0</v>
      </c>
      <c r="K1760" s="711"/>
      <c r="M1760" s="62">
        <f t="shared" si="142"/>
        <v>5</v>
      </c>
    </row>
    <row r="1761" spans="1:13">
      <c r="A1761" s="88">
        <f t="shared" si="143"/>
        <v>17</v>
      </c>
      <c r="B1761" s="69" t="s">
        <v>2179</v>
      </c>
      <c r="C1761" s="69">
        <v>4</v>
      </c>
      <c r="D1761" s="89">
        <v>3</v>
      </c>
      <c r="E1761" s="89">
        <v>2</v>
      </c>
      <c r="F1761" s="89">
        <v>2</v>
      </c>
      <c r="G1761" s="89">
        <v>2</v>
      </c>
      <c r="H1761" s="89">
        <v>2</v>
      </c>
      <c r="I1761" s="89">
        <v>3</v>
      </c>
      <c r="J1761" s="710">
        <f>(VLOOKUP($C1761,[2]Sheet1!$A$2:$P$18,$M1761+1)/12)*12*D1761</f>
        <v>673628.93679109495</v>
      </c>
      <c r="K1761" s="711"/>
      <c r="M1761" s="62">
        <f t="shared" si="142"/>
        <v>5</v>
      </c>
    </row>
    <row r="1762" spans="1:13">
      <c r="A1762" s="88">
        <f t="shared" si="143"/>
        <v>18</v>
      </c>
      <c r="B1762" s="69" t="s">
        <v>3025</v>
      </c>
      <c r="C1762" s="69">
        <v>5</v>
      </c>
      <c r="D1762" s="89">
        <v>1</v>
      </c>
      <c r="E1762" s="89">
        <v>5</v>
      </c>
      <c r="F1762" s="89">
        <v>3</v>
      </c>
      <c r="G1762" s="89">
        <v>3</v>
      </c>
      <c r="H1762" s="89">
        <v>5</v>
      </c>
      <c r="I1762" s="89">
        <v>1</v>
      </c>
      <c r="J1762" s="710">
        <f>(VLOOKUP($C1762,[2]Sheet1!$A$2:$P$18,$M1762+1)/12)*12*D1762</f>
        <v>229569.77893036499</v>
      </c>
      <c r="K1762" s="711"/>
      <c r="M1762" s="62">
        <f t="shared" si="142"/>
        <v>5</v>
      </c>
    </row>
    <row r="1763" spans="1:13">
      <c r="A1763" s="88">
        <f t="shared" si="143"/>
        <v>19</v>
      </c>
      <c r="B1763" s="69" t="s">
        <v>2543</v>
      </c>
      <c r="C1763" s="69">
        <v>3</v>
      </c>
      <c r="D1763" s="89">
        <v>6</v>
      </c>
      <c r="E1763" s="89">
        <v>8</v>
      </c>
      <c r="F1763" s="89">
        <v>8</v>
      </c>
      <c r="G1763" s="89">
        <v>8</v>
      </c>
      <c r="H1763" s="89">
        <v>8</v>
      </c>
      <c r="I1763" s="89">
        <v>6</v>
      </c>
      <c r="J1763" s="710">
        <f>(VLOOKUP($C1763,[2]Sheet1!$A$2:$P$18,$M1763+1)/12)*12*D1763</f>
        <v>1316017.0735821899</v>
      </c>
      <c r="K1763" s="711"/>
      <c r="M1763" s="62">
        <f t="shared" si="142"/>
        <v>5</v>
      </c>
    </row>
    <row r="1764" spans="1:13">
      <c r="A1764" s="88">
        <f t="shared" si="143"/>
        <v>20</v>
      </c>
      <c r="B1764" s="69" t="s">
        <v>3019</v>
      </c>
      <c r="C1764" s="69">
        <v>2</v>
      </c>
      <c r="D1764" s="89">
        <v>2</v>
      </c>
      <c r="E1764" s="89">
        <v>2</v>
      </c>
      <c r="F1764" s="89">
        <v>2</v>
      </c>
      <c r="G1764" s="89">
        <v>2</v>
      </c>
      <c r="H1764" s="89">
        <v>2</v>
      </c>
      <c r="I1764" s="89">
        <v>2</v>
      </c>
      <c r="J1764" s="710">
        <f>(VLOOKUP($C1764,[2]Sheet1!$A$2:$P$18,$M1764+1)/12)*12*D1764</f>
        <v>429314.75786073005</v>
      </c>
      <c r="K1764" s="711"/>
      <c r="M1764" s="62">
        <f t="shared" si="142"/>
        <v>5</v>
      </c>
    </row>
    <row r="1765" spans="1:13">
      <c r="A1765" s="88">
        <f t="shared" si="143"/>
        <v>21</v>
      </c>
      <c r="B1765" s="69" t="s">
        <v>3189</v>
      </c>
      <c r="C1765" s="69">
        <v>4</v>
      </c>
      <c r="D1765" s="89">
        <v>1</v>
      </c>
      <c r="E1765" s="89">
        <v>0</v>
      </c>
      <c r="F1765" s="89">
        <v>0</v>
      </c>
      <c r="G1765" s="89">
        <v>0</v>
      </c>
      <c r="H1765" s="89">
        <v>0</v>
      </c>
      <c r="I1765" s="89">
        <v>1</v>
      </c>
      <c r="J1765" s="710">
        <f>(VLOOKUP($C1765,[2]Sheet1!$A$2:$P$18,$M1765+1)/12)*12*D1765</f>
        <v>224542.978930365</v>
      </c>
      <c r="K1765" s="711"/>
      <c r="M1765" s="62">
        <f t="shared" si="142"/>
        <v>5</v>
      </c>
    </row>
    <row r="1766" spans="1:13">
      <c r="A1766" s="88">
        <f t="shared" si="143"/>
        <v>22</v>
      </c>
      <c r="B1766" s="69" t="s">
        <v>3256</v>
      </c>
      <c r="C1766" s="69">
        <v>2</v>
      </c>
      <c r="D1766" s="89">
        <v>1</v>
      </c>
      <c r="E1766" s="89">
        <v>1</v>
      </c>
      <c r="F1766" s="89">
        <v>1</v>
      </c>
      <c r="G1766" s="89">
        <v>1</v>
      </c>
      <c r="H1766" s="89">
        <v>1</v>
      </c>
      <c r="I1766" s="89">
        <v>1</v>
      </c>
      <c r="J1766" s="710">
        <f>(VLOOKUP($C1766,[2]Sheet1!$A$2:$P$18,$M1766+1)/12)*12*D1766</f>
        <v>214657.37893036503</v>
      </c>
      <c r="K1766" s="711"/>
      <c r="M1766" s="62">
        <f t="shared" si="142"/>
        <v>5</v>
      </c>
    </row>
    <row r="1767" spans="1:13">
      <c r="A1767" s="88">
        <f t="shared" si="143"/>
        <v>23</v>
      </c>
      <c r="B1767" s="69" t="s">
        <v>2364</v>
      </c>
      <c r="C1767" s="69">
        <v>2</v>
      </c>
      <c r="D1767" s="89">
        <v>5</v>
      </c>
      <c r="E1767" s="89">
        <v>5</v>
      </c>
      <c r="F1767" s="89">
        <v>5</v>
      </c>
      <c r="G1767" s="89">
        <v>5</v>
      </c>
      <c r="H1767" s="89">
        <v>5</v>
      </c>
      <c r="I1767" s="89">
        <v>5</v>
      </c>
      <c r="J1767" s="710">
        <f>(VLOOKUP($C1767,[2]Sheet1!$A$2:$P$18,$M1767+1)/12)*12*D1767</f>
        <v>1073286.8946518251</v>
      </c>
      <c r="K1767" s="711"/>
      <c r="M1767" s="62">
        <f t="shared" si="142"/>
        <v>5</v>
      </c>
    </row>
    <row r="1768" spans="1:13">
      <c r="A1768" s="88">
        <f t="shared" si="143"/>
        <v>24</v>
      </c>
      <c r="B1768" s="69" t="s">
        <v>1388</v>
      </c>
      <c r="C1768" s="69">
        <v>2</v>
      </c>
      <c r="D1768" s="89">
        <v>4</v>
      </c>
      <c r="E1768" s="89">
        <v>4</v>
      </c>
      <c r="F1768" s="89">
        <v>4</v>
      </c>
      <c r="G1768" s="89">
        <v>4</v>
      </c>
      <c r="H1768" s="89">
        <v>4</v>
      </c>
      <c r="I1768" s="89">
        <v>4</v>
      </c>
      <c r="J1768" s="710">
        <f>(VLOOKUP($C1768,[2]Sheet1!$A$2:$P$18,$M1768+1)/12)*12*D1768</f>
        <v>858629.51572146011</v>
      </c>
      <c r="K1768" s="711"/>
      <c r="M1768" s="62">
        <f t="shared" si="142"/>
        <v>5</v>
      </c>
    </row>
    <row r="1769" spans="1:13">
      <c r="A1769" s="88">
        <f t="shared" si="143"/>
        <v>25</v>
      </c>
      <c r="B1769" s="69" t="s">
        <v>2693</v>
      </c>
      <c r="C1769" s="69">
        <v>7</v>
      </c>
      <c r="D1769" s="89">
        <v>0</v>
      </c>
      <c r="E1769" s="89">
        <v>0</v>
      </c>
      <c r="F1769" s="89">
        <v>0</v>
      </c>
      <c r="G1769" s="89">
        <v>0</v>
      </c>
      <c r="H1769" s="89">
        <v>0</v>
      </c>
      <c r="I1769" s="89">
        <v>0</v>
      </c>
      <c r="J1769" s="710">
        <f>(VLOOKUP($C1769,[2]Sheet1!$A$2:$P$18,$M1769+1)/12)*12*D1769</f>
        <v>0</v>
      </c>
      <c r="K1769" s="711"/>
      <c r="M1769" s="62">
        <f t="shared" ref="M1769:M1827" si="144">IF(C1769&gt;6,3,5)</f>
        <v>3</v>
      </c>
    </row>
    <row r="1770" spans="1:13">
      <c r="A1770" s="88">
        <f t="shared" si="143"/>
        <v>26</v>
      </c>
      <c r="B1770" s="69" t="s">
        <v>1311</v>
      </c>
      <c r="C1770" s="69">
        <v>4</v>
      </c>
      <c r="D1770" s="89">
        <v>0</v>
      </c>
      <c r="E1770" s="89">
        <v>0</v>
      </c>
      <c r="F1770" s="89">
        <v>0</v>
      </c>
      <c r="G1770" s="89">
        <v>0</v>
      </c>
      <c r="H1770" s="89">
        <v>0</v>
      </c>
      <c r="I1770" s="89">
        <v>0</v>
      </c>
      <c r="J1770" s="710">
        <f>(VLOOKUP($C1770,[2]Sheet1!$A$2:$P$18,$M1770+1)/12)*12*D1770</f>
        <v>0</v>
      </c>
      <c r="K1770" s="711"/>
      <c r="M1770" s="62">
        <f t="shared" si="144"/>
        <v>5</v>
      </c>
    </row>
    <row r="1771" spans="1:13">
      <c r="A1771" s="88">
        <f t="shared" si="143"/>
        <v>27</v>
      </c>
      <c r="B1771" s="69" t="s">
        <v>1312</v>
      </c>
      <c r="C1771" s="69">
        <v>3</v>
      </c>
      <c r="D1771" s="89">
        <v>0</v>
      </c>
      <c r="E1771" s="89">
        <v>0</v>
      </c>
      <c r="F1771" s="89">
        <v>0</v>
      </c>
      <c r="G1771" s="89">
        <v>0</v>
      </c>
      <c r="H1771" s="89">
        <v>0</v>
      </c>
      <c r="I1771" s="89">
        <v>0</v>
      </c>
      <c r="J1771" s="710">
        <f>(VLOOKUP($C1771,[2]Sheet1!$A$2:$P$18,$M1771+1)/12)*12*D1771</f>
        <v>0</v>
      </c>
      <c r="K1771" s="711"/>
      <c r="M1771" s="62">
        <f t="shared" si="144"/>
        <v>5</v>
      </c>
    </row>
    <row r="1772" spans="1:13">
      <c r="A1772" s="88">
        <f t="shared" si="143"/>
        <v>28</v>
      </c>
      <c r="B1772" s="69" t="s">
        <v>2240</v>
      </c>
      <c r="C1772" s="69">
        <v>2</v>
      </c>
      <c r="D1772" s="89">
        <v>0</v>
      </c>
      <c r="E1772" s="89">
        <v>0</v>
      </c>
      <c r="F1772" s="89">
        <v>0</v>
      </c>
      <c r="G1772" s="89">
        <v>0</v>
      </c>
      <c r="H1772" s="89">
        <v>0</v>
      </c>
      <c r="I1772" s="89">
        <v>0</v>
      </c>
      <c r="J1772" s="710">
        <f>(VLOOKUP($C1772,[2]Sheet1!$A$2:$P$18,$M1772+1)/12)*12*D1772</f>
        <v>0</v>
      </c>
      <c r="K1772" s="711"/>
      <c r="M1772" s="62">
        <f t="shared" si="144"/>
        <v>5</v>
      </c>
    </row>
    <row r="1773" spans="1:13">
      <c r="A1773" s="88">
        <f t="shared" si="143"/>
        <v>29</v>
      </c>
      <c r="B1773" s="69" t="s">
        <v>1316</v>
      </c>
      <c r="C1773" s="69">
        <v>3</v>
      </c>
      <c r="D1773" s="89">
        <v>3</v>
      </c>
      <c r="E1773" s="89">
        <v>0</v>
      </c>
      <c r="F1773" s="89">
        <v>0</v>
      </c>
      <c r="G1773" s="89">
        <v>0</v>
      </c>
      <c r="H1773" s="89">
        <v>0</v>
      </c>
      <c r="I1773" s="89">
        <v>3</v>
      </c>
      <c r="J1773" s="710">
        <f>(VLOOKUP($C1773,[2]Sheet1!$A$2:$P$18,$M1773+1)/12)*12*D1773</f>
        <v>658008.53679109493</v>
      </c>
      <c r="K1773" s="711"/>
      <c r="M1773" s="62">
        <f t="shared" si="144"/>
        <v>5</v>
      </c>
    </row>
    <row r="1774" spans="1:13">
      <c r="A1774" s="88">
        <f t="shared" si="143"/>
        <v>30</v>
      </c>
      <c r="B1774" s="69" t="s">
        <v>3674</v>
      </c>
      <c r="C1774" s="69">
        <v>2</v>
      </c>
      <c r="D1774" s="89">
        <v>0</v>
      </c>
      <c r="E1774" s="89">
        <v>0</v>
      </c>
      <c r="F1774" s="89">
        <v>0</v>
      </c>
      <c r="G1774" s="89">
        <v>0</v>
      </c>
      <c r="H1774" s="89">
        <v>0</v>
      </c>
      <c r="I1774" s="89">
        <v>0</v>
      </c>
      <c r="J1774" s="710">
        <f>(VLOOKUP($C1774,[2]Sheet1!$A$2:$P$18,$M1774+1)/12)*12*D1774</f>
        <v>0</v>
      </c>
      <c r="K1774" s="711"/>
      <c r="M1774" s="62">
        <f t="shared" si="144"/>
        <v>5</v>
      </c>
    </row>
    <row r="1775" spans="1:13">
      <c r="A1775" s="88">
        <f t="shared" si="143"/>
        <v>31</v>
      </c>
      <c r="B1775" s="69" t="s">
        <v>3674</v>
      </c>
      <c r="C1775" s="69">
        <v>1</v>
      </c>
      <c r="D1775" s="89">
        <v>0</v>
      </c>
      <c r="E1775" s="89">
        <v>0</v>
      </c>
      <c r="F1775" s="89">
        <v>0</v>
      </c>
      <c r="G1775" s="89">
        <v>0</v>
      </c>
      <c r="H1775" s="89">
        <v>0</v>
      </c>
      <c r="I1775" s="89">
        <v>0</v>
      </c>
      <c r="J1775" s="710">
        <f>(VLOOKUP($C1775,[2]Sheet1!$A$2:$P$18,$M1775+1)/12)*12*D1775</f>
        <v>0</v>
      </c>
      <c r="K1775" s="711"/>
      <c r="M1775" s="62">
        <f t="shared" si="144"/>
        <v>5</v>
      </c>
    </row>
    <row r="1776" spans="1:13">
      <c r="A1776" s="88">
        <f t="shared" si="143"/>
        <v>32</v>
      </c>
      <c r="B1776" s="69" t="s">
        <v>2242</v>
      </c>
      <c r="C1776" s="69">
        <v>4</v>
      </c>
      <c r="D1776" s="89">
        <v>1</v>
      </c>
      <c r="E1776" s="89">
        <v>3</v>
      </c>
      <c r="F1776" s="89">
        <v>3</v>
      </c>
      <c r="G1776" s="89">
        <v>3</v>
      </c>
      <c r="H1776" s="89">
        <v>3</v>
      </c>
      <c r="I1776" s="89">
        <v>1</v>
      </c>
      <c r="J1776" s="710">
        <f>(VLOOKUP($C1776,[2]Sheet1!$A$2:$P$18,$M1776+1)/12)*12*D1776</f>
        <v>224542.978930365</v>
      </c>
      <c r="K1776" s="711"/>
      <c r="M1776" s="62">
        <f t="shared" si="144"/>
        <v>5</v>
      </c>
    </row>
    <row r="1777" spans="1:13">
      <c r="A1777" s="88">
        <f t="shared" si="143"/>
        <v>33</v>
      </c>
      <c r="B1777" s="69" t="s">
        <v>2172</v>
      </c>
      <c r="C1777" s="69">
        <v>3</v>
      </c>
      <c r="D1777" s="89">
        <v>1</v>
      </c>
      <c r="E1777" s="89">
        <v>3</v>
      </c>
      <c r="F1777" s="89">
        <v>3</v>
      </c>
      <c r="G1777" s="89">
        <v>3</v>
      </c>
      <c r="H1777" s="89">
        <v>3</v>
      </c>
      <c r="I1777" s="89">
        <v>1</v>
      </c>
      <c r="J1777" s="710">
        <f>(VLOOKUP($C1777,[2]Sheet1!$A$2:$P$18,$M1777+1)/12)*12*D1777</f>
        <v>219336.17893036499</v>
      </c>
      <c r="K1777" s="711"/>
      <c r="M1777" s="62">
        <f>IF(C1777&gt;6,3,5)</f>
        <v>5</v>
      </c>
    </row>
    <row r="1778" spans="1:13">
      <c r="A1778" s="88"/>
      <c r="B1778" s="90" t="s">
        <v>1487</v>
      </c>
      <c r="C1778" s="69"/>
      <c r="D1778" s="89"/>
      <c r="E1778" s="89"/>
      <c r="F1778" s="89"/>
      <c r="G1778" s="89"/>
      <c r="H1778" s="89"/>
      <c r="I1778" s="89"/>
      <c r="J1778" s="710"/>
      <c r="K1778" s="711"/>
      <c r="M1778" s="62">
        <f t="shared" si="144"/>
        <v>5</v>
      </c>
    </row>
    <row r="1779" spans="1:13">
      <c r="A1779" s="88">
        <v>34</v>
      </c>
      <c r="B1779" s="69" t="s">
        <v>1317</v>
      </c>
      <c r="C1779" s="69">
        <v>6</v>
      </c>
      <c r="D1779" s="89">
        <v>0</v>
      </c>
      <c r="E1779" s="89">
        <v>2</v>
      </c>
      <c r="F1779" s="89">
        <v>2</v>
      </c>
      <c r="G1779" s="89">
        <v>2</v>
      </c>
      <c r="H1779" s="89">
        <v>2</v>
      </c>
      <c r="I1779" s="89">
        <v>0</v>
      </c>
      <c r="J1779" s="710">
        <f>(VLOOKUP($C1779,[2]Sheet1!$A$2:$P$18,$M1779+1)/12)*12*D1779</f>
        <v>0</v>
      </c>
      <c r="K1779" s="711"/>
      <c r="M1779" s="62">
        <f t="shared" si="144"/>
        <v>5</v>
      </c>
    </row>
    <row r="1780" spans="1:13" ht="13.5" thickBot="1">
      <c r="A1780" s="88">
        <f t="shared" si="143"/>
        <v>35</v>
      </c>
      <c r="B1780" s="69" t="s">
        <v>602</v>
      </c>
      <c r="C1780" s="69">
        <v>5</v>
      </c>
      <c r="D1780" s="89">
        <v>1</v>
      </c>
      <c r="E1780" s="89">
        <v>1</v>
      </c>
      <c r="F1780" s="89">
        <v>1</v>
      </c>
      <c r="G1780" s="89">
        <v>1</v>
      </c>
      <c r="H1780" s="89">
        <v>1</v>
      </c>
      <c r="I1780" s="89">
        <v>1</v>
      </c>
      <c r="J1780" s="710">
        <f>(VLOOKUP($C1780,[2]Sheet1!$A$2:$P$18,$M1780+1)/12)*12*D1780</f>
        <v>229569.77893036499</v>
      </c>
      <c r="K1780" s="711"/>
      <c r="M1780" s="62">
        <f t="shared" si="144"/>
        <v>5</v>
      </c>
    </row>
    <row r="1781" spans="1:13" ht="15.75" thickTop="1">
      <c r="A1781" s="1047" t="s">
        <v>2791</v>
      </c>
      <c r="B1781" s="1049" t="s">
        <v>4126</v>
      </c>
      <c r="C1781" s="1049" t="s">
        <v>854</v>
      </c>
      <c r="D1781" s="1040" t="s">
        <v>4127</v>
      </c>
      <c r="E1781" s="1041"/>
      <c r="F1781" s="1041"/>
      <c r="G1781" s="1040" t="s">
        <v>904</v>
      </c>
      <c r="H1781" s="1041"/>
      <c r="I1781" s="1042"/>
      <c r="J1781" s="1035" t="s">
        <v>855</v>
      </c>
      <c r="K1781" s="389"/>
    </row>
    <row r="1782" spans="1:13" ht="26.25" thickBot="1">
      <c r="A1782" s="1048"/>
      <c r="B1782" s="1050"/>
      <c r="C1782" s="1050"/>
      <c r="D1782" s="285" t="s">
        <v>5505</v>
      </c>
      <c r="E1782" s="285" t="s">
        <v>4485</v>
      </c>
      <c r="F1782" s="285" t="s">
        <v>4486</v>
      </c>
      <c r="G1782" s="287" t="s">
        <v>4487</v>
      </c>
      <c r="H1782" s="285" t="s">
        <v>4488</v>
      </c>
      <c r="I1782" s="287" t="s">
        <v>4489</v>
      </c>
      <c r="J1782" s="1036"/>
      <c r="K1782" s="712"/>
    </row>
    <row r="1783" spans="1:13" ht="13.5" thickTop="1">
      <c r="A1783" s="88">
        <f>+A1780+1</f>
        <v>36</v>
      </c>
      <c r="B1783" s="69" t="s">
        <v>603</v>
      </c>
      <c r="C1783" s="69">
        <v>4</v>
      </c>
      <c r="D1783" s="89">
        <v>0</v>
      </c>
      <c r="E1783" s="89">
        <v>1</v>
      </c>
      <c r="F1783" s="89">
        <v>1</v>
      </c>
      <c r="G1783" s="89">
        <v>1</v>
      </c>
      <c r="H1783" s="89">
        <v>1</v>
      </c>
      <c r="I1783" s="89">
        <v>0</v>
      </c>
      <c r="J1783" s="710">
        <f>(VLOOKUP($C1783,[2]Sheet1!$A$2:$P$18,$M1783+1)/12)*12*D1783</f>
        <v>0</v>
      </c>
      <c r="K1783" s="711"/>
      <c r="M1783" s="62">
        <f t="shared" si="144"/>
        <v>5</v>
      </c>
    </row>
    <row r="1784" spans="1:13">
      <c r="A1784" s="88">
        <f t="shared" si="143"/>
        <v>37</v>
      </c>
      <c r="B1784" s="69" t="s">
        <v>604</v>
      </c>
      <c r="C1784" s="69">
        <v>3</v>
      </c>
      <c r="D1784" s="89">
        <v>0</v>
      </c>
      <c r="E1784" s="89">
        <v>1</v>
      </c>
      <c r="F1784" s="89">
        <v>1</v>
      </c>
      <c r="G1784" s="89">
        <v>1</v>
      </c>
      <c r="H1784" s="89">
        <v>1</v>
      </c>
      <c r="I1784" s="89">
        <v>0</v>
      </c>
      <c r="J1784" s="710">
        <f>(VLOOKUP($C1784,[2]Sheet1!$A$2:$P$18,$M1784+1)/12)*12*D1784</f>
        <v>0</v>
      </c>
      <c r="K1784" s="711"/>
      <c r="M1784" s="62">
        <f t="shared" si="144"/>
        <v>5</v>
      </c>
    </row>
    <row r="1785" spans="1:13">
      <c r="A1785" s="88">
        <f t="shared" si="143"/>
        <v>38</v>
      </c>
      <c r="B1785" s="69" t="s">
        <v>4036</v>
      </c>
      <c r="C1785" s="69">
        <v>8</v>
      </c>
      <c r="D1785" s="89">
        <v>1</v>
      </c>
      <c r="E1785" s="89">
        <v>1</v>
      </c>
      <c r="F1785" s="89">
        <v>1</v>
      </c>
      <c r="G1785" s="89">
        <v>1</v>
      </c>
      <c r="H1785" s="89">
        <v>1</v>
      </c>
      <c r="I1785" s="89">
        <v>1</v>
      </c>
      <c r="J1785" s="710">
        <f>(VLOOKUP($C1785,[2]Sheet1!$A$2:$P$18,$M1785+1)/12)*12*D1785</f>
        <v>342141.27408</v>
      </c>
      <c r="K1785" s="711"/>
      <c r="M1785" s="62">
        <f t="shared" si="144"/>
        <v>3</v>
      </c>
    </row>
    <row r="1786" spans="1:13">
      <c r="A1786" s="88">
        <f>+A1785+1</f>
        <v>39</v>
      </c>
      <c r="B1786" s="69" t="s">
        <v>2784</v>
      </c>
      <c r="C1786" s="69">
        <v>7</v>
      </c>
      <c r="D1786" s="89">
        <v>1</v>
      </c>
      <c r="E1786" s="89">
        <v>1</v>
      </c>
      <c r="F1786" s="89">
        <v>1</v>
      </c>
      <c r="G1786" s="89">
        <v>1</v>
      </c>
      <c r="H1786" s="89">
        <v>1</v>
      </c>
      <c r="I1786" s="89">
        <v>1</v>
      </c>
      <c r="J1786" s="710">
        <f>(VLOOKUP($C1786,[2]Sheet1!$A$2:$P$18,$M1786+1)/12)*12*D1786</f>
        <v>307706.70240000007</v>
      </c>
      <c r="K1786" s="711"/>
      <c r="M1786" s="62">
        <f t="shared" si="144"/>
        <v>3</v>
      </c>
    </row>
    <row r="1787" spans="1:13">
      <c r="A1787" s="88">
        <f t="shared" si="143"/>
        <v>40</v>
      </c>
      <c r="B1787" s="69" t="s">
        <v>499</v>
      </c>
      <c r="C1787" s="69">
        <v>3</v>
      </c>
      <c r="D1787" s="89">
        <v>1</v>
      </c>
      <c r="E1787" s="89">
        <v>1</v>
      </c>
      <c r="F1787" s="89">
        <v>1</v>
      </c>
      <c r="G1787" s="89">
        <v>1</v>
      </c>
      <c r="H1787" s="89">
        <v>1</v>
      </c>
      <c r="I1787" s="89">
        <v>1</v>
      </c>
      <c r="J1787" s="710">
        <f>(VLOOKUP($C1787,[2]Sheet1!$A$2:$P$18,$M1787+1)/12)*12*D1787</f>
        <v>219336.17893036499</v>
      </c>
      <c r="K1787" s="711"/>
      <c r="M1787" s="62">
        <f t="shared" si="144"/>
        <v>5</v>
      </c>
    </row>
    <row r="1788" spans="1:13">
      <c r="A1788" s="88">
        <f t="shared" si="143"/>
        <v>41</v>
      </c>
      <c r="B1788" s="69" t="s">
        <v>2387</v>
      </c>
      <c r="C1788" s="69">
        <v>7</v>
      </c>
      <c r="D1788" s="89">
        <v>0</v>
      </c>
      <c r="E1788" s="89">
        <v>0</v>
      </c>
      <c r="F1788" s="89">
        <v>0</v>
      </c>
      <c r="G1788" s="89">
        <v>0</v>
      </c>
      <c r="H1788" s="89">
        <v>0</v>
      </c>
      <c r="I1788" s="89">
        <v>0</v>
      </c>
      <c r="J1788" s="710">
        <f>(VLOOKUP($C1788,[2]Sheet1!$A$2:$P$18,$M1788+1)/12)*12*D1788</f>
        <v>0</v>
      </c>
      <c r="K1788" s="711"/>
      <c r="M1788" s="62">
        <f t="shared" si="144"/>
        <v>3</v>
      </c>
    </row>
    <row r="1789" spans="1:13">
      <c r="A1789" s="88"/>
      <c r="B1789" s="90" t="s">
        <v>605</v>
      </c>
      <c r="C1789" s="69"/>
      <c r="D1789" s="89"/>
      <c r="E1789" s="89"/>
      <c r="F1789" s="89"/>
      <c r="G1789" s="89"/>
      <c r="H1789" s="89"/>
      <c r="I1789" s="89"/>
      <c r="J1789" s="710"/>
      <c r="K1789" s="711"/>
      <c r="M1789" s="62">
        <f t="shared" si="144"/>
        <v>5</v>
      </c>
    </row>
    <row r="1790" spans="1:13">
      <c r="A1790" s="88">
        <f>+A1788+1</f>
        <v>42</v>
      </c>
      <c r="B1790" s="69" t="s">
        <v>1699</v>
      </c>
      <c r="C1790" s="69">
        <v>9</v>
      </c>
      <c r="D1790" s="89">
        <v>0</v>
      </c>
      <c r="E1790" s="89">
        <v>0</v>
      </c>
      <c r="F1790" s="89">
        <v>0</v>
      </c>
      <c r="G1790" s="89">
        <v>0</v>
      </c>
      <c r="H1790" s="89">
        <v>0</v>
      </c>
      <c r="I1790" s="89">
        <v>0</v>
      </c>
      <c r="J1790" s="710">
        <f>(VLOOKUP($C1790,[2]Sheet1!$A$2:$P$18,$M1790+1)/12)*12*D1790</f>
        <v>0</v>
      </c>
      <c r="K1790" s="711"/>
      <c r="M1790" s="62">
        <f t="shared" si="144"/>
        <v>3</v>
      </c>
    </row>
    <row r="1791" spans="1:13">
      <c r="A1791" s="88">
        <f t="shared" si="143"/>
        <v>43</v>
      </c>
      <c r="B1791" s="69" t="s">
        <v>606</v>
      </c>
      <c r="C1791" s="69">
        <v>3</v>
      </c>
      <c r="D1791" s="89">
        <v>0</v>
      </c>
      <c r="E1791" s="89">
        <v>0</v>
      </c>
      <c r="F1791" s="89">
        <v>0</v>
      </c>
      <c r="G1791" s="89">
        <v>0</v>
      </c>
      <c r="H1791" s="89">
        <v>0</v>
      </c>
      <c r="I1791" s="89">
        <v>0</v>
      </c>
      <c r="J1791" s="710">
        <f>(VLOOKUP($C1791,[2]Sheet1!$A$2:$P$18,$M1791+1)/12)*12*D1791</f>
        <v>0</v>
      </c>
      <c r="K1791" s="711"/>
      <c r="M1791" s="62">
        <f t="shared" si="144"/>
        <v>5</v>
      </c>
    </row>
    <row r="1792" spans="1:13">
      <c r="A1792" s="88"/>
      <c r="B1792" s="90" t="s">
        <v>118</v>
      </c>
      <c r="C1792" s="69"/>
      <c r="D1792" s="89"/>
      <c r="E1792" s="89"/>
      <c r="F1792" s="89"/>
      <c r="G1792" s="89"/>
      <c r="H1792" s="89"/>
      <c r="I1792" s="89"/>
      <c r="J1792" s="710"/>
      <c r="K1792" s="711"/>
      <c r="M1792" s="62">
        <f t="shared" si="144"/>
        <v>5</v>
      </c>
    </row>
    <row r="1793" spans="1:13">
      <c r="A1793" s="88">
        <f>+A1791+1</f>
        <v>44</v>
      </c>
      <c r="B1793" s="69" t="s">
        <v>3532</v>
      </c>
      <c r="C1793" s="69">
        <v>16</v>
      </c>
      <c r="D1793" s="89">
        <v>1</v>
      </c>
      <c r="E1793" s="89">
        <v>1</v>
      </c>
      <c r="F1793" s="89">
        <v>1</v>
      </c>
      <c r="G1793" s="89">
        <v>1</v>
      </c>
      <c r="H1793" s="89">
        <v>1</v>
      </c>
      <c r="I1793" s="89">
        <v>1</v>
      </c>
      <c r="J1793" s="710">
        <f>(VLOOKUP($C1793,[2]Sheet1!$A$2:$P$18,$M1793+1)/12)*12*D1793</f>
        <v>677281.26084</v>
      </c>
      <c r="K1793" s="711"/>
      <c r="M1793" s="62">
        <f t="shared" si="144"/>
        <v>3</v>
      </c>
    </row>
    <row r="1794" spans="1:13">
      <c r="A1794" s="88">
        <f>A1793+1</f>
        <v>45</v>
      </c>
      <c r="B1794" s="69" t="s">
        <v>119</v>
      </c>
      <c r="C1794" s="69">
        <v>12</v>
      </c>
      <c r="D1794" s="89">
        <v>2</v>
      </c>
      <c r="E1794" s="89">
        <v>2</v>
      </c>
      <c r="F1794" s="89">
        <v>2</v>
      </c>
      <c r="G1794" s="89">
        <v>2</v>
      </c>
      <c r="H1794" s="89">
        <v>2</v>
      </c>
      <c r="I1794" s="89">
        <v>2</v>
      </c>
      <c r="J1794" s="710">
        <f>(VLOOKUP($C1794,[2]Sheet1!$A$2:$P$18,$M1794+1)/12)*12*D1794</f>
        <v>1105370.1074400004</v>
      </c>
      <c r="K1794" s="711"/>
      <c r="M1794" s="62">
        <f t="shared" si="144"/>
        <v>3</v>
      </c>
    </row>
    <row r="1795" spans="1:13">
      <c r="A1795" s="88">
        <f>+A1793+1</f>
        <v>45</v>
      </c>
      <c r="B1795" s="69" t="s">
        <v>120</v>
      </c>
      <c r="C1795" s="69">
        <v>10</v>
      </c>
      <c r="D1795" s="89">
        <v>2</v>
      </c>
      <c r="E1795" s="89">
        <v>2</v>
      </c>
      <c r="F1795" s="89">
        <v>2</v>
      </c>
      <c r="G1795" s="89">
        <v>2</v>
      </c>
      <c r="H1795" s="89">
        <v>2</v>
      </c>
      <c r="I1795" s="89">
        <v>2</v>
      </c>
      <c r="J1795" s="710">
        <f>(VLOOKUP($C1795,[2]Sheet1!$A$2:$P$18,$M1795+1)/12)*12*D1795</f>
        <v>967949.1374400002</v>
      </c>
      <c r="K1795" s="711"/>
      <c r="M1795" s="62">
        <f t="shared" si="144"/>
        <v>3</v>
      </c>
    </row>
    <row r="1796" spans="1:13">
      <c r="A1796" s="88">
        <f>+A1795+1</f>
        <v>46</v>
      </c>
      <c r="B1796" s="69" t="s">
        <v>121</v>
      </c>
      <c r="C1796" s="69">
        <v>9</v>
      </c>
      <c r="D1796" s="89">
        <v>3</v>
      </c>
      <c r="E1796" s="89">
        <v>3</v>
      </c>
      <c r="F1796" s="89">
        <v>3</v>
      </c>
      <c r="G1796" s="89">
        <v>3</v>
      </c>
      <c r="H1796" s="89">
        <v>3</v>
      </c>
      <c r="I1796" s="89">
        <v>3</v>
      </c>
      <c r="J1796" s="710">
        <f>(VLOOKUP($C1796,[2]Sheet1!$A$2:$P$18,$M1796+1)/12)*12*D1796</f>
        <v>1229045.7185999998</v>
      </c>
      <c r="K1796" s="711"/>
      <c r="M1796" s="62">
        <f t="shared" si="144"/>
        <v>3</v>
      </c>
    </row>
    <row r="1797" spans="1:13">
      <c r="A1797" s="88">
        <f>+A1796+1</f>
        <v>47</v>
      </c>
      <c r="B1797" s="69" t="s">
        <v>122</v>
      </c>
      <c r="C1797" s="69">
        <v>9</v>
      </c>
      <c r="D1797" s="89">
        <v>2</v>
      </c>
      <c r="E1797" s="89">
        <v>2</v>
      </c>
      <c r="F1797" s="89">
        <v>2</v>
      </c>
      <c r="G1797" s="89">
        <v>2</v>
      </c>
      <c r="H1797" s="89">
        <v>2</v>
      </c>
      <c r="I1797" s="89">
        <v>2</v>
      </c>
      <c r="J1797" s="710">
        <f>(VLOOKUP($C1797,[2]Sheet1!$A$2:$P$18,$M1797+1)/12)*12*D1797</f>
        <v>819363.81239999994</v>
      </c>
      <c r="K1797" s="711"/>
      <c r="M1797" s="62">
        <f t="shared" si="144"/>
        <v>3</v>
      </c>
    </row>
    <row r="1798" spans="1:13">
      <c r="A1798" s="88">
        <f>+A1797+1</f>
        <v>48</v>
      </c>
      <c r="B1798" s="69" t="s">
        <v>123</v>
      </c>
      <c r="C1798" s="69">
        <v>8</v>
      </c>
      <c r="D1798" s="89">
        <v>1</v>
      </c>
      <c r="E1798" s="89">
        <v>1</v>
      </c>
      <c r="F1798" s="89">
        <v>1</v>
      </c>
      <c r="G1798" s="89">
        <v>1</v>
      </c>
      <c r="H1798" s="89">
        <v>1</v>
      </c>
      <c r="I1798" s="89">
        <v>1</v>
      </c>
      <c r="J1798" s="710">
        <f>(VLOOKUP($C1798,[2]Sheet1!$A$2:$P$18,$M1798+1)/12)*12*D1798</f>
        <v>342141.27408</v>
      </c>
      <c r="K1798" s="711"/>
      <c r="M1798" s="62">
        <f t="shared" si="144"/>
        <v>3</v>
      </c>
    </row>
    <row r="1799" spans="1:13">
      <c r="A1799" s="88">
        <f>+A1798+1</f>
        <v>49</v>
      </c>
      <c r="B1799" s="69" t="s">
        <v>124</v>
      </c>
      <c r="C1799" s="69">
        <v>7</v>
      </c>
      <c r="D1799" s="89">
        <v>0</v>
      </c>
      <c r="E1799" s="89">
        <v>0</v>
      </c>
      <c r="F1799" s="89">
        <v>0</v>
      </c>
      <c r="G1799" s="89">
        <v>0</v>
      </c>
      <c r="H1799" s="89">
        <v>0</v>
      </c>
      <c r="I1799" s="89">
        <v>0</v>
      </c>
      <c r="J1799" s="710">
        <f>(VLOOKUP($C1799,[2]Sheet1!$A$2:$P$18,$M1799+1)/12)*12*D1799</f>
        <v>0</v>
      </c>
      <c r="K1799" s="711"/>
      <c r="M1799" s="62">
        <f t="shared" si="144"/>
        <v>3</v>
      </c>
    </row>
    <row r="1800" spans="1:13">
      <c r="A1800" s="88"/>
      <c r="B1800" s="90" t="s">
        <v>3168</v>
      </c>
      <c r="C1800" s="69"/>
      <c r="D1800" s="89"/>
      <c r="E1800" s="89"/>
      <c r="F1800" s="89"/>
      <c r="G1800" s="89"/>
      <c r="H1800" s="89"/>
      <c r="I1800" s="89"/>
      <c r="J1800" s="710"/>
      <c r="K1800" s="711"/>
      <c r="M1800" s="62">
        <f t="shared" si="144"/>
        <v>5</v>
      </c>
    </row>
    <row r="1801" spans="1:13">
      <c r="A1801" s="88">
        <v>48</v>
      </c>
      <c r="B1801" s="69" t="s">
        <v>3532</v>
      </c>
      <c r="C1801" s="69">
        <v>16</v>
      </c>
      <c r="D1801" s="89">
        <v>0</v>
      </c>
      <c r="E1801" s="89">
        <v>0</v>
      </c>
      <c r="F1801" s="89">
        <v>0</v>
      </c>
      <c r="G1801" s="89">
        <v>0</v>
      </c>
      <c r="H1801" s="89">
        <v>0</v>
      </c>
      <c r="I1801" s="89">
        <v>0</v>
      </c>
      <c r="J1801" s="710">
        <f>(VLOOKUP($C1801,[2]Sheet1!$A$2:$P$18,$M1801+1)/12)*12*D1801</f>
        <v>0</v>
      </c>
      <c r="K1801" s="711"/>
      <c r="M1801" s="62">
        <f t="shared" si="144"/>
        <v>3</v>
      </c>
    </row>
    <row r="1802" spans="1:13">
      <c r="A1802" s="88">
        <f t="shared" si="143"/>
        <v>49</v>
      </c>
      <c r="B1802" s="69" t="s">
        <v>3169</v>
      </c>
      <c r="C1802" s="69">
        <v>14</v>
      </c>
      <c r="D1802" s="89">
        <v>1</v>
      </c>
      <c r="E1802" s="89">
        <v>1</v>
      </c>
      <c r="F1802" s="89">
        <v>1</v>
      </c>
      <c r="G1802" s="89">
        <v>1</v>
      </c>
      <c r="H1802" s="89">
        <v>1</v>
      </c>
      <c r="I1802" s="89">
        <v>1</v>
      </c>
      <c r="J1802" s="710">
        <f>(VLOOKUP($C1802,[2]Sheet1!$A$2:$P$18,$M1802+1)/12)*12*D1802</f>
        <v>669099.40824000002</v>
      </c>
      <c r="K1802" s="711"/>
      <c r="M1802" s="62">
        <f t="shared" si="144"/>
        <v>3</v>
      </c>
    </row>
    <row r="1803" spans="1:13">
      <c r="A1803" s="88">
        <f>+A1802+1</f>
        <v>50</v>
      </c>
      <c r="B1803" s="69" t="s">
        <v>3792</v>
      </c>
      <c r="C1803" s="69">
        <v>12</v>
      </c>
      <c r="D1803" s="89">
        <v>1</v>
      </c>
      <c r="E1803" s="89">
        <v>0</v>
      </c>
      <c r="F1803" s="89">
        <v>0</v>
      </c>
      <c r="G1803" s="89">
        <v>0</v>
      </c>
      <c r="H1803" s="89">
        <v>0</v>
      </c>
      <c r="I1803" s="89">
        <v>1</v>
      </c>
      <c r="J1803" s="710">
        <f>(VLOOKUP($C1803,[2]Sheet1!$A$2:$P$18,$M1803+1)/12)*12*D1803</f>
        <v>552685.0537200002</v>
      </c>
      <c r="K1803" s="711"/>
      <c r="M1803" s="62">
        <f t="shared" si="144"/>
        <v>3</v>
      </c>
    </row>
    <row r="1804" spans="1:13">
      <c r="A1804" s="88">
        <f t="shared" si="143"/>
        <v>51</v>
      </c>
      <c r="B1804" s="69" t="s">
        <v>3793</v>
      </c>
      <c r="C1804" s="69">
        <v>10</v>
      </c>
      <c r="D1804" s="89">
        <v>1</v>
      </c>
      <c r="E1804" s="89">
        <v>0</v>
      </c>
      <c r="F1804" s="89">
        <v>0</v>
      </c>
      <c r="G1804" s="89">
        <v>0</v>
      </c>
      <c r="H1804" s="89">
        <v>0</v>
      </c>
      <c r="I1804" s="89">
        <v>1</v>
      </c>
      <c r="J1804" s="710">
        <f>(VLOOKUP($C1804,[2]Sheet1!$A$2:$P$18,$M1804+1)/12)*12*D1804</f>
        <v>483974.5687200001</v>
      </c>
      <c r="K1804" s="711"/>
      <c r="M1804" s="62">
        <f t="shared" si="144"/>
        <v>3</v>
      </c>
    </row>
    <row r="1805" spans="1:13">
      <c r="A1805" s="88">
        <f>+A1804+1</f>
        <v>52</v>
      </c>
      <c r="B1805" s="69" t="s">
        <v>3793</v>
      </c>
      <c r="C1805" s="69">
        <v>9</v>
      </c>
      <c r="D1805" s="89">
        <v>0</v>
      </c>
      <c r="E1805" s="89">
        <v>3</v>
      </c>
      <c r="F1805" s="89">
        <v>3</v>
      </c>
      <c r="G1805" s="89">
        <v>3</v>
      </c>
      <c r="H1805" s="89">
        <v>3</v>
      </c>
      <c r="I1805" s="89">
        <v>0</v>
      </c>
      <c r="J1805" s="710">
        <f>(VLOOKUP($C1805,[2]Sheet1!$A$2:$P$18,$M1805+1)/12)*12*D1805</f>
        <v>0</v>
      </c>
      <c r="K1805" s="711"/>
      <c r="M1805" s="62">
        <f t="shared" si="144"/>
        <v>3</v>
      </c>
    </row>
    <row r="1806" spans="1:13">
      <c r="A1806" s="88">
        <f>+A1805+1</f>
        <v>53</v>
      </c>
      <c r="B1806" s="69" t="s">
        <v>3794</v>
      </c>
      <c r="C1806" s="69">
        <v>8</v>
      </c>
      <c r="D1806" s="89">
        <v>0</v>
      </c>
      <c r="E1806" s="89">
        <v>2</v>
      </c>
      <c r="F1806" s="89">
        <v>2</v>
      </c>
      <c r="G1806" s="89">
        <v>2</v>
      </c>
      <c r="H1806" s="89">
        <v>2</v>
      </c>
      <c r="I1806" s="89">
        <v>0</v>
      </c>
      <c r="J1806" s="710">
        <f>(VLOOKUP($C1806,[2]Sheet1!$A$2:$P$18,$M1806+1)/12)*12*D1806</f>
        <v>0</v>
      </c>
      <c r="K1806" s="711"/>
      <c r="M1806" s="62">
        <f t="shared" si="144"/>
        <v>3</v>
      </c>
    </row>
    <row r="1807" spans="1:13">
      <c r="A1807" s="88">
        <f>+A1806+1</f>
        <v>54</v>
      </c>
      <c r="B1807" s="69" t="s">
        <v>3795</v>
      </c>
      <c r="C1807" s="69">
        <v>7</v>
      </c>
      <c r="D1807" s="89">
        <v>0</v>
      </c>
      <c r="E1807" s="89">
        <v>2</v>
      </c>
      <c r="F1807" s="89">
        <v>2</v>
      </c>
      <c r="G1807" s="89">
        <v>2</v>
      </c>
      <c r="H1807" s="89">
        <v>2</v>
      </c>
      <c r="I1807" s="89">
        <v>0</v>
      </c>
      <c r="J1807" s="710">
        <f>(VLOOKUP($C1807,[2]Sheet1!$A$2:$P$18,$M1807+1)/12)*12*D1807</f>
        <v>0</v>
      </c>
      <c r="K1807" s="711"/>
      <c r="M1807" s="62">
        <f t="shared" si="144"/>
        <v>3</v>
      </c>
    </row>
    <row r="1808" spans="1:13">
      <c r="A1808" s="88">
        <f>+A1807+1</f>
        <v>55</v>
      </c>
      <c r="B1808" s="69" t="s">
        <v>1511</v>
      </c>
      <c r="C1808" s="69">
        <v>6</v>
      </c>
      <c r="D1808" s="89">
        <v>0</v>
      </c>
      <c r="E1808" s="89">
        <v>2</v>
      </c>
      <c r="F1808" s="89">
        <v>2</v>
      </c>
      <c r="G1808" s="89">
        <v>2</v>
      </c>
      <c r="H1808" s="89">
        <v>2</v>
      </c>
      <c r="I1808" s="89">
        <v>0</v>
      </c>
      <c r="J1808" s="710">
        <f>(VLOOKUP($C1808,[2]Sheet1!$A$2:$P$18,$M1808+1)/12)*12*D1808</f>
        <v>0</v>
      </c>
      <c r="K1808" s="711"/>
      <c r="M1808" s="62">
        <f t="shared" si="144"/>
        <v>5</v>
      </c>
    </row>
    <row r="1809" spans="1:13">
      <c r="A1809" s="88"/>
      <c r="B1809" s="90" t="s">
        <v>1509</v>
      </c>
      <c r="C1809" s="69"/>
      <c r="D1809" s="89"/>
      <c r="E1809" s="89"/>
      <c r="F1809" s="89"/>
      <c r="G1809" s="89"/>
      <c r="H1809" s="89"/>
      <c r="I1809" s="89"/>
      <c r="J1809" s="710"/>
      <c r="K1809" s="711"/>
      <c r="M1809" s="62">
        <f t="shared" si="144"/>
        <v>5</v>
      </c>
    </row>
    <row r="1810" spans="1:13">
      <c r="A1810" s="88">
        <f>+A1808+1</f>
        <v>56</v>
      </c>
      <c r="B1810" s="69" t="s">
        <v>2333</v>
      </c>
      <c r="C1810" s="69">
        <v>16</v>
      </c>
      <c r="D1810" s="89">
        <v>1</v>
      </c>
      <c r="E1810" s="89">
        <v>1</v>
      </c>
      <c r="F1810" s="89">
        <v>1</v>
      </c>
      <c r="G1810" s="89">
        <v>1</v>
      </c>
      <c r="H1810" s="89">
        <v>1</v>
      </c>
      <c r="I1810" s="89">
        <v>1</v>
      </c>
      <c r="J1810" s="710">
        <f>(VLOOKUP($C1810,[2]Sheet1!$A$2:$P$18,$M1810+1)/12)*12*D1810</f>
        <v>677281.26084</v>
      </c>
      <c r="K1810" s="711"/>
      <c r="M1810" s="62">
        <f t="shared" si="144"/>
        <v>3</v>
      </c>
    </row>
    <row r="1811" spans="1:13">
      <c r="A1811" s="88">
        <f t="shared" si="143"/>
        <v>57</v>
      </c>
      <c r="B1811" s="69" t="s">
        <v>1510</v>
      </c>
      <c r="C1811" s="69">
        <v>12</v>
      </c>
      <c r="D1811" s="89">
        <v>1</v>
      </c>
      <c r="E1811" s="89">
        <v>1</v>
      </c>
      <c r="F1811" s="89">
        <v>1</v>
      </c>
      <c r="G1811" s="89">
        <v>1</v>
      </c>
      <c r="H1811" s="89">
        <v>1</v>
      </c>
      <c r="I1811" s="89">
        <v>1</v>
      </c>
      <c r="J1811" s="710">
        <f>(VLOOKUP($C1811,[2]Sheet1!$A$2:$P$18,$M1811+1)/12)*12*D1811</f>
        <v>552685.0537200002</v>
      </c>
      <c r="K1811" s="711"/>
      <c r="M1811" s="62">
        <f t="shared" si="144"/>
        <v>3</v>
      </c>
    </row>
    <row r="1812" spans="1:13">
      <c r="A1812" s="88">
        <f t="shared" ref="A1812:A1823" si="145">+A1811+1</f>
        <v>58</v>
      </c>
      <c r="B1812" s="69" t="s">
        <v>3495</v>
      </c>
      <c r="C1812" s="69">
        <v>10</v>
      </c>
      <c r="D1812" s="89">
        <v>0</v>
      </c>
      <c r="E1812" s="89">
        <v>0</v>
      </c>
      <c r="F1812" s="89">
        <v>0</v>
      </c>
      <c r="G1812" s="89">
        <v>0</v>
      </c>
      <c r="H1812" s="89">
        <v>0</v>
      </c>
      <c r="I1812" s="89">
        <v>0</v>
      </c>
      <c r="J1812" s="710">
        <f>(VLOOKUP($C1812,[2]Sheet1!$A$2:$P$18,$M1812+1)/12)*12*D1812</f>
        <v>0</v>
      </c>
      <c r="K1812" s="711"/>
      <c r="M1812" s="62">
        <f t="shared" si="144"/>
        <v>3</v>
      </c>
    </row>
    <row r="1813" spans="1:13">
      <c r="A1813" s="88">
        <f t="shared" si="145"/>
        <v>59</v>
      </c>
      <c r="B1813" s="69" t="s">
        <v>3496</v>
      </c>
      <c r="C1813" s="69">
        <v>9</v>
      </c>
      <c r="D1813" s="89">
        <v>0</v>
      </c>
      <c r="E1813" s="89">
        <v>0</v>
      </c>
      <c r="F1813" s="89">
        <v>0</v>
      </c>
      <c r="G1813" s="89">
        <v>0</v>
      </c>
      <c r="H1813" s="89">
        <v>0</v>
      </c>
      <c r="I1813" s="89">
        <v>0</v>
      </c>
      <c r="J1813" s="710">
        <f>(VLOOKUP($C1813,[2]Sheet1!$A$2:$P$18,$M1813+1)/12)*12*D1813</f>
        <v>0</v>
      </c>
      <c r="K1813" s="711"/>
      <c r="M1813" s="62">
        <f t="shared" si="144"/>
        <v>3</v>
      </c>
    </row>
    <row r="1814" spans="1:13">
      <c r="A1814" s="88">
        <f t="shared" si="145"/>
        <v>60</v>
      </c>
      <c r="B1814" s="69" t="s">
        <v>2907</v>
      </c>
      <c r="C1814" s="69">
        <v>4</v>
      </c>
      <c r="D1814" s="89"/>
      <c r="E1814" s="89">
        <v>0</v>
      </c>
      <c r="F1814" s="89"/>
      <c r="G1814" s="89"/>
      <c r="H1814" s="89">
        <v>0</v>
      </c>
      <c r="I1814" s="89"/>
      <c r="J1814" s="710">
        <f>(VLOOKUP($C1814,[2]Sheet1!$A$2:$P$18,$M1814+1)/12)*12*D1814</f>
        <v>0</v>
      </c>
      <c r="K1814" s="711"/>
      <c r="M1814" s="62">
        <f t="shared" si="144"/>
        <v>5</v>
      </c>
    </row>
    <row r="1815" spans="1:13">
      <c r="A1815" s="88">
        <f t="shared" si="145"/>
        <v>61</v>
      </c>
      <c r="B1815" s="69" t="s">
        <v>3285</v>
      </c>
      <c r="C1815" s="69">
        <v>4</v>
      </c>
      <c r="D1815" s="89">
        <v>0</v>
      </c>
      <c r="E1815" s="89">
        <v>0</v>
      </c>
      <c r="F1815" s="89">
        <v>0</v>
      </c>
      <c r="G1815" s="89">
        <v>0</v>
      </c>
      <c r="H1815" s="89">
        <v>0</v>
      </c>
      <c r="I1815" s="89">
        <v>0</v>
      </c>
      <c r="J1815" s="710">
        <f>(VLOOKUP($C1815,[2]Sheet1!$A$2:$P$18,$M1815+1)/12)*12*D1815</f>
        <v>0</v>
      </c>
      <c r="K1815" s="711"/>
      <c r="M1815" s="62">
        <f t="shared" si="144"/>
        <v>5</v>
      </c>
    </row>
    <row r="1816" spans="1:13">
      <c r="A1816" s="88">
        <f t="shared" si="145"/>
        <v>62</v>
      </c>
      <c r="B1816" s="69" t="s">
        <v>3286</v>
      </c>
      <c r="C1816" s="69">
        <v>10</v>
      </c>
      <c r="D1816" s="89">
        <v>0</v>
      </c>
      <c r="E1816" s="89">
        <v>0</v>
      </c>
      <c r="F1816" s="89">
        <v>0</v>
      </c>
      <c r="G1816" s="89">
        <v>0</v>
      </c>
      <c r="H1816" s="89">
        <v>0</v>
      </c>
      <c r="I1816" s="89">
        <v>0</v>
      </c>
      <c r="J1816" s="710">
        <f>(VLOOKUP($C1816,[2]Sheet1!$A$2:$P$18,$M1816+1)/12)*12*D1816</f>
        <v>0</v>
      </c>
      <c r="K1816" s="711"/>
      <c r="M1816" s="62">
        <f t="shared" si="144"/>
        <v>3</v>
      </c>
    </row>
    <row r="1817" spans="1:13">
      <c r="A1817" s="88">
        <f t="shared" si="145"/>
        <v>63</v>
      </c>
      <c r="B1817" s="69" t="s">
        <v>3793</v>
      </c>
      <c r="C1817" s="69">
        <v>8</v>
      </c>
      <c r="D1817" s="89">
        <v>0</v>
      </c>
      <c r="E1817" s="89">
        <v>0</v>
      </c>
      <c r="F1817" s="89">
        <v>0</v>
      </c>
      <c r="G1817" s="89">
        <v>0</v>
      </c>
      <c r="H1817" s="89">
        <v>0</v>
      </c>
      <c r="I1817" s="89">
        <v>0</v>
      </c>
      <c r="J1817" s="710">
        <f>(VLOOKUP($C1817,[2]Sheet1!$A$2:$P$18,$M1817+1)/12)*12*D1817</f>
        <v>0</v>
      </c>
      <c r="K1817" s="711"/>
      <c r="M1817" s="62">
        <f t="shared" si="144"/>
        <v>3</v>
      </c>
    </row>
    <row r="1818" spans="1:13">
      <c r="A1818" s="88">
        <f t="shared" si="145"/>
        <v>64</v>
      </c>
      <c r="B1818" s="69" t="s">
        <v>3796</v>
      </c>
      <c r="C1818" s="69">
        <v>4</v>
      </c>
      <c r="D1818" s="89">
        <v>0</v>
      </c>
      <c r="E1818" s="89">
        <v>0</v>
      </c>
      <c r="F1818" s="89">
        <v>0</v>
      </c>
      <c r="G1818" s="89">
        <v>0</v>
      </c>
      <c r="H1818" s="89">
        <v>0</v>
      </c>
      <c r="I1818" s="89">
        <v>0</v>
      </c>
      <c r="J1818" s="710">
        <f>(VLOOKUP($C1818,[2]Sheet1!$A$2:$P$18,$M1818+1)/12)*12*D1818</f>
        <v>0</v>
      </c>
      <c r="K1818" s="711"/>
      <c r="M1818" s="62">
        <f t="shared" si="144"/>
        <v>5</v>
      </c>
    </row>
    <row r="1819" spans="1:13">
      <c r="A1819" s="88"/>
      <c r="B1819" s="90" t="s">
        <v>3287</v>
      </c>
      <c r="C1819" s="69"/>
      <c r="D1819" s="89"/>
      <c r="E1819" s="89"/>
      <c r="F1819" s="89"/>
      <c r="G1819" s="89"/>
      <c r="H1819" s="89"/>
      <c r="I1819" s="89"/>
      <c r="J1819" s="710"/>
      <c r="K1819" s="711"/>
      <c r="M1819" s="62">
        <f t="shared" si="144"/>
        <v>5</v>
      </c>
    </row>
    <row r="1820" spans="1:13">
      <c r="A1820" s="88">
        <f>+A1818+1</f>
        <v>65</v>
      </c>
      <c r="B1820" s="69" t="s">
        <v>3238</v>
      </c>
      <c r="C1820" s="69">
        <v>16</v>
      </c>
      <c r="D1820" s="89">
        <v>0</v>
      </c>
      <c r="E1820" s="89">
        <v>0</v>
      </c>
      <c r="F1820" s="89">
        <v>0</v>
      </c>
      <c r="G1820" s="89">
        <v>0</v>
      </c>
      <c r="H1820" s="89">
        <v>0</v>
      </c>
      <c r="I1820" s="89">
        <v>0</v>
      </c>
      <c r="J1820" s="710">
        <f>(VLOOKUP($C1820,[2]Sheet1!$A$2:$P$18,$M1820+1)/12)*12*D1820</f>
        <v>0</v>
      </c>
      <c r="K1820" s="711"/>
      <c r="M1820" s="62">
        <f t="shared" si="144"/>
        <v>3</v>
      </c>
    </row>
    <row r="1821" spans="1:13">
      <c r="A1821" s="88">
        <f t="shared" si="145"/>
        <v>66</v>
      </c>
      <c r="B1821" s="69" t="s">
        <v>3239</v>
      </c>
      <c r="C1821" s="69">
        <v>12</v>
      </c>
      <c r="D1821" s="89">
        <v>1</v>
      </c>
      <c r="E1821" s="89">
        <v>2</v>
      </c>
      <c r="F1821" s="89">
        <v>1</v>
      </c>
      <c r="G1821" s="89">
        <v>1</v>
      </c>
      <c r="H1821" s="89">
        <v>1</v>
      </c>
      <c r="I1821" s="89">
        <v>1</v>
      </c>
      <c r="J1821" s="710">
        <f>(VLOOKUP($C1821,[2]Sheet1!$A$2:$P$18,$M1821+1)/12)*12*D1821</f>
        <v>552685.0537200002</v>
      </c>
      <c r="K1821" s="711"/>
      <c r="M1821" s="62">
        <f t="shared" si="144"/>
        <v>3</v>
      </c>
    </row>
    <row r="1822" spans="1:13">
      <c r="A1822" s="88">
        <f t="shared" si="145"/>
        <v>67</v>
      </c>
      <c r="B1822" s="69" t="s">
        <v>3496</v>
      </c>
      <c r="C1822" s="69">
        <v>10</v>
      </c>
      <c r="D1822" s="89">
        <v>1</v>
      </c>
      <c r="E1822" s="89">
        <v>1</v>
      </c>
      <c r="F1822" s="89">
        <v>1</v>
      </c>
      <c r="G1822" s="89">
        <v>1</v>
      </c>
      <c r="H1822" s="89">
        <v>1</v>
      </c>
      <c r="I1822" s="89">
        <v>1</v>
      </c>
      <c r="J1822" s="710">
        <f>(VLOOKUP($C1822,[2]Sheet1!$A$2:$P$18,$M1822+1)/12)*12*D1822</f>
        <v>483974.5687200001</v>
      </c>
      <c r="K1822" s="711"/>
      <c r="M1822" s="62">
        <f t="shared" si="144"/>
        <v>3</v>
      </c>
    </row>
    <row r="1823" spans="1:13">
      <c r="A1823" s="88">
        <f t="shared" si="145"/>
        <v>68</v>
      </c>
      <c r="B1823" s="69" t="s">
        <v>3662</v>
      </c>
      <c r="C1823" s="69">
        <v>9</v>
      </c>
      <c r="D1823" s="89">
        <v>0</v>
      </c>
      <c r="E1823" s="89">
        <v>0</v>
      </c>
      <c r="F1823" s="89">
        <v>0</v>
      </c>
      <c r="G1823" s="89">
        <v>0</v>
      </c>
      <c r="H1823" s="89">
        <v>0</v>
      </c>
      <c r="I1823" s="89">
        <v>0</v>
      </c>
      <c r="J1823" s="710">
        <f>(VLOOKUP($C1823,[2]Sheet1!$A$2:$P$18,$M1823+1)/12)*12*D1823</f>
        <v>0</v>
      </c>
      <c r="K1823" s="711"/>
      <c r="M1823" s="62">
        <f t="shared" si="144"/>
        <v>3</v>
      </c>
    </row>
    <row r="1824" spans="1:13">
      <c r="A1824" s="92"/>
      <c r="B1824" s="93" t="s">
        <v>1684</v>
      </c>
      <c r="C1824" s="94"/>
      <c r="D1824" s="123">
        <f t="shared" ref="D1824:J1824" si="146">SUM(D1744:D1823)</f>
        <v>61</v>
      </c>
      <c r="E1824" s="123">
        <f t="shared" si="146"/>
        <v>94</v>
      </c>
      <c r="F1824" s="123">
        <f t="shared" si="146"/>
        <v>87</v>
      </c>
      <c r="G1824" s="123">
        <f>SUM(G1744:G1823)</f>
        <v>87</v>
      </c>
      <c r="H1824" s="123">
        <f t="shared" si="146"/>
        <v>93</v>
      </c>
      <c r="I1824" s="123">
        <f t="shared" si="146"/>
        <v>61</v>
      </c>
      <c r="J1824" s="124">
        <f t="shared" si="146"/>
        <v>19026106.009724241</v>
      </c>
      <c r="K1824" s="376"/>
      <c r="M1824" s="62">
        <f t="shared" si="144"/>
        <v>5</v>
      </c>
    </row>
    <row r="1825" spans="1:13">
      <c r="A1825" s="88"/>
      <c r="B1825" s="90" t="s">
        <v>1199</v>
      </c>
      <c r="C1825" s="97"/>
      <c r="D1825" s="98"/>
      <c r="E1825" s="98"/>
      <c r="F1825" s="125"/>
      <c r="G1825" s="240" t="s">
        <v>243</v>
      </c>
      <c r="H1825" s="240" t="s">
        <v>4130</v>
      </c>
      <c r="I1825" s="240" t="s">
        <v>4202</v>
      </c>
      <c r="J1825" s="241" t="s">
        <v>4200</v>
      </c>
      <c r="K1825" s="375"/>
      <c r="M1825" s="62">
        <f t="shared" si="144"/>
        <v>5</v>
      </c>
    </row>
    <row r="1826" spans="1:13">
      <c r="A1826" s="88"/>
      <c r="B1826" s="69" t="s">
        <v>2786</v>
      </c>
      <c r="C1826" s="69"/>
      <c r="D1826" s="89"/>
      <c r="E1826" s="89"/>
      <c r="F1826" s="89"/>
      <c r="G1826" s="100">
        <f>J1824*0.2</f>
        <v>3805221.2019448485</v>
      </c>
      <c r="H1826" s="100">
        <f>G1826*1.02</f>
        <v>3881325.6259837458</v>
      </c>
      <c r="I1826" s="100">
        <f>H1826*1.02</f>
        <v>3958952.1385034206</v>
      </c>
      <c r="J1826" s="100">
        <f>SUM(G1826:I1826)</f>
        <v>11645498.966432014</v>
      </c>
      <c r="K1826" s="114"/>
      <c r="M1826" s="62">
        <f t="shared" si="144"/>
        <v>5</v>
      </c>
    </row>
    <row r="1827" spans="1:13">
      <c r="A1827" s="88"/>
      <c r="B1827" s="69" t="s">
        <v>1342</v>
      </c>
      <c r="C1827" s="69"/>
      <c r="D1827" s="89"/>
      <c r="E1827" s="89"/>
      <c r="F1827" s="89"/>
      <c r="G1827" s="100">
        <f>G1826/2</f>
        <v>1902610.6009724243</v>
      </c>
      <c r="H1827" s="100">
        <f>G1827*1.02</f>
        <v>1940662.8129918729</v>
      </c>
      <c r="I1827" s="100">
        <f>H1827*1.02</f>
        <v>1979476.0692517103</v>
      </c>
      <c r="J1827" s="100">
        <f>SUM(G1827:I1827)</f>
        <v>5822749.4832160072</v>
      </c>
      <c r="K1827" s="114"/>
      <c r="M1827" s="62">
        <f t="shared" si="144"/>
        <v>5</v>
      </c>
    </row>
    <row r="1828" spans="1:13">
      <c r="A1828" s="92"/>
      <c r="B1828" s="93" t="s">
        <v>1933</v>
      </c>
      <c r="C1828" s="94"/>
      <c r="D1828" s="101"/>
      <c r="E1828" s="101"/>
      <c r="F1828" s="95"/>
      <c r="G1828" s="95">
        <f>SUM(G1826:G1827)</f>
        <v>5707831.8029172728</v>
      </c>
      <c r="H1828" s="95">
        <f>SUM(H1826:H1827)</f>
        <v>5821988.4389756192</v>
      </c>
      <c r="I1828" s="95">
        <f>SUM(I1826:I1827)</f>
        <v>5938428.2077551307</v>
      </c>
      <c r="J1828" s="95">
        <f>SUM(J1826:J1827)</f>
        <v>17468248.449648023</v>
      </c>
      <c r="K1828" s="378"/>
      <c r="M1828" s="62">
        <f t="shared" ref="M1828:M1886" si="147">IF(C1828&gt;6,3,5)</f>
        <v>5</v>
      </c>
    </row>
    <row r="1829" spans="1:13">
      <c r="A1829" s="88">
        <v>1</v>
      </c>
      <c r="B1829" s="69" t="s">
        <v>1934</v>
      </c>
      <c r="C1829" s="69"/>
      <c r="D1829" s="89"/>
      <c r="E1829" s="89"/>
      <c r="F1829" s="89"/>
      <c r="G1829" s="100">
        <f>G1828+J1824</f>
        <v>24733937.812641513</v>
      </c>
      <c r="H1829" s="100">
        <f>G1829*1.02</f>
        <v>25228616.568894342</v>
      </c>
      <c r="I1829" s="100">
        <f>H1829*1.02</f>
        <v>25733188.900272228</v>
      </c>
      <c r="J1829" s="100">
        <f>SUM(G1829:I1829)</f>
        <v>75695743.281808078</v>
      </c>
      <c r="K1829" s="114"/>
      <c r="L1829" s="112"/>
      <c r="M1829" s="62">
        <f t="shared" si="147"/>
        <v>5</v>
      </c>
    </row>
    <row r="1830" spans="1:13">
      <c r="A1830" s="88">
        <f>+A1829+1</f>
        <v>2</v>
      </c>
      <c r="B1830" s="69" t="s">
        <v>129</v>
      </c>
      <c r="C1830" s="69"/>
      <c r="D1830" s="89"/>
      <c r="E1830" s="89"/>
      <c r="F1830" s="89"/>
      <c r="G1830" s="89">
        <f>C1863</f>
        <v>306700000</v>
      </c>
      <c r="H1830" s="89">
        <f>D1863</f>
        <v>84750000</v>
      </c>
      <c r="I1830" s="89">
        <f>E1863</f>
        <v>84750000</v>
      </c>
      <c r="J1830" s="100">
        <f>SUM(G1830:I1830)</f>
        <v>476200000</v>
      </c>
      <c r="K1830" s="114"/>
      <c r="M1830" s="62">
        <f t="shared" si="147"/>
        <v>5</v>
      </c>
    </row>
    <row r="1831" spans="1:13" ht="13.5" thickBot="1">
      <c r="A1831" s="102"/>
      <c r="B1831" s="103" t="s">
        <v>2241</v>
      </c>
      <c r="C1831" s="104"/>
      <c r="D1831" s="105"/>
      <c r="E1831" s="105"/>
      <c r="F1831" s="129"/>
      <c r="G1831" s="129">
        <f>+G1830+G1829</f>
        <v>331433937.8126415</v>
      </c>
      <c r="H1831" s="129">
        <f>+H1830+H1829</f>
        <v>109978616.56889434</v>
      </c>
      <c r="I1831" s="129">
        <f>+I1830+I1829</f>
        <v>110483188.90027222</v>
      </c>
      <c r="J1831" s="129">
        <f>+J1830+J1829</f>
        <v>551895743.28180814</v>
      </c>
      <c r="K1831" s="378"/>
      <c r="M1831" s="62">
        <f t="shared" si="147"/>
        <v>5</v>
      </c>
    </row>
    <row r="1832" spans="1:13" ht="13.5" thickTop="1">
      <c r="C1832" s="77"/>
      <c r="D1832" s="78" t="s">
        <v>5434</v>
      </c>
      <c r="J1832" s="76"/>
      <c r="K1832" s="76"/>
      <c r="M1832" s="62">
        <f t="shared" si="147"/>
        <v>5</v>
      </c>
    </row>
    <row r="1833" spans="1:13" ht="15">
      <c r="C1833" s="77"/>
      <c r="D1833" s="78" t="s">
        <v>716</v>
      </c>
      <c r="J1833" s="584"/>
      <c r="K1833" s="584"/>
      <c r="M1833" s="62">
        <f t="shared" si="147"/>
        <v>5</v>
      </c>
    </row>
    <row r="1834" spans="1:13" ht="15">
      <c r="C1834" s="79" t="s">
        <v>717</v>
      </c>
      <c r="D1834" s="78" t="s">
        <v>2303</v>
      </c>
      <c r="J1834" s="584"/>
      <c r="K1834" s="584"/>
      <c r="M1834" s="62">
        <f t="shared" si="147"/>
        <v>3</v>
      </c>
    </row>
    <row r="1835" spans="1:13" ht="15">
      <c r="C1835" s="79" t="s">
        <v>718</v>
      </c>
      <c r="D1835" s="78" t="s">
        <v>1064</v>
      </c>
      <c r="J1835" s="584"/>
      <c r="K1835" s="584"/>
      <c r="M1835" s="62">
        <f t="shared" si="147"/>
        <v>3</v>
      </c>
    </row>
    <row r="1836" spans="1:13" ht="15">
      <c r="A1836" s="634" t="s">
        <v>1839</v>
      </c>
      <c r="B1836" s="635" t="s">
        <v>903</v>
      </c>
      <c r="C1836" s="1037" t="s">
        <v>4127</v>
      </c>
      <c r="D1836" s="1038"/>
      <c r="E1836" s="1039"/>
      <c r="F1836" s="635" t="s">
        <v>1684</v>
      </c>
      <c r="G1836" s="1037" t="s">
        <v>4132</v>
      </c>
      <c r="H1836" s="1038"/>
      <c r="I1836" s="1039"/>
      <c r="J1836" s="726"/>
      <c r="K1836" s="727"/>
    </row>
    <row r="1837" spans="1:13">
      <c r="A1837" s="636" t="s">
        <v>1620</v>
      </c>
      <c r="B1837" s="637"/>
      <c r="C1837" s="635" t="s">
        <v>1841</v>
      </c>
      <c r="D1837" s="635" t="s">
        <v>4133</v>
      </c>
      <c r="E1837" s="635" t="s">
        <v>4133</v>
      </c>
      <c r="F1837" s="1056" t="s">
        <v>4200</v>
      </c>
      <c r="G1837" s="634" t="s">
        <v>4135</v>
      </c>
      <c r="H1837" s="1051" t="s">
        <v>4182</v>
      </c>
      <c r="I1837" s="634" t="s">
        <v>4135</v>
      </c>
      <c r="J1837" s="728" t="s">
        <v>4136</v>
      </c>
      <c r="K1837" s="727"/>
    </row>
    <row r="1838" spans="1:13" ht="12.75" customHeight="1">
      <c r="A1838" s="638" t="s">
        <v>387</v>
      </c>
      <c r="B1838" s="639"/>
      <c r="C1838" s="638">
        <v>2015</v>
      </c>
      <c r="D1838" s="638">
        <v>2016</v>
      </c>
      <c r="E1838" s="638">
        <v>2017</v>
      </c>
      <c r="F1838" s="1057"/>
      <c r="G1838" s="638" t="s">
        <v>4304</v>
      </c>
      <c r="H1838" s="1052"/>
      <c r="I1838" s="638" t="s">
        <v>4303</v>
      </c>
      <c r="J1838" s="639"/>
      <c r="K1838" s="729"/>
    </row>
    <row r="1839" spans="1:13">
      <c r="A1839" s="768">
        <v>2</v>
      </c>
      <c r="B1839" s="773" t="s">
        <v>1695</v>
      </c>
      <c r="C1839" s="390">
        <v>2000000</v>
      </c>
      <c r="D1839" s="390">
        <v>3000000</v>
      </c>
      <c r="E1839" s="390">
        <v>3000000</v>
      </c>
      <c r="F1839" s="390">
        <f>SUM(C1839:E1839)</f>
        <v>8000000</v>
      </c>
      <c r="G1839" s="390">
        <v>1090000</v>
      </c>
      <c r="H1839" s="390">
        <v>3000000</v>
      </c>
      <c r="I1839" s="390">
        <v>540000</v>
      </c>
      <c r="J1839" s="390"/>
      <c r="K1839" s="734"/>
      <c r="M1839" s="62" t="e">
        <f>IF(#REF!&gt;6,3,5)</f>
        <v>#REF!</v>
      </c>
    </row>
    <row r="1840" spans="1:13">
      <c r="A1840" s="768">
        <f t="shared" ref="A1840:A1861" si="148">+A1839+1</f>
        <v>3</v>
      </c>
      <c r="B1840" s="773" t="s">
        <v>1696</v>
      </c>
      <c r="C1840" s="390" t="s">
        <v>3007</v>
      </c>
      <c r="D1840" s="390" t="s">
        <v>3007</v>
      </c>
      <c r="E1840" s="390" t="s">
        <v>3007</v>
      </c>
      <c r="F1840" s="390">
        <f t="shared" ref="F1840:F1861" si="149">SUM(C1840:E1840)</f>
        <v>0</v>
      </c>
      <c r="G1840" s="390"/>
      <c r="H1840" s="390" t="s">
        <v>3007</v>
      </c>
      <c r="I1840" s="390"/>
      <c r="J1840" s="390"/>
      <c r="K1840" s="734"/>
      <c r="M1840" s="62" t="e">
        <f>IF(#REF!&gt;6,3,5)</f>
        <v>#REF!</v>
      </c>
    </row>
    <row r="1841" spans="1:13" ht="16.5" customHeight="1">
      <c r="A1841" s="768">
        <f t="shared" si="148"/>
        <v>4</v>
      </c>
      <c r="B1841" s="773" t="s">
        <v>1701</v>
      </c>
      <c r="C1841" s="390" t="s">
        <v>3007</v>
      </c>
      <c r="D1841" s="390" t="s">
        <v>3007</v>
      </c>
      <c r="E1841" s="390" t="s">
        <v>3007</v>
      </c>
      <c r="F1841" s="390">
        <f t="shared" si="149"/>
        <v>0</v>
      </c>
      <c r="G1841" s="390"/>
      <c r="H1841" s="390" t="s">
        <v>3007</v>
      </c>
      <c r="I1841" s="390"/>
      <c r="J1841" s="390"/>
      <c r="K1841" s="734"/>
      <c r="M1841" s="62" t="e">
        <f>IF(#REF!&gt;6,3,5)</f>
        <v>#REF!</v>
      </c>
    </row>
    <row r="1842" spans="1:13" ht="18.75" customHeight="1">
      <c r="A1842" s="768">
        <f t="shared" si="148"/>
        <v>5</v>
      </c>
      <c r="B1842" s="773" t="s">
        <v>1702</v>
      </c>
      <c r="C1842" s="390">
        <v>500000</v>
      </c>
      <c r="D1842" s="390">
        <v>500000</v>
      </c>
      <c r="E1842" s="390">
        <v>500000</v>
      </c>
      <c r="F1842" s="390">
        <f t="shared" si="149"/>
        <v>1500000</v>
      </c>
      <c r="G1842" s="390">
        <v>270000</v>
      </c>
      <c r="H1842" s="390">
        <v>500000</v>
      </c>
      <c r="I1842" s="390">
        <v>92500</v>
      </c>
      <c r="J1842" s="390"/>
      <c r="K1842" s="734"/>
      <c r="M1842" s="62" t="e">
        <f>IF(#REF!&gt;6,3,5)</f>
        <v>#REF!</v>
      </c>
    </row>
    <row r="1843" spans="1:13" ht="26.25" customHeight="1">
      <c r="A1843" s="768">
        <f t="shared" si="148"/>
        <v>6</v>
      </c>
      <c r="B1843" s="773" t="s">
        <v>1544</v>
      </c>
      <c r="C1843" s="390">
        <v>500000</v>
      </c>
      <c r="D1843" s="390">
        <v>250000</v>
      </c>
      <c r="E1843" s="390">
        <v>250000</v>
      </c>
      <c r="F1843" s="390">
        <f t="shared" si="149"/>
        <v>1000000</v>
      </c>
      <c r="G1843" s="390">
        <v>450000</v>
      </c>
      <c r="H1843" s="390">
        <v>250000</v>
      </c>
      <c r="I1843" s="390">
        <v>398500</v>
      </c>
      <c r="J1843" s="390"/>
      <c r="K1843" s="734"/>
      <c r="M1843" s="62" t="e">
        <f>IF(#REF!&gt;6,3,5)</f>
        <v>#REF!</v>
      </c>
    </row>
    <row r="1844" spans="1:13" ht="24" customHeight="1">
      <c r="A1844" s="768">
        <f t="shared" si="148"/>
        <v>7</v>
      </c>
      <c r="B1844" s="773" t="s">
        <v>897</v>
      </c>
      <c r="C1844" s="390">
        <v>1000000</v>
      </c>
      <c r="D1844" s="390">
        <v>500000</v>
      </c>
      <c r="E1844" s="390">
        <v>500000</v>
      </c>
      <c r="F1844" s="390">
        <f t="shared" si="149"/>
        <v>2000000</v>
      </c>
      <c r="G1844" s="390">
        <v>619800</v>
      </c>
      <c r="H1844" s="390">
        <v>500000</v>
      </c>
      <c r="I1844" s="390">
        <v>342000</v>
      </c>
      <c r="J1844" s="390"/>
      <c r="K1844" s="734"/>
      <c r="M1844" s="62" t="e">
        <f>IF(#REF!&gt;6,3,5)</f>
        <v>#REF!</v>
      </c>
    </row>
    <row r="1845" spans="1:13" ht="18" customHeight="1">
      <c r="A1845" s="768">
        <f t="shared" si="148"/>
        <v>8</v>
      </c>
      <c r="B1845" s="773" t="s">
        <v>1385</v>
      </c>
      <c r="C1845" s="390" t="s">
        <v>3007</v>
      </c>
      <c r="D1845" s="390" t="s">
        <v>3007</v>
      </c>
      <c r="E1845" s="390" t="s">
        <v>3007</v>
      </c>
      <c r="F1845" s="390">
        <f t="shared" si="149"/>
        <v>0</v>
      </c>
      <c r="G1845" s="390"/>
      <c r="H1845" s="390" t="s">
        <v>3007</v>
      </c>
      <c r="I1845" s="390"/>
      <c r="J1845" s="390"/>
      <c r="K1845" s="734"/>
      <c r="M1845" s="62" t="e">
        <f>IF(#REF!&gt;6,3,5)</f>
        <v>#REF!</v>
      </c>
    </row>
    <row r="1846" spans="1:13" ht="20.25" customHeight="1">
      <c r="A1846" s="768">
        <f t="shared" si="148"/>
        <v>9</v>
      </c>
      <c r="B1846" s="773" t="s">
        <v>2061</v>
      </c>
      <c r="C1846" s="390" t="s">
        <v>3007</v>
      </c>
      <c r="D1846" s="390" t="s">
        <v>3007</v>
      </c>
      <c r="E1846" s="390" t="s">
        <v>3007</v>
      </c>
      <c r="F1846" s="390">
        <f t="shared" si="149"/>
        <v>0</v>
      </c>
      <c r="G1846" s="390"/>
      <c r="H1846" s="390" t="s">
        <v>3007</v>
      </c>
      <c r="I1846" s="390"/>
      <c r="J1846" s="390"/>
      <c r="K1846" s="734"/>
      <c r="M1846" s="62" t="e">
        <f>IF(#REF!&gt;6,3,5)</f>
        <v>#REF!</v>
      </c>
    </row>
    <row r="1847" spans="1:13" ht="17.25" customHeight="1">
      <c r="A1847" s="768">
        <f t="shared" si="148"/>
        <v>10</v>
      </c>
      <c r="B1847" s="773" t="s">
        <v>1680</v>
      </c>
      <c r="C1847" s="390">
        <v>2000000</v>
      </c>
      <c r="D1847" s="390">
        <v>800000</v>
      </c>
      <c r="E1847" s="390">
        <v>800000</v>
      </c>
      <c r="F1847" s="390">
        <f t="shared" si="149"/>
        <v>3600000</v>
      </c>
      <c r="G1847" s="390">
        <v>450000</v>
      </c>
      <c r="H1847" s="390">
        <v>700000</v>
      </c>
      <c r="I1847" s="390">
        <v>0</v>
      </c>
      <c r="J1847" s="390"/>
      <c r="K1847" s="734"/>
      <c r="M1847" s="62" t="e">
        <f>IF(#REF!&gt;6,3,5)</f>
        <v>#REF!</v>
      </c>
    </row>
    <row r="1848" spans="1:13" ht="19.5" customHeight="1">
      <c r="A1848" s="768">
        <f t="shared" si="148"/>
        <v>11</v>
      </c>
      <c r="B1848" s="773" t="s">
        <v>1681</v>
      </c>
      <c r="C1848" s="390">
        <v>100000</v>
      </c>
      <c r="D1848" s="390">
        <v>100000</v>
      </c>
      <c r="E1848" s="390">
        <v>100000</v>
      </c>
      <c r="F1848" s="390">
        <f t="shared" si="149"/>
        <v>300000</v>
      </c>
      <c r="G1848" s="390">
        <v>50000</v>
      </c>
      <c r="H1848" s="390">
        <v>100000</v>
      </c>
      <c r="I1848" s="390">
        <v>40000</v>
      </c>
      <c r="J1848" s="390"/>
      <c r="K1848" s="734"/>
      <c r="M1848" s="62" t="e">
        <f>IF(#REF!&gt;6,3,5)</f>
        <v>#REF!</v>
      </c>
    </row>
    <row r="1849" spans="1:13">
      <c r="A1849" s="768">
        <f t="shared" si="148"/>
        <v>12</v>
      </c>
      <c r="B1849" s="773" t="s">
        <v>1682</v>
      </c>
      <c r="C1849" s="390">
        <v>3000000</v>
      </c>
      <c r="D1849" s="390">
        <v>1000000</v>
      </c>
      <c r="E1849" s="390">
        <v>1000000</v>
      </c>
      <c r="F1849" s="390">
        <f t="shared" si="149"/>
        <v>5000000</v>
      </c>
      <c r="G1849" s="390">
        <v>828208</v>
      </c>
      <c r="H1849" s="390">
        <v>2000000</v>
      </c>
      <c r="I1849" s="390">
        <v>297420</v>
      </c>
      <c r="J1849" s="390"/>
      <c r="K1849" s="734"/>
      <c r="M1849" s="62" t="e">
        <f>IF(#REF!&gt;6,3,5)</f>
        <v>#REF!</v>
      </c>
    </row>
    <row r="1850" spans="1:13">
      <c r="A1850" s="768">
        <f t="shared" si="148"/>
        <v>13</v>
      </c>
      <c r="B1850" s="773" t="s">
        <v>2249</v>
      </c>
      <c r="C1850" s="390">
        <v>100000</v>
      </c>
      <c r="D1850" s="390">
        <v>100000</v>
      </c>
      <c r="E1850" s="390">
        <v>100000</v>
      </c>
      <c r="F1850" s="390">
        <f t="shared" si="149"/>
        <v>300000</v>
      </c>
      <c r="G1850" s="390">
        <v>80000</v>
      </c>
      <c r="H1850" s="390">
        <v>100000</v>
      </c>
      <c r="I1850" s="390">
        <v>0</v>
      </c>
      <c r="J1850" s="390"/>
      <c r="K1850" s="734"/>
      <c r="M1850" s="62" t="e">
        <f>IF(#REF!&gt;6,3,5)</f>
        <v>#REF!</v>
      </c>
    </row>
    <row r="1851" spans="1:13">
      <c r="A1851" s="768">
        <f t="shared" si="148"/>
        <v>14</v>
      </c>
      <c r="B1851" s="773" t="s">
        <v>1336</v>
      </c>
      <c r="C1851" s="390">
        <v>1000000</v>
      </c>
      <c r="D1851" s="390">
        <v>500000</v>
      </c>
      <c r="E1851" s="390">
        <v>500000</v>
      </c>
      <c r="F1851" s="390">
        <f t="shared" si="149"/>
        <v>2000000</v>
      </c>
      <c r="G1851" s="390">
        <v>400000</v>
      </c>
      <c r="H1851" s="390">
        <v>400000</v>
      </c>
      <c r="I1851" s="390">
        <v>0</v>
      </c>
      <c r="J1851" s="390"/>
      <c r="K1851" s="734"/>
      <c r="M1851" s="62" t="e">
        <f>IF(#REF!&gt;6,3,5)</f>
        <v>#REF!</v>
      </c>
    </row>
    <row r="1852" spans="1:13" ht="26.25" customHeight="1">
      <c r="A1852" s="768">
        <f t="shared" si="148"/>
        <v>15</v>
      </c>
      <c r="B1852" s="773" t="s">
        <v>1218</v>
      </c>
      <c r="C1852" s="390" t="s">
        <v>3007</v>
      </c>
      <c r="D1852" s="390" t="s">
        <v>3007</v>
      </c>
      <c r="E1852" s="390" t="s">
        <v>3007</v>
      </c>
      <c r="F1852" s="390">
        <f t="shared" si="149"/>
        <v>0</v>
      </c>
      <c r="G1852" s="390"/>
      <c r="H1852" s="390" t="s">
        <v>3007</v>
      </c>
      <c r="I1852" s="390"/>
      <c r="J1852" s="390"/>
      <c r="K1852" s="734"/>
      <c r="M1852" s="62" t="e">
        <f>IF(#REF!&gt;6,3,5)</f>
        <v>#REF!</v>
      </c>
    </row>
    <row r="1853" spans="1:13">
      <c r="A1853" s="768">
        <f t="shared" si="148"/>
        <v>16</v>
      </c>
      <c r="B1853" s="773" t="s">
        <v>2933</v>
      </c>
      <c r="C1853" s="390">
        <v>5000000</v>
      </c>
      <c r="D1853" s="390">
        <v>1500000</v>
      </c>
      <c r="E1853" s="390">
        <v>1500000</v>
      </c>
      <c r="F1853" s="390">
        <f t="shared" si="149"/>
        <v>8000000</v>
      </c>
      <c r="G1853" s="390">
        <v>3500000</v>
      </c>
      <c r="H1853" s="390">
        <v>3000000</v>
      </c>
      <c r="I1853" s="390">
        <v>0</v>
      </c>
      <c r="J1853" s="390"/>
      <c r="K1853" s="734"/>
      <c r="M1853" s="62" t="e">
        <f>IF(#REF!&gt;6,3,5)</f>
        <v>#REF!</v>
      </c>
    </row>
    <row r="1854" spans="1:13">
      <c r="A1854" s="768">
        <f t="shared" si="148"/>
        <v>17</v>
      </c>
      <c r="B1854" s="773" t="s">
        <v>2934</v>
      </c>
      <c r="C1854" s="390" t="s">
        <v>3007</v>
      </c>
      <c r="D1854" s="390" t="s">
        <v>3007</v>
      </c>
      <c r="E1854" s="390" t="s">
        <v>3007</v>
      </c>
      <c r="F1854" s="390">
        <f t="shared" si="149"/>
        <v>0</v>
      </c>
      <c r="G1854" s="390">
        <f>12843750+1500000</f>
        <v>14343750</v>
      </c>
      <c r="H1854" s="390" t="s">
        <v>3007</v>
      </c>
      <c r="I1854" s="390">
        <v>0</v>
      </c>
      <c r="J1854" s="390"/>
      <c r="K1854" s="734"/>
      <c r="M1854" s="62" t="e">
        <f>IF(#REF!&gt;6,3,5)</f>
        <v>#REF!</v>
      </c>
    </row>
    <row r="1855" spans="1:13" ht="18.75" customHeight="1">
      <c r="A1855" s="768">
        <f t="shared" si="148"/>
        <v>18</v>
      </c>
      <c r="B1855" s="773" t="s">
        <v>2935</v>
      </c>
      <c r="C1855" s="390">
        <v>500000</v>
      </c>
      <c r="D1855" s="390">
        <v>500000</v>
      </c>
      <c r="E1855" s="390">
        <v>500000</v>
      </c>
      <c r="F1855" s="390">
        <f t="shared" si="149"/>
        <v>1500000</v>
      </c>
      <c r="G1855" s="390"/>
      <c r="H1855" s="390">
        <v>500000</v>
      </c>
      <c r="I1855" s="390"/>
      <c r="J1855" s="390"/>
      <c r="K1855" s="734"/>
      <c r="M1855" s="62" t="e">
        <f>IF(#REF!&gt;6,3,5)</f>
        <v>#REF!</v>
      </c>
    </row>
    <row r="1856" spans="1:13">
      <c r="A1856" s="768">
        <f t="shared" si="148"/>
        <v>19</v>
      </c>
      <c r="B1856" s="773" t="s">
        <v>2421</v>
      </c>
      <c r="C1856" s="390">
        <v>280000000</v>
      </c>
      <c r="D1856" s="390">
        <v>70000000</v>
      </c>
      <c r="E1856" s="390">
        <v>70000000</v>
      </c>
      <c r="F1856" s="390">
        <f t="shared" si="149"/>
        <v>420000000</v>
      </c>
      <c r="G1856" s="390">
        <v>156316000</v>
      </c>
      <c r="H1856" s="390">
        <v>282000000</v>
      </c>
      <c r="I1856" s="390">
        <f>274996200+6582000+36936000+8800000+300000+41036000-800000+5000000+900000+7500000+300000</f>
        <v>381550200</v>
      </c>
      <c r="J1856" s="390"/>
      <c r="K1856" s="734"/>
      <c r="M1856" s="62" t="e">
        <f>IF(#REF!&gt;6,3,5)</f>
        <v>#REF!</v>
      </c>
    </row>
    <row r="1857" spans="1:13">
      <c r="A1857" s="768">
        <f t="shared" si="148"/>
        <v>20</v>
      </c>
      <c r="B1857" s="773" t="s">
        <v>3781</v>
      </c>
      <c r="C1857" s="390">
        <v>1000000</v>
      </c>
      <c r="D1857" s="390">
        <v>2000000</v>
      </c>
      <c r="E1857" s="390">
        <v>2000000</v>
      </c>
      <c r="F1857" s="390">
        <f t="shared" si="149"/>
        <v>5000000</v>
      </c>
      <c r="G1857" s="390">
        <v>1200000</v>
      </c>
      <c r="H1857" s="390">
        <v>1000000</v>
      </c>
      <c r="I1857" s="390">
        <f>12000000+1000000</f>
        <v>13000000</v>
      </c>
      <c r="J1857" s="390"/>
      <c r="K1857" s="734"/>
      <c r="M1857" s="62" t="e">
        <f>IF(#REF!&gt;6,3,5)</f>
        <v>#REF!</v>
      </c>
    </row>
    <row r="1858" spans="1:13">
      <c r="A1858" s="768">
        <f t="shared" si="148"/>
        <v>21</v>
      </c>
      <c r="B1858" s="773" t="s">
        <v>1065</v>
      </c>
      <c r="C1858" s="390" t="s">
        <v>3007</v>
      </c>
      <c r="D1858" s="390" t="s">
        <v>3007</v>
      </c>
      <c r="E1858" s="390" t="s">
        <v>3007</v>
      </c>
      <c r="F1858" s="390">
        <f t="shared" si="149"/>
        <v>0</v>
      </c>
      <c r="G1858" s="390"/>
      <c r="H1858" s="390" t="s">
        <v>3007</v>
      </c>
      <c r="I1858" s="390"/>
      <c r="J1858" s="390"/>
      <c r="K1858" s="734"/>
      <c r="M1858" s="62" t="e">
        <f>IF(#REF!&gt;6,3,5)</f>
        <v>#REF!</v>
      </c>
    </row>
    <row r="1859" spans="1:13" ht="25.5" customHeight="1">
      <c r="A1859" s="768">
        <f t="shared" si="148"/>
        <v>22</v>
      </c>
      <c r="B1859" s="773" t="s">
        <v>1063</v>
      </c>
      <c r="C1859" s="390" t="s">
        <v>3007</v>
      </c>
      <c r="D1859" s="390" t="s">
        <v>3007</v>
      </c>
      <c r="E1859" s="390" t="s">
        <v>3007</v>
      </c>
      <c r="F1859" s="390">
        <f t="shared" si="149"/>
        <v>0</v>
      </c>
      <c r="G1859" s="390"/>
      <c r="H1859" s="390" t="s">
        <v>3007</v>
      </c>
      <c r="I1859" s="390"/>
      <c r="J1859" s="390"/>
      <c r="K1859" s="734"/>
      <c r="M1859" s="62" t="e">
        <f>IF(#REF!&gt;6,3,5)</f>
        <v>#REF!</v>
      </c>
    </row>
    <row r="1860" spans="1:13">
      <c r="A1860" s="768">
        <f t="shared" si="148"/>
        <v>23</v>
      </c>
      <c r="B1860" s="773" t="s">
        <v>1066</v>
      </c>
      <c r="C1860" s="390">
        <v>5000000</v>
      </c>
      <c r="D1860" s="390">
        <v>2000000</v>
      </c>
      <c r="E1860" s="390">
        <v>2000000</v>
      </c>
      <c r="F1860" s="390">
        <f t="shared" si="149"/>
        <v>9000000</v>
      </c>
      <c r="G1860" s="390">
        <v>2800000</v>
      </c>
      <c r="H1860" s="390">
        <v>5000000</v>
      </c>
      <c r="I1860" s="390">
        <f>400000</f>
        <v>400000</v>
      </c>
      <c r="J1860" s="390">
        <v>2800000</v>
      </c>
      <c r="K1860" s="734"/>
      <c r="M1860" s="62" t="e">
        <f>IF(#REF!&gt;6,3,5)</f>
        <v>#REF!</v>
      </c>
    </row>
    <row r="1861" spans="1:13">
      <c r="A1861" s="768">
        <f t="shared" si="148"/>
        <v>24</v>
      </c>
      <c r="B1861" s="773" t="s">
        <v>2513</v>
      </c>
      <c r="C1861" s="390">
        <v>5000000</v>
      </c>
      <c r="D1861" s="390">
        <v>2000000</v>
      </c>
      <c r="E1861" s="390">
        <v>2000000</v>
      </c>
      <c r="F1861" s="390">
        <f t="shared" si="149"/>
        <v>9000000</v>
      </c>
      <c r="G1861" s="390">
        <v>2800000</v>
      </c>
      <c r="H1861" s="390">
        <v>5000000</v>
      </c>
      <c r="I1861" s="390">
        <f>400000+400000</f>
        <v>800000</v>
      </c>
      <c r="J1861" s="390">
        <v>2800000</v>
      </c>
      <c r="K1861" s="734"/>
      <c r="M1861" s="62" t="e">
        <f>IF(#REF!&gt;6,3,5)</f>
        <v>#REF!</v>
      </c>
    </row>
    <row r="1862" spans="1:13">
      <c r="A1862" s="768"/>
      <c r="B1862" s="768"/>
      <c r="C1862" s="390"/>
      <c r="D1862" s="390"/>
      <c r="E1862" s="390"/>
      <c r="F1862" s="390"/>
      <c r="G1862" s="390"/>
      <c r="H1862" s="390"/>
      <c r="I1862" s="390"/>
      <c r="J1862" s="390"/>
      <c r="K1862" s="734"/>
      <c r="M1862" s="62" t="e">
        <f>IF(#REF!&gt;6,3,5)</f>
        <v>#REF!</v>
      </c>
    </row>
    <row r="1863" spans="1:13">
      <c r="A1863" s="777"/>
      <c r="B1863" s="777" t="s">
        <v>1684</v>
      </c>
      <c r="C1863" s="778">
        <f t="shared" ref="C1863:I1863" si="150">SUM(C1839:C1862)</f>
        <v>306700000</v>
      </c>
      <c r="D1863" s="778">
        <f t="shared" si="150"/>
        <v>84750000</v>
      </c>
      <c r="E1863" s="778">
        <f t="shared" si="150"/>
        <v>84750000</v>
      </c>
      <c r="F1863" s="778">
        <f t="shared" si="150"/>
        <v>476200000</v>
      </c>
      <c r="G1863" s="778">
        <f t="shared" si="150"/>
        <v>185197758</v>
      </c>
      <c r="H1863" s="778">
        <f t="shared" si="150"/>
        <v>304050000</v>
      </c>
      <c r="I1863" s="778">
        <f t="shared" si="150"/>
        <v>397460620</v>
      </c>
      <c r="J1863" s="778"/>
      <c r="K1863" s="779"/>
      <c r="M1863" s="62" t="e">
        <f>IF(#REF!&gt;6,3,5)</f>
        <v>#REF!</v>
      </c>
    </row>
    <row r="1864" spans="1:13" ht="15">
      <c r="C1864" s="77"/>
      <c r="D1864" s="78" t="s">
        <v>5434</v>
      </c>
      <c r="J1864" s="584"/>
      <c r="K1864" s="584"/>
      <c r="M1864" s="62">
        <f t="shared" si="147"/>
        <v>5</v>
      </c>
    </row>
    <row r="1865" spans="1:13" ht="15">
      <c r="C1865" s="77"/>
      <c r="D1865" s="78" t="s">
        <v>1693</v>
      </c>
      <c r="J1865" s="584"/>
      <c r="K1865" s="584"/>
      <c r="M1865" s="62">
        <f t="shared" si="147"/>
        <v>5</v>
      </c>
    </row>
    <row r="1866" spans="1:13" ht="15">
      <c r="C1866" s="79" t="s">
        <v>717</v>
      </c>
      <c r="D1866" s="78" t="s">
        <v>3236</v>
      </c>
      <c r="J1866" s="584"/>
      <c r="K1866" s="584"/>
      <c r="M1866" s="62">
        <f t="shared" si="147"/>
        <v>3</v>
      </c>
    </row>
    <row r="1867" spans="1:13" ht="15.75" thickBot="1">
      <c r="C1867" s="79" t="s">
        <v>718</v>
      </c>
      <c r="D1867" s="78" t="s">
        <v>2455</v>
      </c>
      <c r="J1867" s="584"/>
      <c r="K1867" s="584"/>
      <c r="M1867" s="62">
        <f t="shared" si="147"/>
        <v>3</v>
      </c>
    </row>
    <row r="1868" spans="1:13" ht="15.75" thickTop="1">
      <c r="A1868" s="1047" t="s">
        <v>2791</v>
      </c>
      <c r="B1868" s="1049" t="s">
        <v>4126</v>
      </c>
      <c r="C1868" s="1049" t="s">
        <v>854</v>
      </c>
      <c r="D1868" s="1040" t="s">
        <v>4127</v>
      </c>
      <c r="E1868" s="1041"/>
      <c r="F1868" s="1041"/>
      <c r="G1868" s="1040" t="s">
        <v>904</v>
      </c>
      <c r="H1868" s="1041"/>
      <c r="I1868" s="1042"/>
      <c r="J1868" s="1035" t="s">
        <v>855</v>
      </c>
      <c r="K1868" s="389"/>
    </row>
    <row r="1869" spans="1:13" ht="26.25" thickBot="1">
      <c r="A1869" s="1048"/>
      <c r="B1869" s="1050"/>
      <c r="C1869" s="1050"/>
      <c r="D1869" s="285" t="s">
        <v>5505</v>
      </c>
      <c r="E1869" s="285" t="s">
        <v>4485</v>
      </c>
      <c r="F1869" s="285" t="s">
        <v>4486</v>
      </c>
      <c r="G1869" s="287" t="s">
        <v>4487</v>
      </c>
      <c r="H1869" s="285" t="s">
        <v>4488</v>
      </c>
      <c r="I1869" s="287" t="s">
        <v>4489</v>
      </c>
      <c r="J1869" s="1036"/>
      <c r="K1869" s="712"/>
    </row>
    <row r="1870" spans="1:13" ht="13.5" thickTop="1">
      <c r="A1870" s="88"/>
      <c r="B1870" s="90" t="s">
        <v>1893</v>
      </c>
      <c r="C1870" s="69"/>
      <c r="D1870" s="89"/>
      <c r="E1870" s="111"/>
      <c r="F1870" s="69"/>
      <c r="G1870" s="89"/>
      <c r="H1870" s="296"/>
      <c r="I1870" s="89"/>
      <c r="J1870" s="713"/>
      <c r="K1870" s="711"/>
      <c r="M1870" s="62">
        <f t="shared" si="147"/>
        <v>5</v>
      </c>
    </row>
    <row r="1871" spans="1:13">
      <c r="A1871" s="88">
        <v>1</v>
      </c>
      <c r="B1871" s="69" t="s">
        <v>405</v>
      </c>
      <c r="C1871" s="69">
        <v>7</v>
      </c>
      <c r="D1871" s="89">
        <v>1</v>
      </c>
      <c r="E1871" s="111">
        <v>3</v>
      </c>
      <c r="F1871" s="89">
        <v>1</v>
      </c>
      <c r="G1871" s="89">
        <v>1</v>
      </c>
      <c r="H1871" s="296">
        <v>2</v>
      </c>
      <c r="I1871" s="89">
        <v>1</v>
      </c>
      <c r="J1871" s="710">
        <f>(VLOOKUP($C1871,[2]Sheet1!$A$2:$P$18,$M1871+1)/12)*12*D1871</f>
        <v>307706.70240000007</v>
      </c>
      <c r="K1871" s="711"/>
      <c r="M1871" s="62">
        <f t="shared" si="147"/>
        <v>3</v>
      </c>
    </row>
    <row r="1872" spans="1:13">
      <c r="A1872" s="88">
        <f t="shared" ref="A1872:A1901" si="151">+A1871+1</f>
        <v>2</v>
      </c>
      <c r="B1872" s="69" t="s">
        <v>621</v>
      </c>
      <c r="C1872" s="69">
        <v>6</v>
      </c>
      <c r="D1872" s="89">
        <v>2</v>
      </c>
      <c r="E1872" s="111">
        <v>2</v>
      </c>
      <c r="F1872" s="89">
        <v>2</v>
      </c>
      <c r="G1872" s="89">
        <v>2</v>
      </c>
      <c r="H1872" s="296">
        <v>2</v>
      </c>
      <c r="I1872" s="89">
        <v>2</v>
      </c>
      <c r="J1872" s="710">
        <f>(VLOOKUP($C1872,[2]Sheet1!$A$2:$P$18,$M1872+1)/12)*12*D1872</f>
        <v>476198.75786072994</v>
      </c>
      <c r="K1872" s="711"/>
      <c r="M1872" s="62">
        <f t="shared" si="147"/>
        <v>5</v>
      </c>
    </row>
    <row r="1873" spans="1:13">
      <c r="A1873" s="88">
        <f t="shared" si="151"/>
        <v>3</v>
      </c>
      <c r="B1873" s="69" t="s">
        <v>3440</v>
      </c>
      <c r="C1873" s="69">
        <v>6</v>
      </c>
      <c r="D1873" s="89">
        <v>0</v>
      </c>
      <c r="E1873" s="111">
        <v>0</v>
      </c>
      <c r="F1873" s="89">
        <v>0</v>
      </c>
      <c r="G1873" s="89">
        <v>0</v>
      </c>
      <c r="H1873" s="296">
        <v>0</v>
      </c>
      <c r="I1873" s="89">
        <v>0</v>
      </c>
      <c r="J1873" s="710">
        <f>(VLOOKUP($C1873,[2]Sheet1!$A$2:$P$18,$M1873+1)/12)*12*D1873</f>
        <v>0</v>
      </c>
      <c r="K1873" s="711"/>
      <c r="M1873" s="62">
        <f t="shared" si="147"/>
        <v>5</v>
      </c>
    </row>
    <row r="1874" spans="1:13">
      <c r="A1874" s="88">
        <f t="shared" si="151"/>
        <v>4</v>
      </c>
      <c r="B1874" s="69" t="s">
        <v>3280</v>
      </c>
      <c r="C1874" s="69">
        <v>5</v>
      </c>
      <c r="D1874" s="89">
        <v>2</v>
      </c>
      <c r="E1874" s="111">
        <v>2</v>
      </c>
      <c r="F1874" s="89">
        <v>2</v>
      </c>
      <c r="G1874" s="89">
        <v>2</v>
      </c>
      <c r="H1874" s="296">
        <v>2</v>
      </c>
      <c r="I1874" s="89">
        <v>2</v>
      </c>
      <c r="J1874" s="710">
        <f>(VLOOKUP($C1874,[2]Sheet1!$A$2:$P$18,$M1874+1)/12)*12*D1874</f>
        <v>459139.55786072998</v>
      </c>
      <c r="K1874" s="711"/>
      <c r="M1874" s="62">
        <f t="shared" si="147"/>
        <v>5</v>
      </c>
    </row>
    <row r="1875" spans="1:13">
      <c r="A1875" s="88">
        <f t="shared" si="151"/>
        <v>5</v>
      </c>
      <c r="B1875" s="69" t="s">
        <v>3662</v>
      </c>
      <c r="C1875" s="69">
        <v>5</v>
      </c>
      <c r="D1875" s="89">
        <v>0</v>
      </c>
      <c r="E1875" s="111">
        <v>0</v>
      </c>
      <c r="F1875" s="89">
        <v>0</v>
      </c>
      <c r="G1875" s="89">
        <v>0</v>
      </c>
      <c r="H1875" s="296">
        <v>0</v>
      </c>
      <c r="I1875" s="89">
        <v>0</v>
      </c>
      <c r="J1875" s="710">
        <f>(VLOOKUP($C1875,[2]Sheet1!$A$2:$P$18,$M1875+1)/12)*12*D1875</f>
        <v>0</v>
      </c>
      <c r="K1875" s="711"/>
      <c r="M1875" s="62">
        <f t="shared" si="147"/>
        <v>5</v>
      </c>
    </row>
    <row r="1876" spans="1:13">
      <c r="A1876" s="88">
        <f t="shared" si="151"/>
        <v>6</v>
      </c>
      <c r="B1876" s="69" t="s">
        <v>3662</v>
      </c>
      <c r="C1876" s="69">
        <v>4</v>
      </c>
      <c r="D1876" s="89">
        <v>2</v>
      </c>
      <c r="E1876" s="111">
        <v>3</v>
      </c>
      <c r="F1876" s="89">
        <v>2</v>
      </c>
      <c r="G1876" s="89">
        <v>2</v>
      </c>
      <c r="H1876" s="296">
        <v>3</v>
      </c>
      <c r="I1876" s="89">
        <v>2</v>
      </c>
      <c r="J1876" s="710">
        <f>(VLOOKUP($C1876,[2]Sheet1!$A$2:$P$18,$M1876+1)/12)*12*D1876</f>
        <v>449085.95786073001</v>
      </c>
      <c r="K1876" s="711"/>
      <c r="M1876" s="62">
        <f t="shared" si="147"/>
        <v>5</v>
      </c>
    </row>
    <row r="1877" spans="1:13">
      <c r="A1877" s="88">
        <f t="shared" si="151"/>
        <v>7</v>
      </c>
      <c r="B1877" s="69" t="s">
        <v>2006</v>
      </c>
      <c r="C1877" s="69">
        <v>3</v>
      </c>
      <c r="D1877" s="89">
        <v>1</v>
      </c>
      <c r="E1877" s="111">
        <v>1</v>
      </c>
      <c r="F1877" s="89">
        <v>1</v>
      </c>
      <c r="G1877" s="89">
        <v>1</v>
      </c>
      <c r="H1877" s="296">
        <v>1</v>
      </c>
      <c r="I1877" s="89">
        <v>1</v>
      </c>
      <c r="J1877" s="710">
        <f>(VLOOKUP($C1877,[2]Sheet1!$A$2:$P$18,$M1877+1)/12)*12*D1877</f>
        <v>219336.17893036499</v>
      </c>
      <c r="K1877" s="711"/>
      <c r="M1877" s="62">
        <f t="shared" si="147"/>
        <v>5</v>
      </c>
    </row>
    <row r="1878" spans="1:13">
      <c r="A1878" s="88">
        <f t="shared" si="151"/>
        <v>8</v>
      </c>
      <c r="B1878" s="69" t="s">
        <v>319</v>
      </c>
      <c r="C1878" s="69">
        <v>8</v>
      </c>
      <c r="D1878" s="89">
        <v>0</v>
      </c>
      <c r="E1878" s="111">
        <v>1</v>
      </c>
      <c r="F1878" s="89">
        <v>0</v>
      </c>
      <c r="G1878" s="89">
        <v>0</v>
      </c>
      <c r="H1878" s="296">
        <v>1</v>
      </c>
      <c r="I1878" s="89">
        <v>0</v>
      </c>
      <c r="J1878" s="710">
        <f>(VLOOKUP($C1878,[2]Sheet1!$A$2:$P$18,$M1878+1)/12)*12*D1878</f>
        <v>0</v>
      </c>
      <c r="K1878" s="711"/>
      <c r="M1878" s="62">
        <f t="shared" si="147"/>
        <v>3</v>
      </c>
    </row>
    <row r="1879" spans="1:13">
      <c r="A1879" s="88">
        <f t="shared" si="151"/>
        <v>9</v>
      </c>
      <c r="B1879" s="69" t="s">
        <v>1749</v>
      </c>
      <c r="C1879" s="69">
        <v>6</v>
      </c>
      <c r="D1879" s="89">
        <v>0</v>
      </c>
      <c r="E1879" s="111">
        <v>0</v>
      </c>
      <c r="F1879" s="89">
        <v>0</v>
      </c>
      <c r="G1879" s="89">
        <v>0</v>
      </c>
      <c r="H1879" s="296">
        <v>0</v>
      </c>
      <c r="I1879" s="89">
        <v>0</v>
      </c>
      <c r="J1879" s="710">
        <f>(VLOOKUP($C1879,[2]Sheet1!$A$2:$P$18,$M1879+1)/12)*12*D1879</f>
        <v>0</v>
      </c>
      <c r="K1879" s="711"/>
      <c r="M1879" s="62">
        <f t="shared" si="147"/>
        <v>5</v>
      </c>
    </row>
    <row r="1880" spans="1:13">
      <c r="A1880" s="88">
        <f t="shared" si="151"/>
        <v>10</v>
      </c>
      <c r="B1880" s="69" t="s">
        <v>3796</v>
      </c>
      <c r="C1880" s="69">
        <v>5</v>
      </c>
      <c r="D1880" s="89">
        <v>0</v>
      </c>
      <c r="E1880" s="111">
        <v>0</v>
      </c>
      <c r="F1880" s="89">
        <v>0</v>
      </c>
      <c r="G1880" s="89">
        <v>0</v>
      </c>
      <c r="H1880" s="296">
        <v>0</v>
      </c>
      <c r="I1880" s="89">
        <v>0</v>
      </c>
      <c r="J1880" s="710">
        <f>(VLOOKUP($C1880,[2]Sheet1!$A$2:$P$18,$M1880+1)/12)*12*D1880</f>
        <v>0</v>
      </c>
      <c r="K1880" s="711"/>
      <c r="M1880" s="62">
        <f t="shared" si="147"/>
        <v>5</v>
      </c>
    </row>
    <row r="1881" spans="1:13">
      <c r="A1881" s="88">
        <f t="shared" si="151"/>
        <v>11</v>
      </c>
      <c r="B1881" s="69" t="s">
        <v>3797</v>
      </c>
      <c r="C1881" s="69">
        <v>4</v>
      </c>
      <c r="D1881" s="89">
        <v>2</v>
      </c>
      <c r="E1881" s="111">
        <v>2</v>
      </c>
      <c r="F1881" s="89">
        <v>2</v>
      </c>
      <c r="G1881" s="89">
        <v>2</v>
      </c>
      <c r="H1881" s="296">
        <v>2</v>
      </c>
      <c r="I1881" s="89">
        <v>2</v>
      </c>
      <c r="J1881" s="710">
        <f>(VLOOKUP($C1881,[2]Sheet1!$A$2:$P$18,$M1881+1)/12)*12*D1881</f>
        <v>449085.95786073001</v>
      </c>
      <c r="K1881" s="711"/>
      <c r="M1881" s="62">
        <f t="shared" si="147"/>
        <v>5</v>
      </c>
    </row>
    <row r="1882" spans="1:13">
      <c r="A1882" s="88">
        <f t="shared" si="151"/>
        <v>12</v>
      </c>
      <c r="B1882" s="69" t="s">
        <v>3798</v>
      </c>
      <c r="C1882" s="69">
        <v>3</v>
      </c>
      <c r="D1882" s="89">
        <v>0</v>
      </c>
      <c r="E1882" s="111">
        <v>0</v>
      </c>
      <c r="F1882" s="89">
        <v>0</v>
      </c>
      <c r="G1882" s="89">
        <v>0</v>
      </c>
      <c r="H1882" s="296">
        <v>0</v>
      </c>
      <c r="I1882" s="89">
        <v>0</v>
      </c>
      <c r="J1882" s="710">
        <f>(VLOOKUP($C1882,[2]Sheet1!$A$2:$P$18,$M1882+1)/12)*12*D1882</f>
        <v>0</v>
      </c>
      <c r="K1882" s="711"/>
      <c r="M1882" s="62">
        <f t="shared" si="147"/>
        <v>5</v>
      </c>
    </row>
    <row r="1883" spans="1:13">
      <c r="A1883" s="88">
        <f t="shared" si="151"/>
        <v>13</v>
      </c>
      <c r="B1883" s="69" t="s">
        <v>3250</v>
      </c>
      <c r="C1883" s="69">
        <v>7</v>
      </c>
      <c r="D1883" s="89">
        <v>3</v>
      </c>
      <c r="E1883" s="111">
        <v>4</v>
      </c>
      <c r="F1883" s="89">
        <v>3</v>
      </c>
      <c r="G1883" s="89">
        <v>3</v>
      </c>
      <c r="H1883" s="296">
        <v>3</v>
      </c>
      <c r="I1883" s="89">
        <v>3</v>
      </c>
      <c r="J1883" s="710">
        <f>(VLOOKUP($C1883,[2]Sheet1!$A$2:$P$18,$M1883+1)/12)*12*D1883</f>
        <v>923120.1072000002</v>
      </c>
      <c r="K1883" s="711"/>
      <c r="M1883" s="62">
        <f t="shared" si="147"/>
        <v>3</v>
      </c>
    </row>
    <row r="1884" spans="1:13">
      <c r="A1884" s="88">
        <f t="shared" si="151"/>
        <v>14</v>
      </c>
      <c r="B1884" s="69" t="s">
        <v>2212</v>
      </c>
      <c r="C1884" s="69">
        <v>6</v>
      </c>
      <c r="D1884" s="89">
        <v>0</v>
      </c>
      <c r="E1884" s="111">
        <v>1</v>
      </c>
      <c r="F1884" s="89">
        <v>0</v>
      </c>
      <c r="G1884" s="89">
        <v>0</v>
      </c>
      <c r="H1884" s="296">
        <v>1</v>
      </c>
      <c r="I1884" s="89">
        <v>0</v>
      </c>
      <c r="J1884" s="710">
        <f>(VLOOKUP($C1884,[2]Sheet1!$A$2:$P$18,$M1884+1)/12)*12*D1884</f>
        <v>0</v>
      </c>
      <c r="K1884" s="711"/>
      <c r="M1884" s="62">
        <f t="shared" si="147"/>
        <v>5</v>
      </c>
    </row>
    <row r="1885" spans="1:13">
      <c r="A1885" s="88">
        <f t="shared" si="151"/>
        <v>15</v>
      </c>
      <c r="B1885" s="69" t="s">
        <v>2231</v>
      </c>
      <c r="C1885" s="69">
        <v>5</v>
      </c>
      <c r="D1885" s="89">
        <v>0</v>
      </c>
      <c r="E1885" s="111">
        <v>1</v>
      </c>
      <c r="F1885" s="89">
        <v>0</v>
      </c>
      <c r="G1885" s="89">
        <v>0</v>
      </c>
      <c r="H1885" s="296">
        <v>1</v>
      </c>
      <c r="I1885" s="89">
        <v>0</v>
      </c>
      <c r="J1885" s="710">
        <f>(VLOOKUP($C1885,[2]Sheet1!$A$2:$P$18,$M1885+1)/12)*12*D1885</f>
        <v>0</v>
      </c>
      <c r="K1885" s="711"/>
      <c r="M1885" s="62">
        <f t="shared" si="147"/>
        <v>5</v>
      </c>
    </row>
    <row r="1886" spans="1:13">
      <c r="A1886" s="88">
        <f t="shared" si="151"/>
        <v>16</v>
      </c>
      <c r="B1886" s="69" t="s">
        <v>4028</v>
      </c>
      <c r="C1886" s="69">
        <v>4</v>
      </c>
      <c r="D1886" s="89">
        <v>1</v>
      </c>
      <c r="E1886" s="111">
        <v>2</v>
      </c>
      <c r="F1886" s="89">
        <v>1</v>
      </c>
      <c r="G1886" s="89">
        <v>1</v>
      </c>
      <c r="H1886" s="296">
        <v>2</v>
      </c>
      <c r="I1886" s="89">
        <v>1</v>
      </c>
      <c r="J1886" s="710">
        <f>(VLOOKUP($C1886,[2]Sheet1!$A$2:$P$18,$M1886+1)/12)*12*D1886</f>
        <v>224542.978930365</v>
      </c>
      <c r="K1886" s="711"/>
      <c r="M1886" s="62">
        <f t="shared" si="147"/>
        <v>5</v>
      </c>
    </row>
    <row r="1887" spans="1:13">
      <c r="A1887" s="88">
        <f t="shared" si="151"/>
        <v>17</v>
      </c>
      <c r="B1887" s="69" t="s">
        <v>2232</v>
      </c>
      <c r="C1887" s="69">
        <v>3</v>
      </c>
      <c r="D1887" s="89">
        <v>2</v>
      </c>
      <c r="E1887" s="111">
        <v>3</v>
      </c>
      <c r="F1887" s="89">
        <v>2</v>
      </c>
      <c r="G1887" s="89">
        <v>2</v>
      </c>
      <c r="H1887" s="296">
        <v>2</v>
      </c>
      <c r="I1887" s="89">
        <v>2</v>
      </c>
      <c r="J1887" s="710">
        <f>(VLOOKUP($C1887,[2]Sheet1!$A$2:$P$18,$M1887+1)/12)*12*D1887</f>
        <v>438672.35786072997</v>
      </c>
      <c r="K1887" s="711"/>
      <c r="M1887" s="62">
        <f t="shared" ref="M1887:M1953" si="152">IF(C1887&gt;6,3,5)</f>
        <v>5</v>
      </c>
    </row>
    <row r="1888" spans="1:13">
      <c r="A1888" s="88">
        <f t="shared" si="151"/>
        <v>18</v>
      </c>
      <c r="B1888" s="69" t="s">
        <v>2213</v>
      </c>
      <c r="C1888" s="69">
        <v>4</v>
      </c>
      <c r="D1888" s="89">
        <v>1</v>
      </c>
      <c r="E1888" s="111">
        <v>2</v>
      </c>
      <c r="F1888" s="89">
        <v>1</v>
      </c>
      <c r="G1888" s="89">
        <v>1</v>
      </c>
      <c r="H1888" s="296">
        <v>2</v>
      </c>
      <c r="I1888" s="89">
        <v>1</v>
      </c>
      <c r="J1888" s="710">
        <f>(VLOOKUP($C1888,[2]Sheet1!$A$2:$P$18,$M1888+1)/12)*12*D1888</f>
        <v>224542.978930365</v>
      </c>
      <c r="K1888" s="711"/>
      <c r="M1888" s="62">
        <f t="shared" si="152"/>
        <v>5</v>
      </c>
    </row>
    <row r="1889" spans="1:13">
      <c r="A1889" s="88">
        <f t="shared" si="151"/>
        <v>19</v>
      </c>
      <c r="B1889" s="69" t="s">
        <v>2157</v>
      </c>
      <c r="C1889" s="69">
        <v>3</v>
      </c>
      <c r="D1889" s="89">
        <v>1</v>
      </c>
      <c r="E1889" s="111">
        <v>1</v>
      </c>
      <c r="F1889" s="89">
        <v>1</v>
      </c>
      <c r="G1889" s="89">
        <v>1</v>
      </c>
      <c r="H1889" s="296">
        <v>1</v>
      </c>
      <c r="I1889" s="89">
        <v>1</v>
      </c>
      <c r="J1889" s="710">
        <f>(VLOOKUP($C1889,[2]Sheet1!$A$2:$P$18,$M1889+1)/12)*12*D1889</f>
        <v>219336.17893036499</v>
      </c>
      <c r="K1889" s="711"/>
      <c r="M1889" s="62">
        <f t="shared" si="152"/>
        <v>5</v>
      </c>
    </row>
    <row r="1890" spans="1:13">
      <c r="A1890" s="88">
        <f t="shared" si="151"/>
        <v>20</v>
      </c>
      <c r="B1890" s="69" t="s">
        <v>2179</v>
      </c>
      <c r="C1890" s="69">
        <v>4</v>
      </c>
      <c r="D1890" s="89">
        <v>5</v>
      </c>
      <c r="E1890" s="111">
        <v>5</v>
      </c>
      <c r="F1890" s="89">
        <v>5</v>
      </c>
      <c r="G1890" s="89">
        <v>5</v>
      </c>
      <c r="H1890" s="296">
        <v>5</v>
      </c>
      <c r="I1890" s="89">
        <v>5</v>
      </c>
      <c r="J1890" s="710">
        <f>(VLOOKUP($C1890,[2]Sheet1!$A$2:$P$18,$M1890+1)/12)*12*D1890</f>
        <v>1122714.8946518251</v>
      </c>
      <c r="K1890" s="711"/>
      <c r="M1890" s="62">
        <f t="shared" si="152"/>
        <v>5</v>
      </c>
    </row>
    <row r="1891" spans="1:13">
      <c r="A1891" s="88">
        <f t="shared" si="151"/>
        <v>21</v>
      </c>
      <c r="B1891" s="69" t="s">
        <v>2542</v>
      </c>
      <c r="C1891" s="69">
        <v>3</v>
      </c>
      <c r="D1891" s="89">
        <v>0</v>
      </c>
      <c r="E1891" s="111">
        <v>2</v>
      </c>
      <c r="F1891" s="89">
        <v>0</v>
      </c>
      <c r="G1891" s="89">
        <v>0</v>
      </c>
      <c r="H1891" s="296">
        <v>1</v>
      </c>
      <c r="I1891" s="89">
        <v>0</v>
      </c>
      <c r="J1891" s="710">
        <f>(VLOOKUP($C1891,[2]Sheet1!$A$2:$P$18,$M1891+1)/12)*12*D1891</f>
        <v>0</v>
      </c>
      <c r="K1891" s="711"/>
      <c r="M1891" s="62">
        <f t="shared" si="152"/>
        <v>5</v>
      </c>
    </row>
    <row r="1892" spans="1:13">
      <c r="A1892" s="88">
        <f t="shared" si="151"/>
        <v>22</v>
      </c>
      <c r="B1892" s="69" t="s">
        <v>2543</v>
      </c>
      <c r="C1892" s="69">
        <v>2</v>
      </c>
      <c r="D1892" s="89">
        <v>7</v>
      </c>
      <c r="E1892" s="111">
        <v>8</v>
      </c>
      <c r="F1892" s="89">
        <v>7</v>
      </c>
      <c r="G1892" s="89">
        <v>7</v>
      </c>
      <c r="H1892" s="296">
        <v>7</v>
      </c>
      <c r="I1892" s="89">
        <v>7</v>
      </c>
      <c r="J1892" s="710">
        <f>(VLOOKUP($C1892,[2]Sheet1!$A$2:$P$18,$M1892+1)/12)*12*D1892</f>
        <v>1502601.6525125552</v>
      </c>
      <c r="K1892" s="711"/>
      <c r="M1892" s="62">
        <f t="shared" si="152"/>
        <v>5</v>
      </c>
    </row>
    <row r="1893" spans="1:13">
      <c r="A1893" s="88">
        <f t="shared" si="151"/>
        <v>23</v>
      </c>
      <c r="B1893" s="69" t="s">
        <v>2158</v>
      </c>
      <c r="C1893" s="69">
        <v>6</v>
      </c>
      <c r="D1893" s="89">
        <v>1</v>
      </c>
      <c r="E1893" s="111">
        <v>3</v>
      </c>
      <c r="F1893" s="89">
        <v>1</v>
      </c>
      <c r="G1893" s="89">
        <v>1</v>
      </c>
      <c r="H1893" s="296">
        <v>1</v>
      </c>
      <c r="I1893" s="89">
        <v>1</v>
      </c>
      <c r="J1893" s="710">
        <f>(VLOOKUP($C1893,[2]Sheet1!$A$2:$P$18,$M1893+1)/12)*12*D1893</f>
        <v>238099.37893036497</v>
      </c>
      <c r="K1893" s="711"/>
      <c r="M1893" s="62">
        <f t="shared" si="152"/>
        <v>5</v>
      </c>
    </row>
    <row r="1894" spans="1:13">
      <c r="A1894" s="88">
        <f t="shared" si="151"/>
        <v>24</v>
      </c>
      <c r="B1894" s="69" t="s">
        <v>2364</v>
      </c>
      <c r="C1894" s="69">
        <v>2</v>
      </c>
      <c r="D1894" s="89">
        <v>0</v>
      </c>
      <c r="E1894" s="111">
        <v>2</v>
      </c>
      <c r="F1894" s="89">
        <v>0</v>
      </c>
      <c r="G1894" s="89">
        <v>0</v>
      </c>
      <c r="H1894" s="296">
        <v>2</v>
      </c>
      <c r="I1894" s="89">
        <v>0</v>
      </c>
      <c r="J1894" s="710">
        <f>(VLOOKUP($C1894,[2]Sheet1!$A$2:$P$18,$M1894+1)/12)*12*D1894</f>
        <v>0</v>
      </c>
      <c r="K1894" s="711"/>
      <c r="M1894" s="62">
        <f t="shared" si="152"/>
        <v>5</v>
      </c>
    </row>
    <row r="1895" spans="1:13">
      <c r="A1895" s="88">
        <f t="shared" si="151"/>
        <v>25</v>
      </c>
      <c r="B1895" s="69" t="s">
        <v>2159</v>
      </c>
      <c r="C1895" s="69">
        <v>3</v>
      </c>
      <c r="D1895" s="89">
        <v>0</v>
      </c>
      <c r="E1895" s="111">
        <v>1</v>
      </c>
      <c r="F1895" s="89">
        <v>0</v>
      </c>
      <c r="G1895" s="89">
        <v>0</v>
      </c>
      <c r="H1895" s="296">
        <v>1</v>
      </c>
      <c r="I1895" s="89">
        <v>0</v>
      </c>
      <c r="J1895" s="710">
        <f>(VLOOKUP($C1895,[2]Sheet1!$A$2:$P$18,$M1895+1)/12)*12*D1895</f>
        <v>0</v>
      </c>
      <c r="K1895" s="711"/>
      <c r="M1895" s="62">
        <f t="shared" si="152"/>
        <v>5</v>
      </c>
    </row>
    <row r="1896" spans="1:13">
      <c r="A1896" s="88">
        <f t="shared" si="151"/>
        <v>26</v>
      </c>
      <c r="B1896" s="69" t="s">
        <v>3675</v>
      </c>
      <c r="C1896" s="69">
        <v>2</v>
      </c>
      <c r="D1896" s="89">
        <v>0</v>
      </c>
      <c r="E1896" s="111">
        <v>1</v>
      </c>
      <c r="F1896" s="89">
        <v>0</v>
      </c>
      <c r="G1896" s="89">
        <v>0</v>
      </c>
      <c r="H1896" s="296">
        <v>1</v>
      </c>
      <c r="I1896" s="89">
        <v>0</v>
      </c>
      <c r="J1896" s="710">
        <f>(VLOOKUP($C1896,[2]Sheet1!$A$2:$P$18,$M1896+1)/12)*12*D1896</f>
        <v>0</v>
      </c>
      <c r="K1896" s="711"/>
      <c r="M1896" s="62">
        <f t="shared" si="152"/>
        <v>5</v>
      </c>
    </row>
    <row r="1897" spans="1:13">
      <c r="A1897" s="88">
        <f t="shared" si="151"/>
        <v>27</v>
      </c>
      <c r="B1897" s="69" t="s">
        <v>2160</v>
      </c>
      <c r="C1897" s="69">
        <v>3</v>
      </c>
      <c r="D1897" s="89">
        <v>1</v>
      </c>
      <c r="E1897" s="111">
        <v>1</v>
      </c>
      <c r="F1897" s="89">
        <v>1</v>
      </c>
      <c r="G1897" s="89">
        <v>1</v>
      </c>
      <c r="H1897" s="296">
        <v>1</v>
      </c>
      <c r="I1897" s="89">
        <v>1</v>
      </c>
      <c r="J1897" s="710">
        <f>(VLOOKUP($C1897,[2]Sheet1!$A$2:$P$18,$M1897+1)/12)*12*D1897</f>
        <v>219336.17893036499</v>
      </c>
      <c r="K1897" s="711"/>
      <c r="M1897" s="62">
        <f t="shared" si="152"/>
        <v>5</v>
      </c>
    </row>
    <row r="1898" spans="1:13">
      <c r="A1898" s="88">
        <f t="shared" si="151"/>
        <v>28</v>
      </c>
      <c r="B1898" s="69" t="s">
        <v>2172</v>
      </c>
      <c r="C1898" s="69">
        <v>2</v>
      </c>
      <c r="D1898" s="89">
        <v>1</v>
      </c>
      <c r="E1898" s="111">
        <v>8</v>
      </c>
      <c r="F1898" s="89">
        <v>1</v>
      </c>
      <c r="G1898" s="89">
        <v>1</v>
      </c>
      <c r="H1898" s="296">
        <v>4</v>
      </c>
      <c r="I1898" s="89">
        <v>1</v>
      </c>
      <c r="J1898" s="710">
        <f>(VLOOKUP($C1898,[2]Sheet1!$A$2:$P$18,$M1898+1)/12)*12*D1898</f>
        <v>214657.37893036503</v>
      </c>
      <c r="K1898" s="711"/>
      <c r="M1898" s="62">
        <f t="shared" si="152"/>
        <v>5</v>
      </c>
    </row>
    <row r="1899" spans="1:13">
      <c r="A1899" s="88">
        <f t="shared" si="151"/>
        <v>29</v>
      </c>
      <c r="B1899" s="69" t="s">
        <v>1316</v>
      </c>
      <c r="C1899" s="69">
        <v>2</v>
      </c>
      <c r="D1899" s="89">
        <v>0</v>
      </c>
      <c r="E1899" s="111">
        <v>8</v>
      </c>
      <c r="F1899" s="89">
        <v>0</v>
      </c>
      <c r="G1899" s="89">
        <v>0</v>
      </c>
      <c r="H1899" s="296">
        <v>1</v>
      </c>
      <c r="I1899" s="89">
        <v>0</v>
      </c>
      <c r="J1899" s="710">
        <f>(VLOOKUP($C1899,[2]Sheet1!$A$2:$P$18,$M1899+1)/12)*12*D1899</f>
        <v>0</v>
      </c>
      <c r="K1899" s="711"/>
      <c r="M1899" s="62">
        <f t="shared" si="152"/>
        <v>5</v>
      </c>
    </row>
    <row r="1900" spans="1:13">
      <c r="A1900" s="88">
        <f t="shared" si="151"/>
        <v>30</v>
      </c>
      <c r="B1900" s="69" t="s">
        <v>1998</v>
      </c>
      <c r="C1900" s="69">
        <v>5</v>
      </c>
      <c r="D1900" s="89">
        <v>0</v>
      </c>
      <c r="E1900" s="111">
        <v>0</v>
      </c>
      <c r="F1900" s="89">
        <v>0</v>
      </c>
      <c r="G1900" s="89">
        <v>0</v>
      </c>
      <c r="H1900" s="296">
        <v>0</v>
      </c>
      <c r="I1900" s="89">
        <v>0</v>
      </c>
      <c r="J1900" s="710">
        <f>(VLOOKUP($C1900,[2]Sheet1!$A$2:$P$18,$M1900+1)/12)*12*D1900</f>
        <v>0</v>
      </c>
      <c r="K1900" s="711"/>
      <c r="M1900" s="62">
        <f t="shared" si="152"/>
        <v>5</v>
      </c>
    </row>
    <row r="1901" spans="1:13">
      <c r="A1901" s="88">
        <f t="shared" si="151"/>
        <v>31</v>
      </c>
      <c r="B1901" s="69" t="s">
        <v>1999</v>
      </c>
      <c r="C1901" s="69">
        <v>3</v>
      </c>
      <c r="D1901" s="89">
        <v>1</v>
      </c>
      <c r="E1901" s="111">
        <v>2</v>
      </c>
      <c r="F1901" s="89">
        <v>1</v>
      </c>
      <c r="G1901" s="89">
        <v>1</v>
      </c>
      <c r="H1901" s="296">
        <v>1</v>
      </c>
      <c r="I1901" s="89">
        <v>1</v>
      </c>
      <c r="J1901" s="710">
        <f>(VLOOKUP($C1901,[2]Sheet1!$A$2:$P$18,$M1901+1)/12)*12*D1901</f>
        <v>219336.17893036499</v>
      </c>
      <c r="K1901" s="711"/>
      <c r="M1901" s="62">
        <f t="shared" si="152"/>
        <v>5</v>
      </c>
    </row>
    <row r="1902" spans="1:13">
      <c r="A1902" s="88"/>
      <c r="B1902" s="90" t="s">
        <v>3521</v>
      </c>
      <c r="C1902" s="69"/>
      <c r="D1902" s="89"/>
      <c r="E1902" s="111"/>
      <c r="F1902" s="89"/>
      <c r="G1902" s="89"/>
      <c r="H1902" s="296"/>
      <c r="I1902" s="89"/>
      <c r="J1902" s="710"/>
      <c r="K1902" s="711"/>
      <c r="M1902" s="62">
        <f t="shared" si="152"/>
        <v>5</v>
      </c>
    </row>
    <row r="1903" spans="1:13">
      <c r="A1903" s="88">
        <f>+A1901+1</f>
        <v>32</v>
      </c>
      <c r="B1903" s="69" t="s">
        <v>3532</v>
      </c>
      <c r="C1903" s="69">
        <v>16</v>
      </c>
      <c r="D1903" s="89">
        <v>0</v>
      </c>
      <c r="E1903" s="111">
        <v>0</v>
      </c>
      <c r="F1903" s="89">
        <v>0</v>
      </c>
      <c r="G1903" s="89">
        <v>0</v>
      </c>
      <c r="H1903" s="296">
        <v>0</v>
      </c>
      <c r="I1903" s="89">
        <v>0</v>
      </c>
      <c r="J1903" s="710">
        <f>(VLOOKUP($C1903,[2]Sheet1!$A$2:$P$18,$M1903+1)/12)*12*D1903</f>
        <v>0</v>
      </c>
      <c r="K1903" s="711"/>
      <c r="M1903" s="62">
        <f t="shared" si="152"/>
        <v>3</v>
      </c>
    </row>
    <row r="1904" spans="1:13">
      <c r="A1904" s="88">
        <f t="shared" ref="A1904:A1920" si="153">+A1903+1</f>
        <v>33</v>
      </c>
      <c r="B1904" s="69" t="s">
        <v>1256</v>
      </c>
      <c r="C1904" s="69">
        <v>15</v>
      </c>
      <c r="D1904" s="89">
        <v>0</v>
      </c>
      <c r="E1904" s="111">
        <v>0</v>
      </c>
      <c r="F1904" s="89">
        <v>0</v>
      </c>
      <c r="G1904" s="89">
        <v>0</v>
      </c>
      <c r="H1904" s="296">
        <v>0</v>
      </c>
      <c r="I1904" s="89">
        <v>0</v>
      </c>
      <c r="J1904" s="710">
        <f>(VLOOKUP($C1904,[2]Sheet1!$A$2:$P$18,$M1904+1)/12)*12*D1904</f>
        <v>0</v>
      </c>
      <c r="K1904" s="711"/>
      <c r="M1904" s="62">
        <f t="shared" si="152"/>
        <v>3</v>
      </c>
    </row>
    <row r="1905" spans="1:13">
      <c r="A1905" s="88">
        <f t="shared" si="153"/>
        <v>34</v>
      </c>
      <c r="B1905" s="69" t="s">
        <v>1855</v>
      </c>
      <c r="C1905" s="69">
        <v>12</v>
      </c>
      <c r="D1905" s="89">
        <v>0</v>
      </c>
      <c r="E1905" s="111">
        <v>0</v>
      </c>
      <c r="F1905" s="89">
        <v>0</v>
      </c>
      <c r="G1905" s="89">
        <v>0</v>
      </c>
      <c r="H1905" s="296">
        <v>0</v>
      </c>
      <c r="I1905" s="89">
        <v>0</v>
      </c>
      <c r="J1905" s="710">
        <f>(VLOOKUP($C1905,[2]Sheet1!$A$2:$P$18,$M1905+1)/12)*12*D1905</f>
        <v>0</v>
      </c>
      <c r="K1905" s="711"/>
      <c r="M1905" s="62">
        <f t="shared" si="152"/>
        <v>3</v>
      </c>
    </row>
    <row r="1906" spans="1:13" ht="13.5" thickBot="1">
      <c r="A1906" s="88">
        <f t="shared" si="153"/>
        <v>35</v>
      </c>
      <c r="B1906" s="69" t="s">
        <v>1926</v>
      </c>
      <c r="C1906" s="69">
        <v>10</v>
      </c>
      <c r="D1906" s="89">
        <v>0</v>
      </c>
      <c r="E1906" s="111">
        <v>0</v>
      </c>
      <c r="F1906" s="89">
        <v>0</v>
      </c>
      <c r="G1906" s="89">
        <v>0</v>
      </c>
      <c r="H1906" s="296">
        <v>0</v>
      </c>
      <c r="I1906" s="89">
        <v>0</v>
      </c>
      <c r="J1906" s="710">
        <f>(VLOOKUP($C1906,[2]Sheet1!$A$2:$P$18,$M1906+1)/12)*12*D1906</f>
        <v>0</v>
      </c>
      <c r="K1906" s="711"/>
      <c r="M1906" s="62">
        <f t="shared" si="152"/>
        <v>3</v>
      </c>
    </row>
    <row r="1907" spans="1:13" ht="15.75" thickTop="1">
      <c r="A1907" s="1047" t="s">
        <v>2791</v>
      </c>
      <c r="B1907" s="1049" t="s">
        <v>4126</v>
      </c>
      <c r="C1907" s="1049" t="s">
        <v>854</v>
      </c>
      <c r="D1907" s="1040" t="s">
        <v>4127</v>
      </c>
      <c r="E1907" s="1041"/>
      <c r="F1907" s="1041"/>
      <c r="G1907" s="1040" t="s">
        <v>904</v>
      </c>
      <c r="H1907" s="1041"/>
      <c r="I1907" s="1042"/>
      <c r="J1907" s="1035" t="s">
        <v>855</v>
      </c>
      <c r="K1907" s="389"/>
    </row>
    <row r="1908" spans="1:13" ht="26.25" thickBot="1">
      <c r="A1908" s="1048"/>
      <c r="B1908" s="1050"/>
      <c r="C1908" s="1050"/>
      <c r="D1908" s="285" t="s">
        <v>5505</v>
      </c>
      <c r="E1908" s="285" t="s">
        <v>4485</v>
      </c>
      <c r="F1908" s="285" t="s">
        <v>4486</v>
      </c>
      <c r="G1908" s="287" t="s">
        <v>4487</v>
      </c>
      <c r="H1908" s="285" t="s">
        <v>4488</v>
      </c>
      <c r="I1908" s="287" t="s">
        <v>4489</v>
      </c>
      <c r="J1908" s="1036"/>
      <c r="K1908" s="712"/>
    </row>
    <row r="1909" spans="1:13" ht="13.5" thickTop="1">
      <c r="A1909" s="88">
        <f>+A1906+1</f>
        <v>36</v>
      </c>
      <c r="B1909" s="69" t="s">
        <v>2867</v>
      </c>
      <c r="C1909" s="69">
        <v>7</v>
      </c>
      <c r="D1909" s="89">
        <v>2</v>
      </c>
      <c r="E1909" s="111">
        <v>2</v>
      </c>
      <c r="F1909" s="89">
        <v>2</v>
      </c>
      <c r="G1909" s="89">
        <v>2</v>
      </c>
      <c r="H1909" s="296">
        <v>2</v>
      </c>
      <c r="I1909" s="89">
        <v>2</v>
      </c>
      <c r="J1909" s="710">
        <f>(VLOOKUP($C1909,[2]Sheet1!$A$2:$P$18,$M1909+1)/12)*12*D1909</f>
        <v>615413.40480000013</v>
      </c>
      <c r="K1909" s="711"/>
      <c r="M1909" s="62">
        <f t="shared" si="152"/>
        <v>3</v>
      </c>
    </row>
    <row r="1910" spans="1:13">
      <c r="A1910" s="88">
        <f t="shared" si="153"/>
        <v>37</v>
      </c>
      <c r="B1910" s="69" t="s">
        <v>1997</v>
      </c>
      <c r="C1910" s="69">
        <v>6</v>
      </c>
      <c r="D1910" s="89">
        <v>1</v>
      </c>
      <c r="E1910" s="111">
        <v>1</v>
      </c>
      <c r="F1910" s="89">
        <v>1</v>
      </c>
      <c r="G1910" s="89">
        <v>1</v>
      </c>
      <c r="H1910" s="296">
        <v>1</v>
      </c>
      <c r="I1910" s="89">
        <v>1</v>
      </c>
      <c r="J1910" s="710">
        <f>(VLOOKUP($C1910,[2]Sheet1!$A$2:$P$18,$M1910+1)/12)*12*D1910</f>
        <v>238099.37893036497</v>
      </c>
      <c r="K1910" s="711"/>
      <c r="M1910" s="62">
        <f t="shared" si="152"/>
        <v>5</v>
      </c>
    </row>
    <row r="1911" spans="1:13">
      <c r="A1911" s="88">
        <f t="shared" si="153"/>
        <v>38</v>
      </c>
      <c r="B1911" s="69" t="s">
        <v>602</v>
      </c>
      <c r="C1911" s="69">
        <v>5</v>
      </c>
      <c r="D1911" s="89">
        <v>0</v>
      </c>
      <c r="E1911" s="111">
        <v>0</v>
      </c>
      <c r="F1911" s="89">
        <v>0</v>
      </c>
      <c r="G1911" s="89">
        <v>0</v>
      </c>
      <c r="H1911" s="296">
        <v>0</v>
      </c>
      <c r="I1911" s="89">
        <v>0</v>
      </c>
      <c r="J1911" s="710">
        <f>(VLOOKUP($C1911,[2]Sheet1!$A$2:$P$18,$M1911+1)/12)*12*D1911</f>
        <v>0</v>
      </c>
      <c r="K1911" s="711"/>
      <c r="M1911" s="62">
        <f t="shared" si="152"/>
        <v>5</v>
      </c>
    </row>
    <row r="1912" spans="1:13">
      <c r="A1912" s="88">
        <f t="shared" si="153"/>
        <v>39</v>
      </c>
      <c r="B1912" s="69" t="s">
        <v>603</v>
      </c>
      <c r="C1912" s="69">
        <v>4</v>
      </c>
      <c r="D1912" s="89">
        <v>0</v>
      </c>
      <c r="E1912" s="111">
        <v>0</v>
      </c>
      <c r="F1912" s="89">
        <v>0</v>
      </c>
      <c r="G1912" s="89">
        <v>0</v>
      </c>
      <c r="H1912" s="296">
        <v>0</v>
      </c>
      <c r="I1912" s="89">
        <v>0</v>
      </c>
      <c r="J1912" s="710">
        <f>(VLOOKUP($C1912,[2]Sheet1!$A$2:$P$18,$M1912+1)/12)*12*D1912</f>
        <v>0</v>
      </c>
      <c r="K1912" s="711"/>
      <c r="M1912" s="62">
        <f t="shared" si="152"/>
        <v>5</v>
      </c>
    </row>
    <row r="1913" spans="1:13">
      <c r="A1913" s="88">
        <f t="shared" si="153"/>
        <v>40</v>
      </c>
      <c r="B1913" s="69" t="s">
        <v>604</v>
      </c>
      <c r="C1913" s="69">
        <v>3</v>
      </c>
      <c r="D1913" s="89">
        <v>0</v>
      </c>
      <c r="E1913" s="111">
        <v>1</v>
      </c>
      <c r="F1913" s="89">
        <v>0</v>
      </c>
      <c r="G1913" s="89">
        <v>0</v>
      </c>
      <c r="H1913" s="296">
        <v>1</v>
      </c>
      <c r="I1913" s="89">
        <v>0</v>
      </c>
      <c r="J1913" s="710">
        <f>(VLOOKUP($C1913,[2]Sheet1!$A$2:$P$18,$M1913+1)/12)*12*D1913</f>
        <v>0</v>
      </c>
      <c r="K1913" s="711"/>
      <c r="M1913" s="62">
        <f t="shared" si="152"/>
        <v>5</v>
      </c>
    </row>
    <row r="1914" spans="1:13">
      <c r="A1914" s="88">
        <f t="shared" si="153"/>
        <v>41</v>
      </c>
      <c r="B1914" s="69" t="s">
        <v>1777</v>
      </c>
      <c r="C1914" s="69">
        <v>9</v>
      </c>
      <c r="D1914" s="89">
        <v>0</v>
      </c>
      <c r="E1914" s="111">
        <v>0</v>
      </c>
      <c r="F1914" s="89">
        <v>0</v>
      </c>
      <c r="G1914" s="89">
        <v>0</v>
      </c>
      <c r="H1914" s="296">
        <v>0</v>
      </c>
      <c r="I1914" s="89">
        <v>0</v>
      </c>
      <c r="J1914" s="710">
        <f>(VLOOKUP($C1914,[2]Sheet1!$A$2:$P$18,$M1914+1)/12)*12*D1914</f>
        <v>0</v>
      </c>
      <c r="K1914" s="711"/>
      <c r="M1914" s="62">
        <f t="shared" si="152"/>
        <v>3</v>
      </c>
    </row>
    <row r="1915" spans="1:13">
      <c r="A1915" s="88">
        <f t="shared" si="153"/>
        <v>42</v>
      </c>
      <c r="B1915" s="69" t="s">
        <v>2785</v>
      </c>
      <c r="C1915" s="69">
        <v>7</v>
      </c>
      <c r="D1915" s="89">
        <v>0</v>
      </c>
      <c r="E1915" s="111">
        <v>0</v>
      </c>
      <c r="F1915" s="89">
        <v>0</v>
      </c>
      <c r="G1915" s="89">
        <v>0</v>
      </c>
      <c r="H1915" s="296">
        <v>0</v>
      </c>
      <c r="I1915" s="89">
        <v>0</v>
      </c>
      <c r="J1915" s="710">
        <f>(VLOOKUP($C1915,[2]Sheet1!$A$2:$P$18,$M1915+1)/12)*12*D1915</f>
        <v>0</v>
      </c>
      <c r="K1915" s="711"/>
      <c r="M1915" s="62">
        <f t="shared" si="152"/>
        <v>3</v>
      </c>
    </row>
    <row r="1916" spans="1:13">
      <c r="A1916" s="88">
        <f t="shared" si="153"/>
        <v>43</v>
      </c>
      <c r="B1916" s="69" t="s">
        <v>2874</v>
      </c>
      <c r="C1916" s="69">
        <v>4</v>
      </c>
      <c r="D1916" s="89">
        <v>0</v>
      </c>
      <c r="E1916" s="111">
        <v>1</v>
      </c>
      <c r="F1916" s="89">
        <v>0</v>
      </c>
      <c r="G1916" s="89">
        <v>0</v>
      </c>
      <c r="H1916" s="296">
        <v>1</v>
      </c>
      <c r="I1916" s="89">
        <v>0</v>
      </c>
      <c r="J1916" s="710">
        <f>(VLOOKUP($C1916,[2]Sheet1!$A$2:$P$18,$M1916+1)/12)*12*D1916</f>
        <v>0</v>
      </c>
      <c r="K1916" s="711"/>
      <c r="M1916" s="62">
        <f t="shared" si="152"/>
        <v>5</v>
      </c>
    </row>
    <row r="1917" spans="1:13">
      <c r="A1917" s="88">
        <f>+A1916+1</f>
        <v>44</v>
      </c>
      <c r="B1917" s="69" t="s">
        <v>499</v>
      </c>
      <c r="C1917" s="69">
        <v>2</v>
      </c>
      <c r="D1917" s="89">
        <v>0</v>
      </c>
      <c r="E1917" s="111">
        <v>1</v>
      </c>
      <c r="F1917" s="89">
        <v>0</v>
      </c>
      <c r="G1917" s="89">
        <v>0</v>
      </c>
      <c r="H1917" s="296">
        <v>1</v>
      </c>
      <c r="I1917" s="89">
        <v>0</v>
      </c>
      <c r="J1917" s="710">
        <f>(VLOOKUP($C1917,[2]Sheet1!$A$2:$P$18,$M1917+1)/12)*12*D1917</f>
        <v>0</v>
      </c>
      <c r="K1917" s="711"/>
      <c r="M1917" s="62">
        <f t="shared" si="152"/>
        <v>5</v>
      </c>
    </row>
    <row r="1918" spans="1:13">
      <c r="A1918" s="88">
        <f t="shared" si="153"/>
        <v>45</v>
      </c>
      <c r="B1918" s="69" t="s">
        <v>2140</v>
      </c>
      <c r="C1918" s="69">
        <v>9</v>
      </c>
      <c r="D1918" s="89">
        <v>0</v>
      </c>
      <c r="E1918" s="111">
        <v>0</v>
      </c>
      <c r="F1918" s="89">
        <v>0</v>
      </c>
      <c r="G1918" s="89">
        <v>0</v>
      </c>
      <c r="H1918" s="296">
        <v>0</v>
      </c>
      <c r="I1918" s="89">
        <v>0</v>
      </c>
      <c r="J1918" s="710">
        <f>(VLOOKUP($C1918,[2]Sheet1!$A$2:$P$18,$M1918+1)/12)*12*D1918</f>
        <v>0</v>
      </c>
      <c r="K1918" s="711"/>
      <c r="M1918" s="62">
        <f t="shared" si="152"/>
        <v>3</v>
      </c>
    </row>
    <row r="1919" spans="1:13">
      <c r="A1919" s="88">
        <f t="shared" si="153"/>
        <v>46</v>
      </c>
      <c r="B1919" s="69" t="s">
        <v>2867</v>
      </c>
      <c r="C1919" s="69">
        <v>7</v>
      </c>
      <c r="D1919" s="89">
        <v>0</v>
      </c>
      <c r="E1919" s="111">
        <v>0</v>
      </c>
      <c r="F1919" s="89">
        <v>0</v>
      </c>
      <c r="G1919" s="89">
        <v>0</v>
      </c>
      <c r="H1919" s="296">
        <v>0</v>
      </c>
      <c r="I1919" s="89">
        <v>0</v>
      </c>
      <c r="J1919" s="710">
        <f>(VLOOKUP($C1919,[2]Sheet1!$A$2:$P$18,$M1919+1)/12)*12*D1919</f>
        <v>0</v>
      </c>
      <c r="K1919" s="711"/>
      <c r="M1919" s="62">
        <f t="shared" si="152"/>
        <v>3</v>
      </c>
    </row>
    <row r="1920" spans="1:13">
      <c r="A1920" s="88">
        <f t="shared" si="153"/>
        <v>47</v>
      </c>
      <c r="B1920" s="69" t="s">
        <v>2141</v>
      </c>
      <c r="C1920" s="69">
        <v>8</v>
      </c>
      <c r="D1920" s="89">
        <v>0</v>
      </c>
      <c r="E1920" s="111">
        <v>1</v>
      </c>
      <c r="F1920" s="89">
        <v>0</v>
      </c>
      <c r="G1920" s="89">
        <v>0</v>
      </c>
      <c r="H1920" s="296">
        <v>1</v>
      </c>
      <c r="I1920" s="89">
        <v>0</v>
      </c>
      <c r="J1920" s="710">
        <f>(VLOOKUP($C1920,[2]Sheet1!$A$2:$P$18,$M1920+1)/12)*12*D1920</f>
        <v>0</v>
      </c>
      <c r="K1920" s="711"/>
      <c r="M1920" s="62">
        <f t="shared" si="152"/>
        <v>3</v>
      </c>
    </row>
    <row r="1921" spans="1:13">
      <c r="A1921" s="88"/>
      <c r="B1921" s="90" t="s">
        <v>1924</v>
      </c>
      <c r="C1921" s="69"/>
      <c r="D1921" s="89"/>
      <c r="E1921" s="111"/>
      <c r="F1921" s="89"/>
      <c r="G1921" s="89"/>
      <c r="H1921" s="296"/>
      <c r="I1921" s="89"/>
      <c r="J1921" s="710"/>
      <c r="K1921" s="711"/>
      <c r="M1921" s="62">
        <f t="shared" si="152"/>
        <v>5</v>
      </c>
    </row>
    <row r="1922" spans="1:13">
      <c r="A1922" s="88">
        <f>+A1920+1</f>
        <v>48</v>
      </c>
      <c r="B1922" s="69" t="s">
        <v>3532</v>
      </c>
      <c r="C1922" s="69">
        <v>16</v>
      </c>
      <c r="D1922" s="89">
        <v>1</v>
      </c>
      <c r="E1922" s="111">
        <v>1</v>
      </c>
      <c r="F1922" s="89">
        <v>1</v>
      </c>
      <c r="G1922" s="89">
        <v>1</v>
      </c>
      <c r="H1922" s="296">
        <v>1</v>
      </c>
      <c r="I1922" s="89">
        <v>1</v>
      </c>
      <c r="J1922" s="710">
        <f>(VLOOKUP($C1922,[2]Sheet1!$A$2:$P$18,$M1922+1)/12)*12*D1922</f>
        <v>677281.26084</v>
      </c>
      <c r="K1922" s="711"/>
      <c r="M1922" s="62">
        <f t="shared" si="152"/>
        <v>3</v>
      </c>
    </row>
    <row r="1923" spans="1:13">
      <c r="A1923" s="88">
        <f t="shared" ref="A1923:A1932" si="154">+A1922+1</f>
        <v>49</v>
      </c>
      <c r="B1923" s="69" t="s">
        <v>1256</v>
      </c>
      <c r="C1923" s="69">
        <v>15</v>
      </c>
      <c r="D1923" s="89">
        <v>1</v>
      </c>
      <c r="E1923" s="111">
        <v>1</v>
      </c>
      <c r="F1923" s="89">
        <v>1</v>
      </c>
      <c r="G1923" s="89">
        <v>1</v>
      </c>
      <c r="H1923" s="296">
        <v>1</v>
      </c>
      <c r="I1923" s="89">
        <v>1</v>
      </c>
      <c r="J1923" s="710">
        <f>(VLOOKUP($C1923,[2]Sheet1!$A$2:$P$18,$M1923+1)/12)*12*D1923</f>
        <v>658331.89992</v>
      </c>
      <c r="K1923" s="711"/>
      <c r="M1923" s="62">
        <f t="shared" si="152"/>
        <v>3</v>
      </c>
    </row>
    <row r="1924" spans="1:13">
      <c r="A1924" s="88">
        <f t="shared" si="154"/>
        <v>50</v>
      </c>
      <c r="B1924" s="69" t="s">
        <v>3533</v>
      </c>
      <c r="C1924" s="69">
        <v>14</v>
      </c>
      <c r="D1924" s="89">
        <v>1</v>
      </c>
      <c r="E1924" s="111">
        <v>1</v>
      </c>
      <c r="F1924" s="89">
        <v>1</v>
      </c>
      <c r="G1924" s="89">
        <v>1</v>
      </c>
      <c r="H1924" s="296">
        <v>1</v>
      </c>
      <c r="I1924" s="89">
        <v>1</v>
      </c>
      <c r="J1924" s="710">
        <f>(VLOOKUP($C1924,[2]Sheet1!$A$2:$P$18,$M1924+1)/12)*12*D1924</f>
        <v>669099.40824000002</v>
      </c>
      <c r="K1924" s="711"/>
      <c r="M1924" s="62">
        <f t="shared" si="152"/>
        <v>3</v>
      </c>
    </row>
    <row r="1925" spans="1:13">
      <c r="A1925" s="88">
        <f t="shared" si="154"/>
        <v>51</v>
      </c>
      <c r="B1925" s="69" t="s">
        <v>1923</v>
      </c>
      <c r="C1925" s="69">
        <v>13</v>
      </c>
      <c r="D1925" s="89">
        <v>0</v>
      </c>
      <c r="E1925" s="111">
        <v>0</v>
      </c>
      <c r="F1925" s="89">
        <v>0</v>
      </c>
      <c r="G1925" s="89">
        <v>0</v>
      </c>
      <c r="H1925" s="296">
        <v>0</v>
      </c>
      <c r="I1925" s="89">
        <v>0</v>
      </c>
      <c r="J1925" s="710">
        <f>(VLOOKUP($C1925,[2]Sheet1!$A$2:$P$18,$M1925+1)/12)*12*D1925</f>
        <v>0</v>
      </c>
      <c r="K1925" s="711"/>
      <c r="M1925" s="62">
        <f t="shared" si="152"/>
        <v>3</v>
      </c>
    </row>
    <row r="1926" spans="1:13">
      <c r="A1926" s="88">
        <f t="shared" si="154"/>
        <v>52</v>
      </c>
      <c r="B1926" s="69" t="s">
        <v>3457</v>
      </c>
      <c r="C1926" s="69">
        <v>12</v>
      </c>
      <c r="D1926" s="89">
        <v>0</v>
      </c>
      <c r="E1926" s="111">
        <v>0</v>
      </c>
      <c r="F1926" s="89">
        <v>0</v>
      </c>
      <c r="G1926" s="89">
        <v>0</v>
      </c>
      <c r="H1926" s="296">
        <v>0</v>
      </c>
      <c r="I1926" s="89">
        <v>0</v>
      </c>
      <c r="J1926" s="710">
        <f>(VLOOKUP($C1926,[2]Sheet1!$A$2:$P$18,$M1926+1)/12)*12*D1926</f>
        <v>0</v>
      </c>
      <c r="K1926" s="711"/>
      <c r="M1926" s="62">
        <f t="shared" si="152"/>
        <v>3</v>
      </c>
    </row>
    <row r="1927" spans="1:13">
      <c r="A1927" s="88">
        <f t="shared" si="154"/>
        <v>53</v>
      </c>
      <c r="B1927" s="69" t="s">
        <v>1774</v>
      </c>
      <c r="C1927" s="69">
        <v>12</v>
      </c>
      <c r="D1927" s="89">
        <v>0</v>
      </c>
      <c r="E1927" s="111">
        <v>1</v>
      </c>
      <c r="F1927" s="89">
        <v>0</v>
      </c>
      <c r="G1927" s="89">
        <v>0</v>
      </c>
      <c r="H1927" s="296">
        <v>1</v>
      </c>
      <c r="I1927" s="89">
        <v>0</v>
      </c>
      <c r="J1927" s="710">
        <f>(VLOOKUP($C1927,[2]Sheet1!$A$2:$P$18,$M1927+1)/12)*12*D1927</f>
        <v>0</v>
      </c>
      <c r="K1927" s="711"/>
      <c r="M1927" s="62">
        <f t="shared" si="152"/>
        <v>3</v>
      </c>
    </row>
    <row r="1928" spans="1:13">
      <c r="A1928" s="88">
        <f t="shared" si="154"/>
        <v>54</v>
      </c>
      <c r="B1928" s="69" t="s">
        <v>489</v>
      </c>
      <c r="C1928" s="69">
        <v>10</v>
      </c>
      <c r="D1928" s="89">
        <v>1</v>
      </c>
      <c r="E1928" s="111">
        <v>1</v>
      </c>
      <c r="F1928" s="89">
        <v>1</v>
      </c>
      <c r="G1928" s="89">
        <v>1</v>
      </c>
      <c r="H1928" s="296">
        <v>1</v>
      </c>
      <c r="I1928" s="89">
        <v>1</v>
      </c>
      <c r="J1928" s="710">
        <f>(VLOOKUP($C1928,[2]Sheet1!$A$2:$P$18,$M1928+1)/12)*12*D1928</f>
        <v>483974.5687200001</v>
      </c>
      <c r="K1928" s="711"/>
      <c r="M1928" s="62">
        <f t="shared" si="152"/>
        <v>3</v>
      </c>
    </row>
    <row r="1929" spans="1:13">
      <c r="A1929" s="88">
        <f t="shared" si="154"/>
        <v>55</v>
      </c>
      <c r="B1929" s="69" t="s">
        <v>1629</v>
      </c>
      <c r="C1929" s="69">
        <v>9</v>
      </c>
      <c r="D1929" s="89">
        <v>1</v>
      </c>
      <c r="E1929" s="111">
        <v>1</v>
      </c>
      <c r="F1929" s="89">
        <v>1</v>
      </c>
      <c r="G1929" s="89">
        <v>1</v>
      </c>
      <c r="H1929" s="296">
        <v>1</v>
      </c>
      <c r="I1929" s="89">
        <v>1</v>
      </c>
      <c r="J1929" s="710">
        <f>(VLOOKUP($C1929,[2]Sheet1!$A$2:$P$18,$M1929+1)/12)*12*D1929</f>
        <v>409681.90619999997</v>
      </c>
      <c r="K1929" s="711"/>
      <c r="M1929" s="62">
        <f t="shared" si="152"/>
        <v>3</v>
      </c>
    </row>
    <row r="1930" spans="1:13">
      <c r="A1930" s="88">
        <f t="shared" si="154"/>
        <v>56</v>
      </c>
      <c r="B1930" s="69" t="s">
        <v>1630</v>
      </c>
      <c r="C1930" s="69">
        <v>8</v>
      </c>
      <c r="D1930" s="89">
        <v>1</v>
      </c>
      <c r="E1930" s="111">
        <v>1</v>
      </c>
      <c r="F1930" s="89">
        <v>1</v>
      </c>
      <c r="G1930" s="89">
        <v>1</v>
      </c>
      <c r="H1930" s="296">
        <v>1</v>
      </c>
      <c r="I1930" s="89">
        <v>1</v>
      </c>
      <c r="J1930" s="710">
        <f>(VLOOKUP($C1930,[2]Sheet1!$A$2:$P$18,$M1930+1)/12)*12*D1930</f>
        <v>342141.27408</v>
      </c>
      <c r="K1930" s="711"/>
      <c r="M1930" s="62">
        <f t="shared" si="152"/>
        <v>3</v>
      </c>
    </row>
    <row r="1931" spans="1:13">
      <c r="A1931" s="88">
        <f t="shared" si="154"/>
        <v>57</v>
      </c>
      <c r="B1931" s="69" t="s">
        <v>1631</v>
      </c>
      <c r="C1931" s="69">
        <v>7</v>
      </c>
      <c r="D1931" s="89">
        <v>0</v>
      </c>
      <c r="E1931" s="111">
        <v>0</v>
      </c>
      <c r="F1931" s="89">
        <v>0</v>
      </c>
      <c r="G1931" s="89">
        <v>0</v>
      </c>
      <c r="H1931" s="296">
        <v>0</v>
      </c>
      <c r="I1931" s="89">
        <v>0</v>
      </c>
      <c r="J1931" s="710">
        <f>(VLOOKUP($C1931,[2]Sheet1!$A$2:$P$18,$M1931+1)/12)*12*D1931</f>
        <v>0</v>
      </c>
      <c r="K1931" s="711"/>
      <c r="M1931" s="62">
        <f t="shared" si="152"/>
        <v>3</v>
      </c>
    </row>
    <row r="1932" spans="1:13">
      <c r="A1932" s="88">
        <f t="shared" si="154"/>
        <v>58</v>
      </c>
      <c r="B1932" s="69" t="s">
        <v>1632</v>
      </c>
      <c r="C1932" s="69">
        <v>6</v>
      </c>
      <c r="D1932" s="89">
        <v>0</v>
      </c>
      <c r="E1932" s="111">
        <v>0</v>
      </c>
      <c r="F1932" s="89">
        <v>0</v>
      </c>
      <c r="G1932" s="89">
        <v>0</v>
      </c>
      <c r="H1932" s="296">
        <v>0</v>
      </c>
      <c r="I1932" s="89">
        <v>0</v>
      </c>
      <c r="J1932" s="710">
        <f>(VLOOKUP($C1932,[2]Sheet1!$A$2:$P$18,$M1932+1)/12)*12*D1932</f>
        <v>0</v>
      </c>
      <c r="K1932" s="711"/>
      <c r="M1932" s="62">
        <f t="shared" si="152"/>
        <v>5</v>
      </c>
    </row>
    <row r="1933" spans="1:13">
      <c r="A1933" s="88"/>
      <c r="B1933" s="90" t="s">
        <v>3008</v>
      </c>
      <c r="C1933" s="69"/>
      <c r="D1933" s="89"/>
      <c r="E1933" s="111"/>
      <c r="F1933" s="89"/>
      <c r="G1933" s="89"/>
      <c r="H1933" s="296"/>
      <c r="I1933" s="89"/>
      <c r="J1933" s="710"/>
      <c r="K1933" s="711"/>
      <c r="M1933" s="62">
        <f t="shared" si="152"/>
        <v>5</v>
      </c>
    </row>
    <row r="1934" spans="1:13">
      <c r="A1934" s="88">
        <f>+A1932+1</f>
        <v>59</v>
      </c>
      <c r="B1934" s="69" t="s">
        <v>3532</v>
      </c>
      <c r="C1934" s="69">
        <v>16</v>
      </c>
      <c r="D1934" s="89">
        <v>1</v>
      </c>
      <c r="E1934" s="111">
        <v>1</v>
      </c>
      <c r="F1934" s="89">
        <v>1</v>
      </c>
      <c r="G1934" s="89">
        <v>1</v>
      </c>
      <c r="H1934" s="296">
        <v>1</v>
      </c>
      <c r="I1934" s="89">
        <v>1</v>
      </c>
      <c r="J1934" s="710">
        <f>(VLOOKUP($C1934,[2]Sheet1!$A$2:$P$18,$M1934+1)/12)*12*D1934</f>
        <v>677281.26084</v>
      </c>
      <c r="K1934" s="711"/>
      <c r="M1934" s="62">
        <f t="shared" si="152"/>
        <v>3</v>
      </c>
    </row>
    <row r="1935" spans="1:13">
      <c r="A1935" s="88">
        <f t="shared" ref="A1935:A1944" si="155">+A1934+1</f>
        <v>60</v>
      </c>
      <c r="B1935" s="69" t="s">
        <v>1256</v>
      </c>
      <c r="C1935" s="69">
        <v>15</v>
      </c>
      <c r="D1935" s="89">
        <v>1</v>
      </c>
      <c r="E1935" s="111">
        <v>1</v>
      </c>
      <c r="F1935" s="89">
        <v>1</v>
      </c>
      <c r="G1935" s="89">
        <v>1</v>
      </c>
      <c r="H1935" s="296">
        <v>1</v>
      </c>
      <c r="I1935" s="89">
        <v>1</v>
      </c>
      <c r="J1935" s="710">
        <f>(VLOOKUP($C1935,[2]Sheet1!$A$2:$P$18,$M1935+1)/12)*12*D1935</f>
        <v>658331.89992</v>
      </c>
      <c r="K1935" s="711"/>
      <c r="M1935" s="62">
        <f t="shared" si="152"/>
        <v>3</v>
      </c>
    </row>
    <row r="1936" spans="1:13">
      <c r="A1936" s="88">
        <f t="shared" si="155"/>
        <v>61</v>
      </c>
      <c r="B1936" s="69" t="s">
        <v>3533</v>
      </c>
      <c r="C1936" s="69">
        <v>14</v>
      </c>
      <c r="D1936" s="89">
        <v>3</v>
      </c>
      <c r="E1936" s="111">
        <v>4</v>
      </c>
      <c r="F1936" s="89">
        <v>3</v>
      </c>
      <c r="G1936" s="89">
        <v>3</v>
      </c>
      <c r="H1936" s="296">
        <v>4</v>
      </c>
      <c r="I1936" s="89">
        <v>3</v>
      </c>
      <c r="J1936" s="710">
        <f>(VLOOKUP($C1936,[2]Sheet1!$A$2:$P$18,$M1936+1)/12)*12*D1936</f>
        <v>2007298.2247200001</v>
      </c>
      <c r="K1936" s="711"/>
      <c r="M1936" s="62">
        <f t="shared" si="152"/>
        <v>3</v>
      </c>
    </row>
    <row r="1937" spans="1:13">
      <c r="A1937" s="88">
        <f t="shared" si="155"/>
        <v>62</v>
      </c>
      <c r="B1937" s="69" t="s">
        <v>1721</v>
      </c>
      <c r="C1937" s="69">
        <v>13</v>
      </c>
      <c r="D1937" s="89">
        <v>3</v>
      </c>
      <c r="E1937" s="111">
        <v>2</v>
      </c>
      <c r="F1937" s="89">
        <v>3</v>
      </c>
      <c r="G1937" s="89">
        <v>3</v>
      </c>
      <c r="H1937" s="296">
        <v>2</v>
      </c>
      <c r="I1937" s="89">
        <v>3</v>
      </c>
      <c r="J1937" s="710">
        <f>(VLOOKUP($C1937,[2]Sheet1!$A$2:$P$18,$M1937+1)/12)*12*D1937</f>
        <v>1886278.61412</v>
      </c>
      <c r="K1937" s="711"/>
      <c r="M1937" s="62">
        <f t="shared" si="152"/>
        <v>3</v>
      </c>
    </row>
    <row r="1938" spans="1:13">
      <c r="A1938" s="88">
        <f t="shared" si="155"/>
        <v>63</v>
      </c>
      <c r="B1938" s="69" t="s">
        <v>1722</v>
      </c>
      <c r="C1938" s="69">
        <v>12</v>
      </c>
      <c r="D1938" s="89">
        <v>2</v>
      </c>
      <c r="E1938" s="111">
        <v>2</v>
      </c>
      <c r="F1938" s="89">
        <v>2</v>
      </c>
      <c r="G1938" s="89">
        <v>2</v>
      </c>
      <c r="H1938" s="296">
        <v>2</v>
      </c>
      <c r="I1938" s="89">
        <v>2</v>
      </c>
      <c r="J1938" s="710">
        <f>(VLOOKUP($C1938,[2]Sheet1!$A$2:$P$18,$M1938+1)/12)*12*D1938</f>
        <v>1105370.1074400004</v>
      </c>
      <c r="K1938" s="711"/>
      <c r="M1938" s="62">
        <f t="shared" si="152"/>
        <v>3</v>
      </c>
    </row>
    <row r="1939" spans="1:13">
      <c r="A1939" s="88">
        <f t="shared" si="155"/>
        <v>64</v>
      </c>
      <c r="B1939" s="69" t="s">
        <v>1723</v>
      </c>
      <c r="C1939" s="69">
        <v>10</v>
      </c>
      <c r="D1939" s="89">
        <v>1</v>
      </c>
      <c r="E1939" s="111">
        <v>3</v>
      </c>
      <c r="F1939" s="89">
        <v>1</v>
      </c>
      <c r="G1939" s="89">
        <v>1</v>
      </c>
      <c r="H1939" s="296">
        <v>1</v>
      </c>
      <c r="I1939" s="89">
        <v>1</v>
      </c>
      <c r="J1939" s="710">
        <f>(VLOOKUP($C1939,[2]Sheet1!$A$2:$P$18,$M1939+1)/12)*12*D1939</f>
        <v>483974.5687200001</v>
      </c>
      <c r="K1939" s="711"/>
      <c r="M1939" s="62">
        <f t="shared" si="152"/>
        <v>3</v>
      </c>
    </row>
    <row r="1940" spans="1:13">
      <c r="A1940" s="88">
        <f t="shared" si="155"/>
        <v>65</v>
      </c>
      <c r="B1940" s="69" t="s">
        <v>1390</v>
      </c>
      <c r="C1940" s="69">
        <v>9</v>
      </c>
      <c r="D1940" s="89">
        <v>1</v>
      </c>
      <c r="E1940" s="111">
        <v>6</v>
      </c>
      <c r="F1940" s="89">
        <v>1</v>
      </c>
      <c r="G1940" s="89">
        <v>1</v>
      </c>
      <c r="H1940" s="296">
        <v>6</v>
      </c>
      <c r="I1940" s="89">
        <v>1</v>
      </c>
      <c r="J1940" s="710">
        <f>(VLOOKUP($C1940,[2]Sheet1!$A$2:$P$18,$M1940+1)/12)*12*D1940</f>
        <v>409681.90619999997</v>
      </c>
      <c r="K1940" s="711"/>
      <c r="M1940" s="62">
        <f t="shared" si="152"/>
        <v>3</v>
      </c>
    </row>
    <row r="1941" spans="1:13">
      <c r="A1941" s="88">
        <f t="shared" si="155"/>
        <v>66</v>
      </c>
      <c r="B1941" s="69" t="s">
        <v>1414</v>
      </c>
      <c r="C1941" s="69">
        <v>8</v>
      </c>
      <c r="D1941" s="89">
        <v>6</v>
      </c>
      <c r="E1941" s="111">
        <v>2</v>
      </c>
      <c r="F1941" s="89">
        <v>6</v>
      </c>
      <c r="G1941" s="89">
        <v>6</v>
      </c>
      <c r="H1941" s="296">
        <v>2</v>
      </c>
      <c r="I1941" s="89">
        <v>6</v>
      </c>
      <c r="J1941" s="710">
        <f>(VLOOKUP($C1941,[2]Sheet1!$A$2:$P$18,$M1941+1)/12)*12*D1941</f>
        <v>2052847.64448</v>
      </c>
      <c r="K1941" s="711"/>
      <c r="M1941" s="62">
        <f t="shared" si="152"/>
        <v>3</v>
      </c>
    </row>
    <row r="1942" spans="1:13">
      <c r="A1942" s="88">
        <f t="shared" si="155"/>
        <v>67</v>
      </c>
      <c r="B1942" s="69" t="s">
        <v>5368</v>
      </c>
      <c r="C1942" s="69">
        <v>7</v>
      </c>
      <c r="D1942" s="89">
        <v>2</v>
      </c>
      <c r="E1942" s="111">
        <v>2</v>
      </c>
      <c r="F1942" s="89">
        <v>2</v>
      </c>
      <c r="G1942" s="89">
        <v>2</v>
      </c>
      <c r="H1942" s="296">
        <v>2</v>
      </c>
      <c r="I1942" s="89">
        <v>2</v>
      </c>
      <c r="J1942" s="710">
        <f>(VLOOKUP($C1942,[2]Sheet1!$A$2:$P$18,$M1942+1)/12)*12*D1942</f>
        <v>615413.40480000013</v>
      </c>
      <c r="K1942" s="711"/>
      <c r="M1942" s="62">
        <f t="shared" si="152"/>
        <v>3</v>
      </c>
    </row>
    <row r="1943" spans="1:13">
      <c r="A1943" s="88">
        <f t="shared" si="155"/>
        <v>68</v>
      </c>
      <c r="B1943" s="69" t="s">
        <v>1581</v>
      </c>
      <c r="C1943" s="69">
        <v>6</v>
      </c>
      <c r="D1943" s="89">
        <v>2</v>
      </c>
      <c r="E1943" s="111">
        <v>2</v>
      </c>
      <c r="F1943" s="89">
        <v>2</v>
      </c>
      <c r="G1943" s="89">
        <v>2</v>
      </c>
      <c r="H1943" s="296">
        <v>2</v>
      </c>
      <c r="I1943" s="89">
        <v>2</v>
      </c>
      <c r="J1943" s="710">
        <f>(VLOOKUP($C1943,[2]Sheet1!$A$2:$P$18,$M1943+1)/12)*12*D1943</f>
        <v>476198.75786072994</v>
      </c>
      <c r="K1943" s="711"/>
      <c r="M1943" s="62">
        <f t="shared" si="152"/>
        <v>5</v>
      </c>
    </row>
    <row r="1944" spans="1:13">
      <c r="A1944" s="88">
        <f t="shared" si="155"/>
        <v>69</v>
      </c>
      <c r="B1944" s="69" t="s">
        <v>3829</v>
      </c>
      <c r="C1944" s="69">
        <v>5</v>
      </c>
      <c r="D1944" s="89">
        <v>0</v>
      </c>
      <c r="E1944" s="111">
        <v>1</v>
      </c>
      <c r="F1944" s="89">
        <v>0</v>
      </c>
      <c r="G1944" s="89">
        <v>0</v>
      </c>
      <c r="H1944" s="296">
        <v>0</v>
      </c>
      <c r="I1944" s="89">
        <v>0</v>
      </c>
      <c r="J1944" s="710">
        <f>(VLOOKUP($C1944,[2]Sheet1!$A$2:$P$18,$M1944+1)/12)*12*D1944</f>
        <v>0</v>
      </c>
      <c r="K1944" s="711"/>
      <c r="M1944" s="62">
        <f t="shared" si="152"/>
        <v>5</v>
      </c>
    </row>
    <row r="1945" spans="1:13">
      <c r="A1945" s="88"/>
      <c r="B1945" s="90" t="s">
        <v>3684</v>
      </c>
      <c r="C1945" s="69"/>
      <c r="D1945" s="89"/>
      <c r="E1945" s="111"/>
      <c r="F1945" s="89"/>
      <c r="G1945" s="89"/>
      <c r="H1945" s="296"/>
      <c r="I1945" s="89"/>
      <c r="J1945" s="710"/>
      <c r="K1945" s="711"/>
      <c r="M1945" s="62">
        <f t="shared" si="152"/>
        <v>5</v>
      </c>
    </row>
    <row r="1946" spans="1:13">
      <c r="A1946" s="88">
        <f>+A1944+1</f>
        <v>70</v>
      </c>
      <c r="B1946" s="69" t="s">
        <v>3532</v>
      </c>
      <c r="C1946" s="69">
        <v>16</v>
      </c>
      <c r="D1946" s="89">
        <v>1</v>
      </c>
      <c r="E1946" s="111">
        <v>1</v>
      </c>
      <c r="F1946" s="89">
        <v>1</v>
      </c>
      <c r="G1946" s="89">
        <v>1</v>
      </c>
      <c r="H1946" s="296">
        <v>1</v>
      </c>
      <c r="I1946" s="89">
        <v>1</v>
      </c>
      <c r="J1946" s="710">
        <f>(VLOOKUP($C1946,[2]Sheet1!$A$2:$P$18,$M1946+1)/12)*12*D1946</f>
        <v>677281.26084</v>
      </c>
      <c r="K1946" s="711"/>
      <c r="M1946" s="62">
        <f t="shared" si="152"/>
        <v>3</v>
      </c>
    </row>
    <row r="1947" spans="1:13">
      <c r="A1947" s="88">
        <f>A1946+1</f>
        <v>71</v>
      </c>
      <c r="B1947" s="69" t="s">
        <v>3685</v>
      </c>
      <c r="C1947" s="69">
        <v>15</v>
      </c>
      <c r="D1947" s="89">
        <v>1</v>
      </c>
      <c r="E1947" s="111">
        <v>1</v>
      </c>
      <c r="F1947" s="89">
        <v>1</v>
      </c>
      <c r="G1947" s="89">
        <v>1</v>
      </c>
      <c r="H1947" s="296">
        <v>1</v>
      </c>
      <c r="I1947" s="89">
        <v>1</v>
      </c>
      <c r="J1947" s="710">
        <f>(VLOOKUP($C1947,[2]Sheet1!$A$2:$P$18,$M1947+1)/12)*12*D1947</f>
        <v>658331.89992</v>
      </c>
      <c r="K1947" s="711"/>
      <c r="M1947" s="62">
        <f t="shared" si="152"/>
        <v>3</v>
      </c>
    </row>
    <row r="1948" spans="1:13">
      <c r="A1948" s="88">
        <f>A1947+1</f>
        <v>72</v>
      </c>
      <c r="B1948" s="69" t="s">
        <v>1256</v>
      </c>
      <c r="C1948" s="69">
        <v>14</v>
      </c>
      <c r="D1948" s="89">
        <v>0</v>
      </c>
      <c r="E1948" s="111">
        <v>0</v>
      </c>
      <c r="F1948" s="89">
        <v>0</v>
      </c>
      <c r="G1948" s="89">
        <v>0</v>
      </c>
      <c r="H1948" s="296">
        <v>0</v>
      </c>
      <c r="I1948" s="89">
        <v>0</v>
      </c>
      <c r="J1948" s="710">
        <f>(VLOOKUP($C1948,[2]Sheet1!$A$2:$P$18,$M1948+1)/12)*12*D1948</f>
        <v>0</v>
      </c>
      <c r="K1948" s="711"/>
      <c r="M1948" s="62">
        <f t="shared" si="152"/>
        <v>3</v>
      </c>
    </row>
    <row r="1949" spans="1:13" ht="13.5" thickBot="1">
      <c r="A1949" s="88">
        <f>A1948+1</f>
        <v>73</v>
      </c>
      <c r="B1949" s="69" t="s">
        <v>1774</v>
      </c>
      <c r="C1949" s="69">
        <v>10</v>
      </c>
      <c r="D1949" s="89">
        <v>1</v>
      </c>
      <c r="E1949" s="111">
        <v>1</v>
      </c>
      <c r="F1949" s="89">
        <v>1</v>
      </c>
      <c r="G1949" s="89">
        <v>1</v>
      </c>
      <c r="H1949" s="296">
        <v>1</v>
      </c>
      <c r="I1949" s="89">
        <v>1</v>
      </c>
      <c r="J1949" s="710">
        <f>(VLOOKUP($C1949,[2]Sheet1!$A$2:$P$18,$M1949+1)/12)*12*D1949</f>
        <v>483974.5687200001</v>
      </c>
      <c r="K1949" s="711"/>
      <c r="M1949" s="62">
        <f t="shared" si="152"/>
        <v>3</v>
      </c>
    </row>
    <row r="1950" spans="1:13" ht="15.75" thickTop="1">
      <c r="A1950" s="1047" t="s">
        <v>2791</v>
      </c>
      <c r="B1950" s="1049" t="s">
        <v>4126</v>
      </c>
      <c r="C1950" s="1049" t="s">
        <v>854</v>
      </c>
      <c r="D1950" s="1040" t="s">
        <v>4127</v>
      </c>
      <c r="E1950" s="1041"/>
      <c r="F1950" s="1041"/>
      <c r="G1950" s="1040" t="s">
        <v>904</v>
      </c>
      <c r="H1950" s="1041"/>
      <c r="I1950" s="1042"/>
      <c r="J1950" s="1035" t="s">
        <v>855</v>
      </c>
      <c r="K1950" s="389"/>
    </row>
    <row r="1951" spans="1:13" ht="26.25" thickBot="1">
      <c r="A1951" s="1048"/>
      <c r="B1951" s="1050"/>
      <c r="C1951" s="1050"/>
      <c r="D1951" s="285" t="s">
        <v>5505</v>
      </c>
      <c r="E1951" s="285" t="s">
        <v>4485</v>
      </c>
      <c r="F1951" s="285" t="s">
        <v>4486</v>
      </c>
      <c r="G1951" s="287" t="s">
        <v>4487</v>
      </c>
      <c r="H1951" s="285" t="s">
        <v>4488</v>
      </c>
      <c r="I1951" s="287" t="s">
        <v>4489</v>
      </c>
      <c r="J1951" s="1036"/>
      <c r="K1951" s="712"/>
    </row>
    <row r="1952" spans="1:13" ht="13.5" thickTop="1">
      <c r="A1952" s="88">
        <f>A1949+1</f>
        <v>74</v>
      </c>
      <c r="B1952" s="69" t="s">
        <v>3828</v>
      </c>
      <c r="C1952" s="69">
        <v>9</v>
      </c>
      <c r="D1952" s="89">
        <v>0</v>
      </c>
      <c r="E1952" s="111">
        <v>0</v>
      </c>
      <c r="F1952" s="89">
        <v>0</v>
      </c>
      <c r="G1952" s="89">
        <v>0</v>
      </c>
      <c r="H1952" s="296">
        <v>0</v>
      </c>
      <c r="I1952" s="89">
        <v>0</v>
      </c>
      <c r="J1952" s="710">
        <f>(VLOOKUP($C1952,[2]Sheet1!$A$2:$P$18,$M1952+1)/12)*12*D1952</f>
        <v>0</v>
      </c>
      <c r="K1952" s="711"/>
      <c r="M1952" s="62">
        <f t="shared" si="152"/>
        <v>3</v>
      </c>
    </row>
    <row r="1953" spans="1:13">
      <c r="A1953" s="88">
        <f>A1952+1</f>
        <v>75</v>
      </c>
      <c r="B1953" s="69" t="s">
        <v>1630</v>
      </c>
      <c r="C1953" s="69">
        <v>8</v>
      </c>
      <c r="D1953" s="89">
        <v>1</v>
      </c>
      <c r="E1953" s="111">
        <v>1</v>
      </c>
      <c r="F1953" s="89">
        <v>1</v>
      </c>
      <c r="G1953" s="89">
        <v>1</v>
      </c>
      <c r="H1953" s="296">
        <v>1</v>
      </c>
      <c r="I1953" s="89">
        <v>1</v>
      </c>
      <c r="J1953" s="710">
        <f>(VLOOKUP($C1953,[2]Sheet1!$A$2:$P$18,$M1953+1)/12)*12*D1953</f>
        <v>342141.27408</v>
      </c>
      <c r="K1953" s="711"/>
      <c r="M1953" s="62">
        <f t="shared" si="152"/>
        <v>3</v>
      </c>
    </row>
    <row r="1954" spans="1:13">
      <c r="A1954" s="88"/>
      <c r="B1954" s="90" t="s">
        <v>3686</v>
      </c>
      <c r="C1954" s="69"/>
      <c r="D1954" s="89"/>
      <c r="E1954" s="111"/>
      <c r="F1954" s="69"/>
      <c r="G1954" s="89"/>
      <c r="H1954" s="296"/>
      <c r="I1954" s="89"/>
      <c r="J1954" s="713"/>
      <c r="K1954" s="711"/>
      <c r="M1954" s="62">
        <f t="shared" ref="M1954:M1980" si="156">IF(C1954&gt;6,3,5)</f>
        <v>5</v>
      </c>
    </row>
    <row r="1955" spans="1:13">
      <c r="A1955" s="88">
        <f>+A1953+1</f>
        <v>76</v>
      </c>
      <c r="B1955" s="69" t="s">
        <v>3532</v>
      </c>
      <c r="C1955" s="69">
        <v>16</v>
      </c>
      <c r="D1955" s="89">
        <v>1</v>
      </c>
      <c r="E1955" s="111">
        <v>1</v>
      </c>
      <c r="F1955" s="89">
        <v>1</v>
      </c>
      <c r="G1955" s="89">
        <v>1</v>
      </c>
      <c r="H1955" s="296">
        <v>1</v>
      </c>
      <c r="I1955" s="89">
        <v>1</v>
      </c>
      <c r="J1955" s="710">
        <f>(VLOOKUP($C1955,[2]Sheet1!$A$2:$P$18,$M1955+1)/12)*12*D1955</f>
        <v>677281.26084</v>
      </c>
      <c r="K1955" s="711"/>
      <c r="M1955" s="62">
        <f t="shared" si="156"/>
        <v>3</v>
      </c>
    </row>
    <row r="1956" spans="1:13">
      <c r="A1956" s="88">
        <f t="shared" ref="A1956:A1965" si="157">+A1955+1</f>
        <v>77</v>
      </c>
      <c r="B1956" s="69" t="s">
        <v>1256</v>
      </c>
      <c r="C1956" s="69">
        <v>15</v>
      </c>
      <c r="D1956" s="89">
        <v>1</v>
      </c>
      <c r="E1956" s="111">
        <v>1</v>
      </c>
      <c r="F1956" s="89">
        <v>1</v>
      </c>
      <c r="G1956" s="89">
        <v>1</v>
      </c>
      <c r="H1956" s="296">
        <v>1</v>
      </c>
      <c r="I1956" s="89">
        <v>1</v>
      </c>
      <c r="J1956" s="710">
        <f>(VLOOKUP($C1956,[2]Sheet1!$A$2:$P$18,$M1956+1)/12)*12*D1956</f>
        <v>658331.89992</v>
      </c>
      <c r="K1956" s="711"/>
      <c r="M1956" s="62">
        <f t="shared" si="156"/>
        <v>3</v>
      </c>
    </row>
    <row r="1957" spans="1:13">
      <c r="A1957" s="88">
        <f t="shared" si="157"/>
        <v>78</v>
      </c>
      <c r="B1957" s="69" t="s">
        <v>3533</v>
      </c>
      <c r="C1957" s="69">
        <v>14</v>
      </c>
      <c r="D1957" s="89">
        <v>1</v>
      </c>
      <c r="E1957" s="111">
        <v>1</v>
      </c>
      <c r="F1957" s="89">
        <v>1</v>
      </c>
      <c r="G1957" s="89">
        <v>1</v>
      </c>
      <c r="H1957" s="296">
        <v>1</v>
      </c>
      <c r="I1957" s="89">
        <v>1</v>
      </c>
      <c r="J1957" s="710">
        <f>(VLOOKUP($C1957,[2]Sheet1!$A$2:$P$18,$M1957+1)/12)*12*D1957</f>
        <v>669099.40824000002</v>
      </c>
      <c r="K1957" s="711"/>
      <c r="M1957" s="62">
        <f t="shared" si="156"/>
        <v>3</v>
      </c>
    </row>
    <row r="1958" spans="1:13">
      <c r="A1958" s="88">
        <f t="shared" si="157"/>
        <v>79</v>
      </c>
      <c r="B1958" s="69" t="s">
        <v>1525</v>
      </c>
      <c r="C1958" s="69">
        <v>14</v>
      </c>
      <c r="D1958" s="89">
        <v>1</v>
      </c>
      <c r="E1958" s="111">
        <v>1</v>
      </c>
      <c r="F1958" s="89">
        <v>1</v>
      </c>
      <c r="G1958" s="89">
        <v>1</v>
      </c>
      <c r="H1958" s="296">
        <v>1</v>
      </c>
      <c r="I1958" s="89">
        <v>1</v>
      </c>
      <c r="J1958" s="710">
        <f>(VLOOKUP($C1958,[2]Sheet1!$A$2:$P$18,$M1958+1)/12)*12*D1958</f>
        <v>669099.40824000002</v>
      </c>
      <c r="K1958" s="711"/>
      <c r="M1958" s="62">
        <f t="shared" si="156"/>
        <v>3</v>
      </c>
    </row>
    <row r="1959" spans="1:13">
      <c r="A1959" s="88">
        <f t="shared" si="157"/>
        <v>80</v>
      </c>
      <c r="B1959" s="69" t="s">
        <v>1526</v>
      </c>
      <c r="C1959" s="69">
        <v>13</v>
      </c>
      <c r="D1959" s="89">
        <v>2</v>
      </c>
      <c r="E1959" s="111">
        <v>2</v>
      </c>
      <c r="F1959" s="89">
        <v>2</v>
      </c>
      <c r="G1959" s="89">
        <v>2</v>
      </c>
      <c r="H1959" s="296">
        <v>1</v>
      </c>
      <c r="I1959" s="89">
        <v>2</v>
      </c>
      <c r="J1959" s="710">
        <f>(VLOOKUP($C1959,[2]Sheet1!$A$2:$P$18,$M1959+1)/12)*12*D1959</f>
        <v>1257519.07608</v>
      </c>
      <c r="K1959" s="711"/>
      <c r="M1959" s="62">
        <f t="shared" si="156"/>
        <v>3</v>
      </c>
    </row>
    <row r="1960" spans="1:13">
      <c r="A1960" s="88">
        <f t="shared" si="157"/>
        <v>81</v>
      </c>
      <c r="B1960" s="69" t="s">
        <v>3879</v>
      </c>
      <c r="C1960" s="69">
        <v>13</v>
      </c>
      <c r="D1960" s="89">
        <v>1</v>
      </c>
      <c r="E1960" s="111">
        <v>1</v>
      </c>
      <c r="F1960" s="89">
        <v>1</v>
      </c>
      <c r="G1960" s="89">
        <v>1</v>
      </c>
      <c r="H1960" s="296">
        <v>1</v>
      </c>
      <c r="I1960" s="89">
        <v>1</v>
      </c>
      <c r="J1960" s="710">
        <f>(VLOOKUP($C1960,[2]Sheet1!$A$2:$P$18,$M1960+1)/12)*12*D1960</f>
        <v>628759.53804000001</v>
      </c>
      <c r="K1960" s="711"/>
      <c r="M1960" s="62">
        <f t="shared" si="156"/>
        <v>3</v>
      </c>
    </row>
    <row r="1961" spans="1:13">
      <c r="A1961" s="88">
        <f t="shared" si="157"/>
        <v>82</v>
      </c>
      <c r="B1961" s="69" t="s">
        <v>3880</v>
      </c>
      <c r="C1961" s="69">
        <v>12</v>
      </c>
      <c r="D1961" s="89">
        <v>0</v>
      </c>
      <c r="E1961" s="111">
        <v>1</v>
      </c>
      <c r="F1961" s="89">
        <v>0</v>
      </c>
      <c r="G1961" s="89">
        <v>0</v>
      </c>
      <c r="H1961" s="296">
        <v>1</v>
      </c>
      <c r="I1961" s="89">
        <v>0</v>
      </c>
      <c r="J1961" s="710">
        <f>(VLOOKUP($C1961,[2]Sheet1!$A$2:$P$18,$M1961+1)/12)*12*D1961</f>
        <v>0</v>
      </c>
      <c r="K1961" s="711"/>
      <c r="M1961" s="62">
        <f t="shared" si="156"/>
        <v>3</v>
      </c>
    </row>
    <row r="1962" spans="1:13">
      <c r="A1962" s="88">
        <f t="shared" si="157"/>
        <v>83</v>
      </c>
      <c r="B1962" s="69" t="s">
        <v>2852</v>
      </c>
      <c r="C1962" s="69">
        <v>10</v>
      </c>
      <c r="D1962" s="89">
        <v>1</v>
      </c>
      <c r="E1962" s="111">
        <v>1</v>
      </c>
      <c r="F1962" s="89">
        <v>1</v>
      </c>
      <c r="G1962" s="89">
        <v>1</v>
      </c>
      <c r="H1962" s="296">
        <v>1</v>
      </c>
      <c r="I1962" s="89">
        <v>1</v>
      </c>
      <c r="J1962" s="710">
        <f>(VLOOKUP($C1962,[2]Sheet1!$A$2:$P$18,$M1962+1)/12)*12*D1962</f>
        <v>483974.5687200001</v>
      </c>
      <c r="K1962" s="711"/>
      <c r="M1962" s="62">
        <f t="shared" si="156"/>
        <v>3</v>
      </c>
    </row>
    <row r="1963" spans="1:13">
      <c r="A1963" s="88">
        <f t="shared" si="157"/>
        <v>84</v>
      </c>
      <c r="B1963" s="69" t="s">
        <v>2853</v>
      </c>
      <c r="C1963" s="69">
        <v>9</v>
      </c>
      <c r="D1963" s="89">
        <v>1</v>
      </c>
      <c r="E1963" s="111">
        <v>1</v>
      </c>
      <c r="F1963" s="89">
        <v>1</v>
      </c>
      <c r="G1963" s="89">
        <v>1</v>
      </c>
      <c r="H1963" s="296">
        <v>1</v>
      </c>
      <c r="I1963" s="89">
        <v>1</v>
      </c>
      <c r="J1963" s="710">
        <f>(VLOOKUP($C1963,[2]Sheet1!$A$2:$P$18,$M1963+1)/12)*12*D1963</f>
        <v>409681.90619999997</v>
      </c>
      <c r="K1963" s="711"/>
      <c r="M1963" s="62">
        <f t="shared" si="156"/>
        <v>3</v>
      </c>
    </row>
    <row r="1964" spans="1:13">
      <c r="A1964" s="88">
        <f>+A1963+1</f>
        <v>85</v>
      </c>
      <c r="B1964" s="69" t="s">
        <v>3884</v>
      </c>
      <c r="C1964" s="69">
        <v>8</v>
      </c>
      <c r="D1964" s="89">
        <v>1</v>
      </c>
      <c r="E1964" s="111">
        <v>0</v>
      </c>
      <c r="F1964" s="89">
        <v>1</v>
      </c>
      <c r="G1964" s="89">
        <v>1</v>
      </c>
      <c r="H1964" s="296">
        <v>0</v>
      </c>
      <c r="I1964" s="89">
        <v>1</v>
      </c>
      <c r="J1964" s="710">
        <f>(VLOOKUP($C1964,[2]Sheet1!$A$2:$P$18,$M1964+1)/12)*12*D1964</f>
        <v>342141.27408</v>
      </c>
      <c r="K1964" s="711"/>
      <c r="M1964" s="62">
        <f t="shared" si="156"/>
        <v>3</v>
      </c>
    </row>
    <row r="1965" spans="1:13">
      <c r="A1965" s="88">
        <f t="shared" si="157"/>
        <v>86</v>
      </c>
      <c r="B1965" s="69" t="s">
        <v>1356</v>
      </c>
      <c r="C1965" s="69">
        <v>7</v>
      </c>
      <c r="D1965" s="89">
        <v>0</v>
      </c>
      <c r="E1965" s="111">
        <v>1</v>
      </c>
      <c r="F1965" s="89">
        <v>0</v>
      </c>
      <c r="G1965" s="89">
        <v>0</v>
      </c>
      <c r="H1965" s="296">
        <v>1</v>
      </c>
      <c r="I1965" s="89">
        <v>0</v>
      </c>
      <c r="J1965" s="710">
        <f>(VLOOKUP($C1965,[2]Sheet1!$A$2:$P$18,$M1965+1)/12)*12*D1965</f>
        <v>0</v>
      </c>
      <c r="K1965" s="711"/>
      <c r="M1965" s="62">
        <f t="shared" si="156"/>
        <v>3</v>
      </c>
    </row>
    <row r="1966" spans="1:13">
      <c r="A1966" s="92"/>
      <c r="B1966" s="93" t="s">
        <v>1684</v>
      </c>
      <c r="C1966" s="94"/>
      <c r="D1966" s="123">
        <f t="shared" ref="D1966:J1966" si="158">SUM(D1870:D1965)</f>
        <v>79</v>
      </c>
      <c r="E1966" s="279">
        <f t="shared" si="158"/>
        <v>124</v>
      </c>
      <c r="F1966" s="123">
        <f t="shared" si="158"/>
        <v>79</v>
      </c>
      <c r="G1966" s="123">
        <f>SUM(G1870:G1965)</f>
        <v>79</v>
      </c>
      <c r="H1966" s="297">
        <f t="shared" si="158"/>
        <v>101</v>
      </c>
      <c r="I1966" s="123">
        <f t="shared" si="158"/>
        <v>79</v>
      </c>
      <c r="J1966" s="124">
        <f t="shared" si="158"/>
        <v>30331830.212262057</v>
      </c>
      <c r="K1966" s="376"/>
      <c r="M1966" s="62">
        <f t="shared" si="156"/>
        <v>5</v>
      </c>
    </row>
    <row r="1967" spans="1:13">
      <c r="D1967" s="62"/>
      <c r="E1967" s="62"/>
      <c r="F1967" s="69"/>
      <c r="G1967" s="62"/>
      <c r="H1967" s="62"/>
      <c r="I1967" s="62"/>
      <c r="M1967" s="62">
        <f t="shared" si="156"/>
        <v>5</v>
      </c>
    </row>
    <row r="1968" spans="1:13">
      <c r="A1968" s="88"/>
      <c r="B1968" s="90" t="s">
        <v>1199</v>
      </c>
      <c r="C1968" s="97"/>
      <c r="D1968" s="98"/>
      <c r="E1968" s="98"/>
      <c r="F1968" s="125"/>
      <c r="G1968" s="240" t="s">
        <v>243</v>
      </c>
      <c r="H1968" s="240" t="s">
        <v>4130</v>
      </c>
      <c r="I1968" s="240" t="s">
        <v>4202</v>
      </c>
      <c r="J1968" s="241" t="s">
        <v>4200</v>
      </c>
      <c r="K1968" s="375"/>
      <c r="M1968" s="62">
        <f t="shared" si="156"/>
        <v>5</v>
      </c>
    </row>
    <row r="1969" spans="1:13">
      <c r="A1969" s="88"/>
      <c r="B1969" s="69" t="s">
        <v>2786</v>
      </c>
      <c r="C1969" s="69"/>
      <c r="D1969" s="89"/>
      <c r="E1969" s="133"/>
      <c r="F1969" s="89"/>
      <c r="G1969" s="100">
        <f>J1966*0.2</f>
        <v>6066366.0424524117</v>
      </c>
      <c r="H1969" s="100">
        <f>G1969*1.02</f>
        <v>6187693.3633014597</v>
      </c>
      <c r="I1969" s="100">
        <f>H1969*1.02</f>
        <v>6311447.2305674888</v>
      </c>
      <c r="J1969" s="100">
        <f>SUM(G1969:I1969)</f>
        <v>18565506.636321358</v>
      </c>
      <c r="K1969" s="114"/>
      <c r="M1969" s="62">
        <f t="shared" si="156"/>
        <v>5</v>
      </c>
    </row>
    <row r="1970" spans="1:13">
      <c r="A1970" s="92"/>
      <c r="B1970" s="93" t="s">
        <v>1933</v>
      </c>
      <c r="C1970" s="94"/>
      <c r="D1970" s="101"/>
      <c r="E1970" s="101"/>
      <c r="F1970" s="95"/>
      <c r="G1970" s="95">
        <f>SUM(G1969:G1969)</f>
        <v>6066366.0424524117</v>
      </c>
      <c r="H1970" s="95">
        <f>SUM(H1969:H1969)</f>
        <v>6187693.3633014597</v>
      </c>
      <c r="I1970" s="95">
        <f>SUM(I1969:I1969)</f>
        <v>6311447.2305674888</v>
      </c>
      <c r="J1970" s="95">
        <f>SUM(J1969:J1969)</f>
        <v>18565506.636321358</v>
      </c>
      <c r="K1970" s="378"/>
      <c r="M1970" s="62">
        <f t="shared" si="156"/>
        <v>5</v>
      </c>
    </row>
    <row r="1971" spans="1:13">
      <c r="A1971" s="88"/>
      <c r="B1971" s="69"/>
      <c r="C1971" s="69"/>
      <c r="D1971" s="89"/>
      <c r="E1971" s="89"/>
      <c r="F1971" s="89"/>
      <c r="G1971" s="89"/>
      <c r="H1971" s="89"/>
      <c r="I1971" s="89"/>
      <c r="J1971" s="89"/>
      <c r="K1971" s="114"/>
      <c r="M1971" s="62">
        <f t="shared" si="156"/>
        <v>5</v>
      </c>
    </row>
    <row r="1972" spans="1:13">
      <c r="A1972" s="88"/>
      <c r="B1972" s="69"/>
      <c r="C1972" s="69"/>
      <c r="D1972" s="89"/>
      <c r="E1972" s="89"/>
      <c r="F1972" s="89"/>
      <c r="G1972" s="89"/>
      <c r="H1972" s="89"/>
      <c r="I1972" s="89"/>
      <c r="J1972" s="89"/>
      <c r="K1972" s="114"/>
      <c r="M1972" s="62">
        <f t="shared" si="156"/>
        <v>5</v>
      </c>
    </row>
    <row r="1973" spans="1:13">
      <c r="A1973" s="88">
        <v>1</v>
      </c>
      <c r="B1973" s="69" t="s">
        <v>1934</v>
      </c>
      <c r="C1973" s="69"/>
      <c r="D1973" s="89"/>
      <c r="E1973" s="89"/>
      <c r="F1973" s="89"/>
      <c r="G1973" s="100">
        <f>G1970+J1966</f>
        <v>36398196.254714467</v>
      </c>
      <c r="H1973" s="100">
        <f>G1973*1.02</f>
        <v>37126160.179808758</v>
      </c>
      <c r="I1973" s="100">
        <f>H1973*1.02</f>
        <v>37868683.383404933</v>
      </c>
      <c r="J1973" s="100">
        <f>SUM(G1973:I1973)</f>
        <v>111393039.81792817</v>
      </c>
      <c r="K1973" s="114"/>
      <c r="M1973" s="62">
        <f t="shared" si="156"/>
        <v>5</v>
      </c>
    </row>
    <row r="1974" spans="1:13">
      <c r="A1974" s="88">
        <f>+A1973+1</f>
        <v>2</v>
      </c>
      <c r="B1974" s="69" t="s">
        <v>129</v>
      </c>
      <c r="C1974" s="69"/>
      <c r="D1974" s="89"/>
      <c r="E1974" s="89"/>
      <c r="F1974" s="89"/>
      <c r="G1974" s="89">
        <f>C2000</f>
        <v>12000000</v>
      </c>
      <c r="H1974" s="89">
        <f>D2000</f>
        <v>12000000</v>
      </c>
      <c r="I1974" s="89">
        <f>E2000</f>
        <v>12000000</v>
      </c>
      <c r="J1974" s="100">
        <f>SUM(G1974:I1974)</f>
        <v>36000000</v>
      </c>
      <c r="K1974" s="114"/>
      <c r="M1974" s="62">
        <f t="shared" si="156"/>
        <v>5</v>
      </c>
    </row>
    <row r="1975" spans="1:13">
      <c r="A1975" s="88"/>
      <c r="B1975" s="69"/>
      <c r="C1975" s="69"/>
      <c r="D1975" s="89"/>
      <c r="E1975" s="89"/>
      <c r="F1975" s="89"/>
      <c r="G1975" s="89"/>
      <c r="H1975" s="89"/>
      <c r="I1975" s="89"/>
      <c r="J1975" s="89"/>
      <c r="K1975" s="114"/>
      <c r="M1975" s="62">
        <f t="shared" si="156"/>
        <v>5</v>
      </c>
    </row>
    <row r="1976" spans="1:13" ht="13.5" thickBot="1">
      <c r="A1976" s="102"/>
      <c r="B1976" s="103" t="s">
        <v>2241</v>
      </c>
      <c r="C1976" s="104"/>
      <c r="D1976" s="105"/>
      <c r="E1976" s="105"/>
      <c r="F1976" s="106"/>
      <c r="G1976" s="106">
        <f>+G1974+G1973</f>
        <v>48398196.254714467</v>
      </c>
      <c r="H1976" s="106">
        <f>+H1974+H1973</f>
        <v>49126160.179808758</v>
      </c>
      <c r="I1976" s="106">
        <f>+I1974+I1973</f>
        <v>49868683.383404933</v>
      </c>
      <c r="J1976" s="106">
        <f>+J1974+J1973</f>
        <v>147393039.81792817</v>
      </c>
      <c r="K1976" s="378"/>
      <c r="M1976" s="62">
        <f t="shared" si="156"/>
        <v>5</v>
      </c>
    </row>
    <row r="1977" spans="1:13" ht="15.75" thickTop="1">
      <c r="C1977" s="77"/>
      <c r="D1977" s="78" t="s">
        <v>5434</v>
      </c>
      <c r="J1977" s="584"/>
      <c r="K1977" s="584"/>
      <c r="M1977" s="62">
        <f t="shared" si="156"/>
        <v>5</v>
      </c>
    </row>
    <row r="1978" spans="1:13" ht="15">
      <c r="C1978" s="77"/>
      <c r="D1978" s="78" t="s">
        <v>716</v>
      </c>
      <c r="J1978" s="584"/>
      <c r="K1978" s="584"/>
      <c r="M1978" s="62">
        <f t="shared" si="156"/>
        <v>5</v>
      </c>
    </row>
    <row r="1979" spans="1:13" ht="15">
      <c r="C1979" s="79" t="s">
        <v>717</v>
      </c>
      <c r="D1979" s="78" t="s">
        <v>3324</v>
      </c>
      <c r="J1979" s="584"/>
      <c r="K1979" s="584"/>
      <c r="M1979" s="62">
        <f t="shared" si="156"/>
        <v>3</v>
      </c>
    </row>
    <row r="1980" spans="1:13" ht="15">
      <c r="C1980" s="79" t="s">
        <v>718</v>
      </c>
      <c r="D1980" s="78" t="s">
        <v>2455</v>
      </c>
      <c r="J1980" s="584"/>
      <c r="K1980" s="584"/>
      <c r="M1980" s="62">
        <f t="shared" si="156"/>
        <v>3</v>
      </c>
    </row>
    <row r="1981" spans="1:13" ht="15">
      <c r="A1981" s="634" t="s">
        <v>1839</v>
      </c>
      <c r="B1981" s="635" t="s">
        <v>903</v>
      </c>
      <c r="C1981" s="1037" t="s">
        <v>4127</v>
      </c>
      <c r="D1981" s="1038"/>
      <c r="E1981" s="1039"/>
      <c r="F1981" s="635" t="s">
        <v>1684</v>
      </c>
      <c r="G1981" s="1037" t="s">
        <v>4132</v>
      </c>
      <c r="H1981" s="1038"/>
      <c r="I1981" s="1039"/>
      <c r="J1981" s="726"/>
      <c r="K1981" s="727"/>
    </row>
    <row r="1982" spans="1:13">
      <c r="A1982" s="636" t="s">
        <v>1620</v>
      </c>
      <c r="B1982" s="637"/>
      <c r="C1982" s="635" t="s">
        <v>1841</v>
      </c>
      <c r="D1982" s="635" t="s">
        <v>4133</v>
      </c>
      <c r="E1982" s="635" t="s">
        <v>4133</v>
      </c>
      <c r="F1982" s="1056" t="s">
        <v>4200</v>
      </c>
      <c r="G1982" s="634" t="s">
        <v>4135</v>
      </c>
      <c r="H1982" s="1051" t="s">
        <v>4182</v>
      </c>
      <c r="I1982" s="634" t="s">
        <v>4135</v>
      </c>
      <c r="J1982" s="728" t="s">
        <v>4136</v>
      </c>
      <c r="K1982" s="727"/>
    </row>
    <row r="1983" spans="1:13" ht="12.75" customHeight="1">
      <c r="A1983" s="638" t="s">
        <v>387</v>
      </c>
      <c r="B1983" s="639"/>
      <c r="C1983" s="638">
        <v>2015</v>
      </c>
      <c r="D1983" s="638">
        <v>2016</v>
      </c>
      <c r="E1983" s="638">
        <v>2017</v>
      </c>
      <c r="F1983" s="1057"/>
      <c r="G1983" s="638" t="s">
        <v>4304</v>
      </c>
      <c r="H1983" s="1052"/>
      <c r="I1983" s="638" t="s">
        <v>4303</v>
      </c>
      <c r="J1983" s="639"/>
      <c r="K1983" s="729"/>
    </row>
    <row r="1984" spans="1:13">
      <c r="A1984" s="768">
        <v>2</v>
      </c>
      <c r="B1984" s="768" t="s">
        <v>1695</v>
      </c>
      <c r="C1984" s="774">
        <v>2500000</v>
      </c>
      <c r="D1984" s="774">
        <v>2500000</v>
      </c>
      <c r="E1984" s="774">
        <v>2500000</v>
      </c>
      <c r="F1984" s="289">
        <f>SUM(C1984:E1984)</f>
        <v>7500000</v>
      </c>
      <c r="G1984" s="289">
        <v>0</v>
      </c>
      <c r="H1984" s="780">
        <v>2500000</v>
      </c>
      <c r="I1984" s="289">
        <v>0</v>
      </c>
      <c r="J1984" s="774"/>
      <c r="K1984" s="776"/>
      <c r="M1984" s="62" t="e">
        <f>IF(#REF!&gt;6,3,5)</f>
        <v>#REF!</v>
      </c>
    </row>
    <row r="1985" spans="1:13">
      <c r="A1985" s="768">
        <f t="shared" ref="A1985:A1997" si="159">+A1984+1</f>
        <v>3</v>
      </c>
      <c r="B1985" s="768" t="s">
        <v>1696</v>
      </c>
      <c r="C1985" s="774" t="s">
        <v>3007</v>
      </c>
      <c r="D1985" s="774" t="s">
        <v>3007</v>
      </c>
      <c r="E1985" s="774" t="s">
        <v>3007</v>
      </c>
      <c r="F1985" s="289">
        <f t="shared" ref="F1985:F1997" si="160">SUM(C1985:E1985)</f>
        <v>0</v>
      </c>
      <c r="G1985" s="289">
        <v>0</v>
      </c>
      <c r="H1985" s="780" t="s">
        <v>3007</v>
      </c>
      <c r="I1985" s="289">
        <v>0</v>
      </c>
      <c r="J1985" s="751"/>
      <c r="K1985" s="754"/>
      <c r="M1985" s="62" t="e">
        <f>IF(#REF!&gt;6,3,5)</f>
        <v>#REF!</v>
      </c>
    </row>
    <row r="1986" spans="1:13">
      <c r="A1986" s="768">
        <f t="shared" si="159"/>
        <v>4</v>
      </c>
      <c r="B1986" s="768" t="s">
        <v>1701</v>
      </c>
      <c r="C1986" s="774" t="s">
        <v>3007</v>
      </c>
      <c r="D1986" s="774" t="s">
        <v>3007</v>
      </c>
      <c r="E1986" s="774" t="s">
        <v>3007</v>
      </c>
      <c r="F1986" s="289">
        <f t="shared" si="160"/>
        <v>0</v>
      </c>
      <c r="G1986" s="289">
        <v>0</v>
      </c>
      <c r="H1986" s="780" t="s">
        <v>3007</v>
      </c>
      <c r="I1986" s="289">
        <v>0</v>
      </c>
      <c r="J1986" s="751"/>
      <c r="K1986" s="754"/>
      <c r="M1986" s="62" t="e">
        <f>IF(#REF!&gt;6,3,5)</f>
        <v>#REF!</v>
      </c>
    </row>
    <row r="1987" spans="1:13">
      <c r="A1987" s="768">
        <f t="shared" si="159"/>
        <v>5</v>
      </c>
      <c r="B1987" s="768" t="s">
        <v>998</v>
      </c>
      <c r="C1987" s="774">
        <v>500000</v>
      </c>
      <c r="D1987" s="774">
        <v>500000</v>
      </c>
      <c r="E1987" s="774">
        <v>500000</v>
      </c>
      <c r="F1987" s="289">
        <f t="shared" si="160"/>
        <v>1500000</v>
      </c>
      <c r="G1987" s="289">
        <v>0</v>
      </c>
      <c r="H1987" s="780">
        <v>500000</v>
      </c>
      <c r="I1987" s="289">
        <v>0</v>
      </c>
      <c r="J1987" s="774"/>
      <c r="K1987" s="776"/>
      <c r="M1987" s="62" t="e">
        <f>IF(#REF!&gt;6,3,5)</f>
        <v>#REF!</v>
      </c>
    </row>
    <row r="1988" spans="1:13">
      <c r="A1988" s="768">
        <f t="shared" si="159"/>
        <v>6</v>
      </c>
      <c r="B1988" s="768" t="s">
        <v>999</v>
      </c>
      <c r="C1988" s="774">
        <v>500000</v>
      </c>
      <c r="D1988" s="774">
        <v>500000</v>
      </c>
      <c r="E1988" s="774">
        <v>500000</v>
      </c>
      <c r="F1988" s="289">
        <f t="shared" si="160"/>
        <v>1500000</v>
      </c>
      <c r="G1988" s="289">
        <v>0</v>
      </c>
      <c r="H1988" s="780">
        <v>500000</v>
      </c>
      <c r="I1988" s="289">
        <v>0</v>
      </c>
      <c r="J1988" s="774"/>
      <c r="K1988" s="776"/>
      <c r="M1988" s="62" t="e">
        <f>IF(#REF!&gt;6,3,5)</f>
        <v>#REF!</v>
      </c>
    </row>
    <row r="1989" spans="1:13">
      <c r="A1989" s="768">
        <f t="shared" si="159"/>
        <v>7</v>
      </c>
      <c r="B1989" s="768" t="s">
        <v>897</v>
      </c>
      <c r="C1989" s="774">
        <v>3000000</v>
      </c>
      <c r="D1989" s="774">
        <v>3000000</v>
      </c>
      <c r="E1989" s="774">
        <v>3000000</v>
      </c>
      <c r="F1989" s="289">
        <f t="shared" si="160"/>
        <v>9000000</v>
      </c>
      <c r="G1989" s="289">
        <v>0</v>
      </c>
      <c r="H1989" s="780">
        <v>3000000</v>
      </c>
      <c r="I1989" s="289">
        <v>0</v>
      </c>
      <c r="J1989" s="774"/>
      <c r="K1989" s="776"/>
      <c r="M1989" s="62" t="e">
        <f>IF(#REF!&gt;6,3,5)</f>
        <v>#REF!</v>
      </c>
    </row>
    <row r="1990" spans="1:13">
      <c r="A1990" s="768">
        <f t="shared" si="159"/>
        <v>8</v>
      </c>
      <c r="B1990" s="768" t="s">
        <v>1001</v>
      </c>
      <c r="C1990" s="774" t="s">
        <v>3007</v>
      </c>
      <c r="D1990" s="774" t="s">
        <v>3007</v>
      </c>
      <c r="E1990" s="774" t="s">
        <v>3007</v>
      </c>
      <c r="F1990" s="289">
        <f t="shared" si="160"/>
        <v>0</v>
      </c>
      <c r="G1990" s="289">
        <v>0</v>
      </c>
      <c r="H1990" s="780" t="s">
        <v>3007</v>
      </c>
      <c r="I1990" s="289">
        <v>0</v>
      </c>
      <c r="J1990" s="751"/>
      <c r="K1990" s="754"/>
      <c r="M1990" s="62" t="e">
        <f>IF(#REF!&gt;6,3,5)</f>
        <v>#REF!</v>
      </c>
    </row>
    <row r="1991" spans="1:13">
      <c r="A1991" s="768">
        <f t="shared" si="159"/>
        <v>9</v>
      </c>
      <c r="B1991" s="768" t="s">
        <v>2061</v>
      </c>
      <c r="C1991" s="774" t="s">
        <v>3007</v>
      </c>
      <c r="D1991" s="774" t="s">
        <v>3007</v>
      </c>
      <c r="E1991" s="774" t="s">
        <v>3007</v>
      </c>
      <c r="F1991" s="289">
        <f t="shared" si="160"/>
        <v>0</v>
      </c>
      <c r="G1991" s="289">
        <v>0</v>
      </c>
      <c r="H1991" s="780" t="s">
        <v>3007</v>
      </c>
      <c r="I1991" s="289">
        <v>0</v>
      </c>
      <c r="J1991" s="751"/>
      <c r="K1991" s="754"/>
      <c r="M1991" s="62" t="e">
        <f>IF(#REF!&gt;6,3,5)</f>
        <v>#REF!</v>
      </c>
    </row>
    <row r="1992" spans="1:13">
      <c r="A1992" s="768">
        <f t="shared" si="159"/>
        <v>10</v>
      </c>
      <c r="B1992" s="768" t="s">
        <v>1680</v>
      </c>
      <c r="C1992" s="774">
        <v>500000</v>
      </c>
      <c r="D1992" s="774">
        <v>500000</v>
      </c>
      <c r="E1992" s="774">
        <v>500000</v>
      </c>
      <c r="F1992" s="289">
        <f t="shared" si="160"/>
        <v>1500000</v>
      </c>
      <c r="G1992" s="289">
        <v>0</v>
      </c>
      <c r="H1992" s="780">
        <v>500000</v>
      </c>
      <c r="I1992" s="289">
        <v>0</v>
      </c>
      <c r="J1992" s="774"/>
      <c r="K1992" s="776"/>
      <c r="M1992" s="62" t="e">
        <f>IF(#REF!&gt;6,3,5)</f>
        <v>#REF!</v>
      </c>
    </row>
    <row r="1993" spans="1:13">
      <c r="A1993" s="768">
        <f t="shared" si="159"/>
        <v>11</v>
      </c>
      <c r="B1993" s="768" t="s">
        <v>1681</v>
      </c>
      <c r="C1993" s="774">
        <v>100000</v>
      </c>
      <c r="D1993" s="774">
        <v>100000</v>
      </c>
      <c r="E1993" s="774">
        <v>100000</v>
      </c>
      <c r="F1993" s="289">
        <f t="shared" si="160"/>
        <v>300000</v>
      </c>
      <c r="G1993" s="289">
        <v>0</v>
      </c>
      <c r="H1993" s="780">
        <v>100000</v>
      </c>
      <c r="I1993" s="289">
        <v>0</v>
      </c>
      <c r="J1993" s="774"/>
      <c r="K1993" s="776"/>
      <c r="M1993" s="62" t="e">
        <f>IF(#REF!&gt;6,3,5)</f>
        <v>#REF!</v>
      </c>
    </row>
    <row r="1994" spans="1:13">
      <c r="A1994" s="768">
        <f t="shared" si="159"/>
        <v>12</v>
      </c>
      <c r="B1994" s="768" t="s">
        <v>1682</v>
      </c>
      <c r="C1994" s="774">
        <v>3300000</v>
      </c>
      <c r="D1994" s="774">
        <v>3300000</v>
      </c>
      <c r="E1994" s="774">
        <v>3300000</v>
      </c>
      <c r="F1994" s="289">
        <f t="shared" si="160"/>
        <v>9900000</v>
      </c>
      <c r="G1994" s="289">
        <v>0</v>
      </c>
      <c r="H1994" s="780">
        <v>3300000</v>
      </c>
      <c r="I1994" s="289">
        <v>0</v>
      </c>
      <c r="J1994" s="774"/>
      <c r="K1994" s="776"/>
      <c r="M1994" s="62" t="e">
        <f>IF(#REF!&gt;6,3,5)</f>
        <v>#REF!</v>
      </c>
    </row>
    <row r="1995" spans="1:13">
      <c r="A1995" s="768">
        <f t="shared" si="159"/>
        <v>13</v>
      </c>
      <c r="B1995" s="768" t="s">
        <v>2249</v>
      </c>
      <c r="C1995" s="774">
        <v>100000</v>
      </c>
      <c r="D1995" s="774">
        <v>100000</v>
      </c>
      <c r="E1995" s="774">
        <v>100000</v>
      </c>
      <c r="F1995" s="289">
        <f t="shared" si="160"/>
        <v>300000</v>
      </c>
      <c r="G1995" s="289">
        <v>0</v>
      </c>
      <c r="H1995" s="780">
        <v>100000</v>
      </c>
      <c r="I1995" s="289">
        <v>0</v>
      </c>
      <c r="J1995" s="774"/>
      <c r="K1995" s="776"/>
      <c r="M1995" s="62" t="e">
        <f>IF(#REF!&gt;6,3,5)</f>
        <v>#REF!</v>
      </c>
    </row>
    <row r="1996" spans="1:13">
      <c r="A1996" s="768">
        <f t="shared" si="159"/>
        <v>14</v>
      </c>
      <c r="B1996" s="768" t="s">
        <v>1336</v>
      </c>
      <c r="C1996" s="774">
        <v>1500000</v>
      </c>
      <c r="D1996" s="774">
        <v>1500000</v>
      </c>
      <c r="E1996" s="774">
        <v>1500000</v>
      </c>
      <c r="F1996" s="289">
        <f t="shared" si="160"/>
        <v>4500000</v>
      </c>
      <c r="G1996" s="289">
        <v>0</v>
      </c>
      <c r="H1996" s="780">
        <v>1500000</v>
      </c>
      <c r="I1996" s="289">
        <v>0</v>
      </c>
      <c r="J1996" s="774"/>
      <c r="K1996" s="776"/>
      <c r="M1996" s="62" t="e">
        <f>IF(#REF!&gt;6,3,5)</f>
        <v>#REF!</v>
      </c>
    </row>
    <row r="1997" spans="1:13">
      <c r="A1997" s="768">
        <f t="shared" si="159"/>
        <v>15</v>
      </c>
      <c r="B1997" s="768" t="s">
        <v>1500</v>
      </c>
      <c r="C1997" s="774" t="s">
        <v>3007</v>
      </c>
      <c r="D1997" s="774" t="s">
        <v>3007</v>
      </c>
      <c r="E1997" s="774" t="s">
        <v>3007</v>
      </c>
      <c r="F1997" s="289">
        <f t="shared" si="160"/>
        <v>0</v>
      </c>
      <c r="G1997" s="289">
        <v>0</v>
      </c>
      <c r="H1997" s="780" t="s">
        <v>3007</v>
      </c>
      <c r="I1997" s="289">
        <v>0</v>
      </c>
      <c r="J1997" s="751"/>
      <c r="K1997" s="754"/>
      <c r="M1997" s="62" t="e">
        <f>IF(#REF!&gt;6,3,5)</f>
        <v>#REF!</v>
      </c>
    </row>
    <row r="1998" spans="1:13">
      <c r="A1998" s="768"/>
      <c r="B1998" s="768"/>
      <c r="C1998" s="774"/>
      <c r="D1998" s="774"/>
      <c r="E1998" s="774"/>
      <c r="F1998" s="289"/>
      <c r="G1998" s="774"/>
      <c r="H1998" s="780"/>
      <c r="I1998" s="774"/>
      <c r="J1998" s="774"/>
      <c r="K1998" s="776"/>
      <c r="M1998" s="62" t="e">
        <f>IF(#REF!&gt;6,3,5)</f>
        <v>#REF!</v>
      </c>
    </row>
    <row r="1999" spans="1:13">
      <c r="A1999" s="768"/>
      <c r="B1999" s="768"/>
      <c r="C1999" s="774"/>
      <c r="D1999" s="774"/>
      <c r="E1999" s="774"/>
      <c r="F1999" s="289"/>
      <c r="G1999" s="774"/>
      <c r="H1999" s="780"/>
      <c r="I1999" s="774"/>
      <c r="J1999" s="774"/>
      <c r="K1999" s="776"/>
      <c r="M1999" s="62" t="e">
        <f>IF(#REF!&gt;6,3,5)</f>
        <v>#REF!</v>
      </c>
    </row>
    <row r="2000" spans="1:13">
      <c r="A2000" s="770"/>
      <c r="B2000" s="770" t="s">
        <v>1684</v>
      </c>
      <c r="C2000" s="771">
        <f t="shared" ref="C2000:I2000" si="161">SUM(C1984:C1999)</f>
        <v>12000000</v>
      </c>
      <c r="D2000" s="771">
        <f t="shared" si="161"/>
        <v>12000000</v>
      </c>
      <c r="E2000" s="771">
        <f t="shared" si="161"/>
        <v>12000000</v>
      </c>
      <c r="F2000" s="771">
        <f t="shared" si="161"/>
        <v>36000000</v>
      </c>
      <c r="G2000" s="781">
        <f>SUM(G1984:G1999)</f>
        <v>0</v>
      </c>
      <c r="H2000" s="781">
        <f t="shared" si="161"/>
        <v>12000000</v>
      </c>
      <c r="I2000" s="781">
        <f t="shared" si="161"/>
        <v>0</v>
      </c>
      <c r="J2000" s="771"/>
      <c r="K2000" s="772"/>
      <c r="M2000" s="62" t="e">
        <f>IF(#REF!&gt;6,3,5)</f>
        <v>#REF!</v>
      </c>
    </row>
    <row r="2001" spans="1:13" ht="15">
      <c r="A2001" s="584"/>
      <c r="B2001" s="584"/>
      <c r="C2001" s="77"/>
      <c r="D2001" s="78" t="s">
        <v>5434</v>
      </c>
      <c r="J2001" s="76"/>
      <c r="K2001" s="76"/>
    </row>
    <row r="2002" spans="1:13" ht="15">
      <c r="A2002" s="584"/>
      <c r="B2002" s="584"/>
      <c r="C2002" s="77"/>
      <c r="D2002" s="78" t="s">
        <v>716</v>
      </c>
      <c r="J2002" s="76"/>
      <c r="K2002" s="76"/>
    </row>
    <row r="2003" spans="1:13" ht="15">
      <c r="A2003" s="584"/>
      <c r="B2003" s="584"/>
      <c r="C2003" s="79" t="s">
        <v>717</v>
      </c>
      <c r="D2003" s="78" t="s">
        <v>2454</v>
      </c>
      <c r="J2003" s="76"/>
      <c r="K2003" s="76"/>
    </row>
    <row r="2004" spans="1:13" ht="15.75" thickBot="1">
      <c r="A2004" s="584"/>
      <c r="B2004" s="584"/>
      <c r="C2004" s="79" t="s">
        <v>718</v>
      </c>
      <c r="D2004" s="78" t="s">
        <v>1502</v>
      </c>
      <c r="J2004" s="76"/>
      <c r="K2004" s="76"/>
    </row>
    <row r="2005" spans="1:13" ht="15.75" thickTop="1">
      <c r="A2005" s="1047" t="s">
        <v>2791</v>
      </c>
      <c r="B2005" s="1049" t="s">
        <v>4126</v>
      </c>
      <c r="C2005" s="1049" t="s">
        <v>854</v>
      </c>
      <c r="D2005" s="1040" t="s">
        <v>4127</v>
      </c>
      <c r="E2005" s="1041"/>
      <c r="F2005" s="1041"/>
      <c r="G2005" s="1040" t="s">
        <v>904</v>
      </c>
      <c r="H2005" s="1041"/>
      <c r="I2005" s="1042"/>
      <c r="J2005" s="1035" t="s">
        <v>855</v>
      </c>
      <c r="K2005" s="389"/>
    </row>
    <row r="2006" spans="1:13" ht="26.25" thickBot="1">
      <c r="A2006" s="1048"/>
      <c r="B2006" s="1050"/>
      <c r="C2006" s="1050"/>
      <c r="D2006" s="285" t="s">
        <v>5505</v>
      </c>
      <c r="E2006" s="285" t="s">
        <v>4485</v>
      </c>
      <c r="F2006" s="285" t="s">
        <v>4486</v>
      </c>
      <c r="G2006" s="287" t="s">
        <v>4487</v>
      </c>
      <c r="H2006" s="285" t="s">
        <v>4488</v>
      </c>
      <c r="I2006" s="287" t="s">
        <v>4489</v>
      </c>
      <c r="J2006" s="1036"/>
      <c r="K2006" s="712"/>
    </row>
    <row r="2007" spans="1:13" ht="13.5" thickTop="1">
      <c r="A2007" s="88"/>
      <c r="B2007" s="90" t="s">
        <v>3885</v>
      </c>
      <c r="C2007" s="134"/>
      <c r="D2007" s="89"/>
      <c r="E2007" s="89"/>
      <c r="F2007" s="69"/>
      <c r="G2007" s="89"/>
      <c r="H2007" s="89"/>
      <c r="I2007" s="89"/>
      <c r="J2007" s="713"/>
      <c r="K2007" s="711"/>
      <c r="M2007" s="62">
        <f t="shared" ref="M2007:M2034" si="162">IF(C2007&gt;6,3,5)</f>
        <v>5</v>
      </c>
    </row>
    <row r="2008" spans="1:13">
      <c r="A2008" s="88">
        <v>1</v>
      </c>
      <c r="B2008" s="69" t="s">
        <v>3770</v>
      </c>
      <c r="C2008" s="69">
        <v>5</v>
      </c>
      <c r="D2008" s="89">
        <v>1</v>
      </c>
      <c r="E2008" s="89">
        <v>1</v>
      </c>
      <c r="F2008" s="89">
        <v>1</v>
      </c>
      <c r="G2008" s="89">
        <v>1</v>
      </c>
      <c r="H2008" s="89">
        <v>1</v>
      </c>
      <c r="I2008" s="89">
        <v>1</v>
      </c>
      <c r="J2008" s="710">
        <f>(VLOOKUP($C2008,[2]Sheet1!$A$2:$P$18,$M2008+1)/12)*12*D2008</f>
        <v>229569.77893036499</v>
      </c>
      <c r="K2008" s="711"/>
      <c r="M2008" s="62">
        <f t="shared" si="162"/>
        <v>5</v>
      </c>
    </row>
    <row r="2009" spans="1:13">
      <c r="A2009" s="88">
        <f t="shared" ref="A2009:A2020" si="163">+A2008+1</f>
        <v>2</v>
      </c>
      <c r="B2009" s="69" t="s">
        <v>3662</v>
      </c>
      <c r="C2009" s="69">
        <v>4</v>
      </c>
      <c r="D2009" s="89">
        <v>1</v>
      </c>
      <c r="E2009" s="89">
        <v>1</v>
      </c>
      <c r="F2009" s="89">
        <v>1</v>
      </c>
      <c r="G2009" s="89">
        <v>1</v>
      </c>
      <c r="H2009" s="89">
        <v>1</v>
      </c>
      <c r="I2009" s="89">
        <v>1</v>
      </c>
      <c r="J2009" s="710">
        <f>(VLOOKUP($C2009,[2]Sheet1!$A$2:$P$18,$M2009+1)/12)*12*D2009</f>
        <v>224542.978930365</v>
      </c>
      <c r="K2009" s="711"/>
      <c r="M2009" s="62">
        <f t="shared" si="162"/>
        <v>5</v>
      </c>
    </row>
    <row r="2010" spans="1:13">
      <c r="A2010" s="88">
        <f t="shared" si="163"/>
        <v>3</v>
      </c>
      <c r="B2010" s="69" t="s">
        <v>1227</v>
      </c>
      <c r="C2010" s="69">
        <v>3</v>
      </c>
      <c r="D2010" s="89">
        <v>1</v>
      </c>
      <c r="E2010" s="89">
        <v>1</v>
      </c>
      <c r="F2010" s="89">
        <v>1</v>
      </c>
      <c r="G2010" s="89">
        <v>1</v>
      </c>
      <c r="H2010" s="89">
        <v>1</v>
      </c>
      <c r="I2010" s="89">
        <v>1</v>
      </c>
      <c r="J2010" s="710">
        <f>(VLOOKUP($C2010,[2]Sheet1!$A$2:$P$18,$M2010+1)/12)*12*D2010</f>
        <v>219336.17893036499</v>
      </c>
      <c r="K2010" s="711"/>
      <c r="M2010" s="62">
        <f t="shared" si="162"/>
        <v>5</v>
      </c>
    </row>
    <row r="2011" spans="1:13">
      <c r="A2011" s="88">
        <f t="shared" si="163"/>
        <v>4</v>
      </c>
      <c r="B2011" s="69" t="s">
        <v>1228</v>
      </c>
      <c r="C2011" s="69">
        <v>8</v>
      </c>
      <c r="D2011" s="89">
        <v>0</v>
      </c>
      <c r="E2011" s="89">
        <v>1</v>
      </c>
      <c r="F2011" s="89">
        <v>0</v>
      </c>
      <c r="G2011" s="89">
        <v>0</v>
      </c>
      <c r="H2011" s="89">
        <v>1</v>
      </c>
      <c r="I2011" s="89">
        <v>0</v>
      </c>
      <c r="J2011" s="710">
        <f>(VLOOKUP($C2011,[2]Sheet1!$A$2:$P$18,$M2011+1)/12)*12*D2011</f>
        <v>0</v>
      </c>
      <c r="K2011" s="711"/>
      <c r="M2011" s="62">
        <f t="shared" si="162"/>
        <v>3</v>
      </c>
    </row>
    <row r="2012" spans="1:13">
      <c r="A2012" s="88">
        <f t="shared" si="163"/>
        <v>5</v>
      </c>
      <c r="B2012" s="69" t="s">
        <v>1229</v>
      </c>
      <c r="C2012" s="69">
        <v>7</v>
      </c>
      <c r="D2012" s="89">
        <v>0</v>
      </c>
      <c r="E2012" s="89">
        <v>1</v>
      </c>
      <c r="F2012" s="89">
        <v>0</v>
      </c>
      <c r="G2012" s="89">
        <v>0</v>
      </c>
      <c r="H2012" s="89">
        <v>1</v>
      </c>
      <c r="I2012" s="89">
        <v>0</v>
      </c>
      <c r="J2012" s="710">
        <f>(VLOOKUP($C2012,[2]Sheet1!$A$2:$P$18,$M2012+1)/12)*12*D2012</f>
        <v>0</v>
      </c>
      <c r="K2012" s="711"/>
      <c r="M2012" s="62">
        <f t="shared" si="162"/>
        <v>3</v>
      </c>
    </row>
    <row r="2013" spans="1:13">
      <c r="A2013" s="88">
        <f t="shared" si="163"/>
        <v>6</v>
      </c>
      <c r="B2013" s="69" t="s">
        <v>1230</v>
      </c>
      <c r="C2013" s="69">
        <v>6</v>
      </c>
      <c r="D2013" s="89">
        <v>0</v>
      </c>
      <c r="E2013" s="89">
        <v>2</v>
      </c>
      <c r="F2013" s="89">
        <v>0</v>
      </c>
      <c r="G2013" s="89">
        <v>0</v>
      </c>
      <c r="H2013" s="89">
        <v>2</v>
      </c>
      <c r="I2013" s="89">
        <v>0</v>
      </c>
      <c r="J2013" s="710">
        <f>(VLOOKUP($C2013,[2]Sheet1!$A$2:$P$18,$M2013+1)/12)*12*D2013</f>
        <v>0</v>
      </c>
      <c r="K2013" s="711"/>
      <c r="M2013" s="62">
        <f t="shared" si="162"/>
        <v>5</v>
      </c>
    </row>
    <row r="2014" spans="1:13">
      <c r="A2014" s="88">
        <f t="shared" si="163"/>
        <v>7</v>
      </c>
      <c r="B2014" s="69" t="s">
        <v>3849</v>
      </c>
      <c r="C2014" s="69">
        <v>5</v>
      </c>
      <c r="D2014" s="89">
        <v>2</v>
      </c>
      <c r="E2014" s="89">
        <v>2</v>
      </c>
      <c r="F2014" s="89">
        <v>2</v>
      </c>
      <c r="G2014" s="89">
        <v>2</v>
      </c>
      <c r="H2014" s="89">
        <v>2</v>
      </c>
      <c r="I2014" s="89">
        <v>2</v>
      </c>
      <c r="J2014" s="710">
        <f>(VLOOKUP($C2014,[2]Sheet1!$A$2:$P$18,$M2014+1)/12)*12*D2014</f>
        <v>459139.55786072998</v>
      </c>
      <c r="K2014" s="711"/>
      <c r="M2014" s="62">
        <f t="shared" si="162"/>
        <v>5</v>
      </c>
    </row>
    <row r="2015" spans="1:13">
      <c r="A2015" s="88">
        <f t="shared" si="163"/>
        <v>8</v>
      </c>
      <c r="B2015" s="69" t="s">
        <v>3796</v>
      </c>
      <c r="C2015" s="69">
        <v>5</v>
      </c>
      <c r="D2015" s="89">
        <v>2</v>
      </c>
      <c r="E2015" s="89">
        <v>2</v>
      </c>
      <c r="F2015" s="89">
        <v>2</v>
      </c>
      <c r="G2015" s="89">
        <v>2</v>
      </c>
      <c r="H2015" s="89">
        <v>2</v>
      </c>
      <c r="I2015" s="89">
        <v>2</v>
      </c>
      <c r="J2015" s="710">
        <f>(VLOOKUP($C2015,[2]Sheet1!$A$2:$P$18,$M2015+1)/12)*12*D2015</f>
        <v>459139.55786072998</v>
      </c>
      <c r="K2015" s="711"/>
      <c r="M2015" s="62">
        <f t="shared" si="162"/>
        <v>5</v>
      </c>
    </row>
    <row r="2016" spans="1:13">
      <c r="A2016" s="88">
        <f t="shared" si="163"/>
        <v>9</v>
      </c>
      <c r="B2016" s="69" t="s">
        <v>3797</v>
      </c>
      <c r="C2016" s="69">
        <v>4</v>
      </c>
      <c r="D2016" s="89">
        <v>1</v>
      </c>
      <c r="E2016" s="89">
        <v>1</v>
      </c>
      <c r="F2016" s="89">
        <v>1</v>
      </c>
      <c r="G2016" s="89">
        <v>1</v>
      </c>
      <c r="H2016" s="89">
        <v>1</v>
      </c>
      <c r="I2016" s="89">
        <v>1</v>
      </c>
      <c r="J2016" s="710">
        <f>(VLOOKUP($C2016,[2]Sheet1!$A$2:$P$18,$M2016+1)/12)*12*D2016</f>
        <v>224542.978930365</v>
      </c>
      <c r="K2016" s="711"/>
      <c r="M2016" s="62">
        <f t="shared" si="162"/>
        <v>5</v>
      </c>
    </row>
    <row r="2017" spans="1:13">
      <c r="A2017" s="88">
        <f t="shared" si="163"/>
        <v>10</v>
      </c>
      <c r="B2017" s="69" t="s">
        <v>3798</v>
      </c>
      <c r="C2017" s="69">
        <v>3</v>
      </c>
      <c r="D2017" s="89">
        <v>1</v>
      </c>
      <c r="E2017" s="89">
        <v>1</v>
      </c>
      <c r="F2017" s="89">
        <v>1</v>
      </c>
      <c r="G2017" s="89">
        <v>1</v>
      </c>
      <c r="H2017" s="89">
        <v>1</v>
      </c>
      <c r="I2017" s="89">
        <v>1</v>
      </c>
      <c r="J2017" s="710">
        <f>(VLOOKUP($C2017,[2]Sheet1!$A$2:$P$18,$M2017+1)/12)*12*D2017</f>
        <v>219336.17893036499</v>
      </c>
      <c r="K2017" s="711"/>
      <c r="M2017" s="62">
        <f t="shared" si="162"/>
        <v>5</v>
      </c>
    </row>
    <row r="2018" spans="1:13">
      <c r="A2018" s="88">
        <f t="shared" si="163"/>
        <v>11</v>
      </c>
      <c r="B2018" s="69" t="s">
        <v>2563</v>
      </c>
      <c r="C2018" s="69">
        <v>7</v>
      </c>
      <c r="D2018" s="89">
        <v>1</v>
      </c>
      <c r="E2018" s="89">
        <v>1</v>
      </c>
      <c r="F2018" s="89">
        <v>1</v>
      </c>
      <c r="G2018" s="89">
        <v>1</v>
      </c>
      <c r="H2018" s="89">
        <v>1</v>
      </c>
      <c r="I2018" s="89">
        <v>1</v>
      </c>
      <c r="J2018" s="710">
        <f>(VLOOKUP($C2018,[2]Sheet1!$A$2:$P$18,$M2018+1)/12)*12*D2018</f>
        <v>307706.70240000007</v>
      </c>
      <c r="K2018" s="711"/>
      <c r="M2018" s="62">
        <f t="shared" si="162"/>
        <v>3</v>
      </c>
    </row>
    <row r="2019" spans="1:13">
      <c r="A2019" s="88">
        <f t="shared" si="163"/>
        <v>12</v>
      </c>
      <c r="B2019" s="69" t="s">
        <v>3282</v>
      </c>
      <c r="C2019" s="69">
        <v>6</v>
      </c>
      <c r="D2019" s="89">
        <v>1</v>
      </c>
      <c r="E2019" s="89">
        <v>1</v>
      </c>
      <c r="F2019" s="89">
        <v>1</v>
      </c>
      <c r="G2019" s="89">
        <v>1</v>
      </c>
      <c r="H2019" s="89">
        <v>1</v>
      </c>
      <c r="I2019" s="89">
        <v>1</v>
      </c>
      <c r="J2019" s="710">
        <f>(VLOOKUP($C2019,[2]Sheet1!$A$2:$P$18,$M2019+1)/12)*12*D2019</f>
        <v>238099.37893036497</v>
      </c>
      <c r="K2019" s="711"/>
      <c r="M2019" s="62">
        <f t="shared" si="162"/>
        <v>5</v>
      </c>
    </row>
    <row r="2020" spans="1:13">
      <c r="A2020" s="88">
        <f t="shared" si="163"/>
        <v>13</v>
      </c>
      <c r="B2020" s="69" t="s">
        <v>3281</v>
      </c>
      <c r="C2020" s="69">
        <v>5</v>
      </c>
      <c r="D2020" s="89">
        <v>1</v>
      </c>
      <c r="E2020" s="89">
        <v>2</v>
      </c>
      <c r="F2020" s="89">
        <v>1</v>
      </c>
      <c r="G2020" s="89">
        <v>1</v>
      </c>
      <c r="H2020" s="89">
        <v>2</v>
      </c>
      <c r="I2020" s="89">
        <v>1</v>
      </c>
      <c r="J2020" s="710">
        <f>(VLOOKUP($C2020,[2]Sheet1!$A$2:$P$18,$M2020+1)/12)*12*D2020</f>
        <v>229569.77893036499</v>
      </c>
      <c r="K2020" s="711"/>
      <c r="M2020" s="62">
        <f t="shared" si="162"/>
        <v>5</v>
      </c>
    </row>
    <row r="2021" spans="1:13">
      <c r="A2021" s="88">
        <f>+A2020+1</f>
        <v>14</v>
      </c>
      <c r="B2021" s="69" t="s">
        <v>2232</v>
      </c>
      <c r="C2021" s="69">
        <v>4</v>
      </c>
      <c r="D2021" s="89">
        <v>2</v>
      </c>
      <c r="E2021" s="89">
        <v>4</v>
      </c>
      <c r="F2021" s="89">
        <v>2</v>
      </c>
      <c r="G2021" s="89">
        <v>2</v>
      </c>
      <c r="H2021" s="89">
        <v>4</v>
      </c>
      <c r="I2021" s="89">
        <v>2</v>
      </c>
      <c r="J2021" s="710">
        <f>(VLOOKUP($C2021,[2]Sheet1!$A$2:$P$18,$M2021+1)/12)*12*D2021</f>
        <v>449085.95786073001</v>
      </c>
      <c r="K2021" s="711"/>
      <c r="M2021" s="62">
        <f t="shared" si="162"/>
        <v>5</v>
      </c>
    </row>
    <row r="2022" spans="1:13">
      <c r="A2022" s="88">
        <f t="shared" ref="A2022:A2029" si="164">+A2021+1</f>
        <v>15</v>
      </c>
      <c r="B2022" s="69" t="s">
        <v>2232</v>
      </c>
      <c r="C2022" s="69">
        <v>3</v>
      </c>
      <c r="D2022" s="89">
        <v>6</v>
      </c>
      <c r="E2022" s="89">
        <v>6</v>
      </c>
      <c r="F2022" s="89">
        <v>6</v>
      </c>
      <c r="G2022" s="89">
        <v>6</v>
      </c>
      <c r="H2022" s="89">
        <v>6</v>
      </c>
      <c r="I2022" s="89">
        <v>6</v>
      </c>
      <c r="J2022" s="710">
        <f>(VLOOKUP($C2022,[2]Sheet1!$A$2:$P$18,$M2022+1)/12)*12*D2022</f>
        <v>1316017.0735821899</v>
      </c>
      <c r="K2022" s="711"/>
      <c r="M2022" s="62">
        <f t="shared" si="162"/>
        <v>5</v>
      </c>
    </row>
    <row r="2023" spans="1:13">
      <c r="A2023" s="88">
        <f t="shared" si="164"/>
        <v>16</v>
      </c>
      <c r="B2023" s="69" t="s">
        <v>2542</v>
      </c>
      <c r="C2023" s="69">
        <v>4</v>
      </c>
      <c r="D2023" s="89">
        <v>2</v>
      </c>
      <c r="E2023" s="89">
        <v>4</v>
      </c>
      <c r="F2023" s="89">
        <v>2</v>
      </c>
      <c r="G2023" s="89">
        <v>2</v>
      </c>
      <c r="H2023" s="89">
        <v>4</v>
      </c>
      <c r="I2023" s="89">
        <v>2</v>
      </c>
      <c r="J2023" s="710">
        <f>(VLOOKUP($C2023,[2]Sheet1!$A$2:$P$18,$M2023+1)/12)*12*D2023</f>
        <v>449085.95786073001</v>
      </c>
      <c r="K2023" s="711"/>
      <c r="M2023" s="62">
        <f t="shared" si="162"/>
        <v>5</v>
      </c>
    </row>
    <row r="2024" spans="1:13">
      <c r="A2024" s="88">
        <f t="shared" si="164"/>
        <v>17</v>
      </c>
      <c r="B2024" s="69" t="s">
        <v>2543</v>
      </c>
      <c r="C2024" s="69">
        <v>3</v>
      </c>
      <c r="D2024" s="89">
        <v>3</v>
      </c>
      <c r="E2024" s="89">
        <v>4</v>
      </c>
      <c r="F2024" s="89">
        <v>3</v>
      </c>
      <c r="G2024" s="89">
        <v>3</v>
      </c>
      <c r="H2024" s="89">
        <v>4</v>
      </c>
      <c r="I2024" s="89">
        <v>3</v>
      </c>
      <c r="J2024" s="710">
        <f>(VLOOKUP($C2024,[2]Sheet1!$A$2:$P$18,$M2024+1)/12)*12*D2024</f>
        <v>658008.53679109493</v>
      </c>
      <c r="K2024" s="711"/>
      <c r="M2024" s="62">
        <f t="shared" si="162"/>
        <v>5</v>
      </c>
    </row>
    <row r="2025" spans="1:13">
      <c r="A2025" s="88">
        <f t="shared" si="164"/>
        <v>18</v>
      </c>
      <c r="B2025" s="69" t="s">
        <v>2543</v>
      </c>
      <c r="C2025" s="69">
        <v>2</v>
      </c>
      <c r="D2025" s="89">
        <v>1</v>
      </c>
      <c r="E2025" s="89">
        <v>1</v>
      </c>
      <c r="F2025" s="89">
        <v>1</v>
      </c>
      <c r="G2025" s="89">
        <v>1</v>
      </c>
      <c r="H2025" s="89">
        <v>1</v>
      </c>
      <c r="I2025" s="89">
        <v>1</v>
      </c>
      <c r="J2025" s="710">
        <f>(VLOOKUP($C2025,[2]Sheet1!$A$2:$P$18,$M2025+1)/12)*12*D2025</f>
        <v>214657.37893036503</v>
      </c>
      <c r="K2025" s="711"/>
      <c r="M2025" s="62">
        <f t="shared" si="162"/>
        <v>5</v>
      </c>
    </row>
    <row r="2026" spans="1:13">
      <c r="A2026" s="88">
        <f t="shared" si="164"/>
        <v>19</v>
      </c>
      <c r="B2026" s="69" t="s">
        <v>2172</v>
      </c>
      <c r="C2026" s="69">
        <v>3</v>
      </c>
      <c r="D2026" s="89">
        <v>1</v>
      </c>
      <c r="E2026" s="89">
        <v>1</v>
      </c>
      <c r="F2026" s="89">
        <v>1</v>
      </c>
      <c r="G2026" s="89">
        <v>1</v>
      </c>
      <c r="H2026" s="89">
        <v>1</v>
      </c>
      <c r="I2026" s="89">
        <v>1</v>
      </c>
      <c r="J2026" s="710">
        <f>(VLOOKUP($C2026,[2]Sheet1!$A$2:$P$18,$M2026+1)/12)*12*D2026</f>
        <v>219336.17893036499</v>
      </c>
      <c r="K2026" s="711"/>
      <c r="M2026" s="62">
        <f t="shared" si="162"/>
        <v>5</v>
      </c>
    </row>
    <row r="2027" spans="1:13">
      <c r="A2027" s="88">
        <f t="shared" si="164"/>
        <v>20</v>
      </c>
      <c r="B2027" s="69" t="s">
        <v>2172</v>
      </c>
      <c r="C2027" s="69">
        <v>1</v>
      </c>
      <c r="D2027" s="89">
        <v>2</v>
      </c>
      <c r="E2027" s="89">
        <v>2</v>
      </c>
      <c r="F2027" s="89">
        <v>2</v>
      </c>
      <c r="G2027" s="89">
        <v>2</v>
      </c>
      <c r="H2027" s="89">
        <v>2</v>
      </c>
      <c r="I2027" s="89">
        <v>2</v>
      </c>
      <c r="J2027" s="710">
        <f>(VLOOKUP($C2027,[2]Sheet1!$A$2:$P$18,$M2027+1)/12)*12*D2027</f>
        <v>414215.15786072996</v>
      </c>
      <c r="K2027" s="711"/>
      <c r="M2027" s="62">
        <f t="shared" si="162"/>
        <v>5</v>
      </c>
    </row>
    <row r="2028" spans="1:13">
      <c r="A2028" s="88">
        <f t="shared" si="164"/>
        <v>21</v>
      </c>
      <c r="B2028" s="69" t="s">
        <v>3674</v>
      </c>
      <c r="C2028" s="69">
        <v>3</v>
      </c>
      <c r="D2028" s="89">
        <v>1</v>
      </c>
      <c r="E2028" s="89">
        <v>1</v>
      </c>
      <c r="F2028" s="89">
        <v>1</v>
      </c>
      <c r="G2028" s="89">
        <v>1</v>
      </c>
      <c r="H2028" s="89">
        <v>1</v>
      </c>
      <c r="I2028" s="89">
        <v>1</v>
      </c>
      <c r="J2028" s="710">
        <f>(VLOOKUP($C2028,[2]Sheet1!$A$2:$P$18,$M2028+1)/12)*12*D2028</f>
        <v>219336.17893036499</v>
      </c>
      <c r="K2028" s="711"/>
      <c r="M2028" s="62">
        <f t="shared" si="162"/>
        <v>5</v>
      </c>
    </row>
    <row r="2029" spans="1:13">
      <c r="A2029" s="88">
        <f t="shared" si="164"/>
        <v>22</v>
      </c>
      <c r="B2029" s="69" t="s">
        <v>3675</v>
      </c>
      <c r="C2029" s="69">
        <v>2</v>
      </c>
      <c r="D2029" s="89">
        <v>0</v>
      </c>
      <c r="E2029" s="89">
        <v>0</v>
      </c>
      <c r="F2029" s="89">
        <v>0</v>
      </c>
      <c r="G2029" s="89">
        <v>0</v>
      </c>
      <c r="H2029" s="89">
        <v>0</v>
      </c>
      <c r="I2029" s="89">
        <v>0</v>
      </c>
      <c r="J2029" s="710">
        <f>(VLOOKUP($C2029,[2]Sheet1!$A$2:$P$18,$M2029+1)/12)*12*D2029</f>
        <v>0</v>
      </c>
      <c r="K2029" s="711"/>
      <c r="M2029" s="62">
        <f t="shared" si="162"/>
        <v>5</v>
      </c>
    </row>
    <row r="2030" spans="1:13">
      <c r="A2030" s="88"/>
      <c r="B2030" s="90" t="s">
        <v>3521</v>
      </c>
      <c r="C2030" s="69"/>
      <c r="D2030" s="89"/>
      <c r="E2030" s="89"/>
      <c r="F2030" s="89"/>
      <c r="G2030" s="89"/>
      <c r="H2030" s="89"/>
      <c r="I2030" s="89"/>
      <c r="J2030" s="710"/>
      <c r="K2030" s="711"/>
      <c r="M2030" s="62">
        <f t="shared" si="162"/>
        <v>5</v>
      </c>
    </row>
    <row r="2031" spans="1:13">
      <c r="A2031" s="88">
        <f>+A2029+1</f>
        <v>23</v>
      </c>
      <c r="B2031" s="69" t="s">
        <v>2867</v>
      </c>
      <c r="C2031" s="69">
        <v>6</v>
      </c>
      <c r="D2031" s="89">
        <v>0</v>
      </c>
      <c r="E2031" s="89">
        <v>1</v>
      </c>
      <c r="F2031" s="89">
        <v>0</v>
      </c>
      <c r="G2031" s="89">
        <v>0</v>
      </c>
      <c r="H2031" s="89">
        <v>1</v>
      </c>
      <c r="I2031" s="89">
        <v>0</v>
      </c>
      <c r="J2031" s="710">
        <f>(VLOOKUP($C2031,[2]Sheet1!$A$2:$P$18,$M2031+1)/12)*12*D2031</f>
        <v>0</v>
      </c>
      <c r="K2031" s="711"/>
      <c r="M2031" s="62">
        <f t="shared" si="162"/>
        <v>5</v>
      </c>
    </row>
    <row r="2032" spans="1:13">
      <c r="A2032" s="88">
        <f>+A2031+1</f>
        <v>24</v>
      </c>
      <c r="B2032" s="69" t="s">
        <v>1317</v>
      </c>
      <c r="C2032" s="69">
        <v>5</v>
      </c>
      <c r="D2032" s="89">
        <v>0</v>
      </c>
      <c r="E2032" s="89">
        <v>0</v>
      </c>
      <c r="F2032" s="89">
        <v>0</v>
      </c>
      <c r="G2032" s="89">
        <v>0</v>
      </c>
      <c r="H2032" s="89">
        <v>0</v>
      </c>
      <c r="I2032" s="89">
        <v>0</v>
      </c>
      <c r="J2032" s="710">
        <f>(VLOOKUP($C2032,[2]Sheet1!$A$2:$P$18,$M2032+1)/12)*12*D2032</f>
        <v>0</v>
      </c>
      <c r="K2032" s="711"/>
      <c r="M2032" s="62">
        <f t="shared" si="162"/>
        <v>5</v>
      </c>
    </row>
    <row r="2033" spans="1:13">
      <c r="A2033" s="88">
        <f>+A2032+1</f>
        <v>25</v>
      </c>
      <c r="B2033" s="69" t="s">
        <v>602</v>
      </c>
      <c r="C2033" s="69">
        <v>4</v>
      </c>
      <c r="D2033" s="89">
        <v>0</v>
      </c>
      <c r="E2033" s="89">
        <v>1</v>
      </c>
      <c r="F2033" s="89">
        <v>0</v>
      </c>
      <c r="G2033" s="89">
        <v>0</v>
      </c>
      <c r="H2033" s="89">
        <v>1</v>
      </c>
      <c r="I2033" s="89">
        <v>0</v>
      </c>
      <c r="J2033" s="710">
        <f>(VLOOKUP($C2033,[2]Sheet1!$A$2:$P$18,$M2033+1)/12)*12*D2033</f>
        <v>0</v>
      </c>
      <c r="K2033" s="711"/>
      <c r="M2033" s="62">
        <f t="shared" si="162"/>
        <v>5</v>
      </c>
    </row>
    <row r="2034" spans="1:13">
      <c r="A2034" s="88">
        <f>+A2033+1</f>
        <v>26</v>
      </c>
      <c r="B2034" s="69" t="s">
        <v>603</v>
      </c>
      <c r="C2034" s="69">
        <v>3</v>
      </c>
      <c r="D2034" s="89">
        <v>0</v>
      </c>
      <c r="E2034" s="89">
        <v>0</v>
      </c>
      <c r="F2034" s="89">
        <v>0</v>
      </c>
      <c r="G2034" s="89">
        <v>0</v>
      </c>
      <c r="H2034" s="89">
        <v>0</v>
      </c>
      <c r="I2034" s="89">
        <v>0</v>
      </c>
      <c r="J2034" s="710">
        <f>(VLOOKUP($C2034,[2]Sheet1!$A$2:$P$18,$M2034+1)/12)*12*D2034</f>
        <v>0</v>
      </c>
      <c r="K2034" s="711"/>
      <c r="M2034" s="62">
        <f t="shared" si="162"/>
        <v>5</v>
      </c>
    </row>
    <row r="2035" spans="1:13">
      <c r="A2035" s="92"/>
      <c r="B2035" s="93" t="s">
        <v>1684</v>
      </c>
      <c r="C2035" s="94"/>
      <c r="D2035" s="123">
        <f t="shared" ref="D2035:J2035" si="165">SUM(D2008:D2034)</f>
        <v>30</v>
      </c>
      <c r="E2035" s="123">
        <f t="shared" si="165"/>
        <v>42</v>
      </c>
      <c r="F2035" s="123">
        <f t="shared" si="165"/>
        <v>30</v>
      </c>
      <c r="G2035" s="123">
        <f>SUM(G2008:G2034)</f>
        <v>30</v>
      </c>
      <c r="H2035" s="123">
        <f t="shared" si="165"/>
        <v>42</v>
      </c>
      <c r="I2035" s="123">
        <f t="shared" si="165"/>
        <v>30</v>
      </c>
      <c r="J2035" s="123">
        <f t="shared" si="165"/>
        <v>6750725.4913805826</v>
      </c>
      <c r="K2035" s="378"/>
    </row>
    <row r="2036" spans="1:13">
      <c r="A2036" s="88"/>
      <c r="B2036" s="97"/>
      <c r="C2036" s="69"/>
      <c r="D2036" s="126"/>
      <c r="E2036" s="89"/>
      <c r="F2036" s="89"/>
      <c r="G2036" s="89"/>
      <c r="H2036" s="89"/>
      <c r="I2036" s="89"/>
      <c r="J2036" s="89"/>
      <c r="K2036" s="114"/>
    </row>
    <row r="2037" spans="1:13">
      <c r="A2037" s="88"/>
      <c r="B2037" s="90" t="s">
        <v>1199</v>
      </c>
      <c r="C2037" s="97"/>
      <c r="D2037" s="98"/>
      <c r="E2037" s="98"/>
      <c r="F2037" s="125"/>
      <c r="G2037" s="240" t="s">
        <v>243</v>
      </c>
      <c r="H2037" s="240" t="s">
        <v>4130</v>
      </c>
      <c r="I2037" s="240" t="s">
        <v>4202</v>
      </c>
      <c r="J2037" s="241" t="s">
        <v>4200</v>
      </c>
      <c r="K2037" s="375"/>
    </row>
    <row r="2038" spans="1:13">
      <c r="A2038" s="88">
        <v>1</v>
      </c>
      <c r="B2038" s="69" t="s">
        <v>2786</v>
      </c>
      <c r="C2038" s="69"/>
      <c r="D2038" s="89"/>
      <c r="E2038" s="89"/>
      <c r="F2038" s="89"/>
      <c r="G2038" s="100">
        <f>J2035*0.2</f>
        <v>1350145.0982761167</v>
      </c>
      <c r="H2038" s="100">
        <f>G2038*1.02</f>
        <v>1377148.0002416391</v>
      </c>
      <c r="I2038" s="100">
        <f>H2038*1.02</f>
        <v>1404690.9602464719</v>
      </c>
      <c r="J2038" s="100">
        <f>SUM(G2038:I2038)</f>
        <v>4131984.0587642277</v>
      </c>
      <c r="K2038" s="114"/>
    </row>
    <row r="2039" spans="1:13">
      <c r="A2039" s="92"/>
      <c r="B2039" s="93" t="s">
        <v>1933</v>
      </c>
      <c r="C2039" s="94"/>
      <c r="D2039" s="101"/>
      <c r="E2039" s="101"/>
      <c r="F2039" s="95"/>
      <c r="G2039" s="95">
        <f>SUM(G2038:G2038)</f>
        <v>1350145.0982761167</v>
      </c>
      <c r="H2039" s="95">
        <f>SUM(H2038:H2038)</f>
        <v>1377148.0002416391</v>
      </c>
      <c r="I2039" s="95">
        <f>SUM(I2038:I2038)</f>
        <v>1404690.9602464719</v>
      </c>
      <c r="J2039" s="95">
        <f>SUM(J2038:J2038)</f>
        <v>4131984.0587642277</v>
      </c>
      <c r="K2039" s="378"/>
    </row>
    <row r="2040" spans="1:13">
      <c r="A2040" s="88">
        <v>1</v>
      </c>
      <c r="B2040" s="69" t="s">
        <v>1934</v>
      </c>
      <c r="C2040" s="69"/>
      <c r="D2040" s="89"/>
      <c r="E2040" s="89"/>
      <c r="F2040" s="89"/>
      <c r="G2040" s="100">
        <f>G2039+J2035</f>
        <v>8100870.5896566994</v>
      </c>
      <c r="H2040" s="100">
        <f>G2040*1.02</f>
        <v>8262888.0014498336</v>
      </c>
      <c r="I2040" s="100">
        <f>H2040*1.02</f>
        <v>8428145.7614788301</v>
      </c>
      <c r="J2040" s="100">
        <f>SUM(G2040:I2040)</f>
        <v>24791904.352585364</v>
      </c>
      <c r="K2040" s="114"/>
    </row>
    <row r="2041" spans="1:13">
      <c r="A2041" s="88">
        <f>+A2040+1</f>
        <v>2</v>
      </c>
      <c r="B2041" s="69" t="s">
        <v>129</v>
      </c>
      <c r="C2041" s="69"/>
      <c r="D2041" s="89"/>
      <c r="E2041" s="89"/>
      <c r="F2041" s="89"/>
      <c r="G2041" s="89">
        <f>C2067</f>
        <v>7300000</v>
      </c>
      <c r="H2041" s="89">
        <f>D2067</f>
        <v>17000000</v>
      </c>
      <c r="I2041" s="89">
        <f>E2067</f>
        <v>17000000</v>
      </c>
      <c r="J2041" s="100">
        <f>SUM(G2041:I2041)</f>
        <v>41300000</v>
      </c>
      <c r="K2041" s="114"/>
    </row>
    <row r="2042" spans="1:13">
      <c r="A2042" s="88"/>
      <c r="B2042" s="69"/>
      <c r="C2042" s="69"/>
      <c r="D2042" s="89"/>
      <c r="E2042" s="89"/>
      <c r="F2042" s="89"/>
      <c r="G2042" s="89"/>
      <c r="H2042" s="89"/>
      <c r="I2042" s="89"/>
      <c r="J2042" s="89"/>
      <c r="K2042" s="114"/>
    </row>
    <row r="2043" spans="1:13" ht="13.5" thickBot="1">
      <c r="A2043" s="92"/>
      <c r="B2043" s="103" t="s">
        <v>2241</v>
      </c>
      <c r="C2043" s="104"/>
      <c r="D2043" s="105"/>
      <c r="E2043" s="105"/>
      <c r="F2043" s="129"/>
      <c r="G2043" s="129">
        <f>+G2041+G2040</f>
        <v>15400870.589656699</v>
      </c>
      <c r="H2043" s="129">
        <f>+H2041+H2040</f>
        <v>25262888.001449835</v>
      </c>
      <c r="I2043" s="129">
        <f>+I2041+I2040</f>
        <v>25428145.76147883</v>
      </c>
      <c r="J2043" s="129">
        <f>+J2041+J2040</f>
        <v>66091904.35258536</v>
      </c>
      <c r="K2043" s="378"/>
    </row>
    <row r="2044" spans="1:13" ht="15.75" thickTop="1">
      <c r="C2044" s="77"/>
      <c r="D2044" s="78" t="s">
        <v>5434</v>
      </c>
      <c r="J2044" s="584"/>
      <c r="K2044" s="584"/>
      <c r="M2044" s="62">
        <f>IF(C2044&gt;6,3,5)</f>
        <v>5</v>
      </c>
    </row>
    <row r="2045" spans="1:13" ht="15">
      <c r="C2045" s="77"/>
      <c r="D2045" s="78" t="s">
        <v>716</v>
      </c>
      <c r="J2045" s="584"/>
      <c r="K2045" s="584"/>
      <c r="M2045" s="62">
        <f>IF(C2045&gt;6,3,5)</f>
        <v>5</v>
      </c>
    </row>
    <row r="2046" spans="1:13" ht="15">
      <c r="C2046" s="79" t="s">
        <v>717</v>
      </c>
      <c r="D2046" s="78" t="s">
        <v>2454</v>
      </c>
      <c r="J2046" s="584"/>
      <c r="K2046" s="584"/>
      <c r="M2046" s="62">
        <f>IF(C2046&gt;6,3,5)</f>
        <v>3</v>
      </c>
    </row>
    <row r="2047" spans="1:13" ht="15">
      <c r="C2047" s="79" t="s">
        <v>718</v>
      </c>
      <c r="D2047" s="78" t="s">
        <v>1502</v>
      </c>
      <c r="J2047" s="584"/>
      <c r="K2047" s="584"/>
      <c r="M2047" s="62">
        <f>IF(C2047&gt;6,3,5)</f>
        <v>3</v>
      </c>
    </row>
    <row r="2048" spans="1:13" ht="15">
      <c r="A2048" s="634" t="s">
        <v>1839</v>
      </c>
      <c r="B2048" s="635" t="s">
        <v>903</v>
      </c>
      <c r="C2048" s="1037" t="s">
        <v>4127</v>
      </c>
      <c r="D2048" s="1038"/>
      <c r="E2048" s="1039"/>
      <c r="F2048" s="635" t="s">
        <v>1684</v>
      </c>
      <c r="G2048" s="1037" t="s">
        <v>4132</v>
      </c>
      <c r="H2048" s="1038"/>
      <c r="I2048" s="1039"/>
      <c r="J2048" s="726"/>
      <c r="K2048" s="727"/>
    </row>
    <row r="2049" spans="1:13">
      <c r="A2049" s="636" t="s">
        <v>1620</v>
      </c>
      <c r="B2049" s="637"/>
      <c r="C2049" s="635" t="s">
        <v>1841</v>
      </c>
      <c r="D2049" s="635" t="s">
        <v>4133</v>
      </c>
      <c r="E2049" s="635" t="s">
        <v>4133</v>
      </c>
      <c r="F2049" s="1056" t="s">
        <v>4200</v>
      </c>
      <c r="G2049" s="634" t="s">
        <v>4135</v>
      </c>
      <c r="H2049" s="1051" t="s">
        <v>4182</v>
      </c>
      <c r="I2049" s="634" t="s">
        <v>4135</v>
      </c>
      <c r="J2049" s="728" t="s">
        <v>4136</v>
      </c>
      <c r="K2049" s="727"/>
    </row>
    <row r="2050" spans="1:13" ht="12.75" customHeight="1">
      <c r="A2050" s="638" t="s">
        <v>387</v>
      </c>
      <c r="B2050" s="639"/>
      <c r="C2050" s="638">
        <v>2015</v>
      </c>
      <c r="D2050" s="638">
        <v>2016</v>
      </c>
      <c r="E2050" s="638">
        <v>2017</v>
      </c>
      <c r="F2050" s="1057"/>
      <c r="G2050" s="638" t="s">
        <v>4304</v>
      </c>
      <c r="H2050" s="1052"/>
      <c r="I2050" s="638" t="s">
        <v>4303</v>
      </c>
      <c r="J2050" s="639"/>
      <c r="K2050" s="729"/>
    </row>
    <row r="2051" spans="1:13">
      <c r="A2051" s="768"/>
      <c r="B2051" s="768"/>
      <c r="C2051" s="751"/>
      <c r="D2051" s="751"/>
      <c r="E2051" s="751"/>
      <c r="F2051" s="751"/>
      <c r="G2051" s="751"/>
      <c r="H2051" s="751"/>
      <c r="I2051" s="751"/>
      <c r="J2051" s="751"/>
      <c r="K2051" s="754"/>
      <c r="M2051" s="62" t="e">
        <f>IF(#REF!&gt;6,3,5)</f>
        <v>#REF!</v>
      </c>
    </row>
    <row r="2052" spans="1:13">
      <c r="A2052" s="768">
        <v>2</v>
      </c>
      <c r="B2052" s="773" t="s">
        <v>1695</v>
      </c>
      <c r="C2052" s="390">
        <v>2000000</v>
      </c>
      <c r="D2052" s="390">
        <v>2000000</v>
      </c>
      <c r="E2052" s="390">
        <v>2000000</v>
      </c>
      <c r="F2052" s="751">
        <f>SUM(C2052:E2052)</f>
        <v>6000000</v>
      </c>
      <c r="G2052" s="390">
        <v>636000</v>
      </c>
      <c r="H2052" s="390">
        <v>1500000</v>
      </c>
      <c r="I2052" s="390">
        <v>413000</v>
      </c>
      <c r="J2052" s="390"/>
      <c r="K2052" s="734"/>
      <c r="M2052" s="62" t="e">
        <f>IF(#REF!&gt;6,3,5)</f>
        <v>#REF!</v>
      </c>
    </row>
    <row r="2053" spans="1:13">
      <c r="A2053" s="768">
        <f t="shared" ref="A2053:A2064" si="166">+A2052+1</f>
        <v>3</v>
      </c>
      <c r="B2053" s="773" t="s">
        <v>1696</v>
      </c>
      <c r="C2053" s="390" t="s">
        <v>3007</v>
      </c>
      <c r="D2053" s="390" t="s">
        <v>3007</v>
      </c>
      <c r="E2053" s="390" t="s">
        <v>3007</v>
      </c>
      <c r="F2053" s="751">
        <f t="shared" ref="F2053:F2064" si="167">SUM(C2053:E2053)</f>
        <v>0</v>
      </c>
      <c r="G2053" s="390"/>
      <c r="H2053" s="390" t="s">
        <v>3007</v>
      </c>
      <c r="I2053" s="390"/>
      <c r="J2053" s="390"/>
      <c r="K2053" s="734"/>
      <c r="M2053" s="62" t="e">
        <f>IF(#REF!&gt;6,3,5)</f>
        <v>#REF!</v>
      </c>
    </row>
    <row r="2054" spans="1:13">
      <c r="A2054" s="768">
        <f t="shared" si="166"/>
        <v>4</v>
      </c>
      <c r="B2054" s="773" t="s">
        <v>1701</v>
      </c>
      <c r="C2054" s="390" t="s">
        <v>3007</v>
      </c>
      <c r="D2054" s="390" t="s">
        <v>3007</v>
      </c>
      <c r="E2054" s="390" t="s">
        <v>3007</v>
      </c>
      <c r="F2054" s="751">
        <f t="shared" si="167"/>
        <v>0</v>
      </c>
      <c r="G2054" s="390"/>
      <c r="H2054" s="390" t="s">
        <v>3007</v>
      </c>
      <c r="I2054" s="390"/>
      <c r="J2054" s="390"/>
      <c r="K2054" s="734"/>
      <c r="M2054" s="62" t="e">
        <f>IF(#REF!&gt;6,3,5)</f>
        <v>#REF!</v>
      </c>
    </row>
    <row r="2055" spans="1:13">
      <c r="A2055" s="768">
        <f t="shared" si="166"/>
        <v>5</v>
      </c>
      <c r="B2055" s="773" t="s">
        <v>998</v>
      </c>
      <c r="C2055" s="390">
        <v>500000</v>
      </c>
      <c r="D2055" s="390">
        <v>1000000</v>
      </c>
      <c r="E2055" s="390">
        <v>1000000</v>
      </c>
      <c r="F2055" s="751">
        <f t="shared" si="167"/>
        <v>2500000</v>
      </c>
      <c r="G2055" s="390">
        <v>10000</v>
      </c>
      <c r="H2055" s="390">
        <v>500000</v>
      </c>
      <c r="I2055" s="390">
        <v>0</v>
      </c>
      <c r="J2055" s="390"/>
      <c r="K2055" s="734"/>
      <c r="M2055" s="62" t="e">
        <f>IF(#REF!&gt;6,3,5)</f>
        <v>#REF!</v>
      </c>
    </row>
    <row r="2056" spans="1:13">
      <c r="A2056" s="768">
        <f t="shared" si="166"/>
        <v>6</v>
      </c>
      <c r="B2056" s="773" t="s">
        <v>999</v>
      </c>
      <c r="C2056" s="390">
        <v>500000</v>
      </c>
      <c r="D2056" s="390">
        <v>3000000</v>
      </c>
      <c r="E2056" s="390">
        <v>3000000</v>
      </c>
      <c r="F2056" s="751">
        <f t="shared" si="167"/>
        <v>6500000</v>
      </c>
      <c r="G2056" s="390">
        <v>304000</v>
      </c>
      <c r="H2056" s="390">
        <v>500000</v>
      </c>
      <c r="I2056" s="390">
        <v>30000</v>
      </c>
      <c r="J2056" s="390"/>
      <c r="K2056" s="734"/>
      <c r="M2056" s="62" t="e">
        <f>IF(#REF!&gt;6,3,5)</f>
        <v>#REF!</v>
      </c>
    </row>
    <row r="2057" spans="1:13">
      <c r="A2057" s="768">
        <f t="shared" si="166"/>
        <v>7</v>
      </c>
      <c r="B2057" s="773" t="s">
        <v>897</v>
      </c>
      <c r="C2057" s="390">
        <v>600000</v>
      </c>
      <c r="D2057" s="390">
        <v>3000000</v>
      </c>
      <c r="E2057" s="390">
        <v>3000000</v>
      </c>
      <c r="F2057" s="751">
        <f t="shared" si="167"/>
        <v>6600000</v>
      </c>
      <c r="G2057" s="390">
        <v>427000</v>
      </c>
      <c r="H2057" s="390">
        <v>800000</v>
      </c>
      <c r="I2057" s="390">
        <v>570000</v>
      </c>
      <c r="J2057" s="390"/>
      <c r="K2057" s="734"/>
      <c r="M2057" s="62" t="e">
        <f>IF(#REF!&gt;6,3,5)</f>
        <v>#REF!</v>
      </c>
    </row>
    <row r="2058" spans="1:13">
      <c r="A2058" s="768">
        <f t="shared" si="166"/>
        <v>8</v>
      </c>
      <c r="B2058" s="773" t="s">
        <v>1001</v>
      </c>
      <c r="C2058" s="390">
        <v>0</v>
      </c>
      <c r="D2058" s="390">
        <v>1500000</v>
      </c>
      <c r="E2058" s="390">
        <v>1500000</v>
      </c>
      <c r="F2058" s="751">
        <f t="shared" si="167"/>
        <v>3000000</v>
      </c>
      <c r="G2058" s="390"/>
      <c r="H2058" s="390">
        <v>0</v>
      </c>
      <c r="I2058" s="390"/>
      <c r="J2058" s="390"/>
      <c r="K2058" s="734"/>
      <c r="M2058" s="62" t="e">
        <f>IF(#REF!&gt;6,3,5)</f>
        <v>#REF!</v>
      </c>
    </row>
    <row r="2059" spans="1:13">
      <c r="A2059" s="768">
        <f t="shared" si="166"/>
        <v>9</v>
      </c>
      <c r="B2059" s="773" t="s">
        <v>2061</v>
      </c>
      <c r="C2059" s="390" t="s">
        <v>3007</v>
      </c>
      <c r="D2059" s="390" t="s">
        <v>3007</v>
      </c>
      <c r="E2059" s="390" t="s">
        <v>3007</v>
      </c>
      <c r="F2059" s="751">
        <f t="shared" si="167"/>
        <v>0</v>
      </c>
      <c r="G2059" s="390"/>
      <c r="H2059" s="390" t="s">
        <v>3007</v>
      </c>
      <c r="I2059" s="390"/>
      <c r="J2059" s="390"/>
      <c r="K2059" s="734"/>
      <c r="M2059" s="62" t="e">
        <f>IF(#REF!&gt;6,3,5)</f>
        <v>#REF!</v>
      </c>
    </row>
    <row r="2060" spans="1:13">
      <c r="A2060" s="768">
        <f t="shared" si="166"/>
        <v>10</v>
      </c>
      <c r="B2060" s="773" t="s">
        <v>1680</v>
      </c>
      <c r="C2060" s="390">
        <v>200000</v>
      </c>
      <c r="D2060" s="390">
        <v>100000</v>
      </c>
      <c r="E2060" s="390">
        <v>100000</v>
      </c>
      <c r="F2060" s="751">
        <f t="shared" si="167"/>
        <v>400000</v>
      </c>
      <c r="G2060" s="390"/>
      <c r="H2060" s="390">
        <v>100000</v>
      </c>
      <c r="I2060" s="390"/>
      <c r="J2060" s="390"/>
      <c r="K2060" s="734"/>
      <c r="M2060" s="62" t="e">
        <f>IF(#REF!&gt;6,3,5)</f>
        <v>#REF!</v>
      </c>
    </row>
    <row r="2061" spans="1:13">
      <c r="A2061" s="768">
        <f t="shared" si="166"/>
        <v>11</v>
      </c>
      <c r="B2061" s="773" t="s">
        <v>1681</v>
      </c>
      <c r="C2061" s="390">
        <v>100000</v>
      </c>
      <c r="D2061" s="390">
        <v>100000</v>
      </c>
      <c r="E2061" s="390">
        <v>100000</v>
      </c>
      <c r="F2061" s="751">
        <f t="shared" si="167"/>
        <v>300000</v>
      </c>
      <c r="G2061" s="390">
        <v>0</v>
      </c>
      <c r="H2061" s="390">
        <v>100000</v>
      </c>
      <c r="I2061" s="390">
        <v>0</v>
      </c>
      <c r="J2061" s="390"/>
      <c r="K2061" s="734"/>
      <c r="M2061" s="62" t="e">
        <f>IF(#REF!&gt;6,3,5)</f>
        <v>#REF!</v>
      </c>
    </row>
    <row r="2062" spans="1:13">
      <c r="A2062" s="768">
        <f t="shared" si="166"/>
        <v>12</v>
      </c>
      <c r="B2062" s="773" t="s">
        <v>1682</v>
      </c>
      <c r="C2062" s="390">
        <v>3000000</v>
      </c>
      <c r="D2062" s="390">
        <v>5200000</v>
      </c>
      <c r="E2062" s="390">
        <v>5200000</v>
      </c>
      <c r="F2062" s="751">
        <f t="shared" si="167"/>
        <v>13400000</v>
      </c>
      <c r="G2062" s="390">
        <v>263000</v>
      </c>
      <c r="H2062" s="390">
        <v>3000000</v>
      </c>
      <c r="I2062" s="390">
        <v>512000</v>
      </c>
      <c r="J2062" s="390"/>
      <c r="K2062" s="734"/>
      <c r="M2062" s="62" t="e">
        <f>IF(#REF!&gt;6,3,5)</f>
        <v>#REF!</v>
      </c>
    </row>
    <row r="2063" spans="1:13">
      <c r="A2063" s="768">
        <f t="shared" si="166"/>
        <v>13</v>
      </c>
      <c r="B2063" s="773" t="s">
        <v>2249</v>
      </c>
      <c r="C2063" s="390">
        <v>100000</v>
      </c>
      <c r="D2063" s="390">
        <v>100000</v>
      </c>
      <c r="E2063" s="390">
        <v>100000</v>
      </c>
      <c r="F2063" s="751">
        <f t="shared" si="167"/>
        <v>300000</v>
      </c>
      <c r="G2063" s="390"/>
      <c r="H2063" s="390">
        <v>100000</v>
      </c>
      <c r="I2063" s="390"/>
      <c r="J2063" s="390"/>
      <c r="K2063" s="734"/>
      <c r="M2063" s="62" t="e">
        <f>IF(#REF!&gt;6,3,5)</f>
        <v>#REF!</v>
      </c>
    </row>
    <row r="2064" spans="1:13">
      <c r="A2064" s="768">
        <f t="shared" si="166"/>
        <v>14</v>
      </c>
      <c r="B2064" s="773" t="s">
        <v>1336</v>
      </c>
      <c r="C2064" s="390">
        <v>300000</v>
      </c>
      <c r="D2064" s="390">
        <v>1000000</v>
      </c>
      <c r="E2064" s="390">
        <v>1000000</v>
      </c>
      <c r="F2064" s="751">
        <f t="shared" si="167"/>
        <v>2300000</v>
      </c>
      <c r="G2064" s="390"/>
      <c r="H2064" s="390">
        <v>1000000</v>
      </c>
      <c r="I2064" s="390"/>
      <c r="J2064" s="390"/>
      <c r="K2064" s="734"/>
      <c r="M2064" s="62" t="e">
        <f>IF(#REF!&gt;6,3,5)</f>
        <v>#REF!</v>
      </c>
    </row>
    <row r="2065" spans="1:13">
      <c r="A2065" s="768"/>
      <c r="B2065" s="773"/>
      <c r="C2065" s="751"/>
      <c r="D2065" s="751"/>
      <c r="E2065" s="751"/>
      <c r="F2065" s="751"/>
      <c r="G2065" s="751"/>
      <c r="H2065" s="751"/>
      <c r="I2065" s="751"/>
      <c r="J2065" s="751"/>
      <c r="K2065" s="754"/>
      <c r="M2065" s="62" t="e">
        <f>IF(#REF!&gt;6,3,5)</f>
        <v>#REF!</v>
      </c>
    </row>
    <row r="2066" spans="1:13">
      <c r="A2066" s="768"/>
      <c r="B2066" s="773"/>
      <c r="C2066" s="782"/>
      <c r="D2066" s="782"/>
      <c r="E2066" s="782"/>
      <c r="F2066" s="782"/>
      <c r="G2066" s="782"/>
      <c r="H2066" s="782"/>
      <c r="I2066" s="782"/>
      <c r="J2066" s="782"/>
      <c r="K2066" s="783"/>
      <c r="M2066" s="62" t="e">
        <f>IF(#REF!&gt;6,3,5)</f>
        <v>#REF!</v>
      </c>
    </row>
    <row r="2067" spans="1:13">
      <c r="A2067" s="770"/>
      <c r="B2067" s="784" t="s">
        <v>1684</v>
      </c>
      <c r="C2067" s="771">
        <f t="shared" ref="C2067:J2067" si="168">SUM(C2051:C2066)</f>
        <v>7300000</v>
      </c>
      <c r="D2067" s="771">
        <f t="shared" si="168"/>
        <v>17000000</v>
      </c>
      <c r="E2067" s="771">
        <f t="shared" si="168"/>
        <v>17000000</v>
      </c>
      <c r="F2067" s="771">
        <f t="shared" si="168"/>
        <v>41300000</v>
      </c>
      <c r="G2067" s="771">
        <f t="shared" si="168"/>
        <v>1640000</v>
      </c>
      <c r="H2067" s="771">
        <f t="shared" si="168"/>
        <v>7600000</v>
      </c>
      <c r="I2067" s="771">
        <f t="shared" si="168"/>
        <v>1525000</v>
      </c>
      <c r="J2067" s="771">
        <f t="shared" si="168"/>
        <v>0</v>
      </c>
      <c r="K2067" s="772"/>
      <c r="M2067" s="62" t="e">
        <f>IF(#REF!&gt;6,3,5)</f>
        <v>#REF!</v>
      </c>
    </row>
    <row r="2068" spans="1:13" ht="15">
      <c r="C2068" s="77"/>
      <c r="D2068" s="78" t="s">
        <v>5434</v>
      </c>
      <c r="J2068" s="584"/>
      <c r="K2068" s="584"/>
      <c r="M2068" s="62">
        <f t="shared" ref="M2068:M2118" si="169">IF(C2068&gt;6,3,5)</f>
        <v>5</v>
      </c>
    </row>
    <row r="2069" spans="1:13" ht="15">
      <c r="C2069" s="77"/>
      <c r="D2069" s="78" t="s">
        <v>1693</v>
      </c>
      <c r="J2069" s="584"/>
      <c r="K2069" s="584"/>
      <c r="M2069" s="62">
        <f t="shared" si="169"/>
        <v>5</v>
      </c>
    </row>
    <row r="2070" spans="1:13" ht="15">
      <c r="C2070" s="79" t="s">
        <v>717</v>
      </c>
      <c r="D2070" s="78" t="s">
        <v>1501</v>
      </c>
      <c r="J2070" s="584"/>
      <c r="K2070" s="584"/>
      <c r="M2070" s="62">
        <f t="shared" si="169"/>
        <v>3</v>
      </c>
    </row>
    <row r="2071" spans="1:13" ht="15.75" thickBot="1">
      <c r="C2071" s="79" t="s">
        <v>718</v>
      </c>
      <c r="D2071" s="78" t="s">
        <v>868</v>
      </c>
      <c r="J2071" s="584"/>
      <c r="K2071" s="584"/>
      <c r="M2071" s="62">
        <f t="shared" si="169"/>
        <v>3</v>
      </c>
    </row>
    <row r="2072" spans="1:13" ht="15.75" thickTop="1">
      <c r="A2072" s="1047" t="s">
        <v>2791</v>
      </c>
      <c r="B2072" s="1049" t="s">
        <v>4126</v>
      </c>
      <c r="C2072" s="1049" t="s">
        <v>854</v>
      </c>
      <c r="D2072" s="1040" t="s">
        <v>4127</v>
      </c>
      <c r="E2072" s="1041"/>
      <c r="F2072" s="1041"/>
      <c r="G2072" s="1040" t="s">
        <v>904</v>
      </c>
      <c r="H2072" s="1041"/>
      <c r="I2072" s="1042"/>
      <c r="J2072" s="1035" t="s">
        <v>855</v>
      </c>
      <c r="K2072" s="389"/>
    </row>
    <row r="2073" spans="1:13" ht="26.25" thickBot="1">
      <c r="A2073" s="1048"/>
      <c r="B2073" s="1050"/>
      <c r="C2073" s="1050"/>
      <c r="D2073" s="285" t="s">
        <v>5505</v>
      </c>
      <c r="E2073" s="285" t="s">
        <v>4485</v>
      </c>
      <c r="F2073" s="285" t="s">
        <v>4486</v>
      </c>
      <c r="G2073" s="287" t="s">
        <v>4487</v>
      </c>
      <c r="H2073" s="285" t="s">
        <v>4488</v>
      </c>
      <c r="I2073" s="287" t="s">
        <v>4489</v>
      </c>
      <c r="J2073" s="1036"/>
      <c r="K2073" s="712"/>
    </row>
    <row r="2074" spans="1:13" ht="13.5" thickTop="1">
      <c r="A2074" s="88"/>
      <c r="B2074" s="90" t="s">
        <v>3885</v>
      </c>
      <c r="C2074" s="134"/>
      <c r="D2074" s="89"/>
      <c r="E2074" s="89"/>
      <c r="F2074" s="69"/>
      <c r="G2074" s="89"/>
      <c r="H2074" s="89"/>
      <c r="I2074" s="89"/>
      <c r="J2074" s="713"/>
      <c r="K2074" s="711"/>
      <c r="M2074" s="62">
        <f t="shared" si="169"/>
        <v>5</v>
      </c>
    </row>
    <row r="2075" spans="1:13">
      <c r="A2075" s="88">
        <v>1</v>
      </c>
      <c r="B2075" s="69" t="s">
        <v>3770</v>
      </c>
      <c r="C2075" s="69">
        <v>5</v>
      </c>
      <c r="D2075" s="89">
        <v>1</v>
      </c>
      <c r="E2075" s="89">
        <v>1</v>
      </c>
      <c r="F2075" s="69"/>
      <c r="G2075" s="89">
        <v>1</v>
      </c>
      <c r="H2075" s="89">
        <v>1</v>
      </c>
      <c r="I2075" s="89">
        <v>1</v>
      </c>
      <c r="J2075" s="710">
        <f>(VLOOKUP($C2075,[2]Sheet1!$A$2:$P$18,$M2075+1)/12)*12*D2075</f>
        <v>229569.77893036499</v>
      </c>
      <c r="K2075" s="711"/>
      <c r="M2075" s="62">
        <f t="shared" si="169"/>
        <v>5</v>
      </c>
    </row>
    <row r="2076" spans="1:13">
      <c r="A2076" s="88">
        <f t="shared" ref="A2076:A2095" si="170">+A2075+1</f>
        <v>2</v>
      </c>
      <c r="B2076" s="69" t="s">
        <v>3662</v>
      </c>
      <c r="C2076" s="69">
        <v>4</v>
      </c>
      <c r="D2076" s="89">
        <v>1</v>
      </c>
      <c r="E2076" s="89">
        <v>1</v>
      </c>
      <c r="F2076" s="69"/>
      <c r="G2076" s="89">
        <v>1</v>
      </c>
      <c r="H2076" s="89">
        <v>1</v>
      </c>
      <c r="I2076" s="89">
        <v>1</v>
      </c>
      <c r="J2076" s="710">
        <f>(VLOOKUP($C2076,[2]Sheet1!$A$2:$P$18,$M2076+1)/12)*12*D2076</f>
        <v>224542.978930365</v>
      </c>
      <c r="K2076" s="711"/>
      <c r="M2076" s="62">
        <f t="shared" si="169"/>
        <v>5</v>
      </c>
    </row>
    <row r="2077" spans="1:13">
      <c r="A2077" s="88">
        <f t="shared" si="170"/>
        <v>3</v>
      </c>
      <c r="B2077" s="69" t="s">
        <v>1227</v>
      </c>
      <c r="C2077" s="69">
        <v>3</v>
      </c>
      <c r="D2077" s="89">
        <v>1</v>
      </c>
      <c r="E2077" s="89">
        <v>1</v>
      </c>
      <c r="F2077" s="69"/>
      <c r="G2077" s="89">
        <v>1</v>
      </c>
      <c r="H2077" s="89">
        <v>1</v>
      </c>
      <c r="I2077" s="89">
        <v>1</v>
      </c>
      <c r="J2077" s="710">
        <f>(VLOOKUP($C2077,[2]Sheet1!$A$2:$P$18,$M2077+1)/12)*12*D2077</f>
        <v>219336.17893036499</v>
      </c>
      <c r="K2077" s="711"/>
      <c r="M2077" s="62">
        <f t="shared" si="169"/>
        <v>5</v>
      </c>
    </row>
    <row r="2078" spans="1:13">
      <c r="A2078" s="88">
        <f t="shared" si="170"/>
        <v>4</v>
      </c>
      <c r="B2078" s="69" t="s">
        <v>1228</v>
      </c>
      <c r="C2078" s="69">
        <v>8</v>
      </c>
      <c r="D2078" s="89">
        <v>1</v>
      </c>
      <c r="E2078" s="89">
        <v>1</v>
      </c>
      <c r="F2078" s="69"/>
      <c r="G2078" s="89">
        <v>0</v>
      </c>
      <c r="H2078" s="89">
        <v>0</v>
      </c>
      <c r="I2078" s="89">
        <v>0</v>
      </c>
      <c r="J2078" s="710">
        <f>(VLOOKUP($C2078,[2]Sheet1!$A$2:$P$18,$M2078+1)/12)*12*D2078</f>
        <v>342141.27408</v>
      </c>
      <c r="K2078" s="711"/>
      <c r="M2078" s="62">
        <f t="shared" si="169"/>
        <v>3</v>
      </c>
    </row>
    <row r="2079" spans="1:13">
      <c r="A2079" s="88">
        <f t="shared" si="170"/>
        <v>5</v>
      </c>
      <c r="B2079" s="69" t="s">
        <v>1229</v>
      </c>
      <c r="C2079" s="69">
        <v>7</v>
      </c>
      <c r="D2079" s="89">
        <v>1</v>
      </c>
      <c r="E2079" s="89">
        <v>1</v>
      </c>
      <c r="F2079" s="69"/>
      <c r="G2079" s="89">
        <v>0</v>
      </c>
      <c r="H2079" s="89">
        <v>0</v>
      </c>
      <c r="I2079" s="89">
        <v>0</v>
      </c>
      <c r="J2079" s="710">
        <f>(VLOOKUP($C2079,[2]Sheet1!$A$2:$P$18,$M2079+1)/12)*12*D2079</f>
        <v>307706.70240000007</v>
      </c>
      <c r="K2079" s="711"/>
      <c r="M2079" s="62">
        <f t="shared" si="169"/>
        <v>3</v>
      </c>
    </row>
    <row r="2080" spans="1:13">
      <c r="A2080" s="88">
        <f t="shared" si="170"/>
        <v>6</v>
      </c>
      <c r="B2080" s="69" t="s">
        <v>1230</v>
      </c>
      <c r="C2080" s="69">
        <v>6</v>
      </c>
      <c r="D2080" s="89">
        <v>2</v>
      </c>
      <c r="E2080" s="89">
        <v>2</v>
      </c>
      <c r="F2080" s="69"/>
      <c r="G2080" s="89">
        <v>0</v>
      </c>
      <c r="H2080" s="89">
        <v>0</v>
      </c>
      <c r="I2080" s="89">
        <v>0</v>
      </c>
      <c r="J2080" s="710">
        <f>(VLOOKUP($C2080,[2]Sheet1!$A$2:$P$18,$M2080+1)/12)*12*D2080</f>
        <v>476198.75786072994</v>
      </c>
      <c r="K2080" s="711"/>
      <c r="M2080" s="62">
        <f t="shared" si="169"/>
        <v>5</v>
      </c>
    </row>
    <row r="2081" spans="1:13">
      <c r="A2081" s="88">
        <f t="shared" si="170"/>
        <v>7</v>
      </c>
      <c r="B2081" s="69" t="s">
        <v>3849</v>
      </c>
      <c r="C2081" s="69">
        <v>5</v>
      </c>
      <c r="D2081" s="89">
        <v>2</v>
      </c>
      <c r="E2081" s="89">
        <v>2</v>
      </c>
      <c r="F2081" s="69"/>
      <c r="G2081" s="89">
        <v>2</v>
      </c>
      <c r="H2081" s="89">
        <v>2</v>
      </c>
      <c r="I2081" s="89">
        <v>2</v>
      </c>
      <c r="J2081" s="710">
        <f>(VLOOKUP($C2081,[2]Sheet1!$A$2:$P$18,$M2081+1)/12)*12*D2081</f>
        <v>459139.55786072998</v>
      </c>
      <c r="K2081" s="711"/>
      <c r="M2081" s="62">
        <f t="shared" si="169"/>
        <v>5</v>
      </c>
    </row>
    <row r="2082" spans="1:13">
      <c r="A2082" s="88">
        <f t="shared" si="170"/>
        <v>8</v>
      </c>
      <c r="B2082" s="69" t="s">
        <v>3796</v>
      </c>
      <c r="C2082" s="69">
        <v>5</v>
      </c>
      <c r="D2082" s="89">
        <v>2</v>
      </c>
      <c r="E2082" s="89">
        <v>2</v>
      </c>
      <c r="F2082" s="69"/>
      <c r="G2082" s="89">
        <v>2</v>
      </c>
      <c r="H2082" s="89">
        <v>2</v>
      </c>
      <c r="I2082" s="89">
        <v>2</v>
      </c>
      <c r="J2082" s="710">
        <f>(VLOOKUP($C2082,[2]Sheet1!$A$2:$P$18,$M2082+1)/12)*12*D2082</f>
        <v>459139.55786072998</v>
      </c>
      <c r="K2082" s="711"/>
      <c r="M2082" s="62">
        <f t="shared" si="169"/>
        <v>5</v>
      </c>
    </row>
    <row r="2083" spans="1:13">
      <c r="A2083" s="88">
        <f t="shared" si="170"/>
        <v>9</v>
      </c>
      <c r="B2083" s="69" t="s">
        <v>3797</v>
      </c>
      <c r="C2083" s="69">
        <v>4</v>
      </c>
      <c r="D2083" s="89">
        <v>1</v>
      </c>
      <c r="E2083" s="89">
        <v>1</v>
      </c>
      <c r="F2083" s="69"/>
      <c r="G2083" s="89">
        <v>1</v>
      </c>
      <c r="H2083" s="89">
        <v>1</v>
      </c>
      <c r="I2083" s="89">
        <v>1</v>
      </c>
      <c r="J2083" s="710">
        <f>(VLOOKUP($C2083,[2]Sheet1!$A$2:$P$18,$M2083+1)/12)*12*D2083</f>
        <v>224542.978930365</v>
      </c>
      <c r="K2083" s="711"/>
      <c r="M2083" s="62">
        <f t="shared" si="169"/>
        <v>5</v>
      </c>
    </row>
    <row r="2084" spans="1:13">
      <c r="A2084" s="88">
        <f t="shared" si="170"/>
        <v>10</v>
      </c>
      <c r="B2084" s="69" t="s">
        <v>3798</v>
      </c>
      <c r="C2084" s="69">
        <v>3</v>
      </c>
      <c r="D2084" s="89">
        <v>1</v>
      </c>
      <c r="E2084" s="89">
        <v>1</v>
      </c>
      <c r="F2084" s="69"/>
      <c r="G2084" s="89">
        <v>1</v>
      </c>
      <c r="H2084" s="89">
        <v>1</v>
      </c>
      <c r="I2084" s="89">
        <v>1</v>
      </c>
      <c r="J2084" s="710">
        <f>(VLOOKUP($C2084,[2]Sheet1!$A$2:$P$18,$M2084+1)/12)*12*D2084</f>
        <v>219336.17893036499</v>
      </c>
      <c r="K2084" s="711"/>
      <c r="M2084" s="62">
        <f t="shared" si="169"/>
        <v>5</v>
      </c>
    </row>
    <row r="2085" spans="1:13">
      <c r="A2085" s="88">
        <f t="shared" si="170"/>
        <v>11</v>
      </c>
      <c r="B2085" s="69" t="s">
        <v>2563</v>
      </c>
      <c r="C2085" s="69">
        <v>7</v>
      </c>
      <c r="D2085" s="89">
        <v>1</v>
      </c>
      <c r="E2085" s="89">
        <v>1</v>
      </c>
      <c r="F2085" s="69"/>
      <c r="G2085" s="89">
        <v>1</v>
      </c>
      <c r="H2085" s="89">
        <v>1</v>
      </c>
      <c r="I2085" s="89">
        <v>1</v>
      </c>
      <c r="J2085" s="710">
        <f>(VLOOKUP($C2085,[2]Sheet1!$A$2:$P$18,$M2085+1)/12)*12*D2085</f>
        <v>307706.70240000007</v>
      </c>
      <c r="K2085" s="711"/>
      <c r="M2085" s="62">
        <f t="shared" si="169"/>
        <v>3</v>
      </c>
    </row>
    <row r="2086" spans="1:13">
      <c r="A2086" s="88">
        <f t="shared" si="170"/>
        <v>12</v>
      </c>
      <c r="B2086" s="69" t="s">
        <v>3282</v>
      </c>
      <c r="C2086" s="69">
        <v>6</v>
      </c>
      <c r="D2086" s="89">
        <v>1</v>
      </c>
      <c r="E2086" s="89">
        <v>1</v>
      </c>
      <c r="F2086" s="69"/>
      <c r="G2086" s="89">
        <v>1</v>
      </c>
      <c r="H2086" s="89">
        <v>1</v>
      </c>
      <c r="I2086" s="89">
        <v>1</v>
      </c>
      <c r="J2086" s="710">
        <f>(VLOOKUP($C2086,[2]Sheet1!$A$2:$P$18,$M2086+1)/12)*12*D2086</f>
        <v>238099.37893036497</v>
      </c>
      <c r="K2086" s="711"/>
      <c r="M2086" s="62">
        <f t="shared" si="169"/>
        <v>5</v>
      </c>
    </row>
    <row r="2087" spans="1:13">
      <c r="A2087" s="88">
        <f t="shared" si="170"/>
        <v>13</v>
      </c>
      <c r="B2087" s="69" t="s">
        <v>3281</v>
      </c>
      <c r="C2087" s="69">
        <v>5</v>
      </c>
      <c r="D2087" s="89">
        <v>2</v>
      </c>
      <c r="E2087" s="89">
        <v>2</v>
      </c>
      <c r="F2087" s="69"/>
      <c r="G2087" s="89">
        <v>1</v>
      </c>
      <c r="H2087" s="89">
        <v>1</v>
      </c>
      <c r="I2087" s="89">
        <v>1</v>
      </c>
      <c r="J2087" s="710">
        <f>(VLOOKUP($C2087,[2]Sheet1!$A$2:$P$18,$M2087+1)/12)*12*D2087</f>
        <v>459139.55786072998</v>
      </c>
      <c r="K2087" s="711"/>
      <c r="M2087" s="62">
        <f t="shared" si="169"/>
        <v>5</v>
      </c>
    </row>
    <row r="2088" spans="1:13">
      <c r="A2088" s="88">
        <f ca="1">+A2088+1</f>
        <v>0</v>
      </c>
      <c r="B2088" s="69" t="s">
        <v>2232</v>
      </c>
      <c r="C2088" s="69">
        <v>4</v>
      </c>
      <c r="D2088" s="89">
        <v>4</v>
      </c>
      <c r="E2088" s="89">
        <v>4</v>
      </c>
      <c r="F2088" s="69"/>
      <c r="G2088" s="89">
        <v>2</v>
      </c>
      <c r="H2088" s="89">
        <v>2</v>
      </c>
      <c r="I2088" s="89">
        <v>2</v>
      </c>
      <c r="J2088" s="710">
        <f>(VLOOKUP($C2088,[2]Sheet1!$A$2:$P$18,$M2088+1)/12)*12*D2088</f>
        <v>898171.91572146001</v>
      </c>
      <c r="K2088" s="711"/>
      <c r="M2088" s="62">
        <f t="shared" si="169"/>
        <v>5</v>
      </c>
    </row>
    <row r="2089" spans="1:13">
      <c r="A2089" s="88">
        <f t="shared" ca="1" si="170"/>
        <v>15</v>
      </c>
      <c r="B2089" s="69" t="s">
        <v>2232</v>
      </c>
      <c r="C2089" s="69">
        <v>3</v>
      </c>
      <c r="D2089" s="89">
        <v>6</v>
      </c>
      <c r="E2089" s="89">
        <v>6</v>
      </c>
      <c r="F2089" s="69"/>
      <c r="G2089" s="89">
        <v>6</v>
      </c>
      <c r="H2089" s="89">
        <v>4</v>
      </c>
      <c r="I2089" s="89">
        <v>6</v>
      </c>
      <c r="J2089" s="710">
        <f>(VLOOKUP($C2089,[2]Sheet1!$A$2:$P$18,$M2089+1)/12)*12*D2089</f>
        <v>1316017.0735821899</v>
      </c>
      <c r="K2089" s="711"/>
      <c r="M2089" s="62">
        <f t="shared" si="169"/>
        <v>5</v>
      </c>
    </row>
    <row r="2090" spans="1:13">
      <c r="A2090" s="88">
        <f t="shared" ca="1" si="170"/>
        <v>16</v>
      </c>
      <c r="B2090" s="69" t="s">
        <v>2542</v>
      </c>
      <c r="C2090" s="69">
        <v>4</v>
      </c>
      <c r="D2090" s="89">
        <v>4</v>
      </c>
      <c r="E2090" s="89">
        <v>4</v>
      </c>
      <c r="F2090" s="69"/>
      <c r="G2090" s="89">
        <v>2</v>
      </c>
      <c r="H2090" s="89">
        <v>2</v>
      </c>
      <c r="I2090" s="89">
        <v>2</v>
      </c>
      <c r="J2090" s="710">
        <f>(VLOOKUP($C2090,[2]Sheet1!$A$2:$P$18,$M2090+1)/12)*12*D2090</f>
        <v>898171.91572146001</v>
      </c>
      <c r="K2090" s="711"/>
      <c r="M2090" s="62">
        <f t="shared" si="169"/>
        <v>5</v>
      </c>
    </row>
    <row r="2091" spans="1:13">
      <c r="A2091" s="88">
        <f t="shared" ca="1" si="170"/>
        <v>17</v>
      </c>
      <c r="B2091" s="69" t="s">
        <v>2543</v>
      </c>
      <c r="C2091" s="69">
        <v>3</v>
      </c>
      <c r="D2091" s="89">
        <v>4</v>
      </c>
      <c r="E2091" s="89">
        <v>4</v>
      </c>
      <c r="F2091" s="69"/>
      <c r="G2091" s="89">
        <v>3</v>
      </c>
      <c r="H2091" s="89">
        <v>3</v>
      </c>
      <c r="I2091" s="89">
        <v>3</v>
      </c>
      <c r="J2091" s="710">
        <f>(VLOOKUP($C2091,[2]Sheet1!$A$2:$P$18,$M2091+1)/12)*12*D2091</f>
        <v>877344.71572145994</v>
      </c>
      <c r="K2091" s="711"/>
      <c r="M2091" s="62">
        <f t="shared" si="169"/>
        <v>5</v>
      </c>
    </row>
    <row r="2092" spans="1:13">
      <c r="A2092" s="88">
        <f t="shared" ca="1" si="170"/>
        <v>18</v>
      </c>
      <c r="B2092" s="69" t="s">
        <v>2543</v>
      </c>
      <c r="C2092" s="69">
        <v>2</v>
      </c>
      <c r="D2092" s="89">
        <v>1</v>
      </c>
      <c r="E2092" s="89">
        <v>1</v>
      </c>
      <c r="F2092" s="69"/>
      <c r="G2092" s="89">
        <v>1</v>
      </c>
      <c r="H2092" s="89">
        <v>1</v>
      </c>
      <c r="I2092" s="89">
        <v>1</v>
      </c>
      <c r="J2092" s="710">
        <f>(VLOOKUP($C2092,[2]Sheet1!$A$2:$P$18,$M2092+1)/12)*12*D2092</f>
        <v>214657.37893036503</v>
      </c>
      <c r="K2092" s="711"/>
      <c r="M2092" s="62">
        <f t="shared" si="169"/>
        <v>5</v>
      </c>
    </row>
    <row r="2093" spans="1:13">
      <c r="A2093" s="88">
        <f t="shared" ca="1" si="170"/>
        <v>19</v>
      </c>
      <c r="B2093" s="69" t="s">
        <v>2172</v>
      </c>
      <c r="C2093" s="69">
        <v>3</v>
      </c>
      <c r="D2093" s="89">
        <v>1</v>
      </c>
      <c r="E2093" s="89">
        <v>1</v>
      </c>
      <c r="F2093" s="69"/>
      <c r="G2093" s="89">
        <v>1</v>
      </c>
      <c r="H2093" s="89">
        <v>1</v>
      </c>
      <c r="I2093" s="89">
        <v>1</v>
      </c>
      <c r="J2093" s="710">
        <f>(VLOOKUP($C2093,[2]Sheet1!$A$2:$P$18,$M2093+1)/12)*12*D2093</f>
        <v>219336.17893036499</v>
      </c>
      <c r="K2093" s="711"/>
      <c r="M2093" s="62">
        <f t="shared" si="169"/>
        <v>5</v>
      </c>
    </row>
    <row r="2094" spans="1:13">
      <c r="A2094" s="88">
        <f t="shared" ca="1" si="170"/>
        <v>20</v>
      </c>
      <c r="B2094" s="69" t="s">
        <v>2172</v>
      </c>
      <c r="C2094" s="69">
        <v>1</v>
      </c>
      <c r="D2094" s="89">
        <v>2</v>
      </c>
      <c r="E2094" s="89">
        <v>2</v>
      </c>
      <c r="F2094" s="69"/>
      <c r="G2094" s="89">
        <v>2</v>
      </c>
      <c r="H2094" s="89">
        <v>2</v>
      </c>
      <c r="I2094" s="89">
        <v>2</v>
      </c>
      <c r="J2094" s="710">
        <f>(VLOOKUP($C2094,[2]Sheet1!$A$2:$P$18,$M2094+1)/12)*12*D2094</f>
        <v>414215.15786072996</v>
      </c>
      <c r="K2094" s="711"/>
      <c r="M2094" s="62">
        <f t="shared" si="169"/>
        <v>5</v>
      </c>
    </row>
    <row r="2095" spans="1:13">
      <c r="A2095" s="88">
        <f t="shared" ca="1" si="170"/>
        <v>21</v>
      </c>
      <c r="B2095" s="69" t="s">
        <v>3674</v>
      </c>
      <c r="C2095" s="69">
        <v>3</v>
      </c>
      <c r="D2095" s="89">
        <v>1</v>
      </c>
      <c r="E2095" s="89">
        <v>1</v>
      </c>
      <c r="F2095" s="69"/>
      <c r="G2095" s="89">
        <v>1</v>
      </c>
      <c r="H2095" s="89">
        <v>1</v>
      </c>
      <c r="I2095" s="89">
        <v>1</v>
      </c>
      <c r="J2095" s="710">
        <f>(VLOOKUP($C2095,[2]Sheet1!$A$2:$P$18,$M2095+1)/12)*12*D2095</f>
        <v>219336.17893036499</v>
      </c>
      <c r="K2095" s="711"/>
      <c r="M2095" s="62">
        <f t="shared" si="169"/>
        <v>5</v>
      </c>
    </row>
    <row r="2096" spans="1:13">
      <c r="A2096" s="88">
        <f ca="1">+A2095+1</f>
        <v>22</v>
      </c>
      <c r="B2096" s="69" t="s">
        <v>3675</v>
      </c>
      <c r="C2096" s="69">
        <v>2</v>
      </c>
      <c r="D2096" s="89">
        <v>0</v>
      </c>
      <c r="E2096" s="89">
        <v>0</v>
      </c>
      <c r="F2096" s="69"/>
      <c r="G2096" s="89">
        <v>1</v>
      </c>
      <c r="H2096" s="89">
        <v>1</v>
      </c>
      <c r="I2096" s="89">
        <v>1</v>
      </c>
      <c r="J2096" s="710">
        <f>(VLOOKUP($C2096,[2]Sheet1!$A$2:$P$18,$M2096+1)/12)*12*D2096</f>
        <v>0</v>
      </c>
      <c r="K2096" s="711"/>
      <c r="M2096" s="62">
        <f t="shared" si="169"/>
        <v>5</v>
      </c>
    </row>
    <row r="2097" spans="1:13">
      <c r="A2097" s="88"/>
      <c r="B2097" s="90" t="s">
        <v>3521</v>
      </c>
      <c r="C2097" s="69"/>
      <c r="D2097" s="89"/>
      <c r="E2097" s="89"/>
      <c r="F2097" s="69"/>
      <c r="G2097" s="89"/>
      <c r="H2097" s="89"/>
      <c r="I2097" s="89"/>
      <c r="J2097" s="710"/>
      <c r="K2097" s="711"/>
      <c r="M2097" s="62">
        <f t="shared" si="169"/>
        <v>5</v>
      </c>
    </row>
    <row r="2098" spans="1:13">
      <c r="A2098" s="88">
        <f ca="1">+A2096+1</f>
        <v>23</v>
      </c>
      <c r="B2098" s="69" t="s">
        <v>2867</v>
      </c>
      <c r="C2098" s="69">
        <v>6</v>
      </c>
      <c r="D2098" s="89">
        <v>1</v>
      </c>
      <c r="E2098" s="89">
        <v>1</v>
      </c>
      <c r="F2098" s="69"/>
      <c r="G2098" s="89">
        <v>0</v>
      </c>
      <c r="H2098" s="89">
        <v>0</v>
      </c>
      <c r="I2098" s="89">
        <v>0</v>
      </c>
      <c r="J2098" s="710">
        <f>(VLOOKUP($C2098,[2]Sheet1!$A$2:$P$18,$M2098+1)/12)*12*D2098</f>
        <v>238099.37893036497</v>
      </c>
      <c r="K2098" s="711"/>
      <c r="M2098" s="62">
        <f t="shared" si="169"/>
        <v>5</v>
      </c>
    </row>
    <row r="2099" spans="1:13">
      <c r="A2099" s="88">
        <f ca="1">+A2098+1</f>
        <v>24</v>
      </c>
      <c r="B2099" s="69" t="s">
        <v>1317</v>
      </c>
      <c r="C2099" s="69">
        <v>5</v>
      </c>
      <c r="D2099" s="89">
        <v>0</v>
      </c>
      <c r="E2099" s="89">
        <v>0</v>
      </c>
      <c r="F2099" s="69"/>
      <c r="G2099" s="89">
        <v>0</v>
      </c>
      <c r="H2099" s="89">
        <v>0</v>
      </c>
      <c r="I2099" s="89">
        <v>0</v>
      </c>
      <c r="J2099" s="710">
        <f>(VLOOKUP($C2099,[2]Sheet1!$A$2:$P$18,$M2099+1)/12)*12*D2099</f>
        <v>0</v>
      </c>
      <c r="K2099" s="711"/>
      <c r="M2099" s="62">
        <f t="shared" si="169"/>
        <v>5</v>
      </c>
    </row>
    <row r="2100" spans="1:13">
      <c r="A2100" s="88">
        <f ca="1">+A2099+1</f>
        <v>25</v>
      </c>
      <c r="B2100" s="69" t="s">
        <v>602</v>
      </c>
      <c r="C2100" s="69">
        <v>4</v>
      </c>
      <c r="D2100" s="89">
        <v>1</v>
      </c>
      <c r="E2100" s="89">
        <v>1</v>
      </c>
      <c r="F2100" s="69"/>
      <c r="G2100" s="89">
        <v>0</v>
      </c>
      <c r="H2100" s="89">
        <v>0</v>
      </c>
      <c r="I2100" s="89">
        <v>0</v>
      </c>
      <c r="J2100" s="710">
        <f>(VLOOKUP($C2100,[2]Sheet1!$A$2:$P$18,$M2100+1)/12)*12*D2100</f>
        <v>224542.978930365</v>
      </c>
      <c r="K2100" s="711"/>
      <c r="M2100" s="62">
        <f t="shared" si="169"/>
        <v>5</v>
      </c>
    </row>
    <row r="2101" spans="1:13">
      <c r="A2101" s="88">
        <f ca="1">+A2100+1</f>
        <v>26</v>
      </c>
      <c r="B2101" s="69" t="s">
        <v>603</v>
      </c>
      <c r="C2101" s="69">
        <v>3</v>
      </c>
      <c r="D2101" s="89">
        <v>0</v>
      </c>
      <c r="E2101" s="89">
        <v>0</v>
      </c>
      <c r="F2101" s="69"/>
      <c r="G2101" s="89">
        <v>0</v>
      </c>
      <c r="H2101" s="89">
        <v>0</v>
      </c>
      <c r="I2101" s="89">
        <v>0</v>
      </c>
      <c r="J2101" s="710">
        <f>(VLOOKUP($C2101,[2]Sheet1!$A$2:$P$18,$M2101+1)/12)*12*D2101</f>
        <v>0</v>
      </c>
      <c r="K2101" s="711"/>
      <c r="M2101" s="62">
        <f t="shared" si="169"/>
        <v>5</v>
      </c>
    </row>
    <row r="2102" spans="1:13">
      <c r="A2102" s="88"/>
      <c r="C2102" s="69"/>
      <c r="D2102" s="89"/>
      <c r="E2102" s="89"/>
      <c r="F2102" s="69"/>
      <c r="G2102" s="89"/>
      <c r="H2102" s="89"/>
      <c r="I2102" s="89"/>
      <c r="J2102" s="710"/>
      <c r="K2102" s="711"/>
      <c r="M2102" s="62">
        <f t="shared" si="169"/>
        <v>5</v>
      </c>
    </row>
    <row r="2103" spans="1:13">
      <c r="A2103" s="88"/>
      <c r="B2103" s="90" t="s">
        <v>2161</v>
      </c>
      <c r="C2103" s="69"/>
      <c r="D2103" s="89"/>
      <c r="E2103" s="89"/>
      <c r="F2103" s="69"/>
      <c r="G2103" s="89"/>
      <c r="H2103" s="89"/>
      <c r="I2103" s="89"/>
      <c r="J2103" s="710"/>
      <c r="K2103" s="711"/>
      <c r="M2103" s="62">
        <f t="shared" si="169"/>
        <v>5</v>
      </c>
    </row>
    <row r="2104" spans="1:13">
      <c r="A2104" s="88">
        <f ca="1">+A2101+1</f>
        <v>27</v>
      </c>
      <c r="B2104" s="69" t="s">
        <v>2000</v>
      </c>
      <c r="C2104" s="69">
        <v>8</v>
      </c>
      <c r="D2104" s="89">
        <v>0</v>
      </c>
      <c r="E2104" s="89">
        <v>0</v>
      </c>
      <c r="F2104" s="69"/>
      <c r="G2104" s="89">
        <v>0</v>
      </c>
      <c r="H2104" s="89">
        <v>0</v>
      </c>
      <c r="I2104" s="89">
        <v>0</v>
      </c>
      <c r="J2104" s="710">
        <f>(VLOOKUP($C2104,[2]Sheet1!$A$2:$P$18,$M2104+1)/12)*12*D2104</f>
        <v>0</v>
      </c>
      <c r="K2104" s="711"/>
      <c r="M2104" s="62">
        <f t="shared" si="169"/>
        <v>3</v>
      </c>
    </row>
    <row r="2105" spans="1:13">
      <c r="A2105" s="88">
        <f ca="1">+A2104+1</f>
        <v>28</v>
      </c>
      <c r="B2105" s="69" t="s">
        <v>602</v>
      </c>
      <c r="C2105" s="69">
        <v>4</v>
      </c>
      <c r="D2105" s="89">
        <v>0</v>
      </c>
      <c r="E2105" s="89">
        <v>0</v>
      </c>
      <c r="F2105" s="69"/>
      <c r="G2105" s="89">
        <v>0</v>
      </c>
      <c r="H2105" s="89">
        <v>0</v>
      </c>
      <c r="I2105" s="89">
        <v>0</v>
      </c>
      <c r="J2105" s="710">
        <f>(VLOOKUP($C2105,[2]Sheet1!$A$2:$P$18,$M2105+1)/12)*12*D2105</f>
        <v>0</v>
      </c>
      <c r="K2105" s="711"/>
      <c r="M2105" s="62">
        <f t="shared" si="169"/>
        <v>5</v>
      </c>
    </row>
    <row r="2106" spans="1:13">
      <c r="A2106" s="88"/>
      <c r="B2106" s="90" t="s">
        <v>2163</v>
      </c>
      <c r="C2106" s="69"/>
      <c r="D2106" s="89"/>
      <c r="E2106" s="89"/>
      <c r="F2106" s="69"/>
      <c r="G2106" s="89"/>
      <c r="H2106" s="89"/>
      <c r="I2106" s="89"/>
      <c r="J2106" s="710"/>
      <c r="K2106" s="711"/>
      <c r="M2106" s="62">
        <f t="shared" si="169"/>
        <v>5</v>
      </c>
    </row>
    <row r="2107" spans="1:13">
      <c r="A2107" s="88">
        <f ca="1">+A2105+1</f>
        <v>29</v>
      </c>
      <c r="B2107" s="69" t="s">
        <v>583</v>
      </c>
      <c r="C2107" s="69">
        <v>5</v>
      </c>
      <c r="D2107" s="89">
        <v>0</v>
      </c>
      <c r="E2107" s="89">
        <v>0</v>
      </c>
      <c r="F2107" s="69"/>
      <c r="G2107" s="89">
        <v>0</v>
      </c>
      <c r="H2107" s="89">
        <v>0</v>
      </c>
      <c r="I2107" s="89">
        <v>0</v>
      </c>
      <c r="J2107" s="710">
        <f>(VLOOKUP($C2107,[2]Sheet1!$A$2:$P$18,$M2107+1)/12)*12*D2107</f>
        <v>0</v>
      </c>
      <c r="K2107" s="711"/>
      <c r="M2107" s="62">
        <f t="shared" si="169"/>
        <v>5</v>
      </c>
    </row>
    <row r="2108" spans="1:13" ht="13.5" thickBot="1">
      <c r="A2108" s="88">
        <f ca="1">+A2107+1</f>
        <v>30</v>
      </c>
      <c r="B2108" s="69" t="s">
        <v>2874</v>
      </c>
      <c r="C2108" s="69">
        <v>4</v>
      </c>
      <c r="D2108" s="89">
        <v>1</v>
      </c>
      <c r="E2108" s="89">
        <v>1</v>
      </c>
      <c r="F2108" s="69"/>
      <c r="G2108" s="89">
        <v>1</v>
      </c>
      <c r="H2108" s="89">
        <v>1</v>
      </c>
      <c r="I2108" s="89">
        <v>1</v>
      </c>
      <c r="J2108" s="710">
        <f>(VLOOKUP($C2108,[2]Sheet1!$A$2:$P$18,$M2108+1)/12)*12*D2108</f>
        <v>224542.978930365</v>
      </c>
      <c r="K2108" s="711"/>
      <c r="M2108" s="62">
        <f t="shared" si="169"/>
        <v>5</v>
      </c>
    </row>
    <row r="2109" spans="1:13" ht="15.75" thickTop="1">
      <c r="A2109" s="1047" t="s">
        <v>2791</v>
      </c>
      <c r="B2109" s="1049" t="s">
        <v>4126</v>
      </c>
      <c r="C2109" s="1049" t="s">
        <v>854</v>
      </c>
      <c r="D2109" s="1040" t="s">
        <v>4127</v>
      </c>
      <c r="E2109" s="1041"/>
      <c r="F2109" s="1041"/>
      <c r="G2109" s="1040" t="s">
        <v>904</v>
      </c>
      <c r="H2109" s="1041"/>
      <c r="I2109" s="1042"/>
      <c r="J2109" s="1035" t="s">
        <v>855</v>
      </c>
      <c r="K2109" s="389"/>
      <c r="M2109" s="62" t="e">
        <f>IF(#REF!&gt;6,3,5)</f>
        <v>#REF!</v>
      </c>
    </row>
    <row r="2110" spans="1:13" ht="26.25" thickBot="1">
      <c r="A2110" s="1048"/>
      <c r="B2110" s="1050"/>
      <c r="C2110" s="1050"/>
      <c r="D2110" s="285" t="s">
        <v>5505</v>
      </c>
      <c r="E2110" s="285" t="s">
        <v>4485</v>
      </c>
      <c r="F2110" s="285" t="s">
        <v>4486</v>
      </c>
      <c r="G2110" s="287" t="s">
        <v>4487</v>
      </c>
      <c r="H2110" s="285" t="s">
        <v>4488</v>
      </c>
      <c r="I2110" s="287" t="s">
        <v>4489</v>
      </c>
      <c r="J2110" s="1036"/>
      <c r="K2110" s="712"/>
    </row>
    <row r="2111" spans="1:13" ht="13.5" thickTop="1">
      <c r="A2111" s="88"/>
      <c r="B2111" s="90" t="s">
        <v>584</v>
      </c>
      <c r="C2111" s="69"/>
      <c r="D2111" s="89"/>
      <c r="E2111" s="89"/>
      <c r="F2111" s="69"/>
      <c r="G2111" s="89"/>
      <c r="H2111" s="89"/>
      <c r="I2111" s="89"/>
      <c r="J2111" s="713"/>
      <c r="K2111" s="711"/>
      <c r="M2111" s="62">
        <f t="shared" si="169"/>
        <v>5</v>
      </c>
    </row>
    <row r="2112" spans="1:13">
      <c r="A2112" s="88">
        <f ca="1">+A2108+1</f>
        <v>31</v>
      </c>
      <c r="B2112" s="69" t="s">
        <v>3532</v>
      </c>
      <c r="C2112" s="69">
        <v>16</v>
      </c>
      <c r="D2112" s="89">
        <v>1</v>
      </c>
      <c r="E2112" s="89">
        <v>1</v>
      </c>
      <c r="F2112" s="89">
        <v>1</v>
      </c>
      <c r="G2112" s="89">
        <v>1</v>
      </c>
      <c r="H2112" s="89">
        <v>1</v>
      </c>
      <c r="I2112" s="89">
        <v>1</v>
      </c>
      <c r="J2112" s="710">
        <f>(VLOOKUP($C2112,[2]Sheet1!$A$2:$P$18,$M2112+1)/12)*12*D2112</f>
        <v>677281.26084</v>
      </c>
      <c r="K2112" s="711"/>
      <c r="M2112" s="62">
        <f t="shared" si="169"/>
        <v>3</v>
      </c>
    </row>
    <row r="2113" spans="1:13">
      <c r="A2113" s="88">
        <f t="shared" ref="A2113:A2130" ca="1" si="171">+A2112+1</f>
        <v>32</v>
      </c>
      <c r="B2113" s="69" t="s">
        <v>1256</v>
      </c>
      <c r="C2113" s="69">
        <v>15</v>
      </c>
      <c r="D2113" s="89">
        <v>1</v>
      </c>
      <c r="E2113" s="89">
        <v>1</v>
      </c>
      <c r="F2113" s="89">
        <v>1</v>
      </c>
      <c r="G2113" s="89">
        <v>1</v>
      </c>
      <c r="H2113" s="89">
        <v>1</v>
      </c>
      <c r="I2113" s="89">
        <v>1</v>
      </c>
      <c r="J2113" s="710">
        <f>(VLOOKUP($C2113,[2]Sheet1!$A$2:$P$18,$M2113+1)/12)*12*D2113</f>
        <v>658331.89992</v>
      </c>
      <c r="K2113" s="711"/>
      <c r="M2113" s="62">
        <f t="shared" si="169"/>
        <v>3</v>
      </c>
    </row>
    <row r="2114" spans="1:13">
      <c r="A2114" s="88">
        <f t="shared" ca="1" si="171"/>
        <v>33</v>
      </c>
      <c r="B2114" s="69" t="s">
        <v>3533</v>
      </c>
      <c r="C2114" s="69">
        <v>14</v>
      </c>
      <c r="D2114" s="89">
        <v>1</v>
      </c>
      <c r="E2114" s="89">
        <v>2</v>
      </c>
      <c r="F2114" s="89">
        <v>1</v>
      </c>
      <c r="G2114" s="89">
        <v>1</v>
      </c>
      <c r="H2114" s="89">
        <v>1</v>
      </c>
      <c r="I2114" s="89">
        <v>1</v>
      </c>
      <c r="J2114" s="710">
        <f>(VLOOKUP($C2114,[2]Sheet1!$A$2:$P$18,$M2114+1)/12)*12*D2114</f>
        <v>669099.40824000002</v>
      </c>
      <c r="K2114" s="711"/>
      <c r="M2114" s="62">
        <f t="shared" si="169"/>
        <v>3</v>
      </c>
    </row>
    <row r="2115" spans="1:13">
      <c r="A2115" s="88">
        <f t="shared" ca="1" si="171"/>
        <v>34</v>
      </c>
      <c r="B2115" s="69" t="s">
        <v>579</v>
      </c>
      <c r="C2115" s="69">
        <v>13</v>
      </c>
      <c r="D2115" s="89">
        <v>2</v>
      </c>
      <c r="E2115" s="89">
        <v>2</v>
      </c>
      <c r="F2115" s="89">
        <v>2</v>
      </c>
      <c r="G2115" s="89">
        <v>2</v>
      </c>
      <c r="H2115" s="89">
        <v>2</v>
      </c>
      <c r="I2115" s="89">
        <v>2</v>
      </c>
      <c r="J2115" s="710">
        <f>(VLOOKUP($C2115,[2]Sheet1!$A$2:$P$18,$M2115+1)/12)*12*D2115</f>
        <v>1257519.07608</v>
      </c>
      <c r="K2115" s="711"/>
      <c r="M2115" s="62">
        <f t="shared" si="169"/>
        <v>3</v>
      </c>
    </row>
    <row r="2116" spans="1:13">
      <c r="A2116" s="88">
        <f t="shared" ca="1" si="171"/>
        <v>35</v>
      </c>
      <c r="B2116" s="69" t="s">
        <v>580</v>
      </c>
      <c r="C2116" s="69">
        <v>12</v>
      </c>
      <c r="D2116" s="89">
        <v>2</v>
      </c>
      <c r="E2116" s="89">
        <v>3</v>
      </c>
      <c r="F2116" s="89">
        <v>2</v>
      </c>
      <c r="G2116" s="89">
        <v>2</v>
      </c>
      <c r="H2116" s="89">
        <v>2</v>
      </c>
      <c r="I2116" s="89">
        <v>2</v>
      </c>
      <c r="J2116" s="710">
        <f>(VLOOKUP($C2116,[2]Sheet1!$A$2:$P$18,$M2116+1)/12)*12*D2116</f>
        <v>1105370.1074400004</v>
      </c>
      <c r="K2116" s="711"/>
      <c r="M2116" s="62">
        <f t="shared" si="169"/>
        <v>3</v>
      </c>
    </row>
    <row r="2117" spans="1:13">
      <c r="A2117" s="88">
        <f t="shared" ca="1" si="171"/>
        <v>36</v>
      </c>
      <c r="B2117" s="62" t="s">
        <v>3135</v>
      </c>
      <c r="C2117" s="69">
        <v>10</v>
      </c>
      <c r="D2117" s="89">
        <v>3</v>
      </c>
      <c r="E2117" s="89">
        <v>3</v>
      </c>
      <c r="F2117" s="89">
        <v>3</v>
      </c>
      <c r="G2117" s="89">
        <v>3</v>
      </c>
      <c r="H2117" s="89">
        <v>3</v>
      </c>
      <c r="I2117" s="89">
        <v>3</v>
      </c>
      <c r="J2117" s="710">
        <f>(VLOOKUP($C2117,[2]Sheet1!$A$2:$P$18,$M2117+1)/12)*12*D2117</f>
        <v>1451923.7061600003</v>
      </c>
      <c r="K2117" s="711"/>
      <c r="M2117" s="62">
        <f t="shared" si="169"/>
        <v>3</v>
      </c>
    </row>
    <row r="2118" spans="1:13">
      <c r="A2118" s="88">
        <f t="shared" ca="1" si="171"/>
        <v>37</v>
      </c>
      <c r="B2118" s="69" t="s">
        <v>3136</v>
      </c>
      <c r="C2118" s="69">
        <v>9</v>
      </c>
      <c r="D2118" s="89">
        <v>2</v>
      </c>
      <c r="E2118" s="89">
        <v>2</v>
      </c>
      <c r="F2118" s="89">
        <v>2</v>
      </c>
      <c r="G2118" s="89">
        <v>2</v>
      </c>
      <c r="H2118" s="89">
        <v>2</v>
      </c>
      <c r="I2118" s="89">
        <v>2</v>
      </c>
      <c r="J2118" s="710">
        <f>(VLOOKUP($C2118,[2]Sheet1!$A$2:$P$18,$M2118+1)/12)*12*D2118</f>
        <v>819363.81239999994</v>
      </c>
      <c r="K2118" s="711"/>
      <c r="M2118" s="62">
        <f t="shared" si="169"/>
        <v>3</v>
      </c>
    </row>
    <row r="2119" spans="1:13">
      <c r="A2119" s="88">
        <f t="shared" ca="1" si="171"/>
        <v>38</v>
      </c>
      <c r="B2119" s="69" t="s">
        <v>3137</v>
      </c>
      <c r="C2119" s="69">
        <v>8</v>
      </c>
      <c r="D2119" s="89">
        <v>1</v>
      </c>
      <c r="E2119" s="89">
        <v>1</v>
      </c>
      <c r="F2119" s="89">
        <v>1</v>
      </c>
      <c r="G2119" s="89">
        <v>1</v>
      </c>
      <c r="H2119" s="89">
        <v>1</v>
      </c>
      <c r="I2119" s="89">
        <v>1</v>
      </c>
      <c r="J2119" s="710">
        <f>(VLOOKUP($C2119,[2]Sheet1!$A$2:$P$18,$M2119+1)/12)*12*D2119</f>
        <v>342141.27408</v>
      </c>
      <c r="K2119" s="711"/>
      <c r="M2119" s="62">
        <f t="shared" ref="M2119:M2183" si="172">IF(C2119&gt;6,3,5)</f>
        <v>3</v>
      </c>
    </row>
    <row r="2120" spans="1:13">
      <c r="A2120" s="88">
        <f t="shared" ca="1" si="171"/>
        <v>39</v>
      </c>
      <c r="B2120" s="69" t="s">
        <v>3138</v>
      </c>
      <c r="C2120" s="69">
        <v>8</v>
      </c>
      <c r="D2120" s="89">
        <v>1</v>
      </c>
      <c r="E2120" s="89">
        <v>0</v>
      </c>
      <c r="F2120" s="89">
        <v>1</v>
      </c>
      <c r="G2120" s="89">
        <v>1</v>
      </c>
      <c r="H2120" s="89">
        <v>1</v>
      </c>
      <c r="I2120" s="89">
        <v>1</v>
      </c>
      <c r="J2120" s="710">
        <f>(VLOOKUP($C2120,[2]Sheet1!$A$2:$P$18,$M2120+1)/12)*12*D2120</f>
        <v>342141.27408</v>
      </c>
      <c r="K2120" s="711"/>
      <c r="M2120" s="62">
        <f t="shared" si="172"/>
        <v>3</v>
      </c>
    </row>
    <row r="2121" spans="1:13">
      <c r="A2121" s="88">
        <f ca="1">+A2120+1</f>
        <v>40</v>
      </c>
      <c r="B2121" s="69" t="s">
        <v>3139</v>
      </c>
      <c r="C2121" s="69">
        <v>14</v>
      </c>
      <c r="D2121" s="89">
        <v>5</v>
      </c>
      <c r="E2121" s="89">
        <v>5</v>
      </c>
      <c r="F2121" s="89">
        <v>5</v>
      </c>
      <c r="G2121" s="89">
        <v>5</v>
      </c>
      <c r="H2121" s="89">
        <v>3</v>
      </c>
      <c r="I2121" s="89">
        <v>5</v>
      </c>
      <c r="J2121" s="710">
        <f>(VLOOKUP($C2121,[2]Sheet1!$A$2:$P$18,$M2121+1)/12)*12*D2121</f>
        <v>3345497.0411999999</v>
      </c>
      <c r="K2121" s="711"/>
      <c r="M2121" s="62">
        <f t="shared" si="172"/>
        <v>3</v>
      </c>
    </row>
    <row r="2122" spans="1:13">
      <c r="A2122" s="88">
        <f t="shared" ca="1" si="171"/>
        <v>41</v>
      </c>
      <c r="B2122" s="69" t="s">
        <v>265</v>
      </c>
      <c r="C2122" s="69">
        <v>13</v>
      </c>
      <c r="D2122" s="89">
        <v>5</v>
      </c>
      <c r="E2122" s="89">
        <v>5</v>
      </c>
      <c r="F2122" s="89">
        <v>5</v>
      </c>
      <c r="G2122" s="89">
        <v>5</v>
      </c>
      <c r="H2122" s="89">
        <v>5</v>
      </c>
      <c r="I2122" s="89">
        <v>5</v>
      </c>
      <c r="J2122" s="710">
        <f>(VLOOKUP($C2122,[2]Sheet1!$A$2:$P$18,$M2122+1)/12)*12*D2122</f>
        <v>3143797.6902000001</v>
      </c>
      <c r="K2122" s="711"/>
      <c r="M2122" s="62">
        <f t="shared" si="172"/>
        <v>3</v>
      </c>
    </row>
    <row r="2123" spans="1:13">
      <c r="A2123" s="88">
        <f t="shared" ca="1" si="171"/>
        <v>42</v>
      </c>
      <c r="B2123" s="69" t="s">
        <v>266</v>
      </c>
      <c r="C2123" s="69">
        <v>12</v>
      </c>
      <c r="D2123" s="89">
        <v>2</v>
      </c>
      <c r="E2123" s="89">
        <v>2</v>
      </c>
      <c r="F2123" s="89">
        <v>2</v>
      </c>
      <c r="G2123" s="89">
        <v>2</v>
      </c>
      <c r="H2123" s="89">
        <v>2</v>
      </c>
      <c r="I2123" s="89">
        <v>2</v>
      </c>
      <c r="J2123" s="710">
        <f>(VLOOKUP($C2123,[2]Sheet1!$A$2:$P$18,$M2123+1)/12)*12*D2123</f>
        <v>1105370.1074400004</v>
      </c>
      <c r="K2123" s="711"/>
      <c r="M2123" s="62">
        <f t="shared" si="172"/>
        <v>3</v>
      </c>
    </row>
    <row r="2124" spans="1:13">
      <c r="A2124" s="88">
        <f t="shared" ca="1" si="171"/>
        <v>43</v>
      </c>
      <c r="B2124" s="69" t="s">
        <v>267</v>
      </c>
      <c r="C2124" s="69">
        <v>10</v>
      </c>
      <c r="D2124" s="89">
        <v>0</v>
      </c>
      <c r="E2124" s="89">
        <v>0</v>
      </c>
      <c r="F2124" s="89">
        <v>0</v>
      </c>
      <c r="G2124" s="89">
        <v>0</v>
      </c>
      <c r="H2124" s="89">
        <v>0</v>
      </c>
      <c r="I2124" s="89">
        <v>0</v>
      </c>
      <c r="J2124" s="710">
        <f>(VLOOKUP($C2124,[2]Sheet1!$A$2:$P$18,$M2124+1)/12)*12*D2124</f>
        <v>0</v>
      </c>
      <c r="K2124" s="711"/>
      <c r="M2124" s="62">
        <f t="shared" si="172"/>
        <v>3</v>
      </c>
    </row>
    <row r="2125" spans="1:13">
      <c r="A2125" s="88">
        <f t="shared" ca="1" si="171"/>
        <v>44</v>
      </c>
      <c r="B2125" s="69" t="s">
        <v>268</v>
      </c>
      <c r="C2125" s="69">
        <v>9</v>
      </c>
      <c r="D2125" s="89">
        <v>4</v>
      </c>
      <c r="E2125" s="89">
        <v>4</v>
      </c>
      <c r="F2125" s="89">
        <v>4</v>
      </c>
      <c r="G2125" s="89">
        <v>4</v>
      </c>
      <c r="H2125" s="89">
        <v>4</v>
      </c>
      <c r="I2125" s="89">
        <v>4</v>
      </c>
      <c r="J2125" s="710">
        <f>(VLOOKUP($C2125,[2]Sheet1!$A$2:$P$18,$M2125+1)/12)*12*D2125</f>
        <v>1638727.6247999999</v>
      </c>
      <c r="K2125" s="711"/>
      <c r="M2125" s="62">
        <f t="shared" si="172"/>
        <v>3</v>
      </c>
    </row>
    <row r="2126" spans="1:13">
      <c r="A2126" s="88">
        <f t="shared" ca="1" si="171"/>
        <v>45</v>
      </c>
      <c r="B2126" s="69" t="s">
        <v>271</v>
      </c>
      <c r="C2126" s="69">
        <v>8</v>
      </c>
      <c r="D2126" s="89">
        <v>2</v>
      </c>
      <c r="E2126" s="89">
        <v>2</v>
      </c>
      <c r="F2126" s="89">
        <v>2</v>
      </c>
      <c r="G2126" s="89">
        <v>2</v>
      </c>
      <c r="H2126" s="89">
        <v>2</v>
      </c>
      <c r="I2126" s="89">
        <v>2</v>
      </c>
      <c r="J2126" s="710">
        <f>(VLOOKUP($C2126,[2]Sheet1!$A$2:$P$18,$M2126+1)/12)*12*D2126</f>
        <v>684282.54816000001</v>
      </c>
      <c r="K2126" s="711"/>
      <c r="M2126" s="62">
        <f t="shared" si="172"/>
        <v>3</v>
      </c>
    </row>
    <row r="2127" spans="1:13">
      <c r="A2127" s="88">
        <f t="shared" ca="1" si="171"/>
        <v>46</v>
      </c>
      <c r="B2127" s="69" t="s">
        <v>272</v>
      </c>
      <c r="C2127" s="69">
        <v>7</v>
      </c>
      <c r="D2127" s="89">
        <v>3</v>
      </c>
      <c r="E2127" s="89">
        <v>3</v>
      </c>
      <c r="F2127" s="89">
        <v>3</v>
      </c>
      <c r="G2127" s="89">
        <v>3</v>
      </c>
      <c r="H2127" s="89">
        <v>3</v>
      </c>
      <c r="I2127" s="89">
        <v>3</v>
      </c>
      <c r="J2127" s="710">
        <f>(VLOOKUP($C2127,[2]Sheet1!$A$2:$P$18,$M2127+1)/12)*12*D2127</f>
        <v>923120.1072000002</v>
      </c>
      <c r="K2127" s="711"/>
      <c r="M2127" s="62">
        <f t="shared" si="172"/>
        <v>3</v>
      </c>
    </row>
    <row r="2128" spans="1:13">
      <c r="A2128" s="88">
        <f t="shared" ca="1" si="171"/>
        <v>47</v>
      </c>
      <c r="B2128" s="69" t="s">
        <v>3140</v>
      </c>
      <c r="C2128" s="69">
        <v>6</v>
      </c>
      <c r="D2128" s="89">
        <v>3</v>
      </c>
      <c r="E2128" s="89">
        <v>3</v>
      </c>
      <c r="F2128" s="89">
        <v>3</v>
      </c>
      <c r="G2128" s="89">
        <v>3</v>
      </c>
      <c r="H2128" s="89">
        <v>3</v>
      </c>
      <c r="I2128" s="89">
        <v>3</v>
      </c>
      <c r="J2128" s="710">
        <f>(VLOOKUP($C2128,[2]Sheet1!$A$2:$P$18,$M2128+1)/12)*12*D2128</f>
        <v>714298.1367910949</v>
      </c>
      <c r="K2128" s="711"/>
      <c r="M2128" s="62">
        <f t="shared" si="172"/>
        <v>5</v>
      </c>
    </row>
    <row r="2129" spans="1:13">
      <c r="A2129" s="88">
        <f t="shared" ca="1" si="171"/>
        <v>48</v>
      </c>
      <c r="B2129" s="69" t="s">
        <v>2627</v>
      </c>
      <c r="C2129" s="69">
        <v>5</v>
      </c>
      <c r="D2129" s="89">
        <v>2</v>
      </c>
      <c r="E2129" s="89">
        <v>2</v>
      </c>
      <c r="F2129" s="89">
        <v>2</v>
      </c>
      <c r="G2129" s="89">
        <v>2</v>
      </c>
      <c r="H2129" s="89">
        <v>2</v>
      </c>
      <c r="I2129" s="89">
        <v>2</v>
      </c>
      <c r="J2129" s="710">
        <f>(VLOOKUP($C2129,[2]Sheet1!$A$2:$P$18,$M2129+1)/12)*12*D2129</f>
        <v>459139.55786072998</v>
      </c>
      <c r="K2129" s="711"/>
      <c r="M2129" s="62">
        <f t="shared" si="172"/>
        <v>5</v>
      </c>
    </row>
    <row r="2130" spans="1:13">
      <c r="A2130" s="88">
        <f t="shared" ca="1" si="171"/>
        <v>49</v>
      </c>
      <c r="B2130" s="69" t="s">
        <v>2789</v>
      </c>
      <c r="C2130" s="69">
        <v>4</v>
      </c>
      <c r="D2130" s="89">
        <v>2</v>
      </c>
      <c r="E2130" s="89">
        <v>2</v>
      </c>
      <c r="F2130" s="89">
        <v>2</v>
      </c>
      <c r="G2130" s="89">
        <v>2</v>
      </c>
      <c r="H2130" s="89">
        <v>1</v>
      </c>
      <c r="I2130" s="89">
        <v>2</v>
      </c>
      <c r="J2130" s="710">
        <f>(VLOOKUP($C2130,[2]Sheet1!$A$2:$P$18,$M2130+1)/12)*12*D2130</f>
        <v>449085.95786073001</v>
      </c>
      <c r="K2130" s="711"/>
      <c r="M2130" s="62">
        <f t="shared" si="172"/>
        <v>5</v>
      </c>
    </row>
    <row r="2131" spans="1:13">
      <c r="A2131" s="88"/>
      <c r="B2131" s="90" t="s">
        <v>3632</v>
      </c>
      <c r="C2131" s="69"/>
      <c r="D2131" s="89"/>
      <c r="E2131" s="89"/>
      <c r="F2131" s="89"/>
      <c r="G2131" s="89"/>
      <c r="H2131" s="89"/>
      <c r="I2131" s="89"/>
      <c r="J2131" s="710"/>
      <c r="K2131" s="711"/>
      <c r="M2131" s="62">
        <f t="shared" si="172"/>
        <v>5</v>
      </c>
    </row>
    <row r="2132" spans="1:13">
      <c r="A2132" s="88">
        <f ca="1">+A2130+1</f>
        <v>50</v>
      </c>
      <c r="B2132" s="69" t="s">
        <v>2190</v>
      </c>
      <c r="C2132" s="69">
        <v>16</v>
      </c>
      <c r="D2132" s="89">
        <v>1</v>
      </c>
      <c r="E2132" s="89">
        <v>1</v>
      </c>
      <c r="F2132" s="89">
        <v>1</v>
      </c>
      <c r="G2132" s="89">
        <v>1</v>
      </c>
      <c r="H2132" s="89">
        <v>1</v>
      </c>
      <c r="I2132" s="89">
        <v>1</v>
      </c>
      <c r="J2132" s="710">
        <f>(VLOOKUP($C2132,[2]Sheet1!$A$2:$P$18,$M2132+1)/12)*12*D2132</f>
        <v>677281.26084</v>
      </c>
      <c r="K2132" s="711"/>
      <c r="M2132" s="62">
        <f t="shared" si="172"/>
        <v>3</v>
      </c>
    </row>
    <row r="2133" spans="1:13">
      <c r="A2133" s="88">
        <f t="shared" ref="A2133:A2147" ca="1" si="173">+A2132+1</f>
        <v>51</v>
      </c>
      <c r="B2133" s="69" t="s">
        <v>2191</v>
      </c>
      <c r="C2133" s="69">
        <v>15</v>
      </c>
      <c r="D2133" s="89">
        <v>1</v>
      </c>
      <c r="E2133" s="89">
        <v>1</v>
      </c>
      <c r="F2133" s="89">
        <v>1</v>
      </c>
      <c r="G2133" s="89">
        <v>1</v>
      </c>
      <c r="H2133" s="89">
        <v>1</v>
      </c>
      <c r="I2133" s="89">
        <v>1</v>
      </c>
      <c r="J2133" s="710">
        <f>(VLOOKUP($C2133,[2]Sheet1!$A$2:$P$18,$M2133+1)/12)*12*D2133</f>
        <v>658331.89992</v>
      </c>
      <c r="K2133" s="711"/>
      <c r="M2133" s="62">
        <f t="shared" si="172"/>
        <v>3</v>
      </c>
    </row>
    <row r="2134" spans="1:13">
      <c r="A2134" s="88">
        <f t="shared" ca="1" si="173"/>
        <v>52</v>
      </c>
      <c r="B2134" s="69" t="s">
        <v>2192</v>
      </c>
      <c r="C2134" s="69">
        <v>14</v>
      </c>
      <c r="D2134" s="89">
        <v>2</v>
      </c>
      <c r="E2134" s="89">
        <v>2</v>
      </c>
      <c r="F2134" s="89">
        <v>2</v>
      </c>
      <c r="G2134" s="89">
        <v>2</v>
      </c>
      <c r="H2134" s="89">
        <v>2</v>
      </c>
      <c r="I2134" s="89">
        <v>2</v>
      </c>
      <c r="J2134" s="710">
        <f>(VLOOKUP($C2134,[2]Sheet1!$A$2:$P$18,$M2134+1)/12)*12*D2134</f>
        <v>1338198.81648</v>
      </c>
      <c r="K2134" s="711"/>
      <c r="M2134" s="62">
        <f t="shared" si="172"/>
        <v>3</v>
      </c>
    </row>
    <row r="2135" spans="1:13">
      <c r="A2135" s="88">
        <f t="shared" ca="1" si="173"/>
        <v>53</v>
      </c>
      <c r="B2135" s="69" t="s">
        <v>2392</v>
      </c>
      <c r="C2135" s="69">
        <v>14</v>
      </c>
      <c r="D2135" s="89">
        <v>1</v>
      </c>
      <c r="E2135" s="89">
        <v>1</v>
      </c>
      <c r="F2135" s="89">
        <v>1</v>
      </c>
      <c r="G2135" s="89">
        <v>1</v>
      </c>
      <c r="H2135" s="89">
        <v>1</v>
      </c>
      <c r="I2135" s="89">
        <v>1</v>
      </c>
      <c r="J2135" s="710">
        <f>(VLOOKUP($C2135,[2]Sheet1!$A$2:$P$18,$M2135+1)/12)*12*D2135</f>
        <v>669099.40824000002</v>
      </c>
      <c r="K2135" s="711"/>
      <c r="M2135" s="62">
        <f>IF(C2136&gt;6,3,5)</f>
        <v>3</v>
      </c>
    </row>
    <row r="2136" spans="1:13">
      <c r="A2136" s="88">
        <f ca="1">+A2136+1</f>
        <v>0</v>
      </c>
      <c r="B2136" s="69" t="s">
        <v>2393</v>
      </c>
      <c r="C2136" s="69">
        <v>13</v>
      </c>
      <c r="D2136" s="89">
        <v>1</v>
      </c>
      <c r="E2136" s="89">
        <v>1</v>
      </c>
      <c r="F2136" s="89">
        <v>1</v>
      </c>
      <c r="G2136" s="89">
        <v>1</v>
      </c>
      <c r="H2136" s="89">
        <v>1</v>
      </c>
      <c r="I2136" s="89">
        <v>1</v>
      </c>
      <c r="J2136" s="710">
        <f>(VLOOKUP($C2136,[2]Sheet1!$A$2:$P$18,$M2136+1)/12)*12*D2136</f>
        <v>628759.53804000001</v>
      </c>
      <c r="K2136" s="711"/>
      <c r="M2136" s="62">
        <f t="shared" si="172"/>
        <v>3</v>
      </c>
    </row>
    <row r="2137" spans="1:13">
      <c r="A2137" s="88">
        <f t="shared" ca="1" si="173"/>
        <v>55</v>
      </c>
      <c r="B2137" s="69" t="s">
        <v>2394</v>
      </c>
      <c r="C2137" s="69">
        <v>12</v>
      </c>
      <c r="D2137" s="89">
        <v>1</v>
      </c>
      <c r="E2137" s="89">
        <v>1</v>
      </c>
      <c r="F2137" s="89">
        <v>1</v>
      </c>
      <c r="G2137" s="89">
        <v>1</v>
      </c>
      <c r="H2137" s="89">
        <v>1</v>
      </c>
      <c r="I2137" s="89">
        <v>1</v>
      </c>
      <c r="J2137" s="710">
        <f>(VLOOKUP($C2137,[2]Sheet1!$A$2:$P$18,$M2137+1)/12)*12*D2137</f>
        <v>552685.0537200002</v>
      </c>
      <c r="K2137" s="711"/>
      <c r="M2137" s="62">
        <f t="shared" si="172"/>
        <v>3</v>
      </c>
    </row>
    <row r="2138" spans="1:13">
      <c r="A2138" s="88">
        <f t="shared" ca="1" si="173"/>
        <v>56</v>
      </c>
      <c r="B2138" s="69" t="s">
        <v>2551</v>
      </c>
      <c r="C2138" s="69">
        <v>10</v>
      </c>
      <c r="D2138" s="89">
        <v>1</v>
      </c>
      <c r="E2138" s="89">
        <v>1</v>
      </c>
      <c r="F2138" s="89">
        <v>1</v>
      </c>
      <c r="G2138" s="89">
        <v>1</v>
      </c>
      <c r="H2138" s="89">
        <v>1</v>
      </c>
      <c r="I2138" s="89">
        <v>1</v>
      </c>
      <c r="J2138" s="710">
        <f>(VLOOKUP($C2138,[2]Sheet1!$A$2:$P$18,$M2138+1)/12)*12*D2138</f>
        <v>483974.5687200001</v>
      </c>
      <c r="K2138" s="711"/>
      <c r="M2138" s="62">
        <f t="shared" si="172"/>
        <v>3</v>
      </c>
    </row>
    <row r="2139" spans="1:13">
      <c r="A2139" s="88">
        <f t="shared" ca="1" si="173"/>
        <v>57</v>
      </c>
      <c r="B2139" s="69" t="s">
        <v>2552</v>
      </c>
      <c r="C2139" s="69">
        <v>9</v>
      </c>
      <c r="D2139" s="89">
        <v>2</v>
      </c>
      <c r="E2139" s="89">
        <v>2</v>
      </c>
      <c r="F2139" s="89">
        <v>2</v>
      </c>
      <c r="G2139" s="89">
        <v>2</v>
      </c>
      <c r="H2139" s="89">
        <v>2</v>
      </c>
      <c r="I2139" s="89">
        <v>2</v>
      </c>
      <c r="J2139" s="710">
        <f>(VLOOKUP($C2139,[2]Sheet1!$A$2:$P$18,$M2139+1)/12)*12*D2139</f>
        <v>819363.81239999994</v>
      </c>
      <c r="K2139" s="711"/>
      <c r="M2139" s="62">
        <f t="shared" si="172"/>
        <v>3</v>
      </c>
    </row>
    <row r="2140" spans="1:13">
      <c r="A2140" s="88">
        <f t="shared" ca="1" si="173"/>
        <v>58</v>
      </c>
      <c r="B2140" s="69" t="s">
        <v>706</v>
      </c>
      <c r="C2140" s="69">
        <v>8</v>
      </c>
      <c r="D2140" s="89">
        <v>2</v>
      </c>
      <c r="E2140" s="89">
        <v>2</v>
      </c>
      <c r="F2140" s="89">
        <v>2</v>
      </c>
      <c r="G2140" s="89">
        <v>2</v>
      </c>
      <c r="H2140" s="89">
        <v>2</v>
      </c>
      <c r="I2140" s="89">
        <v>2</v>
      </c>
      <c r="J2140" s="710">
        <f>(VLOOKUP($C2140,[2]Sheet1!$A$2:$P$18,$M2140+1)/12)*12*D2140</f>
        <v>684282.54816000001</v>
      </c>
      <c r="K2140" s="711"/>
      <c r="M2140" s="62">
        <f t="shared" si="172"/>
        <v>3</v>
      </c>
    </row>
    <row r="2141" spans="1:13">
      <c r="A2141" s="88">
        <f t="shared" ca="1" si="173"/>
        <v>59</v>
      </c>
      <c r="B2141" s="69" t="s">
        <v>219</v>
      </c>
      <c r="C2141" s="69">
        <v>14</v>
      </c>
      <c r="D2141" s="89">
        <v>1</v>
      </c>
      <c r="E2141" s="89">
        <v>1</v>
      </c>
      <c r="F2141" s="89">
        <v>1</v>
      </c>
      <c r="G2141" s="89">
        <v>1</v>
      </c>
      <c r="H2141" s="89">
        <v>1</v>
      </c>
      <c r="I2141" s="89">
        <v>1</v>
      </c>
      <c r="J2141" s="710">
        <f>(VLOOKUP($C2141,[2]Sheet1!$A$2:$P$18,$M2141+1)/12)*12*D2141</f>
        <v>669099.40824000002</v>
      </c>
      <c r="K2141" s="711"/>
      <c r="M2141" s="62">
        <f t="shared" si="172"/>
        <v>3</v>
      </c>
    </row>
    <row r="2142" spans="1:13">
      <c r="A2142" s="88">
        <f t="shared" ca="1" si="173"/>
        <v>60</v>
      </c>
      <c r="B2142" s="69" t="s">
        <v>221</v>
      </c>
      <c r="C2142" s="69">
        <v>6</v>
      </c>
      <c r="D2142" s="89">
        <v>2</v>
      </c>
      <c r="E2142" s="89">
        <v>2</v>
      </c>
      <c r="F2142" s="89">
        <v>2</v>
      </c>
      <c r="G2142" s="89">
        <v>2</v>
      </c>
      <c r="H2142" s="89">
        <v>2</v>
      </c>
      <c r="I2142" s="89">
        <v>2</v>
      </c>
      <c r="J2142" s="710">
        <f>(VLOOKUP($C2142,[2]Sheet1!$A$2:$P$18,$M2142+1)/12)*12*D2142</f>
        <v>476198.75786072994</v>
      </c>
      <c r="K2142" s="711"/>
      <c r="M2142" s="62">
        <f t="shared" si="172"/>
        <v>5</v>
      </c>
    </row>
    <row r="2143" spans="1:13">
      <c r="A2143" s="88">
        <f t="shared" ca="1" si="173"/>
        <v>61</v>
      </c>
      <c r="B2143" s="69" t="s">
        <v>222</v>
      </c>
      <c r="C2143" s="69">
        <v>5</v>
      </c>
      <c r="D2143" s="89">
        <v>1</v>
      </c>
      <c r="E2143" s="89">
        <v>1</v>
      </c>
      <c r="F2143" s="89">
        <v>1</v>
      </c>
      <c r="G2143" s="89">
        <v>1</v>
      </c>
      <c r="H2143" s="89">
        <v>1</v>
      </c>
      <c r="I2143" s="89">
        <v>1</v>
      </c>
      <c r="J2143" s="710">
        <f>(VLOOKUP($C2143,[2]Sheet1!$A$2:$P$18,$M2143+1)/12)*12*D2143</f>
        <v>229569.77893036499</v>
      </c>
      <c r="K2143" s="711"/>
      <c r="M2143" s="62">
        <f t="shared" si="172"/>
        <v>5</v>
      </c>
    </row>
    <row r="2144" spans="1:13">
      <c r="A2144" s="88">
        <f t="shared" ca="1" si="173"/>
        <v>62</v>
      </c>
      <c r="B2144" s="69" t="s">
        <v>2622</v>
      </c>
      <c r="C2144" s="69">
        <v>4</v>
      </c>
      <c r="D2144" s="89">
        <v>2</v>
      </c>
      <c r="E2144" s="89">
        <v>2</v>
      </c>
      <c r="F2144" s="89">
        <v>2</v>
      </c>
      <c r="G2144" s="89">
        <v>2</v>
      </c>
      <c r="H2144" s="89">
        <v>2</v>
      </c>
      <c r="I2144" s="89">
        <v>2</v>
      </c>
      <c r="J2144" s="710">
        <f>(VLOOKUP($C2144,[2]Sheet1!$A$2:$P$18,$M2144+1)/12)*12*D2144</f>
        <v>449085.95786073001</v>
      </c>
      <c r="K2144" s="711"/>
      <c r="M2144" s="62">
        <f t="shared" si="172"/>
        <v>5</v>
      </c>
    </row>
    <row r="2145" spans="1:13">
      <c r="A2145" s="88">
        <f t="shared" ca="1" si="173"/>
        <v>63</v>
      </c>
      <c r="B2145" s="69" t="s">
        <v>708</v>
      </c>
      <c r="C2145" s="69">
        <v>3</v>
      </c>
      <c r="D2145" s="89">
        <v>2</v>
      </c>
      <c r="E2145" s="89">
        <v>2</v>
      </c>
      <c r="F2145" s="89">
        <v>2</v>
      </c>
      <c r="G2145" s="89">
        <v>2</v>
      </c>
      <c r="H2145" s="89">
        <v>3</v>
      </c>
      <c r="I2145" s="89">
        <v>2</v>
      </c>
      <c r="J2145" s="710">
        <f>(VLOOKUP($C2145,[2]Sheet1!$A$2:$P$18,$M2145+1)/12)*12*D2145</f>
        <v>438672.35786072997</v>
      </c>
      <c r="K2145" s="711"/>
      <c r="M2145" s="62">
        <f t="shared" si="172"/>
        <v>5</v>
      </c>
    </row>
    <row r="2146" spans="1:13">
      <c r="A2146" s="88">
        <f t="shared" ca="1" si="173"/>
        <v>64</v>
      </c>
      <c r="B2146" s="69" t="s">
        <v>709</v>
      </c>
      <c r="C2146" s="69">
        <v>4</v>
      </c>
      <c r="D2146" s="89">
        <v>4</v>
      </c>
      <c r="E2146" s="89">
        <v>4</v>
      </c>
      <c r="F2146" s="89">
        <v>4</v>
      </c>
      <c r="G2146" s="89">
        <v>4</v>
      </c>
      <c r="H2146" s="89">
        <v>4</v>
      </c>
      <c r="I2146" s="89">
        <v>4</v>
      </c>
      <c r="J2146" s="710">
        <f>(VLOOKUP($C2146,[2]Sheet1!$A$2:$P$18,$M2146+1)/12)*12*D2146</f>
        <v>898171.91572146001</v>
      </c>
      <c r="K2146" s="711"/>
      <c r="M2146" s="62">
        <f t="shared" si="172"/>
        <v>5</v>
      </c>
    </row>
    <row r="2147" spans="1:13">
      <c r="A2147" s="88">
        <f t="shared" ca="1" si="173"/>
        <v>65</v>
      </c>
      <c r="B2147" s="69" t="s">
        <v>220</v>
      </c>
      <c r="C2147" s="69">
        <v>2</v>
      </c>
      <c r="D2147" s="89">
        <v>2</v>
      </c>
      <c r="E2147" s="89">
        <v>2</v>
      </c>
      <c r="F2147" s="89">
        <v>2</v>
      </c>
      <c r="G2147" s="89">
        <v>2</v>
      </c>
      <c r="H2147" s="89">
        <v>2</v>
      </c>
      <c r="I2147" s="89">
        <v>2</v>
      </c>
      <c r="J2147" s="710">
        <f>(VLOOKUP($C2147,[2]Sheet1!$A$2:$P$18,$M2147+1)/12)*12*D2147</f>
        <v>429314.75786073005</v>
      </c>
      <c r="K2147" s="711"/>
      <c r="M2147" s="62">
        <f t="shared" si="172"/>
        <v>5</v>
      </c>
    </row>
    <row r="2148" spans="1:13">
      <c r="A2148" s="88"/>
      <c r="B2148" s="90" t="s">
        <v>2291</v>
      </c>
      <c r="C2148" s="69"/>
      <c r="D2148" s="89"/>
      <c r="E2148" s="89"/>
      <c r="F2148" s="89"/>
      <c r="G2148" s="89"/>
      <c r="H2148" s="89"/>
      <c r="I2148" s="89"/>
      <c r="J2148" s="710"/>
      <c r="K2148" s="711"/>
      <c r="M2148" s="62">
        <f t="shared" si="172"/>
        <v>5</v>
      </c>
    </row>
    <row r="2149" spans="1:13">
      <c r="A2149" s="88">
        <v>66</v>
      </c>
      <c r="B2149" s="69" t="s">
        <v>3532</v>
      </c>
      <c r="C2149" s="69">
        <v>16</v>
      </c>
      <c r="D2149" s="89">
        <v>1</v>
      </c>
      <c r="E2149" s="89">
        <v>1</v>
      </c>
      <c r="F2149" s="89">
        <v>1</v>
      </c>
      <c r="G2149" s="89">
        <v>1</v>
      </c>
      <c r="H2149" s="89">
        <v>1</v>
      </c>
      <c r="I2149" s="89">
        <v>1</v>
      </c>
      <c r="J2149" s="710">
        <f>(VLOOKUP($C2149,[2]Sheet1!$A$2:$P$18,$M2149+1)/12)*12*D2149</f>
        <v>677281.26084</v>
      </c>
      <c r="K2149" s="711"/>
      <c r="M2149" s="62">
        <f t="shared" si="172"/>
        <v>3</v>
      </c>
    </row>
    <row r="2150" spans="1:13">
      <c r="A2150" s="88">
        <f t="shared" ref="A2150:A2163" si="174">+A2149+1</f>
        <v>67</v>
      </c>
      <c r="B2150" s="69" t="s">
        <v>1256</v>
      </c>
      <c r="C2150" s="69">
        <v>15</v>
      </c>
      <c r="D2150" s="89">
        <v>1</v>
      </c>
      <c r="E2150" s="89">
        <v>1</v>
      </c>
      <c r="F2150" s="89">
        <v>1</v>
      </c>
      <c r="G2150" s="89">
        <v>1</v>
      </c>
      <c r="H2150" s="89">
        <v>1</v>
      </c>
      <c r="I2150" s="89">
        <v>1</v>
      </c>
      <c r="J2150" s="710">
        <f>(VLOOKUP($C2150,[2]Sheet1!$A$2:$P$18,$M2150+1)/12)*12*D2150</f>
        <v>658331.89992</v>
      </c>
      <c r="K2150" s="711"/>
      <c r="M2150" s="62">
        <f t="shared" si="172"/>
        <v>3</v>
      </c>
    </row>
    <row r="2151" spans="1:13" ht="13.5" thickBot="1">
      <c r="A2151" s="88">
        <f t="shared" si="174"/>
        <v>68</v>
      </c>
      <c r="B2151" s="69" t="s">
        <v>3533</v>
      </c>
      <c r="C2151" s="69">
        <v>14</v>
      </c>
      <c r="D2151" s="89">
        <v>0</v>
      </c>
      <c r="E2151" s="89">
        <v>0</v>
      </c>
      <c r="F2151" s="89">
        <v>0</v>
      </c>
      <c r="G2151" s="89">
        <v>0</v>
      </c>
      <c r="H2151" s="89">
        <v>0</v>
      </c>
      <c r="I2151" s="89">
        <v>0</v>
      </c>
      <c r="J2151" s="710">
        <f>(VLOOKUP($C2151,[2]Sheet1!$A$2:$P$18,$M2151+1)/12)*12*D2151</f>
        <v>0</v>
      </c>
      <c r="K2151" s="711"/>
      <c r="M2151" s="62">
        <f t="shared" si="172"/>
        <v>3</v>
      </c>
    </row>
    <row r="2152" spans="1:13" ht="15.75" thickTop="1">
      <c r="A2152" s="1047" t="s">
        <v>2791</v>
      </c>
      <c r="B2152" s="1049" t="s">
        <v>4126</v>
      </c>
      <c r="C2152" s="1049" t="s">
        <v>854</v>
      </c>
      <c r="D2152" s="1040" t="s">
        <v>4127</v>
      </c>
      <c r="E2152" s="1041"/>
      <c r="F2152" s="1041"/>
      <c r="G2152" s="1040" t="s">
        <v>904</v>
      </c>
      <c r="H2152" s="1041"/>
      <c r="I2152" s="1042"/>
      <c r="J2152" s="1035" t="s">
        <v>855</v>
      </c>
      <c r="K2152" s="389"/>
    </row>
    <row r="2153" spans="1:13" ht="26.25" thickBot="1">
      <c r="A2153" s="1048"/>
      <c r="B2153" s="1050"/>
      <c r="C2153" s="1050"/>
      <c r="D2153" s="285" t="s">
        <v>5505</v>
      </c>
      <c r="E2153" s="285" t="s">
        <v>4485</v>
      </c>
      <c r="F2153" s="285" t="s">
        <v>4486</v>
      </c>
      <c r="G2153" s="287" t="s">
        <v>4487</v>
      </c>
      <c r="H2153" s="285" t="s">
        <v>4488</v>
      </c>
      <c r="I2153" s="287" t="s">
        <v>4489</v>
      </c>
      <c r="J2153" s="1036"/>
      <c r="K2153" s="712"/>
    </row>
    <row r="2154" spans="1:13" ht="13.5" thickTop="1">
      <c r="A2154" s="88">
        <f>+A2151+1</f>
        <v>69</v>
      </c>
      <c r="B2154" s="69" t="s">
        <v>2553</v>
      </c>
      <c r="C2154" s="69">
        <v>14</v>
      </c>
      <c r="D2154" s="89">
        <v>1</v>
      </c>
      <c r="E2154" s="89">
        <v>1</v>
      </c>
      <c r="F2154" s="89">
        <v>1</v>
      </c>
      <c r="G2154" s="89">
        <v>1</v>
      </c>
      <c r="H2154" s="89">
        <v>1</v>
      </c>
      <c r="I2154" s="89">
        <v>1</v>
      </c>
      <c r="J2154" s="710">
        <f>(VLOOKUP($C2154,[2]Sheet1!$A$2:$P$18,$M2154+1)/12)*12*D2154</f>
        <v>669099.40824000002</v>
      </c>
      <c r="K2154" s="711"/>
      <c r="M2154" s="62">
        <f t="shared" si="172"/>
        <v>3</v>
      </c>
    </row>
    <row r="2155" spans="1:13">
      <c r="A2155" s="88">
        <f>+A2154+1</f>
        <v>70</v>
      </c>
      <c r="B2155" s="69" t="s">
        <v>2554</v>
      </c>
      <c r="C2155" s="69">
        <v>13</v>
      </c>
      <c r="D2155" s="89">
        <v>1</v>
      </c>
      <c r="E2155" s="89">
        <v>1</v>
      </c>
      <c r="F2155" s="89">
        <v>1</v>
      </c>
      <c r="G2155" s="89">
        <v>1</v>
      </c>
      <c r="H2155" s="89">
        <v>1</v>
      </c>
      <c r="I2155" s="89">
        <v>1</v>
      </c>
      <c r="J2155" s="710">
        <f>(VLOOKUP($C2155,[2]Sheet1!$A$2:$P$18,$M2155+1)/12)*12*D2155</f>
        <v>628759.53804000001</v>
      </c>
      <c r="K2155" s="711"/>
      <c r="M2155" s="62">
        <f t="shared" si="172"/>
        <v>3</v>
      </c>
    </row>
    <row r="2156" spans="1:13">
      <c r="A2156" s="88">
        <f>+A2155+1</f>
        <v>71</v>
      </c>
      <c r="B2156" s="62" t="s">
        <v>2555</v>
      </c>
      <c r="C2156" s="69">
        <v>12</v>
      </c>
      <c r="D2156" s="89">
        <v>1</v>
      </c>
      <c r="E2156" s="89">
        <v>1</v>
      </c>
      <c r="F2156" s="89">
        <v>1</v>
      </c>
      <c r="G2156" s="89">
        <v>1</v>
      </c>
      <c r="H2156" s="89">
        <v>1</v>
      </c>
      <c r="I2156" s="89">
        <v>1</v>
      </c>
      <c r="J2156" s="710">
        <f>(VLOOKUP($C2156,[2]Sheet1!$A$2:$P$18,$M2156+1)/12)*12*D2156</f>
        <v>552685.0537200002</v>
      </c>
      <c r="K2156" s="711"/>
      <c r="M2156" s="62">
        <f t="shared" si="172"/>
        <v>3</v>
      </c>
    </row>
    <row r="2157" spans="1:13">
      <c r="A2157" s="88">
        <f t="shared" si="174"/>
        <v>72</v>
      </c>
      <c r="B2157" s="69" t="s">
        <v>2220</v>
      </c>
      <c r="C2157" s="69">
        <v>10</v>
      </c>
      <c r="D2157" s="89">
        <v>1</v>
      </c>
      <c r="E2157" s="89">
        <v>1</v>
      </c>
      <c r="F2157" s="89">
        <v>1</v>
      </c>
      <c r="G2157" s="89">
        <v>1</v>
      </c>
      <c r="H2157" s="89">
        <v>1</v>
      </c>
      <c r="I2157" s="89">
        <v>1</v>
      </c>
      <c r="J2157" s="710">
        <f>(VLOOKUP($C2157,[2]Sheet1!$A$2:$P$18,$M2157+1)/12)*12*D2157</f>
        <v>483974.5687200001</v>
      </c>
      <c r="K2157" s="711"/>
      <c r="M2157" s="62">
        <f t="shared" si="172"/>
        <v>3</v>
      </c>
    </row>
    <row r="2158" spans="1:13">
      <c r="A2158" s="88">
        <f t="shared" si="174"/>
        <v>73</v>
      </c>
      <c r="B2158" s="69" t="s">
        <v>2221</v>
      </c>
      <c r="C2158" s="69">
        <v>9</v>
      </c>
      <c r="D2158" s="89">
        <v>2</v>
      </c>
      <c r="E2158" s="89">
        <v>2</v>
      </c>
      <c r="F2158" s="89">
        <v>2</v>
      </c>
      <c r="G2158" s="89">
        <v>2</v>
      </c>
      <c r="H2158" s="89">
        <v>2</v>
      </c>
      <c r="I2158" s="89">
        <v>2</v>
      </c>
      <c r="J2158" s="710">
        <f>(VLOOKUP($C2158,[2]Sheet1!$A$2:$P$18,$M2158+1)/12)*12*D2158</f>
        <v>819363.81239999994</v>
      </c>
      <c r="K2158" s="711"/>
      <c r="M2158" s="62">
        <f t="shared" si="172"/>
        <v>3</v>
      </c>
    </row>
    <row r="2159" spans="1:13">
      <c r="A2159" s="88">
        <f t="shared" si="174"/>
        <v>74</v>
      </c>
      <c r="B2159" s="69" t="s">
        <v>2222</v>
      </c>
      <c r="C2159" s="69">
        <v>8</v>
      </c>
      <c r="D2159" s="89">
        <v>2</v>
      </c>
      <c r="E2159" s="89">
        <v>2</v>
      </c>
      <c r="F2159" s="89">
        <v>2</v>
      </c>
      <c r="G2159" s="89">
        <v>2</v>
      </c>
      <c r="H2159" s="89">
        <v>2</v>
      </c>
      <c r="I2159" s="89">
        <v>2</v>
      </c>
      <c r="J2159" s="710">
        <f>(VLOOKUP($C2159,[2]Sheet1!$A$2:$P$18,$M2159+1)/12)*12*D2159</f>
        <v>684282.54816000001</v>
      </c>
      <c r="K2159" s="711"/>
      <c r="M2159" s="62">
        <f t="shared" si="172"/>
        <v>3</v>
      </c>
    </row>
    <row r="2160" spans="1:13">
      <c r="A2160" s="88">
        <f t="shared" si="174"/>
        <v>75</v>
      </c>
      <c r="B2160" s="69" t="s">
        <v>710</v>
      </c>
      <c r="C2160" s="69">
        <v>8</v>
      </c>
      <c r="D2160" s="89">
        <v>1</v>
      </c>
      <c r="E2160" s="89">
        <v>1</v>
      </c>
      <c r="F2160" s="89">
        <v>1</v>
      </c>
      <c r="G2160" s="89">
        <v>1</v>
      </c>
      <c r="H2160" s="89">
        <v>1</v>
      </c>
      <c r="I2160" s="89">
        <v>1</v>
      </c>
      <c r="J2160" s="710">
        <f>(VLOOKUP($C2160,[2]Sheet1!$A$2:$P$18,$M2160+1)/12)*12*D2160</f>
        <v>342141.27408</v>
      </c>
      <c r="K2160" s="711"/>
      <c r="M2160" s="62">
        <f t="shared" si="172"/>
        <v>3</v>
      </c>
    </row>
    <row r="2161" spans="1:13">
      <c r="A2161" s="88">
        <f t="shared" si="174"/>
        <v>76</v>
      </c>
      <c r="B2161" s="69" t="s">
        <v>3908</v>
      </c>
      <c r="C2161" s="69">
        <v>7</v>
      </c>
      <c r="D2161" s="89">
        <v>1</v>
      </c>
      <c r="E2161" s="89">
        <v>1</v>
      </c>
      <c r="F2161" s="89">
        <v>1</v>
      </c>
      <c r="G2161" s="89">
        <v>1</v>
      </c>
      <c r="H2161" s="89">
        <v>1</v>
      </c>
      <c r="I2161" s="89">
        <v>1</v>
      </c>
      <c r="J2161" s="710">
        <f>(VLOOKUP($C2161,[2]Sheet1!$A$2:$P$18,$M2161+1)/12)*12*D2161</f>
        <v>307706.70240000007</v>
      </c>
      <c r="K2161" s="711"/>
      <c r="M2161" s="62">
        <f t="shared" si="172"/>
        <v>3</v>
      </c>
    </row>
    <row r="2162" spans="1:13">
      <c r="A2162" s="88">
        <f t="shared" si="174"/>
        <v>77</v>
      </c>
      <c r="B2162" s="69" t="s">
        <v>3754</v>
      </c>
      <c r="C2162" s="69">
        <v>6</v>
      </c>
      <c r="D2162" s="89">
        <v>1</v>
      </c>
      <c r="E2162" s="89">
        <v>1</v>
      </c>
      <c r="F2162" s="89">
        <v>1</v>
      </c>
      <c r="G2162" s="89">
        <v>1</v>
      </c>
      <c r="H2162" s="89">
        <v>1</v>
      </c>
      <c r="I2162" s="89">
        <v>1</v>
      </c>
      <c r="J2162" s="710">
        <f>(VLOOKUP($C2162,[2]Sheet1!$A$2:$P$18,$M2162+1)/12)*12*D2162</f>
        <v>238099.37893036497</v>
      </c>
      <c r="K2162" s="711"/>
      <c r="M2162" s="62">
        <f t="shared" si="172"/>
        <v>5</v>
      </c>
    </row>
    <row r="2163" spans="1:13">
      <c r="A2163" s="88">
        <f t="shared" si="174"/>
        <v>78</v>
      </c>
      <c r="B2163" s="69" t="s">
        <v>3755</v>
      </c>
      <c r="C2163" s="69">
        <v>3</v>
      </c>
      <c r="D2163" s="89">
        <v>0</v>
      </c>
      <c r="E2163" s="89">
        <v>0</v>
      </c>
      <c r="F2163" s="89">
        <v>0</v>
      </c>
      <c r="G2163" s="89">
        <v>0</v>
      </c>
      <c r="H2163" s="89">
        <v>0</v>
      </c>
      <c r="I2163" s="89">
        <v>0</v>
      </c>
      <c r="J2163" s="710">
        <f>(VLOOKUP($C2163,[2]Sheet1!$A$2:$P$18,$M2163+1)/12)*12*D2163</f>
        <v>0</v>
      </c>
      <c r="K2163" s="711"/>
      <c r="M2163" s="62">
        <f t="shared" si="172"/>
        <v>5</v>
      </c>
    </row>
    <row r="2164" spans="1:13">
      <c r="A2164" s="88"/>
      <c r="B2164" s="90" t="s">
        <v>3909</v>
      </c>
      <c r="C2164" s="69"/>
      <c r="D2164" s="89"/>
      <c r="E2164" s="89"/>
      <c r="F2164" s="89"/>
      <c r="G2164" s="89"/>
      <c r="H2164" s="89"/>
      <c r="I2164" s="89"/>
      <c r="J2164" s="710"/>
      <c r="K2164" s="711"/>
      <c r="M2164" s="62">
        <f t="shared" si="172"/>
        <v>5</v>
      </c>
    </row>
    <row r="2165" spans="1:13">
      <c r="A2165" s="88">
        <v>79</v>
      </c>
      <c r="B2165" s="69" t="s">
        <v>3532</v>
      </c>
      <c r="C2165" s="69">
        <v>16</v>
      </c>
      <c r="D2165" s="89">
        <v>0</v>
      </c>
      <c r="E2165" s="89">
        <v>0</v>
      </c>
      <c r="F2165" s="89">
        <v>0</v>
      </c>
      <c r="G2165" s="89">
        <v>0</v>
      </c>
      <c r="H2165" s="89">
        <v>0</v>
      </c>
      <c r="I2165" s="89">
        <v>0</v>
      </c>
      <c r="J2165" s="710">
        <f>(VLOOKUP($C2165,[2]Sheet1!$A$2:$P$18,$M2165+1)/12)*12*D2165</f>
        <v>0</v>
      </c>
      <c r="K2165" s="711"/>
      <c r="M2165" s="62">
        <f t="shared" si="172"/>
        <v>3</v>
      </c>
    </row>
    <row r="2166" spans="1:13">
      <c r="A2166" s="88">
        <f t="shared" ref="A2166:A2186" si="175">+A2165+1</f>
        <v>80</v>
      </c>
      <c r="B2166" s="69" t="s">
        <v>1256</v>
      </c>
      <c r="C2166" s="69">
        <v>15</v>
      </c>
      <c r="D2166" s="89">
        <v>0</v>
      </c>
      <c r="E2166" s="89">
        <v>0</v>
      </c>
      <c r="F2166" s="89">
        <v>0</v>
      </c>
      <c r="G2166" s="89">
        <v>0</v>
      </c>
      <c r="H2166" s="89">
        <v>0</v>
      </c>
      <c r="I2166" s="89">
        <v>0</v>
      </c>
      <c r="J2166" s="710">
        <f>(VLOOKUP($C2166,[2]Sheet1!$A$2:$P$18,$M2166+1)/12)*12*D2166</f>
        <v>0</v>
      </c>
      <c r="K2166" s="711"/>
      <c r="M2166" s="62">
        <f t="shared" si="172"/>
        <v>3</v>
      </c>
    </row>
    <row r="2167" spans="1:13">
      <c r="A2167" s="88">
        <f t="shared" si="175"/>
        <v>81</v>
      </c>
      <c r="B2167" s="69" t="s">
        <v>3533</v>
      </c>
      <c r="C2167" s="69">
        <v>14</v>
      </c>
      <c r="D2167" s="89">
        <v>0</v>
      </c>
      <c r="E2167" s="89">
        <v>0</v>
      </c>
      <c r="F2167" s="89">
        <v>0</v>
      </c>
      <c r="G2167" s="89">
        <v>0</v>
      </c>
      <c r="H2167" s="89">
        <v>0</v>
      </c>
      <c r="I2167" s="89">
        <v>0</v>
      </c>
      <c r="J2167" s="710">
        <f>(VLOOKUP($C2167,[2]Sheet1!$A$2:$P$18,$M2167+1)/12)*12*D2167</f>
        <v>0</v>
      </c>
      <c r="K2167" s="711"/>
      <c r="M2167" s="62">
        <f t="shared" si="172"/>
        <v>3</v>
      </c>
    </row>
    <row r="2168" spans="1:13">
      <c r="A2168" s="88">
        <f t="shared" si="175"/>
        <v>82</v>
      </c>
      <c r="B2168" s="69" t="s">
        <v>1404</v>
      </c>
      <c r="C2168" s="69">
        <v>14</v>
      </c>
      <c r="D2168" s="89">
        <v>0</v>
      </c>
      <c r="E2168" s="89">
        <v>0</v>
      </c>
      <c r="F2168" s="89">
        <v>0</v>
      </c>
      <c r="G2168" s="89">
        <v>0</v>
      </c>
      <c r="H2168" s="89">
        <v>0</v>
      </c>
      <c r="I2168" s="89">
        <v>0</v>
      </c>
      <c r="J2168" s="710">
        <f>(VLOOKUP($C2168,[2]Sheet1!$A$2:$P$18,$M2168+1)/12)*12*D2168</f>
        <v>0</v>
      </c>
      <c r="K2168" s="711"/>
      <c r="M2168" s="62">
        <f t="shared" si="172"/>
        <v>3</v>
      </c>
    </row>
    <row r="2169" spans="1:13">
      <c r="A2169" s="88">
        <f t="shared" si="175"/>
        <v>83</v>
      </c>
      <c r="B2169" s="69" t="s">
        <v>1405</v>
      </c>
      <c r="C2169" s="69">
        <v>13</v>
      </c>
      <c r="D2169" s="89">
        <v>0</v>
      </c>
      <c r="E2169" s="89">
        <v>0</v>
      </c>
      <c r="F2169" s="89">
        <v>0</v>
      </c>
      <c r="G2169" s="89">
        <v>0</v>
      </c>
      <c r="H2169" s="89">
        <v>0</v>
      </c>
      <c r="I2169" s="89">
        <v>0</v>
      </c>
      <c r="J2169" s="710">
        <f>(VLOOKUP($C2169,[2]Sheet1!$A$2:$P$18,$M2169+1)/12)*12*D2169</f>
        <v>0</v>
      </c>
      <c r="K2169" s="711"/>
      <c r="M2169" s="62">
        <f t="shared" si="172"/>
        <v>3</v>
      </c>
    </row>
    <row r="2170" spans="1:13">
      <c r="A2170" s="88">
        <f t="shared" si="175"/>
        <v>84</v>
      </c>
      <c r="B2170" s="62" t="s">
        <v>1406</v>
      </c>
      <c r="C2170" s="69">
        <v>12</v>
      </c>
      <c r="D2170" s="89">
        <v>0</v>
      </c>
      <c r="E2170" s="89">
        <v>0</v>
      </c>
      <c r="F2170" s="89">
        <v>0</v>
      </c>
      <c r="G2170" s="89">
        <v>0</v>
      </c>
      <c r="H2170" s="89">
        <v>0</v>
      </c>
      <c r="I2170" s="89">
        <v>0</v>
      </c>
      <c r="J2170" s="710">
        <f>(VLOOKUP($C2170,[2]Sheet1!$A$2:$P$18,$M2170+1)/12)*12*D2170</f>
        <v>0</v>
      </c>
      <c r="K2170" s="711"/>
      <c r="M2170" s="62">
        <f t="shared" si="172"/>
        <v>3</v>
      </c>
    </row>
    <row r="2171" spans="1:13">
      <c r="A2171" s="88">
        <f t="shared" si="175"/>
        <v>85</v>
      </c>
      <c r="B2171" s="69" t="s">
        <v>2224</v>
      </c>
      <c r="C2171" s="69">
        <v>10</v>
      </c>
      <c r="D2171" s="89">
        <v>0</v>
      </c>
      <c r="E2171" s="89">
        <v>0</v>
      </c>
      <c r="F2171" s="89">
        <v>0</v>
      </c>
      <c r="G2171" s="89">
        <v>0</v>
      </c>
      <c r="H2171" s="89">
        <v>0</v>
      </c>
      <c r="I2171" s="89">
        <v>0</v>
      </c>
      <c r="J2171" s="710">
        <f>(VLOOKUP($C2171,[2]Sheet1!$A$2:$P$18,$M2171+1)/12)*12*D2171</f>
        <v>0</v>
      </c>
      <c r="K2171" s="711"/>
      <c r="M2171" s="62">
        <f t="shared" si="172"/>
        <v>3</v>
      </c>
    </row>
    <row r="2172" spans="1:13">
      <c r="A2172" s="88">
        <f t="shared" si="175"/>
        <v>86</v>
      </c>
      <c r="B2172" s="69" t="s">
        <v>2225</v>
      </c>
      <c r="C2172" s="69">
        <v>9</v>
      </c>
      <c r="D2172" s="89">
        <v>0</v>
      </c>
      <c r="E2172" s="89">
        <v>0</v>
      </c>
      <c r="F2172" s="89">
        <v>0</v>
      </c>
      <c r="G2172" s="89">
        <v>0</v>
      </c>
      <c r="H2172" s="89">
        <v>0</v>
      </c>
      <c r="I2172" s="89">
        <v>0</v>
      </c>
      <c r="J2172" s="710">
        <f>(VLOOKUP($C2172,[2]Sheet1!$A$2:$P$18,$M2172+1)/12)*12*D2172</f>
        <v>0</v>
      </c>
      <c r="K2172" s="711"/>
      <c r="M2172" s="62">
        <f t="shared" si="172"/>
        <v>3</v>
      </c>
    </row>
    <row r="2173" spans="1:13">
      <c r="A2173" s="88">
        <f t="shared" si="175"/>
        <v>87</v>
      </c>
      <c r="B2173" s="69" t="s">
        <v>711</v>
      </c>
      <c r="C2173" s="69">
        <v>8</v>
      </c>
      <c r="D2173" s="89">
        <v>0</v>
      </c>
      <c r="E2173" s="89">
        <v>0</v>
      </c>
      <c r="F2173" s="89">
        <v>0</v>
      </c>
      <c r="G2173" s="89">
        <v>0</v>
      </c>
      <c r="H2173" s="89">
        <v>0</v>
      </c>
      <c r="I2173" s="89">
        <v>0</v>
      </c>
      <c r="J2173" s="710">
        <f>(VLOOKUP($C2173,[2]Sheet1!$A$2:$P$18,$M2173+1)/12)*12*D2173</f>
        <v>0</v>
      </c>
      <c r="K2173" s="711"/>
      <c r="M2173" s="62">
        <f t="shared" si="172"/>
        <v>3</v>
      </c>
    </row>
    <row r="2174" spans="1:13">
      <c r="A2174" s="88">
        <f>+A2173+1</f>
        <v>88</v>
      </c>
      <c r="B2174" s="69" t="s">
        <v>712</v>
      </c>
      <c r="C2174" s="69">
        <v>14</v>
      </c>
      <c r="D2174" s="89">
        <v>0</v>
      </c>
      <c r="E2174" s="89">
        <v>0</v>
      </c>
      <c r="F2174" s="89">
        <v>0</v>
      </c>
      <c r="G2174" s="89">
        <v>0</v>
      </c>
      <c r="H2174" s="89">
        <v>0</v>
      </c>
      <c r="I2174" s="89">
        <v>0</v>
      </c>
      <c r="J2174" s="710">
        <f>(VLOOKUP($C2174,[2]Sheet1!$A$2:$P$18,$M2174+1)/12)*12*D2174</f>
        <v>0</v>
      </c>
      <c r="K2174" s="711"/>
      <c r="M2174" s="62">
        <f t="shared" si="172"/>
        <v>3</v>
      </c>
    </row>
    <row r="2175" spans="1:13">
      <c r="A2175" s="88">
        <f t="shared" si="175"/>
        <v>89</v>
      </c>
      <c r="B2175" s="69" t="s">
        <v>876</v>
      </c>
      <c r="C2175" s="69">
        <v>13</v>
      </c>
      <c r="D2175" s="89">
        <v>0</v>
      </c>
      <c r="E2175" s="89">
        <v>0</v>
      </c>
      <c r="F2175" s="89">
        <v>0</v>
      </c>
      <c r="G2175" s="89">
        <v>0</v>
      </c>
      <c r="H2175" s="89">
        <v>0</v>
      </c>
      <c r="I2175" s="89">
        <v>0</v>
      </c>
      <c r="J2175" s="710">
        <f>(VLOOKUP($C2175,[2]Sheet1!$A$2:$P$18,$M2175+1)/12)*12*D2175</f>
        <v>0</v>
      </c>
      <c r="K2175" s="711"/>
      <c r="M2175" s="62">
        <f t="shared" si="172"/>
        <v>3</v>
      </c>
    </row>
    <row r="2176" spans="1:13">
      <c r="A2176" s="88">
        <f t="shared" si="175"/>
        <v>90</v>
      </c>
      <c r="B2176" s="69" t="s">
        <v>877</v>
      </c>
      <c r="C2176" s="69">
        <v>12</v>
      </c>
      <c r="D2176" s="89">
        <v>0</v>
      </c>
      <c r="E2176" s="89">
        <v>0</v>
      </c>
      <c r="F2176" s="89">
        <v>0</v>
      </c>
      <c r="G2176" s="89">
        <v>0</v>
      </c>
      <c r="H2176" s="89">
        <v>0</v>
      </c>
      <c r="I2176" s="89">
        <v>0</v>
      </c>
      <c r="J2176" s="710">
        <f>(VLOOKUP($C2176,[2]Sheet1!$A$2:$P$18,$M2176+1)/12)*12*D2176</f>
        <v>0</v>
      </c>
      <c r="K2176" s="711"/>
      <c r="M2176" s="62">
        <f t="shared" si="172"/>
        <v>3</v>
      </c>
    </row>
    <row r="2177" spans="1:13">
      <c r="A2177" s="88">
        <f t="shared" si="175"/>
        <v>91</v>
      </c>
      <c r="B2177" s="69" t="s">
        <v>2590</v>
      </c>
      <c r="C2177" s="69">
        <v>10</v>
      </c>
      <c r="D2177" s="89">
        <v>0</v>
      </c>
      <c r="E2177" s="89">
        <v>0</v>
      </c>
      <c r="F2177" s="89">
        <v>0</v>
      </c>
      <c r="G2177" s="89">
        <v>0</v>
      </c>
      <c r="H2177" s="89">
        <v>0</v>
      </c>
      <c r="I2177" s="89">
        <v>0</v>
      </c>
      <c r="J2177" s="710">
        <f>(VLOOKUP($C2177,[2]Sheet1!$A$2:$P$18,$M2177+1)/12)*12*D2177</f>
        <v>0</v>
      </c>
      <c r="K2177" s="711"/>
      <c r="M2177" s="62">
        <f t="shared" si="172"/>
        <v>3</v>
      </c>
    </row>
    <row r="2178" spans="1:13">
      <c r="A2178" s="88">
        <f t="shared" si="175"/>
        <v>92</v>
      </c>
      <c r="B2178" s="69" t="s">
        <v>2748</v>
      </c>
      <c r="C2178" s="69">
        <v>9</v>
      </c>
      <c r="D2178" s="89">
        <v>0</v>
      </c>
      <c r="E2178" s="89">
        <v>0</v>
      </c>
      <c r="F2178" s="89">
        <v>0</v>
      </c>
      <c r="G2178" s="89">
        <v>0</v>
      </c>
      <c r="H2178" s="89">
        <v>0</v>
      </c>
      <c r="I2178" s="89">
        <v>0</v>
      </c>
      <c r="J2178" s="710">
        <f>(VLOOKUP($C2178,[2]Sheet1!$A$2:$P$18,$M2178+1)/12)*12*D2178</f>
        <v>0</v>
      </c>
      <c r="K2178" s="711"/>
      <c r="M2178" s="62">
        <f t="shared" si="172"/>
        <v>3</v>
      </c>
    </row>
    <row r="2179" spans="1:13">
      <c r="A2179" s="88">
        <f t="shared" si="175"/>
        <v>93</v>
      </c>
      <c r="B2179" s="69" t="s">
        <v>1059</v>
      </c>
      <c r="C2179" s="69">
        <v>8</v>
      </c>
      <c r="D2179" s="89">
        <v>0</v>
      </c>
      <c r="E2179" s="89">
        <v>0</v>
      </c>
      <c r="F2179" s="89">
        <v>0</v>
      </c>
      <c r="G2179" s="89">
        <v>0</v>
      </c>
      <c r="H2179" s="89">
        <v>0</v>
      </c>
      <c r="I2179" s="89">
        <v>0</v>
      </c>
      <c r="J2179" s="710">
        <f>(VLOOKUP($C2179,[2]Sheet1!$A$2:$P$18,$M2179+1)/12)*12*D2179</f>
        <v>0</v>
      </c>
      <c r="K2179" s="711"/>
      <c r="M2179" s="62">
        <f t="shared" si="172"/>
        <v>3</v>
      </c>
    </row>
    <row r="2180" spans="1:13">
      <c r="A2180" s="88">
        <f t="shared" si="175"/>
        <v>94</v>
      </c>
      <c r="B2180" s="69" t="s">
        <v>2587</v>
      </c>
      <c r="C2180" s="69">
        <v>7</v>
      </c>
      <c r="D2180" s="89">
        <v>0</v>
      </c>
      <c r="E2180" s="89">
        <v>0</v>
      </c>
      <c r="F2180" s="89">
        <v>0</v>
      </c>
      <c r="G2180" s="89">
        <v>0</v>
      </c>
      <c r="H2180" s="89">
        <v>0</v>
      </c>
      <c r="I2180" s="89">
        <v>0</v>
      </c>
      <c r="J2180" s="710">
        <f>(VLOOKUP($C2180,[2]Sheet1!$A$2:$P$18,$M2180+1)/12)*12*D2180</f>
        <v>0</v>
      </c>
      <c r="K2180" s="711"/>
      <c r="M2180" s="62">
        <f t="shared" si="172"/>
        <v>3</v>
      </c>
    </row>
    <row r="2181" spans="1:13">
      <c r="A2181" s="88">
        <f t="shared" si="175"/>
        <v>95</v>
      </c>
      <c r="B2181" s="69" t="s">
        <v>2588</v>
      </c>
      <c r="C2181" s="69">
        <v>6</v>
      </c>
      <c r="D2181" s="89">
        <v>0</v>
      </c>
      <c r="E2181" s="89">
        <v>0</v>
      </c>
      <c r="F2181" s="89">
        <v>0</v>
      </c>
      <c r="G2181" s="89">
        <v>0</v>
      </c>
      <c r="H2181" s="89">
        <v>0</v>
      </c>
      <c r="I2181" s="89">
        <v>0</v>
      </c>
      <c r="J2181" s="710">
        <f>(VLOOKUP($C2181,[2]Sheet1!$A$2:$P$18,$M2181+1)/12)*12*D2181</f>
        <v>0</v>
      </c>
      <c r="K2181" s="711"/>
      <c r="M2181" s="62">
        <f t="shared" si="172"/>
        <v>5</v>
      </c>
    </row>
    <row r="2182" spans="1:13">
      <c r="A2182" s="88">
        <f t="shared" si="175"/>
        <v>96</v>
      </c>
      <c r="B2182" s="69" t="s">
        <v>2589</v>
      </c>
      <c r="C2182" s="69">
        <v>7</v>
      </c>
      <c r="D2182" s="89">
        <v>0</v>
      </c>
      <c r="E2182" s="89">
        <v>0</v>
      </c>
      <c r="F2182" s="89">
        <v>0</v>
      </c>
      <c r="G2182" s="89">
        <v>0</v>
      </c>
      <c r="H2182" s="89">
        <v>0</v>
      </c>
      <c r="I2182" s="89">
        <v>0</v>
      </c>
      <c r="J2182" s="710">
        <f>(VLOOKUP($C2182,[2]Sheet1!$A$2:$P$18,$M2182+1)/12)*12*D2182</f>
        <v>0</v>
      </c>
      <c r="K2182" s="711"/>
      <c r="M2182" s="62">
        <f t="shared" si="172"/>
        <v>3</v>
      </c>
    </row>
    <row r="2183" spans="1:13">
      <c r="A2183" s="88">
        <f t="shared" si="175"/>
        <v>97</v>
      </c>
      <c r="B2183" s="69" t="s">
        <v>789</v>
      </c>
      <c r="C2183" s="69">
        <v>6</v>
      </c>
      <c r="D2183" s="89">
        <v>0</v>
      </c>
      <c r="E2183" s="89">
        <v>0</v>
      </c>
      <c r="F2183" s="89">
        <v>0</v>
      </c>
      <c r="G2183" s="89">
        <v>0</v>
      </c>
      <c r="H2183" s="89">
        <v>0</v>
      </c>
      <c r="I2183" s="89">
        <v>0</v>
      </c>
      <c r="J2183" s="710">
        <f>(VLOOKUP($C2183,[2]Sheet1!$A$2:$P$18,$M2183+1)/12)*12*D2183</f>
        <v>0</v>
      </c>
      <c r="K2183" s="711"/>
      <c r="M2183" s="62">
        <f t="shared" si="172"/>
        <v>5</v>
      </c>
    </row>
    <row r="2184" spans="1:13">
      <c r="A2184" s="88">
        <f t="shared" si="175"/>
        <v>98</v>
      </c>
      <c r="B2184" s="69" t="s">
        <v>790</v>
      </c>
      <c r="C2184" s="69">
        <v>5</v>
      </c>
      <c r="D2184" s="89">
        <v>0</v>
      </c>
      <c r="E2184" s="89">
        <v>0</v>
      </c>
      <c r="F2184" s="89">
        <v>0</v>
      </c>
      <c r="G2184" s="89">
        <v>0</v>
      </c>
      <c r="H2184" s="89">
        <v>0</v>
      </c>
      <c r="I2184" s="89">
        <v>0</v>
      </c>
      <c r="J2184" s="710">
        <f>(VLOOKUP($C2184,[2]Sheet1!$A$2:$P$18,$M2184+1)/12)*12*D2184</f>
        <v>0</v>
      </c>
      <c r="K2184" s="711"/>
      <c r="M2184" s="62">
        <f t="shared" ref="M2184:M2226" si="176">IF(C2184&gt;6,3,5)</f>
        <v>5</v>
      </c>
    </row>
    <row r="2185" spans="1:13">
      <c r="A2185" s="88">
        <f t="shared" si="175"/>
        <v>99</v>
      </c>
      <c r="B2185" s="69" t="s">
        <v>787</v>
      </c>
      <c r="C2185" s="69">
        <v>4</v>
      </c>
      <c r="D2185" s="89">
        <v>0</v>
      </c>
      <c r="E2185" s="89">
        <v>0</v>
      </c>
      <c r="F2185" s="89">
        <v>0</v>
      </c>
      <c r="G2185" s="89">
        <v>0</v>
      </c>
      <c r="H2185" s="89">
        <v>0</v>
      </c>
      <c r="I2185" s="89">
        <v>0</v>
      </c>
      <c r="J2185" s="710">
        <f>(VLOOKUP($C2185,[2]Sheet1!$A$2:$P$18,$M2185+1)/12)*12*D2185</f>
        <v>0</v>
      </c>
      <c r="K2185" s="711"/>
      <c r="M2185" s="62">
        <f t="shared" si="176"/>
        <v>5</v>
      </c>
    </row>
    <row r="2186" spans="1:13">
      <c r="A2186" s="88">
        <f t="shared" si="175"/>
        <v>100</v>
      </c>
      <c r="B2186" s="69" t="s">
        <v>788</v>
      </c>
      <c r="C2186" s="69">
        <v>3</v>
      </c>
      <c r="D2186" s="89">
        <v>0</v>
      </c>
      <c r="E2186" s="89">
        <v>0</v>
      </c>
      <c r="F2186" s="89">
        <v>0</v>
      </c>
      <c r="G2186" s="89">
        <v>0</v>
      </c>
      <c r="H2186" s="89">
        <v>0</v>
      </c>
      <c r="I2186" s="89">
        <v>0</v>
      </c>
      <c r="J2186" s="710">
        <f>(VLOOKUP($C2186,[2]Sheet1!$A$2:$P$18,$M2186+1)/12)*12*D2186</f>
        <v>0</v>
      </c>
      <c r="K2186" s="711"/>
      <c r="M2186" s="62">
        <f t="shared" si="176"/>
        <v>5</v>
      </c>
    </row>
    <row r="2187" spans="1:13">
      <c r="A2187" s="88"/>
      <c r="B2187" s="90" t="s">
        <v>552</v>
      </c>
      <c r="C2187" s="69"/>
      <c r="D2187" s="89"/>
      <c r="E2187" s="89"/>
      <c r="F2187" s="89"/>
      <c r="G2187" s="89"/>
      <c r="H2187" s="89"/>
      <c r="I2187" s="89"/>
      <c r="J2187" s="710"/>
      <c r="K2187" s="711"/>
      <c r="M2187" s="62">
        <f t="shared" si="176"/>
        <v>5</v>
      </c>
    </row>
    <row r="2188" spans="1:13">
      <c r="A2188" s="88">
        <f ca="1">+A2147+1</f>
        <v>66</v>
      </c>
      <c r="B2188" s="69" t="s">
        <v>795</v>
      </c>
      <c r="C2188" s="69">
        <v>14</v>
      </c>
      <c r="D2188" s="89">
        <v>0</v>
      </c>
      <c r="E2188" s="89">
        <v>0</v>
      </c>
      <c r="F2188" s="89">
        <v>0</v>
      </c>
      <c r="G2188" s="89">
        <v>0</v>
      </c>
      <c r="H2188" s="89">
        <v>0</v>
      </c>
      <c r="I2188" s="89">
        <v>0</v>
      </c>
      <c r="J2188" s="710">
        <f>(VLOOKUP($C2188,[2]Sheet1!$A$2:$P$18,$M2188+1)/12)*12*D2188</f>
        <v>0</v>
      </c>
      <c r="K2188" s="711"/>
      <c r="M2188" s="62">
        <f t="shared" si="176"/>
        <v>3</v>
      </c>
    </row>
    <row r="2189" spans="1:13">
      <c r="A2189" s="88">
        <f t="shared" ref="A2189:A2195" ca="1" si="177">+A2188+1</f>
        <v>67</v>
      </c>
      <c r="B2189" s="69" t="s">
        <v>539</v>
      </c>
      <c r="C2189" s="69">
        <v>12</v>
      </c>
      <c r="D2189" s="89">
        <v>0</v>
      </c>
      <c r="E2189" s="89">
        <v>0</v>
      </c>
      <c r="F2189" s="89">
        <v>0</v>
      </c>
      <c r="G2189" s="89">
        <v>0</v>
      </c>
      <c r="H2189" s="89">
        <v>0</v>
      </c>
      <c r="I2189" s="89">
        <v>0</v>
      </c>
      <c r="J2189" s="710">
        <f>(VLOOKUP($C2189,[2]Sheet1!$A$2:$P$18,$M2189+1)/12)*12*D2189</f>
        <v>0</v>
      </c>
      <c r="K2189" s="711"/>
      <c r="M2189" s="62">
        <f t="shared" si="176"/>
        <v>3</v>
      </c>
    </row>
    <row r="2190" spans="1:13">
      <c r="A2190" s="88">
        <f t="shared" ca="1" si="177"/>
        <v>68</v>
      </c>
      <c r="B2190" s="69" t="s">
        <v>540</v>
      </c>
      <c r="C2190" s="69">
        <v>10</v>
      </c>
      <c r="D2190" s="89">
        <v>0</v>
      </c>
      <c r="E2190" s="89">
        <v>0</v>
      </c>
      <c r="F2190" s="89">
        <v>0</v>
      </c>
      <c r="G2190" s="89">
        <v>0</v>
      </c>
      <c r="H2190" s="89">
        <v>0</v>
      </c>
      <c r="I2190" s="89">
        <v>0</v>
      </c>
      <c r="J2190" s="710">
        <f>(VLOOKUP($C2190,[2]Sheet1!$A$2:$P$18,$M2190+1)/12)*12*D2190</f>
        <v>0</v>
      </c>
      <c r="K2190" s="711"/>
      <c r="M2190" s="62">
        <f t="shared" si="176"/>
        <v>3</v>
      </c>
    </row>
    <row r="2191" spans="1:13">
      <c r="A2191" s="88">
        <f t="shared" ca="1" si="177"/>
        <v>69</v>
      </c>
      <c r="B2191" s="69" t="s">
        <v>541</v>
      </c>
      <c r="C2191" s="69">
        <v>9</v>
      </c>
      <c r="D2191" s="89">
        <v>0</v>
      </c>
      <c r="E2191" s="89">
        <v>0</v>
      </c>
      <c r="F2191" s="89">
        <v>0</v>
      </c>
      <c r="G2191" s="89">
        <v>0</v>
      </c>
      <c r="H2191" s="89">
        <v>0</v>
      </c>
      <c r="I2191" s="89">
        <v>0</v>
      </c>
      <c r="J2191" s="710">
        <f>(VLOOKUP($C2191,[2]Sheet1!$A$2:$P$18,$M2191+1)/12)*12*D2191</f>
        <v>0</v>
      </c>
      <c r="K2191" s="711"/>
      <c r="M2191" s="62">
        <f t="shared" si="176"/>
        <v>3</v>
      </c>
    </row>
    <row r="2192" spans="1:13">
      <c r="A2192" s="88">
        <f t="shared" ca="1" si="177"/>
        <v>70</v>
      </c>
      <c r="B2192" s="69" t="s">
        <v>542</v>
      </c>
      <c r="C2192" s="69">
        <v>4</v>
      </c>
      <c r="D2192" s="89">
        <v>0</v>
      </c>
      <c r="E2192" s="89">
        <v>0</v>
      </c>
      <c r="F2192" s="89">
        <v>0</v>
      </c>
      <c r="G2192" s="89">
        <v>0</v>
      </c>
      <c r="H2192" s="89">
        <v>0</v>
      </c>
      <c r="I2192" s="89">
        <v>0</v>
      </c>
      <c r="J2192" s="710">
        <f>(VLOOKUP($C2192,[2]Sheet1!$A$2:$P$18,$M2192+1)/12)*12*D2192</f>
        <v>0</v>
      </c>
      <c r="K2192" s="711"/>
      <c r="M2192" s="62">
        <f t="shared" si="176"/>
        <v>5</v>
      </c>
    </row>
    <row r="2193" spans="1:13">
      <c r="A2193" s="88">
        <f t="shared" ca="1" si="177"/>
        <v>71</v>
      </c>
      <c r="B2193" s="69" t="s">
        <v>578</v>
      </c>
      <c r="C2193" s="69">
        <v>3</v>
      </c>
      <c r="D2193" s="89">
        <v>0</v>
      </c>
      <c r="E2193" s="89">
        <v>0</v>
      </c>
      <c r="F2193" s="89">
        <v>0</v>
      </c>
      <c r="G2193" s="89">
        <v>0</v>
      </c>
      <c r="H2193" s="89">
        <v>0</v>
      </c>
      <c r="I2193" s="89">
        <v>0</v>
      </c>
      <c r="J2193" s="710">
        <f>(VLOOKUP($C2193,[2]Sheet1!$A$2:$P$18,$M2193+1)/12)*12*D2193</f>
        <v>0</v>
      </c>
      <c r="K2193" s="711"/>
      <c r="M2193" s="62">
        <f t="shared" si="176"/>
        <v>5</v>
      </c>
    </row>
    <row r="2194" spans="1:13">
      <c r="A2194" s="88">
        <f t="shared" ca="1" si="177"/>
        <v>72</v>
      </c>
      <c r="B2194" s="69" t="s">
        <v>424</v>
      </c>
      <c r="C2194" s="69">
        <v>2</v>
      </c>
      <c r="D2194" s="89">
        <v>0</v>
      </c>
      <c r="E2194" s="89">
        <v>0</v>
      </c>
      <c r="F2194" s="89">
        <v>0</v>
      </c>
      <c r="G2194" s="89">
        <v>0</v>
      </c>
      <c r="H2194" s="89">
        <v>0</v>
      </c>
      <c r="I2194" s="89">
        <v>0</v>
      </c>
      <c r="J2194" s="710">
        <f>(VLOOKUP($C2194,[2]Sheet1!$A$2:$P$18,$M2194+1)/12)*12*D2194</f>
        <v>0</v>
      </c>
      <c r="K2194" s="711"/>
      <c r="M2194" s="62">
        <f t="shared" si="176"/>
        <v>5</v>
      </c>
    </row>
    <row r="2195" spans="1:13" ht="13.5" thickBot="1">
      <c r="A2195" s="88">
        <f t="shared" ca="1" si="177"/>
        <v>73</v>
      </c>
      <c r="B2195" s="69" t="s">
        <v>544</v>
      </c>
      <c r="C2195" s="69">
        <v>8</v>
      </c>
      <c r="D2195" s="89">
        <v>0</v>
      </c>
      <c r="E2195" s="89">
        <v>0</v>
      </c>
      <c r="F2195" s="89">
        <v>0</v>
      </c>
      <c r="G2195" s="89">
        <v>0</v>
      </c>
      <c r="H2195" s="89">
        <v>0</v>
      </c>
      <c r="I2195" s="89">
        <v>0</v>
      </c>
      <c r="J2195" s="710">
        <f>(VLOOKUP($C2195,[2]Sheet1!$A$2:$P$18,$M2195+1)/12)*12*D2195</f>
        <v>0</v>
      </c>
      <c r="K2195" s="711"/>
      <c r="M2195" s="62">
        <f t="shared" si="176"/>
        <v>3</v>
      </c>
    </row>
    <row r="2196" spans="1:13" ht="15.75" thickTop="1">
      <c r="A2196" s="1047" t="s">
        <v>2791</v>
      </c>
      <c r="B2196" s="1049" t="s">
        <v>4126</v>
      </c>
      <c r="C2196" s="1049" t="s">
        <v>854</v>
      </c>
      <c r="D2196" s="1040" t="s">
        <v>4127</v>
      </c>
      <c r="E2196" s="1041"/>
      <c r="F2196" s="1041"/>
      <c r="G2196" s="1040" t="s">
        <v>904</v>
      </c>
      <c r="H2196" s="1041"/>
      <c r="I2196" s="1042"/>
      <c r="J2196" s="1035" t="s">
        <v>855</v>
      </c>
      <c r="K2196" s="389"/>
    </row>
    <row r="2197" spans="1:13" ht="26.25" thickBot="1">
      <c r="A2197" s="1048"/>
      <c r="B2197" s="1050"/>
      <c r="C2197" s="1050"/>
      <c r="D2197" s="285" t="s">
        <v>5505</v>
      </c>
      <c r="E2197" s="285" t="s">
        <v>4485</v>
      </c>
      <c r="F2197" s="285" t="s">
        <v>4486</v>
      </c>
      <c r="G2197" s="287" t="s">
        <v>4487</v>
      </c>
      <c r="H2197" s="285" t="s">
        <v>4488</v>
      </c>
      <c r="I2197" s="287" t="s">
        <v>4489</v>
      </c>
      <c r="J2197" s="1036"/>
      <c r="K2197" s="712"/>
    </row>
    <row r="2198" spans="1:13" ht="13.5" thickTop="1">
      <c r="A2198" s="88">
        <f ca="1">+A2195+1</f>
        <v>74</v>
      </c>
      <c r="B2198" s="69" t="s">
        <v>151</v>
      </c>
      <c r="C2198" s="69">
        <v>7</v>
      </c>
      <c r="D2198" s="89">
        <v>0</v>
      </c>
      <c r="E2198" s="89"/>
      <c r="F2198" s="89">
        <v>0</v>
      </c>
      <c r="G2198" s="89">
        <v>0</v>
      </c>
      <c r="H2198" s="89">
        <v>0</v>
      </c>
      <c r="I2198" s="89">
        <v>0</v>
      </c>
      <c r="J2198" s="710">
        <f>(VLOOKUP($C2198,[2]Sheet1!$A$2:$P$18,$M2198+1)/12)*12*D2198</f>
        <v>0</v>
      </c>
      <c r="K2198" s="711"/>
      <c r="M2198" s="62">
        <f t="shared" si="176"/>
        <v>3</v>
      </c>
    </row>
    <row r="2199" spans="1:13">
      <c r="A2199" s="88">
        <f ca="1">+A2198+1</f>
        <v>75</v>
      </c>
      <c r="B2199" s="69" t="s">
        <v>152</v>
      </c>
      <c r="C2199" s="69">
        <v>6</v>
      </c>
      <c r="D2199" s="89">
        <v>0</v>
      </c>
      <c r="E2199" s="89">
        <v>0</v>
      </c>
      <c r="F2199" s="89">
        <v>0</v>
      </c>
      <c r="G2199" s="89">
        <v>0</v>
      </c>
      <c r="H2199" s="89">
        <v>0</v>
      </c>
      <c r="I2199" s="89">
        <v>0</v>
      </c>
      <c r="J2199" s="710">
        <f>(VLOOKUP($C2199,[2]Sheet1!$A$2:$P$18,$M2199+1)/12)*12*D2199</f>
        <v>0</v>
      </c>
      <c r="K2199" s="711"/>
      <c r="M2199" s="62">
        <f t="shared" si="176"/>
        <v>5</v>
      </c>
    </row>
    <row r="2200" spans="1:13">
      <c r="A2200" s="88"/>
      <c r="B2200" s="90" t="s">
        <v>153</v>
      </c>
      <c r="C2200" s="69"/>
      <c r="D2200" s="89"/>
      <c r="E2200" s="89"/>
      <c r="F2200" s="69"/>
      <c r="G2200" s="89"/>
      <c r="H2200" s="89"/>
      <c r="I2200" s="89"/>
      <c r="J2200" s="713"/>
      <c r="K2200" s="711"/>
      <c r="M2200" s="62">
        <f t="shared" si="176"/>
        <v>5</v>
      </c>
    </row>
    <row r="2201" spans="1:13">
      <c r="A2201" s="88">
        <f ca="1">+A2199+1</f>
        <v>76</v>
      </c>
      <c r="B2201" s="69" t="s">
        <v>154</v>
      </c>
      <c r="C2201" s="69">
        <v>12</v>
      </c>
      <c r="D2201" s="89">
        <v>3</v>
      </c>
      <c r="E2201" s="89">
        <v>3</v>
      </c>
      <c r="F2201" s="89">
        <v>3</v>
      </c>
      <c r="G2201" s="89">
        <v>3</v>
      </c>
      <c r="H2201" s="89">
        <v>3</v>
      </c>
      <c r="I2201" s="89">
        <v>3</v>
      </c>
      <c r="J2201" s="710">
        <f>(VLOOKUP($C2201,[2]Sheet1!$A$2:$P$18,$M2201+1)/12)*12*D2201</f>
        <v>1658055.1611600006</v>
      </c>
      <c r="K2201" s="711"/>
      <c r="M2201" s="62">
        <f t="shared" si="176"/>
        <v>3</v>
      </c>
    </row>
    <row r="2202" spans="1:13">
      <c r="A2202" s="88">
        <f t="shared" ref="A2202:A2215" ca="1" si="178">+A2201+1</f>
        <v>77</v>
      </c>
      <c r="B2202" s="69" t="s">
        <v>3984</v>
      </c>
      <c r="C2202" s="69">
        <v>10</v>
      </c>
      <c r="D2202" s="89">
        <v>1</v>
      </c>
      <c r="E2202" s="89">
        <v>1</v>
      </c>
      <c r="F2202" s="89">
        <v>1</v>
      </c>
      <c r="G2202" s="89">
        <v>1</v>
      </c>
      <c r="H2202" s="89">
        <v>1</v>
      </c>
      <c r="I2202" s="89">
        <v>1</v>
      </c>
      <c r="J2202" s="710">
        <f>(VLOOKUP($C2202,[2]Sheet1!$A$2:$P$18,$M2202+1)/12)*12*D2202</f>
        <v>483974.5687200001</v>
      </c>
      <c r="K2202" s="711"/>
      <c r="M2202" s="62">
        <f t="shared" si="176"/>
        <v>3</v>
      </c>
    </row>
    <row r="2203" spans="1:13">
      <c r="A2203" s="88">
        <f t="shared" ca="1" si="178"/>
        <v>78</v>
      </c>
      <c r="B2203" s="69" t="s">
        <v>337</v>
      </c>
      <c r="C2203" s="69">
        <v>9</v>
      </c>
      <c r="D2203" s="89">
        <v>3</v>
      </c>
      <c r="E2203" s="89">
        <v>3</v>
      </c>
      <c r="F2203" s="89">
        <v>3</v>
      </c>
      <c r="G2203" s="89">
        <v>3</v>
      </c>
      <c r="H2203" s="89">
        <v>2</v>
      </c>
      <c r="I2203" s="89">
        <v>3</v>
      </c>
      <c r="J2203" s="710">
        <f>(VLOOKUP($C2203,[2]Sheet1!$A$2:$P$18,$M2203+1)/12)*12*D2203</f>
        <v>1229045.7185999998</v>
      </c>
      <c r="K2203" s="711"/>
      <c r="M2203" s="62">
        <f t="shared" si="176"/>
        <v>3</v>
      </c>
    </row>
    <row r="2204" spans="1:13">
      <c r="A2204" s="88">
        <f t="shared" ca="1" si="178"/>
        <v>79</v>
      </c>
      <c r="B2204" s="69" t="s">
        <v>503</v>
      </c>
      <c r="C2204" s="69">
        <v>8</v>
      </c>
      <c r="D2204" s="89">
        <v>2</v>
      </c>
      <c r="E2204" s="89">
        <v>2</v>
      </c>
      <c r="F2204" s="89">
        <v>2</v>
      </c>
      <c r="G2204" s="89">
        <v>2</v>
      </c>
      <c r="H2204" s="89">
        <v>2</v>
      </c>
      <c r="I2204" s="89">
        <v>2</v>
      </c>
      <c r="J2204" s="710">
        <f>(VLOOKUP($C2204,[2]Sheet1!$A$2:$P$18,$M2204+1)/12)*12*D2204</f>
        <v>684282.54816000001</v>
      </c>
      <c r="K2204" s="711"/>
      <c r="M2204" s="62">
        <f t="shared" si="176"/>
        <v>3</v>
      </c>
    </row>
    <row r="2205" spans="1:13">
      <c r="A2205" s="88">
        <f t="shared" ca="1" si="178"/>
        <v>80</v>
      </c>
      <c r="B2205" s="69" t="s">
        <v>618</v>
      </c>
      <c r="C2205" s="69">
        <v>7</v>
      </c>
      <c r="D2205" s="89">
        <v>3</v>
      </c>
      <c r="E2205" s="89">
        <v>0</v>
      </c>
      <c r="F2205" s="89">
        <v>3</v>
      </c>
      <c r="G2205" s="89">
        <v>3</v>
      </c>
      <c r="H2205" s="89">
        <v>3</v>
      </c>
      <c r="I2205" s="89">
        <v>3</v>
      </c>
      <c r="J2205" s="710">
        <f>(VLOOKUP($C2205,[2]Sheet1!$A$2:$P$18,$M2205+1)/12)*12*D2205</f>
        <v>923120.1072000002</v>
      </c>
      <c r="K2205" s="711"/>
      <c r="M2205" s="62">
        <f t="shared" si="176"/>
        <v>3</v>
      </c>
    </row>
    <row r="2206" spans="1:13">
      <c r="A2206" s="88">
        <f t="shared" ca="1" si="178"/>
        <v>81</v>
      </c>
      <c r="B2206" s="69" t="s">
        <v>221</v>
      </c>
      <c r="C2206" s="69">
        <v>6</v>
      </c>
      <c r="D2206" s="89">
        <v>0</v>
      </c>
      <c r="E2206" s="89">
        <v>0</v>
      </c>
      <c r="F2206" s="89">
        <v>0</v>
      </c>
      <c r="G2206" s="89">
        <v>0</v>
      </c>
      <c r="H2206" s="89">
        <v>0</v>
      </c>
      <c r="I2206" s="89">
        <v>0</v>
      </c>
      <c r="J2206" s="710">
        <f>(VLOOKUP($C2206,[2]Sheet1!$A$2:$P$18,$M2206+1)/12)*12*D2206</f>
        <v>0</v>
      </c>
      <c r="K2206" s="711"/>
      <c r="M2206" s="62">
        <f t="shared" si="176"/>
        <v>5</v>
      </c>
    </row>
    <row r="2207" spans="1:13">
      <c r="A2207" s="88">
        <f t="shared" ca="1" si="178"/>
        <v>82</v>
      </c>
      <c r="B2207" s="69" t="s">
        <v>619</v>
      </c>
      <c r="C2207" s="69">
        <v>6</v>
      </c>
      <c r="D2207" s="89">
        <v>0</v>
      </c>
      <c r="E2207" s="89">
        <v>0</v>
      </c>
      <c r="F2207" s="89">
        <v>0</v>
      </c>
      <c r="G2207" s="89">
        <v>0</v>
      </c>
      <c r="H2207" s="89">
        <v>0</v>
      </c>
      <c r="I2207" s="89">
        <v>0</v>
      </c>
      <c r="J2207" s="710">
        <f>(VLOOKUP($C2207,[2]Sheet1!$A$2:$P$18,$M2207+1)/12)*12*D2207</f>
        <v>0</v>
      </c>
      <c r="K2207" s="711"/>
      <c r="M2207" s="62">
        <f t="shared" si="176"/>
        <v>5</v>
      </c>
    </row>
    <row r="2208" spans="1:13">
      <c r="A2208" s="88">
        <f t="shared" ca="1" si="178"/>
        <v>83</v>
      </c>
      <c r="B2208" s="69" t="s">
        <v>620</v>
      </c>
      <c r="C2208" s="69">
        <v>4</v>
      </c>
      <c r="D2208" s="89">
        <v>4</v>
      </c>
      <c r="E2208" s="89">
        <v>0</v>
      </c>
      <c r="F2208" s="89">
        <v>4</v>
      </c>
      <c r="G2208" s="89">
        <v>4</v>
      </c>
      <c r="H2208" s="89">
        <v>3</v>
      </c>
      <c r="I2208" s="89">
        <v>4</v>
      </c>
      <c r="J2208" s="710">
        <f>(VLOOKUP($C2208,[2]Sheet1!$A$2:$P$18,$M2208+1)/12)*12*D2208</f>
        <v>898171.91572146001</v>
      </c>
      <c r="K2208" s="711"/>
      <c r="M2208" s="62">
        <f t="shared" si="176"/>
        <v>5</v>
      </c>
    </row>
    <row r="2209" spans="1:13">
      <c r="A2209" s="88">
        <f t="shared" ca="1" si="178"/>
        <v>84</v>
      </c>
      <c r="B2209" s="69" t="s">
        <v>2622</v>
      </c>
      <c r="C2209" s="69">
        <v>3</v>
      </c>
      <c r="D2209" s="89">
        <v>2</v>
      </c>
      <c r="E2209" s="89">
        <v>2</v>
      </c>
      <c r="F2209" s="89">
        <v>2</v>
      </c>
      <c r="G2209" s="89">
        <v>2</v>
      </c>
      <c r="H2209" s="89">
        <v>2</v>
      </c>
      <c r="I2209" s="89">
        <v>2</v>
      </c>
      <c r="J2209" s="710">
        <f>(VLOOKUP($C2209,[2]Sheet1!$A$2:$P$18,$M2209+1)/12)*12*D2209</f>
        <v>438672.35786072997</v>
      </c>
      <c r="K2209" s="711"/>
      <c r="M2209" s="62">
        <f t="shared" si="176"/>
        <v>5</v>
      </c>
    </row>
    <row r="2210" spans="1:13">
      <c r="A2210" s="88">
        <f t="shared" ca="1" si="178"/>
        <v>85</v>
      </c>
      <c r="B2210" s="69" t="s">
        <v>219</v>
      </c>
      <c r="C2210" s="69">
        <v>14</v>
      </c>
      <c r="D2210" s="89">
        <v>2</v>
      </c>
      <c r="E2210" s="89">
        <v>0</v>
      </c>
      <c r="F2210" s="89">
        <v>2</v>
      </c>
      <c r="G2210" s="89">
        <v>2</v>
      </c>
      <c r="H2210" s="89">
        <v>2</v>
      </c>
      <c r="I2210" s="89">
        <v>2</v>
      </c>
      <c r="J2210" s="710">
        <f>(VLOOKUP($C2210,[2]Sheet1!$A$2:$P$18,$M2210+1)/12)*12*D2210</f>
        <v>1338198.81648</v>
      </c>
      <c r="K2210" s="711"/>
      <c r="M2210" s="62">
        <f t="shared" si="176"/>
        <v>3</v>
      </c>
    </row>
    <row r="2211" spans="1:13">
      <c r="A2211" s="88">
        <f t="shared" ca="1" si="178"/>
        <v>86</v>
      </c>
      <c r="B2211" s="69" t="s">
        <v>1520</v>
      </c>
      <c r="C2211" s="69">
        <v>13</v>
      </c>
      <c r="D2211" s="89">
        <v>0</v>
      </c>
      <c r="E2211" s="89">
        <v>0</v>
      </c>
      <c r="F2211" s="89">
        <v>0</v>
      </c>
      <c r="G2211" s="89">
        <v>0</v>
      </c>
      <c r="H2211" s="89">
        <v>0</v>
      </c>
      <c r="I2211" s="89">
        <v>0</v>
      </c>
      <c r="J2211" s="710">
        <f>(VLOOKUP($C2211,[2]Sheet1!$A$2:$P$18,$M2211+1)/12)*12*D2211</f>
        <v>0</v>
      </c>
      <c r="K2211" s="711"/>
      <c r="M2211" s="62">
        <f t="shared" si="176"/>
        <v>3</v>
      </c>
    </row>
    <row r="2212" spans="1:13">
      <c r="A2212" s="88">
        <f t="shared" ca="1" si="178"/>
        <v>87</v>
      </c>
      <c r="B2212" s="69" t="s">
        <v>2692</v>
      </c>
      <c r="C2212" s="69">
        <v>7</v>
      </c>
      <c r="D2212" s="89">
        <v>0</v>
      </c>
      <c r="E2212" s="89"/>
      <c r="F2212" s="89">
        <v>0</v>
      </c>
      <c r="G2212" s="89">
        <v>0</v>
      </c>
      <c r="H2212" s="89">
        <v>0</v>
      </c>
      <c r="I2212" s="89">
        <v>0</v>
      </c>
      <c r="J2212" s="710">
        <f>(VLOOKUP($C2212,[2]Sheet1!$A$2:$P$18,$M2212+1)/12)*12*D2212</f>
        <v>0</v>
      </c>
      <c r="K2212" s="711"/>
      <c r="M2212" s="62">
        <f t="shared" si="176"/>
        <v>3</v>
      </c>
    </row>
    <row r="2213" spans="1:13">
      <c r="A2213" s="88">
        <f t="shared" ca="1" si="178"/>
        <v>88</v>
      </c>
      <c r="B2213" s="69" t="s">
        <v>2702</v>
      </c>
      <c r="C2213" s="69">
        <v>6</v>
      </c>
      <c r="D2213" s="89">
        <v>0</v>
      </c>
      <c r="E2213" s="89">
        <v>0</v>
      </c>
      <c r="F2213" s="89">
        <v>0</v>
      </c>
      <c r="G2213" s="89">
        <v>0</v>
      </c>
      <c r="H2213" s="89">
        <v>0</v>
      </c>
      <c r="I2213" s="89">
        <v>0</v>
      </c>
      <c r="J2213" s="710">
        <f>(VLOOKUP($C2213,[2]Sheet1!$A$2:$P$18,$M2213+1)/12)*12*D2213</f>
        <v>0</v>
      </c>
      <c r="K2213" s="711"/>
      <c r="M2213" s="62">
        <f t="shared" si="176"/>
        <v>5</v>
      </c>
    </row>
    <row r="2214" spans="1:13">
      <c r="A2214" s="88">
        <f t="shared" ca="1" si="178"/>
        <v>89</v>
      </c>
      <c r="B2214" s="69" t="s">
        <v>2703</v>
      </c>
      <c r="C2214" s="69">
        <v>5</v>
      </c>
      <c r="D2214" s="89">
        <v>0</v>
      </c>
      <c r="E2214" s="89">
        <v>0</v>
      </c>
      <c r="F2214" s="89">
        <v>0</v>
      </c>
      <c r="G2214" s="89">
        <v>0</v>
      </c>
      <c r="H2214" s="89">
        <v>0</v>
      </c>
      <c r="I2214" s="89">
        <v>0</v>
      </c>
      <c r="J2214" s="710">
        <f>(VLOOKUP($C2214,[2]Sheet1!$A$2:$P$18,$M2214+1)/12)*12*D2214</f>
        <v>0</v>
      </c>
      <c r="K2214" s="711"/>
      <c r="M2214" s="62">
        <f t="shared" si="176"/>
        <v>5</v>
      </c>
    </row>
    <row r="2215" spans="1:13">
      <c r="A2215" s="88">
        <f t="shared" ca="1" si="178"/>
        <v>90</v>
      </c>
      <c r="B2215" s="69" t="s">
        <v>620</v>
      </c>
      <c r="C2215" s="69">
        <v>4</v>
      </c>
      <c r="D2215" s="89">
        <v>0</v>
      </c>
      <c r="E2215" s="89">
        <v>0</v>
      </c>
      <c r="F2215" s="89">
        <v>0</v>
      </c>
      <c r="G2215" s="89">
        <v>0</v>
      </c>
      <c r="H2215" s="89">
        <v>0</v>
      </c>
      <c r="I2215" s="89">
        <v>0</v>
      </c>
      <c r="J2215" s="710">
        <f>(VLOOKUP($C2215,[2]Sheet1!$A$2:$P$18,$M2215+1)/12)*12*D2215</f>
        <v>0</v>
      </c>
      <c r="K2215" s="711"/>
      <c r="M2215" s="62">
        <f t="shared" si="176"/>
        <v>5</v>
      </c>
    </row>
    <row r="2216" spans="1:13">
      <c r="A2216" s="92"/>
      <c r="B2216" s="93" t="s">
        <v>1684</v>
      </c>
      <c r="C2216" s="94"/>
      <c r="D2216" s="123">
        <f t="shared" ref="D2216:J2216" si="179">SUM(D2074:D2215)</f>
        <v>144</v>
      </c>
      <c r="E2216" s="123">
        <f t="shared" si="179"/>
        <v>136</v>
      </c>
      <c r="F2216" s="123">
        <f t="shared" si="179"/>
        <v>101</v>
      </c>
      <c r="G2216" s="123">
        <f>SUM(G2074:G2215)</f>
        <v>133</v>
      </c>
      <c r="H2216" s="123">
        <f t="shared" si="179"/>
        <v>127</v>
      </c>
      <c r="I2216" s="123">
        <f t="shared" si="179"/>
        <v>133</v>
      </c>
      <c r="J2216" s="124">
        <f t="shared" si="179"/>
        <v>53514862.507054441</v>
      </c>
      <c r="K2216" s="376"/>
      <c r="M2216" s="62">
        <f t="shared" si="176"/>
        <v>5</v>
      </c>
    </row>
    <row r="2217" spans="1:13">
      <c r="A2217" s="88"/>
      <c r="B2217" s="90" t="s">
        <v>1199</v>
      </c>
      <c r="C2217" s="97"/>
      <c r="D2217" s="98"/>
      <c r="E2217" s="98"/>
      <c r="F2217" s="125"/>
      <c r="G2217" s="240" t="s">
        <v>243</v>
      </c>
      <c r="H2217" s="240" t="s">
        <v>4130</v>
      </c>
      <c r="I2217" s="240" t="s">
        <v>4202</v>
      </c>
      <c r="J2217" s="241" t="s">
        <v>4200</v>
      </c>
      <c r="K2217" s="375"/>
      <c r="M2217" s="62">
        <f t="shared" si="176"/>
        <v>5</v>
      </c>
    </row>
    <row r="2218" spans="1:13">
      <c r="A2218" s="88">
        <v>1</v>
      </c>
      <c r="B2218" s="69" t="s">
        <v>2786</v>
      </c>
      <c r="C2218" s="69"/>
      <c r="D2218" s="89"/>
      <c r="E2218" s="89"/>
      <c r="F2218" s="89"/>
      <c r="G2218" s="100">
        <f>J2216*0.2</f>
        <v>10702972.501410889</v>
      </c>
      <c r="H2218" s="100">
        <f>G2218*1.02</f>
        <v>10917031.951439107</v>
      </c>
      <c r="I2218" s="100">
        <f>H2218*1.02</f>
        <v>11135372.590467889</v>
      </c>
      <c r="J2218" s="100">
        <f>SUM(G2218:I2218)</f>
        <v>32755377.043317884</v>
      </c>
      <c r="K2218" s="114"/>
      <c r="M2218" s="62">
        <f t="shared" si="176"/>
        <v>5</v>
      </c>
    </row>
    <row r="2219" spans="1:13">
      <c r="A2219" s="92"/>
      <c r="B2219" s="93" t="s">
        <v>1933</v>
      </c>
      <c r="C2219" s="94"/>
      <c r="D2219" s="101"/>
      <c r="E2219" s="101"/>
      <c r="F2219" s="95"/>
      <c r="G2219" s="95">
        <f>SUM(G2218:G2218)</f>
        <v>10702972.501410889</v>
      </c>
      <c r="H2219" s="95">
        <f>SUM(H2218:H2218)</f>
        <v>10917031.951439107</v>
      </c>
      <c r="I2219" s="95">
        <f>SUM(I2218:I2218)</f>
        <v>11135372.590467889</v>
      </c>
      <c r="J2219" s="95">
        <f>SUM(J2218:J2218)</f>
        <v>32755377.043317884</v>
      </c>
      <c r="K2219" s="378"/>
      <c r="M2219" s="62">
        <f t="shared" si="176"/>
        <v>5</v>
      </c>
    </row>
    <row r="2220" spans="1:13">
      <c r="A2220" s="88"/>
      <c r="B2220" s="69" t="s">
        <v>1934</v>
      </c>
      <c r="C2220" s="69"/>
      <c r="D2220" s="89"/>
      <c r="E2220" s="89"/>
      <c r="F2220" s="89"/>
      <c r="G2220" s="100">
        <f>G2219+J2216</f>
        <v>64217835.008465327</v>
      </c>
      <c r="H2220" s="100">
        <f>G2220*1.02</f>
        <v>65502191.708634637</v>
      </c>
      <c r="I2220" s="100">
        <f>H2220*1.02</f>
        <v>66812235.542807333</v>
      </c>
      <c r="J2220" s="100">
        <f>SUM(G2220:I2220)</f>
        <v>196532262.25990731</v>
      </c>
      <c r="K2220" s="114"/>
      <c r="L2220" s="112"/>
      <c r="M2220" s="62">
        <f t="shared" si="176"/>
        <v>5</v>
      </c>
    </row>
    <row r="2221" spans="1:13">
      <c r="A2221" s="88"/>
      <c r="B2221" s="69" t="s">
        <v>129</v>
      </c>
      <c r="C2221" s="69"/>
      <c r="D2221" s="89"/>
      <c r="E2221" s="89"/>
      <c r="F2221" s="89"/>
      <c r="G2221" s="89">
        <f>C2250</f>
        <v>12000000</v>
      </c>
      <c r="H2221" s="89">
        <f>D2250</f>
        <v>12000000</v>
      </c>
      <c r="I2221" s="89">
        <f>E2250</f>
        <v>12000000</v>
      </c>
      <c r="J2221" s="100">
        <f>SUM(G2221:I2221)</f>
        <v>36000000</v>
      </c>
      <c r="K2221" s="114"/>
      <c r="M2221" s="62">
        <f t="shared" si="176"/>
        <v>5</v>
      </c>
    </row>
    <row r="2222" spans="1:13" ht="13.5" thickBot="1">
      <c r="A2222" s="92"/>
      <c r="B2222" s="103" t="s">
        <v>2241</v>
      </c>
      <c r="C2222" s="104"/>
      <c r="D2222" s="105"/>
      <c r="E2222" s="105"/>
      <c r="F2222" s="129"/>
      <c r="G2222" s="129">
        <f>+G2221+G2220</f>
        <v>76217835.00846532</v>
      </c>
      <c r="H2222" s="129">
        <f>+H2221+H2220</f>
        <v>77502191.708634645</v>
      </c>
      <c r="I2222" s="129">
        <f>+I2221+I2220</f>
        <v>78812235.542807341</v>
      </c>
      <c r="J2222" s="129">
        <f>+J2221+J2220</f>
        <v>232532262.25990731</v>
      </c>
      <c r="K2222" s="378"/>
      <c r="M2222" s="62">
        <f t="shared" si="176"/>
        <v>5</v>
      </c>
    </row>
    <row r="2223" spans="1:13" ht="15.75" thickTop="1">
      <c r="C2223" s="77"/>
      <c r="D2223" s="78" t="s">
        <v>5434</v>
      </c>
      <c r="F2223" s="132"/>
      <c r="G2223" s="132"/>
      <c r="H2223" s="132"/>
      <c r="I2223" s="132"/>
      <c r="J2223" s="584"/>
      <c r="K2223" s="584"/>
      <c r="M2223" s="62">
        <f t="shared" si="176"/>
        <v>5</v>
      </c>
    </row>
    <row r="2224" spans="1:13" ht="15">
      <c r="C2224" s="77"/>
      <c r="D2224" s="78" t="s">
        <v>716</v>
      </c>
      <c r="F2224" s="132"/>
      <c r="G2224" s="132"/>
      <c r="H2224" s="132"/>
      <c r="I2224" s="132"/>
      <c r="J2224" s="584"/>
      <c r="K2224" s="584"/>
      <c r="M2224" s="62">
        <f t="shared" si="176"/>
        <v>5</v>
      </c>
    </row>
    <row r="2225" spans="1:13" ht="15">
      <c r="C2225" s="79" t="s">
        <v>717</v>
      </c>
      <c r="D2225" s="78" t="s">
        <v>1501</v>
      </c>
      <c r="F2225" s="132"/>
      <c r="G2225" s="132"/>
      <c r="H2225" s="132"/>
      <c r="I2225" s="132"/>
      <c r="J2225" s="584"/>
      <c r="K2225" s="584"/>
      <c r="M2225" s="62">
        <f t="shared" si="176"/>
        <v>3</v>
      </c>
    </row>
    <row r="2226" spans="1:13" ht="15">
      <c r="C2226" s="79" t="s">
        <v>718</v>
      </c>
      <c r="D2226" s="78" t="s">
        <v>868</v>
      </c>
      <c r="F2226" s="132"/>
      <c r="G2226" s="132"/>
      <c r="H2226" s="132"/>
      <c r="I2226" s="132"/>
      <c r="J2226" s="584"/>
      <c r="K2226" s="584"/>
      <c r="M2226" s="62">
        <f t="shared" si="176"/>
        <v>3</v>
      </c>
    </row>
    <row r="2227" spans="1:13" ht="15">
      <c r="A2227" s="634" t="s">
        <v>1839</v>
      </c>
      <c r="B2227" s="635" t="s">
        <v>903</v>
      </c>
      <c r="C2227" s="1037" t="s">
        <v>4127</v>
      </c>
      <c r="D2227" s="1038"/>
      <c r="E2227" s="1039"/>
      <c r="F2227" s="635" t="s">
        <v>1684</v>
      </c>
      <c r="G2227" s="1037" t="s">
        <v>4132</v>
      </c>
      <c r="H2227" s="1038"/>
      <c r="I2227" s="1039"/>
      <c r="J2227" s="726"/>
      <c r="K2227" s="727"/>
    </row>
    <row r="2228" spans="1:13">
      <c r="A2228" s="636" t="s">
        <v>1620</v>
      </c>
      <c r="B2228" s="637"/>
      <c r="C2228" s="635" t="s">
        <v>1841</v>
      </c>
      <c r="D2228" s="635" t="s">
        <v>4133</v>
      </c>
      <c r="E2228" s="635" t="s">
        <v>4133</v>
      </c>
      <c r="F2228" s="1056" t="s">
        <v>4200</v>
      </c>
      <c r="G2228" s="634" t="s">
        <v>4135</v>
      </c>
      <c r="H2228" s="1051" t="s">
        <v>4182</v>
      </c>
      <c r="I2228" s="634" t="s">
        <v>4135</v>
      </c>
      <c r="J2228" s="728" t="s">
        <v>4136</v>
      </c>
      <c r="K2228" s="727"/>
    </row>
    <row r="2229" spans="1:13" ht="12.75" customHeight="1">
      <c r="A2229" s="638" t="s">
        <v>387</v>
      </c>
      <c r="B2229" s="639"/>
      <c r="C2229" s="638">
        <v>2015</v>
      </c>
      <c r="D2229" s="638">
        <v>2016</v>
      </c>
      <c r="E2229" s="638">
        <v>2017</v>
      </c>
      <c r="F2229" s="1057"/>
      <c r="G2229" s="638" t="s">
        <v>4304</v>
      </c>
      <c r="H2229" s="1052"/>
      <c r="I2229" s="638" t="s">
        <v>4303</v>
      </c>
      <c r="J2229" s="639"/>
      <c r="K2229" s="729"/>
    </row>
    <row r="2230" spans="1:13">
      <c r="A2230" s="768"/>
      <c r="B2230" s="768"/>
      <c r="C2230" s="390"/>
      <c r="D2230" s="390"/>
      <c r="E2230" s="390"/>
      <c r="F2230" s="390"/>
      <c r="G2230" s="390"/>
      <c r="H2230" s="390"/>
      <c r="I2230" s="390"/>
      <c r="J2230" s="390"/>
      <c r="K2230" s="734"/>
      <c r="M2230" s="62" t="e">
        <f>IF(#REF!&gt;6,3,5)</f>
        <v>#REF!</v>
      </c>
    </row>
    <row r="2231" spans="1:13">
      <c r="A2231" s="768">
        <v>2</v>
      </c>
      <c r="B2231" s="773" t="s">
        <v>1695</v>
      </c>
      <c r="C2231" s="390">
        <v>3000000</v>
      </c>
      <c r="D2231" s="390">
        <v>3000000</v>
      </c>
      <c r="E2231" s="390">
        <v>3000000</v>
      </c>
      <c r="F2231" s="390">
        <f>SUM(C2231:E2231)</f>
        <v>9000000</v>
      </c>
      <c r="G2231" s="390">
        <v>1185990</v>
      </c>
      <c r="H2231" s="390">
        <v>2500000</v>
      </c>
      <c r="I2231" s="390">
        <v>962000</v>
      </c>
      <c r="J2231" s="390"/>
      <c r="K2231" s="734"/>
      <c r="M2231" s="62" t="e">
        <f>IF(#REF!&gt;6,3,5)</f>
        <v>#REF!</v>
      </c>
    </row>
    <row r="2232" spans="1:13">
      <c r="A2232" s="768">
        <f t="shared" ref="A2232:A2248" si="180">+A2231+1</f>
        <v>3</v>
      </c>
      <c r="B2232" s="773" t="s">
        <v>1696</v>
      </c>
      <c r="C2232" s="390" t="s">
        <v>1386</v>
      </c>
      <c r="D2232" s="390" t="s">
        <v>1386</v>
      </c>
      <c r="E2232" s="390" t="s">
        <v>1386</v>
      </c>
      <c r="F2232" s="390">
        <f t="shared" ref="F2232:F2248" si="181">SUM(C2232:E2232)</f>
        <v>0</v>
      </c>
      <c r="G2232" s="390">
        <v>240100</v>
      </c>
      <c r="H2232" s="390" t="s">
        <v>1386</v>
      </c>
      <c r="I2232" s="390">
        <v>0</v>
      </c>
      <c r="J2232" s="390"/>
      <c r="K2232" s="734"/>
      <c r="M2232" s="62" t="e">
        <f>IF(#REF!&gt;6,3,5)</f>
        <v>#REF!</v>
      </c>
    </row>
    <row r="2233" spans="1:13">
      <c r="A2233" s="768">
        <f t="shared" si="180"/>
        <v>4</v>
      </c>
      <c r="B2233" s="773" t="s">
        <v>1701</v>
      </c>
      <c r="C2233" s="390" t="s">
        <v>1386</v>
      </c>
      <c r="D2233" s="390" t="s">
        <v>1386</v>
      </c>
      <c r="E2233" s="390" t="s">
        <v>1386</v>
      </c>
      <c r="F2233" s="390">
        <f t="shared" si="181"/>
        <v>0</v>
      </c>
      <c r="G2233" s="390"/>
      <c r="H2233" s="390" t="s">
        <v>1386</v>
      </c>
      <c r="I2233" s="390"/>
      <c r="J2233" s="390"/>
      <c r="K2233" s="734"/>
      <c r="M2233" s="62" t="e">
        <f>IF(#REF!&gt;6,3,5)</f>
        <v>#REF!</v>
      </c>
    </row>
    <row r="2234" spans="1:13">
      <c r="A2234" s="768">
        <f t="shared" si="180"/>
        <v>5</v>
      </c>
      <c r="B2234" s="773" t="s">
        <v>1702</v>
      </c>
      <c r="C2234" s="390">
        <v>800000</v>
      </c>
      <c r="D2234" s="390">
        <v>800000</v>
      </c>
      <c r="E2234" s="390">
        <v>800000</v>
      </c>
      <c r="F2234" s="390">
        <f t="shared" si="181"/>
        <v>2400000</v>
      </c>
      <c r="G2234" s="390">
        <v>87400</v>
      </c>
      <c r="H2234" s="390">
        <v>800000</v>
      </c>
      <c r="I2234" s="390">
        <v>228300</v>
      </c>
      <c r="J2234" s="390"/>
      <c r="K2234" s="734"/>
      <c r="M2234" s="62" t="e">
        <f>IF(#REF!&gt;6,3,5)</f>
        <v>#REF!</v>
      </c>
    </row>
    <row r="2235" spans="1:13" ht="25.5">
      <c r="A2235" s="768">
        <f t="shared" si="180"/>
        <v>6</v>
      </c>
      <c r="B2235" s="773" t="s">
        <v>1503</v>
      </c>
      <c r="C2235" s="390">
        <v>800000</v>
      </c>
      <c r="D2235" s="390">
        <v>800000</v>
      </c>
      <c r="E2235" s="390">
        <v>800000</v>
      </c>
      <c r="F2235" s="390">
        <f t="shared" si="181"/>
        <v>2400000</v>
      </c>
      <c r="G2235" s="390">
        <v>1307000</v>
      </c>
      <c r="H2235" s="390">
        <v>800000</v>
      </c>
      <c r="I2235" s="390">
        <v>1661200</v>
      </c>
      <c r="J2235" s="390"/>
      <c r="K2235" s="734"/>
      <c r="M2235" s="62" t="e">
        <f>IF(#REF!&gt;6,3,5)</f>
        <v>#REF!</v>
      </c>
    </row>
    <row r="2236" spans="1:13">
      <c r="A2236" s="768">
        <f t="shared" si="180"/>
        <v>7</v>
      </c>
      <c r="B2236" s="773" t="s">
        <v>3680</v>
      </c>
      <c r="C2236" s="390">
        <v>800000</v>
      </c>
      <c r="D2236" s="390">
        <v>800000</v>
      </c>
      <c r="E2236" s="390">
        <v>800000</v>
      </c>
      <c r="F2236" s="390">
        <f t="shared" si="181"/>
        <v>2400000</v>
      </c>
      <c r="G2236" s="390">
        <v>268294</v>
      </c>
      <c r="H2236" s="390">
        <v>800000</v>
      </c>
      <c r="I2236" s="390">
        <v>653000</v>
      </c>
      <c r="J2236" s="390"/>
      <c r="K2236" s="734"/>
      <c r="M2236" s="62" t="e">
        <f>IF(#REF!&gt;6,3,5)</f>
        <v>#REF!</v>
      </c>
    </row>
    <row r="2237" spans="1:13">
      <c r="A2237" s="768">
        <f t="shared" si="180"/>
        <v>8</v>
      </c>
      <c r="B2237" s="773" t="s">
        <v>1385</v>
      </c>
      <c r="C2237" s="390" t="s">
        <v>1386</v>
      </c>
      <c r="D2237" s="390" t="s">
        <v>1386</v>
      </c>
      <c r="E2237" s="390" t="s">
        <v>1386</v>
      </c>
      <c r="F2237" s="390">
        <f t="shared" si="181"/>
        <v>0</v>
      </c>
      <c r="G2237" s="390"/>
      <c r="H2237" s="390" t="s">
        <v>1386</v>
      </c>
      <c r="I2237" s="390"/>
      <c r="J2237" s="390"/>
      <c r="K2237" s="734"/>
      <c r="M2237" s="62" t="e">
        <f>IF(#REF!&gt;6,3,5)</f>
        <v>#REF!</v>
      </c>
    </row>
    <row r="2238" spans="1:13">
      <c r="A2238" s="768">
        <f t="shared" si="180"/>
        <v>9</v>
      </c>
      <c r="B2238" s="773" t="s">
        <v>2061</v>
      </c>
      <c r="C2238" s="390" t="s">
        <v>1386</v>
      </c>
      <c r="D2238" s="390" t="s">
        <v>1386</v>
      </c>
      <c r="E2238" s="390" t="s">
        <v>1386</v>
      </c>
      <c r="F2238" s="390">
        <f t="shared" si="181"/>
        <v>0</v>
      </c>
      <c r="G2238" s="390"/>
      <c r="H2238" s="390" t="s">
        <v>1386</v>
      </c>
      <c r="I2238" s="390"/>
      <c r="J2238" s="390"/>
      <c r="K2238" s="734"/>
      <c r="M2238" s="62" t="e">
        <f>IF(#REF!&gt;6,3,5)</f>
        <v>#REF!</v>
      </c>
    </row>
    <row r="2239" spans="1:13">
      <c r="A2239" s="768">
        <f t="shared" si="180"/>
        <v>10</v>
      </c>
      <c r="B2239" s="773" t="s">
        <v>2685</v>
      </c>
      <c r="C2239" s="390">
        <v>500000</v>
      </c>
      <c r="D2239" s="390">
        <v>500000</v>
      </c>
      <c r="E2239" s="390">
        <v>500000</v>
      </c>
      <c r="F2239" s="390">
        <f t="shared" si="181"/>
        <v>1500000</v>
      </c>
      <c r="G2239" s="390">
        <v>114000</v>
      </c>
      <c r="H2239" s="390">
        <v>500000</v>
      </c>
      <c r="I2239" s="390">
        <v>37500</v>
      </c>
      <c r="J2239" s="390"/>
      <c r="K2239" s="734"/>
      <c r="M2239" s="62" t="e">
        <f>IF(#REF!&gt;6,3,5)</f>
        <v>#REF!</v>
      </c>
    </row>
    <row r="2240" spans="1:13" ht="25.5">
      <c r="A2240" s="768">
        <f t="shared" si="180"/>
        <v>11</v>
      </c>
      <c r="B2240" s="773" t="s">
        <v>764</v>
      </c>
      <c r="C2240" s="390">
        <v>200000</v>
      </c>
      <c r="D2240" s="390">
        <v>200000</v>
      </c>
      <c r="E2240" s="390">
        <v>200000</v>
      </c>
      <c r="F2240" s="390">
        <f t="shared" si="181"/>
        <v>600000</v>
      </c>
      <c r="G2240" s="390">
        <v>61500</v>
      </c>
      <c r="H2240" s="390">
        <v>200000</v>
      </c>
      <c r="I2240" s="390">
        <v>199000</v>
      </c>
      <c r="J2240" s="390"/>
      <c r="K2240" s="734"/>
      <c r="M2240" s="62" t="e">
        <f>IF(#REF!&gt;6,3,5)</f>
        <v>#REF!</v>
      </c>
    </row>
    <row r="2241" spans="1:13">
      <c r="A2241" s="768">
        <f t="shared" si="180"/>
        <v>12</v>
      </c>
      <c r="B2241" s="773" t="s">
        <v>2688</v>
      </c>
      <c r="C2241" s="390">
        <v>3000000</v>
      </c>
      <c r="D2241" s="390">
        <v>3000000</v>
      </c>
      <c r="E2241" s="390">
        <v>3000000</v>
      </c>
      <c r="F2241" s="390">
        <f t="shared" si="181"/>
        <v>9000000</v>
      </c>
      <c r="G2241" s="390">
        <v>2160344</v>
      </c>
      <c r="H2241" s="390">
        <v>3000000</v>
      </c>
      <c r="I2241" s="390">
        <v>3861034</v>
      </c>
      <c r="J2241" s="390"/>
      <c r="K2241" s="734"/>
      <c r="M2241" s="62" t="e">
        <f>IF(#REF!&gt;6,3,5)</f>
        <v>#REF!</v>
      </c>
    </row>
    <row r="2242" spans="1:13">
      <c r="A2242" s="768">
        <f t="shared" si="180"/>
        <v>13</v>
      </c>
      <c r="B2242" s="773" t="s">
        <v>2249</v>
      </c>
      <c r="C2242" s="390">
        <v>100000</v>
      </c>
      <c r="D2242" s="390">
        <v>100000</v>
      </c>
      <c r="E2242" s="390">
        <v>100000</v>
      </c>
      <c r="F2242" s="390">
        <f t="shared" si="181"/>
        <v>300000</v>
      </c>
      <c r="G2242" s="390">
        <v>30000</v>
      </c>
      <c r="H2242" s="390">
        <v>100000</v>
      </c>
      <c r="I2242" s="390">
        <v>0</v>
      </c>
      <c r="J2242" s="390"/>
      <c r="K2242" s="734"/>
      <c r="M2242" s="62" t="e">
        <f>IF(#REF!&gt;6,3,5)</f>
        <v>#REF!</v>
      </c>
    </row>
    <row r="2243" spans="1:13">
      <c r="A2243" s="768">
        <f t="shared" si="180"/>
        <v>14</v>
      </c>
      <c r="B2243" s="773" t="s">
        <v>765</v>
      </c>
      <c r="C2243" s="390">
        <v>800000</v>
      </c>
      <c r="D2243" s="390">
        <v>800000</v>
      </c>
      <c r="E2243" s="390">
        <v>800000</v>
      </c>
      <c r="F2243" s="390">
        <f t="shared" si="181"/>
        <v>2400000</v>
      </c>
      <c r="G2243" s="390">
        <v>100000</v>
      </c>
      <c r="H2243" s="390">
        <v>800000</v>
      </c>
      <c r="I2243" s="390">
        <v>0</v>
      </c>
      <c r="J2243" s="390"/>
      <c r="K2243" s="734"/>
      <c r="M2243" s="62" t="e">
        <f>IF(#REF!&gt;6,3,5)</f>
        <v>#REF!</v>
      </c>
    </row>
    <row r="2244" spans="1:13">
      <c r="A2244" s="768">
        <f t="shared" si="180"/>
        <v>15</v>
      </c>
      <c r="B2244" s="773" t="s">
        <v>2380</v>
      </c>
      <c r="C2244" s="390">
        <v>500000</v>
      </c>
      <c r="D2244" s="390">
        <v>500000</v>
      </c>
      <c r="E2244" s="390">
        <v>500000</v>
      </c>
      <c r="F2244" s="390">
        <f t="shared" si="181"/>
        <v>1500000</v>
      </c>
      <c r="G2244" s="390">
        <v>210000</v>
      </c>
      <c r="H2244" s="390">
        <v>500000</v>
      </c>
      <c r="I2244" s="390">
        <v>0</v>
      </c>
      <c r="J2244" s="390"/>
      <c r="K2244" s="734"/>
      <c r="M2244" s="62" t="e">
        <f>IF(#REF!&gt;6,3,5)</f>
        <v>#REF!</v>
      </c>
    </row>
    <row r="2245" spans="1:13">
      <c r="A2245" s="768">
        <f t="shared" si="180"/>
        <v>16</v>
      </c>
      <c r="B2245" s="773" t="s">
        <v>2381</v>
      </c>
      <c r="C2245" s="390">
        <v>200000</v>
      </c>
      <c r="D2245" s="390">
        <v>200000</v>
      </c>
      <c r="E2245" s="390">
        <v>200000</v>
      </c>
      <c r="F2245" s="390">
        <f t="shared" si="181"/>
        <v>600000</v>
      </c>
      <c r="G2245" s="390">
        <v>85000</v>
      </c>
      <c r="H2245" s="390">
        <v>200000</v>
      </c>
      <c r="I2245" s="390">
        <v>0</v>
      </c>
      <c r="J2245" s="390"/>
      <c r="K2245" s="734"/>
      <c r="M2245" s="62" t="e">
        <f>IF(#REF!&gt;6,3,5)</f>
        <v>#REF!</v>
      </c>
    </row>
    <row r="2246" spans="1:13">
      <c r="A2246" s="768">
        <f t="shared" si="180"/>
        <v>17</v>
      </c>
      <c r="B2246" s="773" t="s">
        <v>2382</v>
      </c>
      <c r="C2246" s="390">
        <v>800000</v>
      </c>
      <c r="D2246" s="390">
        <v>800000</v>
      </c>
      <c r="E2246" s="390">
        <v>800000</v>
      </c>
      <c r="F2246" s="390">
        <f t="shared" si="181"/>
        <v>2400000</v>
      </c>
      <c r="G2246" s="390"/>
      <c r="H2246" s="390">
        <v>800000</v>
      </c>
      <c r="I2246" s="390"/>
      <c r="J2246" s="390"/>
      <c r="K2246" s="734"/>
      <c r="M2246" s="62" t="e">
        <f>IF(#REF!&gt;6,3,5)</f>
        <v>#REF!</v>
      </c>
    </row>
    <row r="2247" spans="1:13" ht="25.5">
      <c r="A2247" s="768">
        <f t="shared" si="180"/>
        <v>18</v>
      </c>
      <c r="B2247" s="773" t="s">
        <v>1772</v>
      </c>
      <c r="C2247" s="390" t="s">
        <v>1386</v>
      </c>
      <c r="D2247" s="390" t="s">
        <v>1386</v>
      </c>
      <c r="E2247" s="390" t="s">
        <v>1386</v>
      </c>
      <c r="F2247" s="390">
        <f t="shared" si="181"/>
        <v>0</v>
      </c>
      <c r="G2247" s="390"/>
      <c r="H2247" s="390" t="s">
        <v>1386</v>
      </c>
      <c r="I2247" s="390"/>
      <c r="J2247" s="390"/>
      <c r="K2247" s="734"/>
      <c r="M2247" s="62" t="e">
        <f>IF(#REF!&gt;6,3,5)</f>
        <v>#REF!</v>
      </c>
    </row>
    <row r="2248" spans="1:13">
      <c r="A2248" s="768">
        <f t="shared" si="180"/>
        <v>19</v>
      </c>
      <c r="B2248" s="773" t="s">
        <v>1467</v>
      </c>
      <c r="C2248" s="390">
        <v>500000</v>
      </c>
      <c r="D2248" s="390">
        <v>500000</v>
      </c>
      <c r="E2248" s="390">
        <v>500000</v>
      </c>
      <c r="F2248" s="390">
        <f t="shared" si="181"/>
        <v>1500000</v>
      </c>
      <c r="G2248" s="390"/>
      <c r="H2248" s="390">
        <v>500000</v>
      </c>
      <c r="I2248" s="390"/>
      <c r="J2248" s="390"/>
      <c r="K2248" s="734"/>
      <c r="M2248" s="62" t="e">
        <f>IF(#REF!&gt;6,3,5)</f>
        <v>#REF!</v>
      </c>
    </row>
    <row r="2249" spans="1:13">
      <c r="A2249" s="768"/>
      <c r="B2249" s="773"/>
      <c r="C2249" s="390"/>
      <c r="D2249" s="390"/>
      <c r="E2249" s="390"/>
      <c r="F2249" s="390"/>
      <c r="G2249" s="390"/>
      <c r="H2249" s="390"/>
      <c r="I2249" s="390"/>
      <c r="J2249" s="390"/>
      <c r="K2249" s="734"/>
      <c r="M2249" s="62" t="e">
        <f>IF(#REF!&gt;6,3,5)</f>
        <v>#REF!</v>
      </c>
    </row>
    <row r="2250" spans="1:13">
      <c r="A2250" s="770"/>
      <c r="B2250" s="770" t="s">
        <v>1684</v>
      </c>
      <c r="C2250" s="739">
        <f t="shared" ref="C2250:I2250" si="182">SUM(C2230:C2249)</f>
        <v>12000000</v>
      </c>
      <c r="D2250" s="739">
        <f t="shared" si="182"/>
        <v>12000000</v>
      </c>
      <c r="E2250" s="739">
        <f t="shared" si="182"/>
        <v>12000000</v>
      </c>
      <c r="F2250" s="739">
        <f t="shared" si="182"/>
        <v>36000000</v>
      </c>
      <c r="G2250" s="739">
        <f>SUM(G2230:G2249)</f>
        <v>5849628</v>
      </c>
      <c r="H2250" s="739">
        <f t="shared" si="182"/>
        <v>11500000</v>
      </c>
      <c r="I2250" s="739">
        <f t="shared" si="182"/>
        <v>7602034</v>
      </c>
      <c r="J2250" s="739"/>
      <c r="K2250" s="740"/>
      <c r="M2250" s="62" t="e">
        <f>IF(#REF!&gt;6,3,5)</f>
        <v>#REF!</v>
      </c>
    </row>
    <row r="2251" spans="1:13" ht="15">
      <c r="A2251" s="113"/>
      <c r="B2251" s="131"/>
      <c r="C2251" s="113"/>
      <c r="D2251" s="114"/>
      <c r="E2251" s="114"/>
      <c r="F2251" s="132"/>
      <c r="G2251" s="132"/>
      <c r="H2251" s="132"/>
      <c r="I2251" s="132"/>
      <c r="J2251" s="584"/>
      <c r="K2251" s="584"/>
      <c r="M2251" s="62">
        <f t="shared" ref="M2251:M2300" si="183">IF(C2251&gt;6,3,5)</f>
        <v>5</v>
      </c>
    </row>
    <row r="2252" spans="1:13" ht="15">
      <c r="C2252" s="77"/>
      <c r="D2252" s="78" t="s">
        <v>5434</v>
      </c>
      <c r="J2252" s="584"/>
      <c r="K2252" s="584"/>
      <c r="M2252" s="62">
        <f t="shared" si="183"/>
        <v>5</v>
      </c>
    </row>
    <row r="2253" spans="1:13" ht="15">
      <c r="C2253" s="77"/>
      <c r="D2253" s="78" t="s">
        <v>1693</v>
      </c>
      <c r="J2253" s="584"/>
      <c r="K2253" s="584"/>
      <c r="M2253" s="62">
        <f t="shared" si="183"/>
        <v>5</v>
      </c>
    </row>
    <row r="2254" spans="1:13" ht="15">
      <c r="C2254" s="79" t="s">
        <v>717</v>
      </c>
      <c r="D2254" s="78" t="s">
        <v>2227</v>
      </c>
      <c r="J2254" s="584"/>
      <c r="K2254" s="584"/>
      <c r="M2254" s="62">
        <f t="shared" si="183"/>
        <v>3</v>
      </c>
    </row>
    <row r="2255" spans="1:13" ht="15.75" thickBot="1">
      <c r="C2255" s="79" t="s">
        <v>718</v>
      </c>
      <c r="D2255" s="78" t="s">
        <v>2905</v>
      </c>
      <c r="J2255" s="584"/>
      <c r="K2255" s="584"/>
      <c r="M2255" s="62">
        <f t="shared" si="183"/>
        <v>3</v>
      </c>
    </row>
    <row r="2256" spans="1:13" ht="15.75" thickTop="1">
      <c r="A2256" s="1047" t="s">
        <v>2791</v>
      </c>
      <c r="B2256" s="1049" t="s">
        <v>4126</v>
      </c>
      <c r="C2256" s="1049" t="s">
        <v>854</v>
      </c>
      <c r="D2256" s="1040" t="s">
        <v>4127</v>
      </c>
      <c r="E2256" s="1041"/>
      <c r="F2256" s="1041"/>
      <c r="G2256" s="1040" t="s">
        <v>904</v>
      </c>
      <c r="H2256" s="1041"/>
      <c r="I2256" s="1042"/>
      <c r="J2256" s="1035" t="s">
        <v>855</v>
      </c>
      <c r="K2256" s="389"/>
    </row>
    <row r="2257" spans="1:13" ht="26.25" thickBot="1">
      <c r="A2257" s="1048"/>
      <c r="B2257" s="1050"/>
      <c r="C2257" s="1050"/>
      <c r="D2257" s="285" t="s">
        <v>5505</v>
      </c>
      <c r="E2257" s="285" t="s">
        <v>4485</v>
      </c>
      <c r="F2257" s="285" t="s">
        <v>4486</v>
      </c>
      <c r="G2257" s="287" t="s">
        <v>4487</v>
      </c>
      <c r="H2257" s="285" t="s">
        <v>4488</v>
      </c>
      <c r="I2257" s="287" t="s">
        <v>4489</v>
      </c>
      <c r="J2257" s="1036"/>
      <c r="K2257" s="712"/>
    </row>
    <row r="2258" spans="1:13" ht="13.5" thickTop="1">
      <c r="A2258" s="88"/>
      <c r="B2258" s="90" t="s">
        <v>3885</v>
      </c>
      <c r="C2258" s="134"/>
      <c r="D2258" s="89"/>
      <c r="E2258" s="111"/>
      <c r="F2258" s="69"/>
      <c r="G2258" s="89"/>
      <c r="H2258" s="296"/>
      <c r="I2258" s="89"/>
      <c r="J2258" s="713"/>
      <c r="K2258" s="711"/>
      <c r="M2258" s="62">
        <f t="shared" si="183"/>
        <v>5</v>
      </c>
    </row>
    <row r="2259" spans="1:13">
      <c r="A2259" s="88">
        <v>1</v>
      </c>
      <c r="B2259" s="69" t="s">
        <v>3770</v>
      </c>
      <c r="C2259" s="69">
        <v>5</v>
      </c>
      <c r="D2259" s="89">
        <v>0</v>
      </c>
      <c r="E2259" s="111"/>
      <c r="F2259" s="89">
        <v>0</v>
      </c>
      <c r="G2259" s="89">
        <v>0</v>
      </c>
      <c r="H2259" s="296"/>
      <c r="I2259" s="89">
        <v>0</v>
      </c>
      <c r="J2259" s="710">
        <f>(VLOOKUP($C2259,[2]Sheet1!$A$2:$P$18,$M2259+1)/12)*12*D2259</f>
        <v>0</v>
      </c>
      <c r="K2259" s="711"/>
      <c r="M2259" s="62">
        <f t="shared" si="183"/>
        <v>5</v>
      </c>
    </row>
    <row r="2260" spans="1:13">
      <c r="A2260" s="88">
        <f t="shared" ref="A2260:A2288" si="184">+A2259+1</f>
        <v>2</v>
      </c>
      <c r="B2260" s="69" t="s">
        <v>3662</v>
      </c>
      <c r="C2260" s="69">
        <v>4</v>
      </c>
      <c r="D2260" s="89">
        <v>0</v>
      </c>
      <c r="E2260" s="111">
        <v>2</v>
      </c>
      <c r="F2260" s="89">
        <v>0</v>
      </c>
      <c r="G2260" s="89">
        <v>0</v>
      </c>
      <c r="H2260" s="296">
        <v>0</v>
      </c>
      <c r="I2260" s="89">
        <v>0</v>
      </c>
      <c r="J2260" s="710">
        <f>(VLOOKUP($C2260,[2]Sheet1!$A$2:$P$18,$M2260+1)/12)*12*D2260</f>
        <v>0</v>
      </c>
      <c r="K2260" s="711"/>
      <c r="M2260" s="62">
        <f t="shared" si="183"/>
        <v>5</v>
      </c>
    </row>
    <row r="2261" spans="1:13">
      <c r="A2261" s="88">
        <f t="shared" si="184"/>
        <v>3</v>
      </c>
      <c r="B2261" s="69" t="s">
        <v>1227</v>
      </c>
      <c r="C2261" s="69">
        <v>3</v>
      </c>
      <c r="D2261" s="89">
        <v>1</v>
      </c>
      <c r="E2261" s="111">
        <v>4</v>
      </c>
      <c r="F2261" s="89">
        <v>1</v>
      </c>
      <c r="G2261" s="89">
        <v>1</v>
      </c>
      <c r="H2261" s="296">
        <v>1</v>
      </c>
      <c r="I2261" s="89">
        <v>1</v>
      </c>
      <c r="J2261" s="710">
        <f>(VLOOKUP($C2261,[2]Sheet1!$A$2:$P$18,$M2261+1)/12)*12*D2261</f>
        <v>219336.17893036499</v>
      </c>
      <c r="K2261" s="711"/>
      <c r="M2261" s="62">
        <f t="shared" si="183"/>
        <v>5</v>
      </c>
    </row>
    <row r="2262" spans="1:13">
      <c r="A2262" s="88">
        <f t="shared" si="184"/>
        <v>4</v>
      </c>
      <c r="B2262" s="69" t="s">
        <v>1228</v>
      </c>
      <c r="C2262" s="69">
        <v>8</v>
      </c>
      <c r="D2262" s="89">
        <v>0</v>
      </c>
      <c r="E2262" s="111">
        <v>0</v>
      </c>
      <c r="F2262" s="89">
        <v>0</v>
      </c>
      <c r="G2262" s="89">
        <v>0</v>
      </c>
      <c r="H2262" s="296">
        <v>0</v>
      </c>
      <c r="I2262" s="89">
        <v>0</v>
      </c>
      <c r="J2262" s="710">
        <f>(VLOOKUP($C2262,[2]Sheet1!$A$2:$P$18,$M2262+1)/12)*12*D2262</f>
        <v>0</v>
      </c>
      <c r="K2262" s="711"/>
      <c r="M2262" s="62">
        <f t="shared" si="183"/>
        <v>3</v>
      </c>
    </row>
    <row r="2263" spans="1:13">
      <c r="A2263" s="88">
        <f t="shared" si="184"/>
        <v>5</v>
      </c>
      <c r="B2263" s="69" t="s">
        <v>2492</v>
      </c>
      <c r="C2263" s="69">
        <v>7</v>
      </c>
      <c r="D2263" s="89">
        <v>1</v>
      </c>
      <c r="E2263" s="111">
        <v>0</v>
      </c>
      <c r="F2263" s="89">
        <v>1</v>
      </c>
      <c r="G2263" s="89">
        <v>1</v>
      </c>
      <c r="H2263" s="296">
        <v>1</v>
      </c>
      <c r="I2263" s="89">
        <v>1</v>
      </c>
      <c r="J2263" s="710">
        <f>(VLOOKUP($C2263,[2]Sheet1!$A$2:$P$18,$M2263+1)/12)*12*D2263</f>
        <v>307706.70240000007</v>
      </c>
      <c r="K2263" s="711"/>
      <c r="M2263" s="62">
        <f t="shared" si="183"/>
        <v>3</v>
      </c>
    </row>
    <row r="2264" spans="1:13">
      <c r="A2264" s="88">
        <f t="shared" si="184"/>
        <v>6</v>
      </c>
      <c r="B2264" s="69" t="s">
        <v>1230</v>
      </c>
      <c r="C2264" s="69">
        <v>6</v>
      </c>
      <c r="D2264" s="89">
        <v>1</v>
      </c>
      <c r="E2264" s="111">
        <v>0</v>
      </c>
      <c r="F2264" s="89">
        <v>1</v>
      </c>
      <c r="G2264" s="89">
        <v>1</v>
      </c>
      <c r="H2264" s="296">
        <v>1</v>
      </c>
      <c r="I2264" s="89">
        <v>1</v>
      </c>
      <c r="J2264" s="710">
        <f>(VLOOKUP($C2264,[2]Sheet1!$A$2:$P$18,$M2264+1)/12)*12*D2264</f>
        <v>238099.37893036497</v>
      </c>
      <c r="K2264" s="711"/>
      <c r="M2264" s="62">
        <f t="shared" si="183"/>
        <v>5</v>
      </c>
    </row>
    <row r="2265" spans="1:13">
      <c r="A2265" s="88">
        <f t="shared" si="184"/>
        <v>7</v>
      </c>
      <c r="B2265" s="69" t="s">
        <v>3849</v>
      </c>
      <c r="C2265" s="69">
        <v>5</v>
      </c>
      <c r="D2265" s="89">
        <v>0</v>
      </c>
      <c r="E2265" s="111"/>
      <c r="F2265" s="89">
        <v>0</v>
      </c>
      <c r="G2265" s="89">
        <v>0</v>
      </c>
      <c r="H2265" s="296"/>
      <c r="I2265" s="89">
        <v>0</v>
      </c>
      <c r="J2265" s="710">
        <f>(VLOOKUP($C2265,[2]Sheet1!$A$2:$P$18,$M2265+1)/12)*12*D2265</f>
        <v>0</v>
      </c>
      <c r="K2265" s="711"/>
      <c r="M2265" s="62">
        <f t="shared" si="183"/>
        <v>5</v>
      </c>
    </row>
    <row r="2266" spans="1:13">
      <c r="A2266" s="88">
        <f t="shared" si="184"/>
        <v>8</v>
      </c>
      <c r="B2266" s="69" t="s">
        <v>3796</v>
      </c>
      <c r="C2266" s="69">
        <v>5</v>
      </c>
      <c r="D2266" s="89">
        <v>0</v>
      </c>
      <c r="E2266" s="111">
        <v>0</v>
      </c>
      <c r="F2266" s="89">
        <v>0</v>
      </c>
      <c r="G2266" s="89">
        <v>0</v>
      </c>
      <c r="H2266" s="296">
        <v>0</v>
      </c>
      <c r="I2266" s="89">
        <v>0</v>
      </c>
      <c r="J2266" s="710">
        <f>(VLOOKUP($C2266,[2]Sheet1!$A$2:$P$18,$M2266+1)/12)*12*D2266</f>
        <v>0</v>
      </c>
      <c r="K2266" s="711"/>
      <c r="M2266" s="62">
        <f t="shared" si="183"/>
        <v>5</v>
      </c>
    </row>
    <row r="2267" spans="1:13">
      <c r="A2267" s="88">
        <f t="shared" si="184"/>
        <v>9</v>
      </c>
      <c r="B2267" s="69" t="s">
        <v>3797</v>
      </c>
      <c r="C2267" s="69">
        <v>4</v>
      </c>
      <c r="D2267" s="89">
        <v>0</v>
      </c>
      <c r="E2267" s="111">
        <v>0</v>
      </c>
      <c r="F2267" s="89">
        <v>0</v>
      </c>
      <c r="G2267" s="89">
        <v>0</v>
      </c>
      <c r="H2267" s="296">
        <v>0</v>
      </c>
      <c r="I2267" s="89">
        <v>0</v>
      </c>
      <c r="J2267" s="710">
        <f>(VLOOKUP($C2267,[2]Sheet1!$A$2:$P$18,$M2267+1)/12)*12*D2267</f>
        <v>0</v>
      </c>
      <c r="K2267" s="711"/>
      <c r="M2267" s="62">
        <f t="shared" si="183"/>
        <v>5</v>
      </c>
    </row>
    <row r="2268" spans="1:13">
      <c r="A2268" s="88">
        <f t="shared" si="184"/>
        <v>10</v>
      </c>
      <c r="B2268" s="69" t="s">
        <v>3798</v>
      </c>
      <c r="C2268" s="69">
        <v>3</v>
      </c>
      <c r="D2268" s="89">
        <v>0</v>
      </c>
      <c r="E2268" s="111"/>
      <c r="F2268" s="89">
        <v>0</v>
      </c>
      <c r="G2268" s="89">
        <v>0</v>
      </c>
      <c r="H2268" s="296"/>
      <c r="I2268" s="89">
        <v>0</v>
      </c>
      <c r="J2268" s="710">
        <f>(VLOOKUP($C2268,[2]Sheet1!$A$2:$P$18,$M2268+1)/12)*12*D2268</f>
        <v>0</v>
      </c>
      <c r="K2268" s="711"/>
      <c r="M2268" s="62">
        <f t="shared" si="183"/>
        <v>5</v>
      </c>
    </row>
    <row r="2269" spans="1:13">
      <c r="A2269" s="88">
        <f t="shared" si="184"/>
        <v>11</v>
      </c>
      <c r="B2269" s="69" t="s">
        <v>2563</v>
      </c>
      <c r="C2269" s="69">
        <v>7</v>
      </c>
      <c r="D2269" s="89">
        <v>0</v>
      </c>
      <c r="E2269" s="111"/>
      <c r="F2269" s="89">
        <v>0</v>
      </c>
      <c r="G2269" s="89">
        <v>0</v>
      </c>
      <c r="H2269" s="296"/>
      <c r="I2269" s="89">
        <v>0</v>
      </c>
      <c r="J2269" s="710">
        <f>(VLOOKUP($C2269,[2]Sheet1!$A$2:$P$18,$M2269+1)/12)*12*D2269</f>
        <v>0</v>
      </c>
      <c r="K2269" s="711"/>
      <c r="M2269" s="62">
        <f t="shared" si="183"/>
        <v>3</v>
      </c>
    </row>
    <row r="2270" spans="1:13">
      <c r="A2270" s="88">
        <f t="shared" si="184"/>
        <v>12</v>
      </c>
      <c r="B2270" s="69" t="s">
        <v>3282</v>
      </c>
      <c r="C2270" s="69">
        <v>6</v>
      </c>
      <c r="D2270" s="89">
        <v>1</v>
      </c>
      <c r="E2270" s="111">
        <v>0</v>
      </c>
      <c r="F2270" s="89">
        <v>1</v>
      </c>
      <c r="G2270" s="89">
        <v>1</v>
      </c>
      <c r="H2270" s="296">
        <v>1</v>
      </c>
      <c r="I2270" s="89">
        <v>1</v>
      </c>
      <c r="J2270" s="710">
        <f>(VLOOKUP($C2270,[2]Sheet1!$A$2:$P$18,$M2270+1)/12)*12*D2270</f>
        <v>238099.37893036497</v>
      </c>
      <c r="K2270" s="711"/>
      <c r="M2270" s="62">
        <f t="shared" si="183"/>
        <v>5</v>
      </c>
    </row>
    <row r="2271" spans="1:13">
      <c r="A2271" s="88">
        <f t="shared" si="184"/>
        <v>13</v>
      </c>
      <c r="B2271" s="69" t="s">
        <v>3281</v>
      </c>
      <c r="C2271" s="69">
        <v>5</v>
      </c>
      <c r="D2271" s="89">
        <v>1</v>
      </c>
      <c r="E2271" s="111"/>
      <c r="F2271" s="89">
        <v>1</v>
      </c>
      <c r="G2271" s="89">
        <v>1</v>
      </c>
      <c r="H2271" s="296">
        <v>1</v>
      </c>
      <c r="I2271" s="89">
        <v>1</v>
      </c>
      <c r="J2271" s="710">
        <f>(VLOOKUP($C2271,[2]Sheet1!$A$2:$P$18,$M2271+1)/12)*12*D2271</f>
        <v>229569.77893036499</v>
      </c>
      <c r="K2271" s="711"/>
      <c r="M2271" s="62">
        <f t="shared" si="183"/>
        <v>5</v>
      </c>
    </row>
    <row r="2272" spans="1:13">
      <c r="A2272" s="88">
        <f t="shared" si="184"/>
        <v>14</v>
      </c>
      <c r="B2272" s="69" t="s">
        <v>2232</v>
      </c>
      <c r="C2272" s="69">
        <v>4</v>
      </c>
      <c r="D2272" s="89">
        <v>0</v>
      </c>
      <c r="E2272" s="111">
        <v>0</v>
      </c>
      <c r="F2272" s="89">
        <v>0</v>
      </c>
      <c r="G2272" s="89">
        <v>0</v>
      </c>
      <c r="H2272" s="296">
        <v>0</v>
      </c>
      <c r="I2272" s="89">
        <v>0</v>
      </c>
      <c r="J2272" s="710">
        <f>(VLOOKUP($C2272,[2]Sheet1!$A$2:$P$18,$M2272+1)/12)*12*D2272</f>
        <v>0</v>
      </c>
      <c r="K2272" s="711"/>
      <c r="M2272" s="62">
        <f t="shared" si="183"/>
        <v>5</v>
      </c>
    </row>
    <row r="2273" spans="1:13">
      <c r="A2273" s="88">
        <f t="shared" si="184"/>
        <v>15</v>
      </c>
      <c r="B2273" s="69" t="s">
        <v>2232</v>
      </c>
      <c r="C2273" s="69">
        <v>3</v>
      </c>
      <c r="D2273" s="89">
        <v>0</v>
      </c>
      <c r="E2273" s="111"/>
      <c r="F2273" s="89">
        <v>0</v>
      </c>
      <c r="G2273" s="89">
        <v>0</v>
      </c>
      <c r="H2273" s="296"/>
      <c r="I2273" s="89">
        <v>0</v>
      </c>
      <c r="J2273" s="710">
        <f>(VLOOKUP($C2273,[2]Sheet1!$A$2:$P$18,$M2273+1)/12)*12*D2273</f>
        <v>0</v>
      </c>
      <c r="K2273" s="711"/>
      <c r="M2273" s="62">
        <f t="shared" si="183"/>
        <v>5</v>
      </c>
    </row>
    <row r="2274" spans="1:13">
      <c r="A2274" s="88">
        <f t="shared" si="184"/>
        <v>16</v>
      </c>
      <c r="B2274" s="69" t="s">
        <v>2542</v>
      </c>
      <c r="C2274" s="69">
        <v>4</v>
      </c>
      <c r="D2274" s="89">
        <v>0</v>
      </c>
      <c r="E2274" s="111">
        <v>1</v>
      </c>
      <c r="F2274" s="89">
        <v>0</v>
      </c>
      <c r="G2274" s="89">
        <v>0</v>
      </c>
      <c r="H2274" s="296">
        <v>0</v>
      </c>
      <c r="I2274" s="89">
        <v>0</v>
      </c>
      <c r="J2274" s="710">
        <f>(VLOOKUP($C2274,[2]Sheet1!$A$2:$P$18,$M2274+1)/12)*12*D2274</f>
        <v>0</v>
      </c>
      <c r="K2274" s="711"/>
      <c r="M2274" s="62">
        <f t="shared" si="183"/>
        <v>5</v>
      </c>
    </row>
    <row r="2275" spans="1:13">
      <c r="A2275" s="88">
        <f t="shared" si="184"/>
        <v>17</v>
      </c>
      <c r="B2275" s="69" t="s">
        <v>2543</v>
      </c>
      <c r="C2275" s="69">
        <v>3</v>
      </c>
      <c r="D2275" s="89">
        <v>1</v>
      </c>
      <c r="E2275" s="111">
        <v>1</v>
      </c>
      <c r="F2275" s="89">
        <v>1</v>
      </c>
      <c r="G2275" s="89">
        <v>1</v>
      </c>
      <c r="H2275" s="296">
        <v>1</v>
      </c>
      <c r="I2275" s="89">
        <v>1</v>
      </c>
      <c r="J2275" s="710">
        <f>(VLOOKUP($C2275,[2]Sheet1!$A$2:$P$18,$M2275+1)/12)*12*D2275</f>
        <v>219336.17893036499</v>
      </c>
      <c r="K2275" s="711"/>
      <c r="M2275" s="62">
        <f t="shared" si="183"/>
        <v>5</v>
      </c>
    </row>
    <row r="2276" spans="1:13">
      <c r="A2276" s="88">
        <f t="shared" si="184"/>
        <v>18</v>
      </c>
      <c r="B2276" s="69" t="s">
        <v>2543</v>
      </c>
      <c r="C2276" s="69">
        <v>2</v>
      </c>
      <c r="D2276" s="89">
        <v>3</v>
      </c>
      <c r="E2276" s="111">
        <v>2</v>
      </c>
      <c r="F2276" s="89">
        <v>3</v>
      </c>
      <c r="G2276" s="89">
        <v>3</v>
      </c>
      <c r="H2276" s="296">
        <v>3</v>
      </c>
      <c r="I2276" s="89">
        <v>3</v>
      </c>
      <c r="J2276" s="710">
        <f>(VLOOKUP($C2276,[2]Sheet1!$A$2:$P$18,$M2276+1)/12)*12*D2276</f>
        <v>643972.13679109514</v>
      </c>
      <c r="K2276" s="711"/>
      <c r="M2276" s="62">
        <f t="shared" si="183"/>
        <v>5</v>
      </c>
    </row>
    <row r="2277" spans="1:13">
      <c r="A2277" s="88">
        <f t="shared" si="184"/>
        <v>19</v>
      </c>
      <c r="B2277" s="69" t="s">
        <v>2172</v>
      </c>
      <c r="C2277" s="69">
        <v>3</v>
      </c>
      <c r="D2277" s="89">
        <v>0</v>
      </c>
      <c r="E2277" s="111">
        <v>0</v>
      </c>
      <c r="F2277" s="89">
        <v>0</v>
      </c>
      <c r="G2277" s="89">
        <v>0</v>
      </c>
      <c r="H2277" s="296">
        <v>0</v>
      </c>
      <c r="I2277" s="89">
        <v>0</v>
      </c>
      <c r="J2277" s="710">
        <f>(VLOOKUP($C2277,[2]Sheet1!$A$2:$P$18,$M2277+1)/12)*12*D2277</f>
        <v>0</v>
      </c>
      <c r="K2277" s="711"/>
      <c r="M2277" s="62">
        <f t="shared" si="183"/>
        <v>5</v>
      </c>
    </row>
    <row r="2278" spans="1:13">
      <c r="A2278" s="88">
        <f t="shared" si="184"/>
        <v>20</v>
      </c>
      <c r="B2278" s="69" t="s">
        <v>2172</v>
      </c>
      <c r="C2278" s="69">
        <v>1</v>
      </c>
      <c r="D2278" s="89">
        <v>0</v>
      </c>
      <c r="E2278" s="111">
        <v>0</v>
      </c>
      <c r="F2278" s="89">
        <v>0</v>
      </c>
      <c r="G2278" s="89">
        <v>0</v>
      </c>
      <c r="H2278" s="296">
        <v>0</v>
      </c>
      <c r="I2278" s="89">
        <v>0</v>
      </c>
      <c r="J2278" s="710">
        <f>(VLOOKUP($C2278,[2]Sheet1!$A$2:$P$18,$M2278+1)/12)*12*D2278</f>
        <v>0</v>
      </c>
      <c r="K2278" s="711"/>
      <c r="M2278" s="62">
        <f t="shared" si="183"/>
        <v>5</v>
      </c>
    </row>
    <row r="2279" spans="1:13">
      <c r="A2279" s="88">
        <f t="shared" si="184"/>
        <v>21</v>
      </c>
      <c r="B2279" s="69" t="s">
        <v>3674</v>
      </c>
      <c r="C2279" s="69">
        <v>3</v>
      </c>
      <c r="D2279" s="89">
        <v>2</v>
      </c>
      <c r="E2279" s="111">
        <v>0</v>
      </c>
      <c r="F2279" s="89">
        <v>2</v>
      </c>
      <c r="G2279" s="89">
        <v>2</v>
      </c>
      <c r="H2279" s="296">
        <v>2</v>
      </c>
      <c r="I2279" s="89">
        <v>2</v>
      </c>
      <c r="J2279" s="710">
        <f>(VLOOKUP($C2279,[2]Sheet1!$A$2:$P$18,$M2279+1)/12)*12*D2279</f>
        <v>438672.35786072997</v>
      </c>
      <c r="K2279" s="711"/>
      <c r="M2279" s="62">
        <f t="shared" si="183"/>
        <v>5</v>
      </c>
    </row>
    <row r="2280" spans="1:13">
      <c r="A2280" s="88">
        <f>+A2279+1</f>
        <v>22</v>
      </c>
      <c r="B2280" s="69" t="s">
        <v>3675</v>
      </c>
      <c r="C2280" s="69">
        <v>2</v>
      </c>
      <c r="D2280" s="89">
        <v>0</v>
      </c>
      <c r="E2280" s="111">
        <v>0</v>
      </c>
      <c r="F2280" s="89">
        <v>0</v>
      </c>
      <c r="G2280" s="89">
        <v>0</v>
      </c>
      <c r="H2280" s="296">
        <v>0</v>
      </c>
      <c r="I2280" s="89">
        <v>0</v>
      </c>
      <c r="J2280" s="710">
        <f>(VLOOKUP($C2280,[2]Sheet1!$A$2:$P$18,$M2280+1)/12)*12*D2280</f>
        <v>0</v>
      </c>
      <c r="K2280" s="711"/>
      <c r="M2280" s="62">
        <f t="shared" si="183"/>
        <v>5</v>
      </c>
    </row>
    <row r="2281" spans="1:13">
      <c r="A2281" s="88"/>
      <c r="B2281" s="90" t="s">
        <v>3521</v>
      </c>
      <c r="C2281" s="69"/>
      <c r="D2281" s="89"/>
      <c r="E2281" s="111"/>
      <c r="F2281" s="89"/>
      <c r="G2281" s="89"/>
      <c r="H2281" s="296"/>
      <c r="I2281" s="89"/>
      <c r="J2281" s="710"/>
      <c r="K2281" s="711"/>
      <c r="M2281" s="62">
        <f t="shared" si="183"/>
        <v>5</v>
      </c>
    </row>
    <row r="2282" spans="1:13">
      <c r="A2282" s="88">
        <f>+A2280+1</f>
        <v>23</v>
      </c>
      <c r="B2282" s="69" t="s">
        <v>2867</v>
      </c>
      <c r="C2282" s="69">
        <v>6</v>
      </c>
      <c r="D2282" s="89">
        <v>2</v>
      </c>
      <c r="E2282" s="111">
        <v>2</v>
      </c>
      <c r="F2282" s="89">
        <v>2</v>
      </c>
      <c r="G2282" s="89">
        <v>2</v>
      </c>
      <c r="H2282" s="296">
        <v>2</v>
      </c>
      <c r="I2282" s="89">
        <v>2</v>
      </c>
      <c r="J2282" s="710">
        <f>(VLOOKUP($C2282,[2]Sheet1!$A$2:$P$18,$M2282+1)/12)*12*D2282</f>
        <v>476198.75786072994</v>
      </c>
      <c r="K2282" s="711"/>
      <c r="M2282" s="62">
        <f t="shared" si="183"/>
        <v>5</v>
      </c>
    </row>
    <row r="2283" spans="1:13">
      <c r="A2283" s="88">
        <f t="shared" si="184"/>
        <v>24</v>
      </c>
      <c r="B2283" s="69" t="s">
        <v>1317</v>
      </c>
      <c r="C2283" s="69">
        <v>5</v>
      </c>
      <c r="D2283" s="89">
        <v>0</v>
      </c>
      <c r="E2283" s="111">
        <v>0</v>
      </c>
      <c r="F2283" s="89">
        <v>0</v>
      </c>
      <c r="G2283" s="89">
        <v>0</v>
      </c>
      <c r="H2283" s="296">
        <v>0</v>
      </c>
      <c r="I2283" s="89">
        <v>0</v>
      </c>
      <c r="J2283" s="710">
        <f>(VLOOKUP($C2283,[2]Sheet1!$A$2:$P$18,$M2283+1)/12)*12*D2283</f>
        <v>0</v>
      </c>
      <c r="K2283" s="711"/>
      <c r="M2283" s="62">
        <f t="shared" si="183"/>
        <v>5</v>
      </c>
    </row>
    <row r="2284" spans="1:13">
      <c r="A2284" s="88">
        <f t="shared" si="184"/>
        <v>25</v>
      </c>
      <c r="B2284" s="69" t="s">
        <v>602</v>
      </c>
      <c r="C2284" s="69">
        <v>4</v>
      </c>
      <c r="D2284" s="89">
        <v>1</v>
      </c>
      <c r="E2284" s="111">
        <v>1</v>
      </c>
      <c r="F2284" s="89">
        <v>1</v>
      </c>
      <c r="G2284" s="89">
        <v>1</v>
      </c>
      <c r="H2284" s="296">
        <v>1</v>
      </c>
      <c r="I2284" s="89">
        <v>1</v>
      </c>
      <c r="J2284" s="710">
        <f>(VLOOKUP($C2284,[2]Sheet1!$A$2:$P$18,$M2284+1)/12)*12*D2284</f>
        <v>224542.978930365</v>
      </c>
      <c r="K2284" s="711"/>
      <c r="M2284" s="62">
        <f t="shared" si="183"/>
        <v>5</v>
      </c>
    </row>
    <row r="2285" spans="1:13">
      <c r="A2285" s="88">
        <f t="shared" si="184"/>
        <v>26</v>
      </c>
      <c r="B2285" s="69" t="s">
        <v>603</v>
      </c>
      <c r="C2285" s="69">
        <v>3</v>
      </c>
      <c r="D2285" s="89">
        <v>0</v>
      </c>
      <c r="E2285" s="111">
        <v>0</v>
      </c>
      <c r="F2285" s="89">
        <v>0</v>
      </c>
      <c r="G2285" s="89">
        <v>0</v>
      </c>
      <c r="H2285" s="296">
        <v>0</v>
      </c>
      <c r="I2285" s="89">
        <v>0</v>
      </c>
      <c r="J2285" s="710">
        <f>(VLOOKUP($C2285,[2]Sheet1!$A$2:$P$18,$M2285+1)/12)*12*D2285</f>
        <v>0</v>
      </c>
      <c r="K2285" s="711"/>
      <c r="M2285" s="62">
        <f t="shared" si="183"/>
        <v>5</v>
      </c>
    </row>
    <row r="2286" spans="1:13">
      <c r="A2286" s="88"/>
      <c r="B2286" s="90" t="s">
        <v>2161</v>
      </c>
      <c r="C2286" s="69"/>
      <c r="D2286" s="89"/>
      <c r="E2286" s="111"/>
      <c r="F2286" s="89"/>
      <c r="G2286" s="89"/>
      <c r="H2286" s="296"/>
      <c r="I2286" s="89"/>
      <c r="J2286" s="710"/>
      <c r="K2286" s="711"/>
      <c r="M2286" s="62">
        <f t="shared" si="183"/>
        <v>5</v>
      </c>
    </row>
    <row r="2287" spans="1:13">
      <c r="A2287" s="88">
        <f>+A2285+1</f>
        <v>27</v>
      </c>
      <c r="B2287" s="69" t="s">
        <v>2000</v>
      </c>
      <c r="C2287" s="69">
        <v>8</v>
      </c>
      <c r="D2287" s="89">
        <v>0</v>
      </c>
      <c r="E2287" s="111">
        <v>0</v>
      </c>
      <c r="F2287" s="89">
        <v>0</v>
      </c>
      <c r="G2287" s="89">
        <v>0</v>
      </c>
      <c r="H2287" s="296">
        <v>0</v>
      </c>
      <c r="I2287" s="89">
        <v>0</v>
      </c>
      <c r="J2287" s="710">
        <f>(VLOOKUP($C2287,[2]Sheet1!$A$2:$P$18,$M2287+1)/12)*12*D2287</f>
        <v>0</v>
      </c>
      <c r="K2287" s="711"/>
      <c r="M2287" s="62">
        <f t="shared" si="183"/>
        <v>3</v>
      </c>
    </row>
    <row r="2288" spans="1:13">
      <c r="A2288" s="88">
        <f t="shared" si="184"/>
        <v>28</v>
      </c>
      <c r="B2288" s="69" t="s">
        <v>602</v>
      </c>
      <c r="C2288" s="69">
        <v>4</v>
      </c>
      <c r="D2288" s="89">
        <v>0</v>
      </c>
      <c r="E2288" s="111">
        <v>1</v>
      </c>
      <c r="F2288" s="89">
        <v>0</v>
      </c>
      <c r="G2288" s="89">
        <v>0</v>
      </c>
      <c r="H2288" s="296">
        <v>0</v>
      </c>
      <c r="I2288" s="89">
        <v>0</v>
      </c>
      <c r="J2288" s="710">
        <f>(VLOOKUP($C2288,[2]Sheet1!$A$2:$P$18,$M2288+1)/12)*12*D2288</f>
        <v>0</v>
      </c>
      <c r="K2288" s="711"/>
      <c r="M2288" s="62">
        <f t="shared" si="183"/>
        <v>5</v>
      </c>
    </row>
    <row r="2289" spans="1:13">
      <c r="A2289" s="88"/>
      <c r="B2289" s="90" t="s">
        <v>2163</v>
      </c>
      <c r="C2289" s="69"/>
      <c r="D2289" s="89"/>
      <c r="E2289" s="111"/>
      <c r="F2289" s="89"/>
      <c r="G2289" s="89"/>
      <c r="H2289" s="296"/>
      <c r="I2289" s="89"/>
      <c r="J2289" s="710"/>
      <c r="K2289" s="711"/>
      <c r="M2289" s="62">
        <f t="shared" si="183"/>
        <v>5</v>
      </c>
    </row>
    <row r="2290" spans="1:13">
      <c r="A2290" s="88">
        <f>+A2288+1</f>
        <v>29</v>
      </c>
      <c r="B2290" s="69" t="s">
        <v>583</v>
      </c>
      <c r="C2290" s="69">
        <v>5</v>
      </c>
      <c r="D2290" s="89">
        <v>1</v>
      </c>
      <c r="E2290" s="111">
        <v>1</v>
      </c>
      <c r="F2290" s="89">
        <v>1</v>
      </c>
      <c r="G2290" s="89">
        <v>1</v>
      </c>
      <c r="H2290" s="296">
        <v>1</v>
      </c>
      <c r="I2290" s="89">
        <v>1</v>
      </c>
      <c r="J2290" s="710">
        <f>(VLOOKUP($C2290,[2]Sheet1!$A$2:$P$18,$M2290+1)/12)*12*D2290</f>
        <v>229569.77893036499</v>
      </c>
      <c r="K2290" s="711"/>
      <c r="M2290" s="62">
        <f t="shared" si="183"/>
        <v>5</v>
      </c>
    </row>
    <row r="2291" spans="1:13" ht="13.5" thickBot="1">
      <c r="A2291" s="88">
        <f t="shared" ref="A2291:A2315" si="185">+A2290+1</f>
        <v>30</v>
      </c>
      <c r="B2291" s="69" t="s">
        <v>2874</v>
      </c>
      <c r="C2291" s="69">
        <v>4</v>
      </c>
      <c r="D2291" s="89">
        <v>0</v>
      </c>
      <c r="E2291" s="111">
        <v>1</v>
      </c>
      <c r="F2291" s="89">
        <v>0</v>
      </c>
      <c r="G2291" s="89">
        <v>0</v>
      </c>
      <c r="H2291" s="296">
        <v>0</v>
      </c>
      <c r="I2291" s="89">
        <v>0</v>
      </c>
      <c r="J2291" s="710">
        <f>(VLOOKUP($C2291,[2]Sheet1!$A$2:$P$18,$M2291+1)/12)*12*D2291</f>
        <v>0</v>
      </c>
      <c r="K2291" s="711"/>
      <c r="M2291" s="62">
        <f t="shared" si="183"/>
        <v>5</v>
      </c>
    </row>
    <row r="2292" spans="1:13" ht="15.75" thickTop="1">
      <c r="A2292" s="1047" t="s">
        <v>2791</v>
      </c>
      <c r="B2292" s="1049" t="s">
        <v>4126</v>
      </c>
      <c r="C2292" s="1049" t="s">
        <v>854</v>
      </c>
      <c r="D2292" s="1040" t="s">
        <v>4127</v>
      </c>
      <c r="E2292" s="1041"/>
      <c r="F2292" s="1041"/>
      <c r="G2292" s="1040" t="s">
        <v>904</v>
      </c>
      <c r="H2292" s="1041"/>
      <c r="I2292" s="1042"/>
      <c r="J2292" s="1035" t="s">
        <v>855</v>
      </c>
      <c r="K2292" s="389"/>
    </row>
    <row r="2293" spans="1:13" ht="26.25" thickBot="1">
      <c r="A2293" s="1048"/>
      <c r="B2293" s="1050"/>
      <c r="C2293" s="1050"/>
      <c r="D2293" s="285" t="s">
        <v>5505</v>
      </c>
      <c r="E2293" s="285" t="s">
        <v>4485</v>
      </c>
      <c r="F2293" s="285" t="s">
        <v>4486</v>
      </c>
      <c r="G2293" s="287" t="s">
        <v>4487</v>
      </c>
      <c r="H2293" s="285" t="s">
        <v>4488</v>
      </c>
      <c r="I2293" s="287" t="s">
        <v>4489</v>
      </c>
      <c r="J2293" s="1036"/>
      <c r="K2293" s="712"/>
    </row>
    <row r="2294" spans="1:13" ht="13.5" thickTop="1">
      <c r="A2294" s="88"/>
      <c r="B2294" s="90" t="s">
        <v>2545</v>
      </c>
      <c r="C2294" s="69"/>
      <c r="D2294" s="89"/>
      <c r="E2294" s="111"/>
      <c r="F2294" s="69"/>
      <c r="G2294" s="89"/>
      <c r="H2294" s="296"/>
      <c r="I2294" s="89"/>
      <c r="J2294" s="713"/>
      <c r="K2294" s="711"/>
      <c r="M2294" s="62">
        <f t="shared" si="183"/>
        <v>5</v>
      </c>
    </row>
    <row r="2295" spans="1:13">
      <c r="A2295" s="88">
        <f>+A2291+1</f>
        <v>31</v>
      </c>
      <c r="B2295" s="69" t="s">
        <v>3532</v>
      </c>
      <c r="C2295" s="69">
        <v>16</v>
      </c>
      <c r="D2295" s="89">
        <v>0</v>
      </c>
      <c r="E2295" s="111">
        <v>0</v>
      </c>
      <c r="F2295" s="89">
        <v>0</v>
      </c>
      <c r="G2295" s="89">
        <v>0</v>
      </c>
      <c r="H2295" s="296">
        <v>0</v>
      </c>
      <c r="I2295" s="89">
        <v>0</v>
      </c>
      <c r="J2295" s="710">
        <f>(VLOOKUP($C2295,[2]Sheet1!$A$2:$P$18,$M2295+1)/12)*12*D2295</f>
        <v>0</v>
      </c>
      <c r="K2295" s="711"/>
      <c r="M2295" s="62">
        <f t="shared" si="183"/>
        <v>3</v>
      </c>
    </row>
    <row r="2296" spans="1:13">
      <c r="A2296" s="88">
        <f t="shared" si="185"/>
        <v>32</v>
      </c>
      <c r="B2296" s="69" t="s">
        <v>1256</v>
      </c>
      <c r="C2296" s="69">
        <v>15</v>
      </c>
      <c r="D2296" s="89">
        <v>0</v>
      </c>
      <c r="E2296" s="111">
        <v>1</v>
      </c>
      <c r="F2296" s="89">
        <v>0</v>
      </c>
      <c r="G2296" s="89">
        <v>0</v>
      </c>
      <c r="H2296" s="296">
        <v>0</v>
      </c>
      <c r="I2296" s="89">
        <v>0</v>
      </c>
      <c r="J2296" s="710">
        <f>(VLOOKUP($C2296,[2]Sheet1!$A$2:$P$18,$M2296+1)/12)*12*D2296</f>
        <v>0</v>
      </c>
      <c r="K2296" s="711"/>
      <c r="M2296" s="62">
        <f t="shared" si="183"/>
        <v>3</v>
      </c>
    </row>
    <row r="2297" spans="1:13">
      <c r="A2297" s="88">
        <f t="shared" si="185"/>
        <v>33</v>
      </c>
      <c r="B2297" s="69" t="s">
        <v>3533</v>
      </c>
      <c r="C2297" s="69">
        <v>14</v>
      </c>
      <c r="D2297" s="89">
        <v>0</v>
      </c>
      <c r="E2297" s="111">
        <v>1</v>
      </c>
      <c r="F2297" s="89">
        <v>0</v>
      </c>
      <c r="G2297" s="89">
        <v>0</v>
      </c>
      <c r="H2297" s="296">
        <v>0</v>
      </c>
      <c r="I2297" s="89">
        <v>0</v>
      </c>
      <c r="J2297" s="710">
        <f>(VLOOKUP($C2297,[2]Sheet1!$A$2:$P$18,$M2297+1)/12)*12*D2297</f>
        <v>0</v>
      </c>
      <c r="K2297" s="711"/>
      <c r="M2297" s="62">
        <f t="shared" si="183"/>
        <v>3</v>
      </c>
    </row>
    <row r="2298" spans="1:13">
      <c r="A2298" s="88">
        <f t="shared" si="185"/>
        <v>34</v>
      </c>
      <c r="B2298" s="69" t="s">
        <v>94</v>
      </c>
      <c r="C2298" s="69">
        <v>14</v>
      </c>
      <c r="D2298" s="89">
        <v>1</v>
      </c>
      <c r="E2298" s="111">
        <v>1</v>
      </c>
      <c r="F2298" s="89">
        <v>1</v>
      </c>
      <c r="G2298" s="89">
        <v>1</v>
      </c>
      <c r="H2298" s="296">
        <v>1</v>
      </c>
      <c r="I2298" s="89">
        <v>1</v>
      </c>
      <c r="J2298" s="710">
        <f>(VLOOKUP($C2298,[2]Sheet1!$A$2:$P$18,$M2298+1)/12)*12*D2298</f>
        <v>669099.40824000002</v>
      </c>
      <c r="K2298" s="711"/>
      <c r="M2298" s="62">
        <f t="shared" si="183"/>
        <v>3</v>
      </c>
    </row>
    <row r="2299" spans="1:13">
      <c r="A2299" s="88">
        <f t="shared" si="185"/>
        <v>35</v>
      </c>
      <c r="B2299" s="69" t="s">
        <v>2546</v>
      </c>
      <c r="C2299" s="69">
        <v>13</v>
      </c>
      <c r="D2299" s="89">
        <v>2</v>
      </c>
      <c r="E2299" s="111">
        <v>1</v>
      </c>
      <c r="F2299" s="89">
        <v>2</v>
      </c>
      <c r="G2299" s="89">
        <v>2</v>
      </c>
      <c r="H2299" s="296">
        <v>2</v>
      </c>
      <c r="I2299" s="89">
        <v>2</v>
      </c>
      <c r="J2299" s="710">
        <f>(VLOOKUP($C2299,[2]Sheet1!$A$2:$P$18,$M2299+1)/12)*12*D2299</f>
        <v>1257519.07608</v>
      </c>
      <c r="K2299" s="711"/>
      <c r="M2299" s="62">
        <f t="shared" si="183"/>
        <v>3</v>
      </c>
    </row>
    <row r="2300" spans="1:13">
      <c r="A2300" s="88">
        <f t="shared" si="185"/>
        <v>36</v>
      </c>
      <c r="B2300" s="69" t="s">
        <v>141</v>
      </c>
      <c r="C2300" s="69">
        <v>12</v>
      </c>
      <c r="D2300" s="89">
        <v>1</v>
      </c>
      <c r="E2300" s="111">
        <v>1</v>
      </c>
      <c r="F2300" s="89">
        <v>1</v>
      </c>
      <c r="G2300" s="89">
        <v>1</v>
      </c>
      <c r="H2300" s="296">
        <v>1</v>
      </c>
      <c r="I2300" s="89">
        <v>1</v>
      </c>
      <c r="J2300" s="710">
        <f>(VLOOKUP($C2300,[2]Sheet1!$A$2:$P$18,$M2300+1)/12)*12*D2300</f>
        <v>552685.0537200002</v>
      </c>
      <c r="K2300" s="711"/>
      <c r="M2300" s="62">
        <f t="shared" si="183"/>
        <v>3</v>
      </c>
    </row>
    <row r="2301" spans="1:13">
      <c r="A2301" s="88">
        <f t="shared" si="185"/>
        <v>37</v>
      </c>
      <c r="B2301" s="69" t="s">
        <v>142</v>
      </c>
      <c r="C2301" s="69">
        <v>10</v>
      </c>
      <c r="D2301" s="89">
        <v>4</v>
      </c>
      <c r="E2301" s="111">
        <v>1</v>
      </c>
      <c r="F2301" s="89">
        <v>4</v>
      </c>
      <c r="G2301" s="89">
        <v>4</v>
      </c>
      <c r="H2301" s="296">
        <v>4</v>
      </c>
      <c r="I2301" s="89">
        <v>4</v>
      </c>
      <c r="J2301" s="710">
        <f>(VLOOKUP($C2301,[2]Sheet1!$A$2:$P$18,$M2301+1)/12)*12*D2301</f>
        <v>1935898.2748800004</v>
      </c>
      <c r="K2301" s="711"/>
      <c r="M2301" s="62">
        <f t="shared" ref="M2301:M2338" si="186">IF(C2301&gt;6,3,5)</f>
        <v>3</v>
      </c>
    </row>
    <row r="2302" spans="1:13">
      <c r="A2302" s="88">
        <f t="shared" si="185"/>
        <v>38</v>
      </c>
      <c r="B2302" s="69" t="s">
        <v>3894</v>
      </c>
      <c r="C2302" s="69">
        <v>9</v>
      </c>
      <c r="D2302" s="89">
        <v>1</v>
      </c>
      <c r="E2302" s="111">
        <v>1</v>
      </c>
      <c r="F2302" s="89">
        <v>1</v>
      </c>
      <c r="G2302" s="89">
        <v>1</v>
      </c>
      <c r="H2302" s="296">
        <v>1</v>
      </c>
      <c r="I2302" s="89">
        <v>1</v>
      </c>
      <c r="J2302" s="710">
        <f>(VLOOKUP($C2302,[2]Sheet1!$A$2:$P$18,$M2302+1)/12)*12*D2302</f>
        <v>409681.90619999997</v>
      </c>
      <c r="K2302" s="711"/>
      <c r="M2302" s="62">
        <f t="shared" si="186"/>
        <v>3</v>
      </c>
    </row>
    <row r="2303" spans="1:13">
      <c r="A2303" s="88">
        <f t="shared" si="185"/>
        <v>39</v>
      </c>
      <c r="B2303" s="69" t="s">
        <v>3895</v>
      </c>
      <c r="C2303" s="69">
        <v>8</v>
      </c>
      <c r="D2303" s="89">
        <v>1</v>
      </c>
      <c r="E2303" s="111">
        <v>2</v>
      </c>
      <c r="F2303" s="89">
        <v>1</v>
      </c>
      <c r="G2303" s="89">
        <v>1</v>
      </c>
      <c r="H2303" s="296">
        <v>1</v>
      </c>
      <c r="I2303" s="89">
        <v>1</v>
      </c>
      <c r="J2303" s="710">
        <f>(VLOOKUP($C2303,[2]Sheet1!$A$2:$P$18,$M2303+1)/12)*12*D2303</f>
        <v>342141.27408</v>
      </c>
      <c r="K2303" s="711"/>
      <c r="M2303" s="62">
        <f t="shared" si="186"/>
        <v>3</v>
      </c>
    </row>
    <row r="2304" spans="1:13">
      <c r="A2304" s="88">
        <f t="shared" si="185"/>
        <v>40</v>
      </c>
      <c r="B2304" s="69" t="s">
        <v>4027</v>
      </c>
      <c r="C2304" s="69">
        <v>8</v>
      </c>
      <c r="D2304" s="89">
        <v>3</v>
      </c>
      <c r="E2304" s="111">
        <v>0</v>
      </c>
      <c r="F2304" s="89">
        <v>3</v>
      </c>
      <c r="G2304" s="89">
        <v>3</v>
      </c>
      <c r="H2304" s="296">
        <v>3</v>
      </c>
      <c r="I2304" s="89">
        <v>3</v>
      </c>
      <c r="J2304" s="710">
        <f>(VLOOKUP($C2304,[2]Sheet1!$A$2:$P$18,$M2304+1)/12)*12*D2304</f>
        <v>1026423.82224</v>
      </c>
      <c r="K2304" s="711"/>
      <c r="M2304" s="62">
        <f t="shared" si="186"/>
        <v>3</v>
      </c>
    </row>
    <row r="2305" spans="1:13">
      <c r="A2305" s="88">
        <f t="shared" si="185"/>
        <v>41</v>
      </c>
      <c r="B2305" s="69" t="s">
        <v>1379</v>
      </c>
      <c r="C2305" s="69">
        <v>14</v>
      </c>
      <c r="D2305" s="89">
        <v>0</v>
      </c>
      <c r="E2305" s="111">
        <v>0</v>
      </c>
      <c r="F2305" s="89" t="s">
        <v>2239</v>
      </c>
      <c r="G2305" s="89" t="s">
        <v>2239</v>
      </c>
      <c r="H2305" s="296">
        <v>0</v>
      </c>
      <c r="I2305" s="89" t="s">
        <v>2239</v>
      </c>
      <c r="J2305" s="710">
        <f>(VLOOKUP($C2305,[2]Sheet1!$A$2:$P$18,$M2305+1)/12)*12*D2305</f>
        <v>0</v>
      </c>
      <c r="K2305" s="711"/>
      <c r="M2305" s="62">
        <f t="shared" si="186"/>
        <v>3</v>
      </c>
    </row>
    <row r="2306" spans="1:13">
      <c r="A2306" s="88">
        <f>+A2305+1</f>
        <v>42</v>
      </c>
      <c r="B2306" s="69" t="s">
        <v>1380</v>
      </c>
      <c r="C2306" s="69">
        <v>13</v>
      </c>
      <c r="D2306" s="89">
        <v>0</v>
      </c>
      <c r="E2306" s="111"/>
      <c r="F2306" s="89">
        <v>0</v>
      </c>
      <c r="G2306" s="89">
        <v>0</v>
      </c>
      <c r="H2306" s="296"/>
      <c r="I2306" s="89">
        <v>0</v>
      </c>
      <c r="J2306" s="710">
        <f>(VLOOKUP($C2306,[2]Sheet1!$A$2:$P$18,$M2306+1)/12)*12*D2306</f>
        <v>0</v>
      </c>
      <c r="K2306" s="711"/>
      <c r="M2306" s="62">
        <f t="shared" si="186"/>
        <v>3</v>
      </c>
    </row>
    <row r="2307" spans="1:13">
      <c r="A2307" s="88">
        <f t="shared" si="185"/>
        <v>43</v>
      </c>
      <c r="B2307" s="69" t="s">
        <v>1381</v>
      </c>
      <c r="C2307" s="69">
        <v>12</v>
      </c>
      <c r="D2307" s="89">
        <v>0</v>
      </c>
      <c r="E2307" s="111">
        <v>2</v>
      </c>
      <c r="F2307" s="89">
        <v>0</v>
      </c>
      <c r="G2307" s="89">
        <v>0</v>
      </c>
      <c r="H2307" s="296">
        <v>0</v>
      </c>
      <c r="I2307" s="89">
        <v>0</v>
      </c>
      <c r="J2307" s="710">
        <f>(VLOOKUP($C2307,[2]Sheet1!$A$2:$P$18,$M2307+1)/12)*12*D2307</f>
        <v>0</v>
      </c>
      <c r="K2307" s="711"/>
      <c r="M2307" s="62">
        <f t="shared" si="186"/>
        <v>3</v>
      </c>
    </row>
    <row r="2308" spans="1:13">
      <c r="A2308" s="88">
        <f t="shared" si="185"/>
        <v>44</v>
      </c>
      <c r="B2308" s="69" t="s">
        <v>2404</v>
      </c>
      <c r="C2308" s="69">
        <v>10</v>
      </c>
      <c r="D2308" s="89">
        <v>0</v>
      </c>
      <c r="E2308" s="111">
        <v>1</v>
      </c>
      <c r="F2308" s="89">
        <v>0</v>
      </c>
      <c r="G2308" s="89">
        <v>0</v>
      </c>
      <c r="H2308" s="296">
        <v>0</v>
      </c>
      <c r="I2308" s="89">
        <v>0</v>
      </c>
      <c r="J2308" s="710">
        <f>(VLOOKUP($C2308,[2]Sheet1!$A$2:$P$18,$M2308+1)/12)*12*D2308</f>
        <v>0</v>
      </c>
      <c r="K2308" s="711"/>
      <c r="M2308" s="62">
        <f t="shared" si="186"/>
        <v>3</v>
      </c>
    </row>
    <row r="2309" spans="1:13">
      <c r="A2309" s="88">
        <f t="shared" si="185"/>
        <v>45</v>
      </c>
      <c r="B2309" s="69" t="s">
        <v>503</v>
      </c>
      <c r="C2309" s="69">
        <v>8</v>
      </c>
      <c r="D2309" s="89">
        <v>0</v>
      </c>
      <c r="E2309" s="111">
        <v>2</v>
      </c>
      <c r="F2309" s="89">
        <v>0</v>
      </c>
      <c r="G2309" s="89">
        <v>0</v>
      </c>
      <c r="H2309" s="296">
        <v>0</v>
      </c>
      <c r="I2309" s="89">
        <v>0</v>
      </c>
      <c r="J2309" s="710">
        <f>(VLOOKUP($C2309,[2]Sheet1!$A$2:$P$18,$M2309+1)/12)*12*D2309</f>
        <v>0</v>
      </c>
      <c r="K2309" s="711"/>
      <c r="M2309" s="62">
        <f t="shared" si="186"/>
        <v>3</v>
      </c>
    </row>
    <row r="2310" spans="1:13">
      <c r="A2310" s="88">
        <f t="shared" si="185"/>
        <v>46</v>
      </c>
      <c r="B2310" s="69" t="s">
        <v>2405</v>
      </c>
      <c r="C2310" s="69">
        <v>7</v>
      </c>
      <c r="D2310" s="89">
        <v>0</v>
      </c>
      <c r="E2310" s="111">
        <v>1</v>
      </c>
      <c r="F2310" s="89">
        <v>0</v>
      </c>
      <c r="G2310" s="89">
        <v>0</v>
      </c>
      <c r="H2310" s="296">
        <v>0</v>
      </c>
      <c r="I2310" s="89">
        <v>0</v>
      </c>
      <c r="J2310" s="710">
        <f>(VLOOKUP($C2310,[2]Sheet1!$A$2:$P$18,$M2310+1)/12)*12*D2310</f>
        <v>0</v>
      </c>
      <c r="K2310" s="711"/>
      <c r="M2310" s="62">
        <f t="shared" si="186"/>
        <v>3</v>
      </c>
    </row>
    <row r="2311" spans="1:13">
      <c r="A2311" s="88">
        <f t="shared" si="185"/>
        <v>47</v>
      </c>
      <c r="B2311" s="69" t="s">
        <v>2406</v>
      </c>
      <c r="C2311" s="69">
        <v>6</v>
      </c>
      <c r="D2311" s="89">
        <v>0</v>
      </c>
      <c r="E2311" s="111"/>
      <c r="F2311" s="89">
        <v>0</v>
      </c>
      <c r="G2311" s="89">
        <v>0</v>
      </c>
      <c r="H2311" s="296"/>
      <c r="I2311" s="89">
        <v>0</v>
      </c>
      <c r="J2311" s="710">
        <f>(VLOOKUP($C2311,[2]Sheet1!$A$2:$P$18,$M2311+1)/12)*12*D2311</f>
        <v>0</v>
      </c>
      <c r="K2311" s="711"/>
      <c r="M2311" s="62">
        <f t="shared" si="186"/>
        <v>5</v>
      </c>
    </row>
    <row r="2312" spans="1:13">
      <c r="A2312" s="88">
        <f>+A2311+1</f>
        <v>48</v>
      </c>
      <c r="B2312" s="69" t="s">
        <v>2407</v>
      </c>
      <c r="C2312" s="69">
        <v>6</v>
      </c>
      <c r="D2312" s="89">
        <v>2</v>
      </c>
      <c r="E2312" s="111">
        <v>2</v>
      </c>
      <c r="F2312" s="89">
        <v>2</v>
      </c>
      <c r="G2312" s="89">
        <v>2</v>
      </c>
      <c r="H2312" s="296">
        <v>2</v>
      </c>
      <c r="I2312" s="89">
        <v>2</v>
      </c>
      <c r="J2312" s="710">
        <f>(VLOOKUP($C2312,[2]Sheet1!$A$2:$P$18,$M2312+1)/12)*12*D2312</f>
        <v>476198.75786072994</v>
      </c>
      <c r="K2312" s="711"/>
      <c r="M2312" s="62">
        <f t="shared" si="186"/>
        <v>5</v>
      </c>
    </row>
    <row r="2313" spans="1:13">
      <c r="A2313" s="88">
        <f t="shared" si="185"/>
        <v>49</v>
      </c>
      <c r="B2313" s="69" t="s">
        <v>2411</v>
      </c>
      <c r="C2313" s="69">
        <v>5</v>
      </c>
      <c r="D2313" s="89">
        <v>0</v>
      </c>
      <c r="E2313" s="111">
        <v>1</v>
      </c>
      <c r="F2313" s="89">
        <v>0</v>
      </c>
      <c r="G2313" s="89">
        <v>0</v>
      </c>
      <c r="H2313" s="296">
        <v>0</v>
      </c>
      <c r="I2313" s="89">
        <v>0</v>
      </c>
      <c r="J2313" s="710">
        <f>(VLOOKUP($C2313,[2]Sheet1!$A$2:$P$18,$M2313+1)/12)*12*D2313</f>
        <v>0</v>
      </c>
      <c r="K2313" s="711"/>
      <c r="M2313" s="62">
        <f t="shared" si="186"/>
        <v>5</v>
      </c>
    </row>
    <row r="2314" spans="1:13">
      <c r="A2314" s="88">
        <f t="shared" si="185"/>
        <v>50</v>
      </c>
      <c r="B2314" s="69" t="s">
        <v>2412</v>
      </c>
      <c r="C2314" s="69">
        <v>4</v>
      </c>
      <c r="D2314" s="89">
        <v>1</v>
      </c>
      <c r="E2314" s="111">
        <v>1</v>
      </c>
      <c r="F2314" s="89">
        <v>1</v>
      </c>
      <c r="G2314" s="89">
        <v>1</v>
      </c>
      <c r="H2314" s="296">
        <v>1</v>
      </c>
      <c r="I2314" s="89">
        <v>1</v>
      </c>
      <c r="J2314" s="710">
        <f>(VLOOKUP($C2314,[2]Sheet1!$A$2:$P$18,$M2314+1)/12)*12*D2314</f>
        <v>224542.978930365</v>
      </c>
      <c r="K2314" s="711"/>
      <c r="M2314" s="62">
        <f t="shared" si="186"/>
        <v>5</v>
      </c>
    </row>
    <row r="2315" spans="1:13">
      <c r="A2315" s="88">
        <f t="shared" si="185"/>
        <v>51</v>
      </c>
      <c r="B2315" s="69" t="s">
        <v>2457</v>
      </c>
      <c r="C2315" s="69">
        <v>3</v>
      </c>
      <c r="D2315" s="89">
        <v>0</v>
      </c>
      <c r="E2315" s="111">
        <v>1</v>
      </c>
      <c r="F2315" s="89">
        <v>0</v>
      </c>
      <c r="G2315" s="89">
        <v>0</v>
      </c>
      <c r="H2315" s="296">
        <v>0</v>
      </c>
      <c r="I2315" s="89">
        <v>0</v>
      </c>
      <c r="J2315" s="710">
        <f>(VLOOKUP($C2315,[2]Sheet1!$A$2:$P$18,$M2315+1)/12)*12*D2315</f>
        <v>0</v>
      </c>
      <c r="K2315" s="711"/>
      <c r="M2315" s="62">
        <f t="shared" si="186"/>
        <v>5</v>
      </c>
    </row>
    <row r="2316" spans="1:13">
      <c r="A2316" s="88"/>
      <c r="B2316" s="90" t="s">
        <v>2458</v>
      </c>
      <c r="C2316" s="69"/>
      <c r="D2316" s="89"/>
      <c r="E2316" s="111"/>
      <c r="F2316" s="89"/>
      <c r="G2316" s="89"/>
      <c r="H2316" s="296"/>
      <c r="I2316" s="89"/>
      <c r="J2316" s="710"/>
      <c r="K2316" s="711"/>
      <c r="M2316" s="62">
        <f t="shared" si="186"/>
        <v>5</v>
      </c>
    </row>
    <row r="2317" spans="1:13">
      <c r="A2317" s="88">
        <f>+A2315+1</f>
        <v>52</v>
      </c>
      <c r="B2317" s="69" t="s">
        <v>3532</v>
      </c>
      <c r="C2317" s="69">
        <v>16</v>
      </c>
      <c r="D2317" s="89">
        <v>0</v>
      </c>
      <c r="E2317" s="111">
        <v>1</v>
      </c>
      <c r="F2317" s="89">
        <v>0</v>
      </c>
      <c r="G2317" s="89">
        <v>0</v>
      </c>
      <c r="H2317" s="296">
        <v>0</v>
      </c>
      <c r="I2317" s="89">
        <v>0</v>
      </c>
      <c r="J2317" s="710">
        <f>(VLOOKUP($C2317,[2]Sheet1!$A$2:$P$18,$M2317+1)/12)*12*D2317</f>
        <v>0</v>
      </c>
      <c r="K2317" s="711"/>
      <c r="M2317" s="62">
        <f t="shared" si="186"/>
        <v>3</v>
      </c>
    </row>
    <row r="2318" spans="1:13">
      <c r="A2318" s="88">
        <f t="shared" ref="A2318:A2324" si="187">+A2317+1</f>
        <v>53</v>
      </c>
      <c r="B2318" s="69" t="s">
        <v>1256</v>
      </c>
      <c r="C2318" s="69">
        <v>15</v>
      </c>
      <c r="D2318" s="89">
        <v>0</v>
      </c>
      <c r="E2318" s="111">
        <v>1</v>
      </c>
      <c r="F2318" s="89">
        <v>0</v>
      </c>
      <c r="G2318" s="89">
        <v>0</v>
      </c>
      <c r="H2318" s="296">
        <v>0</v>
      </c>
      <c r="I2318" s="89">
        <v>0</v>
      </c>
      <c r="J2318" s="710">
        <f>(VLOOKUP($C2318,[2]Sheet1!$A$2:$P$18,$M2318+1)/12)*12*D2318</f>
        <v>0</v>
      </c>
      <c r="K2318" s="711"/>
      <c r="M2318" s="62">
        <f t="shared" si="186"/>
        <v>3</v>
      </c>
    </row>
    <row r="2319" spans="1:13">
      <c r="A2319" s="88">
        <f t="shared" si="187"/>
        <v>54</v>
      </c>
      <c r="B2319" s="69" t="s">
        <v>2300</v>
      </c>
      <c r="C2319" s="69">
        <v>14</v>
      </c>
      <c r="D2319" s="89">
        <v>0</v>
      </c>
      <c r="E2319" s="111">
        <v>1</v>
      </c>
      <c r="F2319" s="89">
        <v>0</v>
      </c>
      <c r="G2319" s="89">
        <v>0</v>
      </c>
      <c r="H2319" s="296">
        <v>0</v>
      </c>
      <c r="I2319" s="89">
        <v>0</v>
      </c>
      <c r="J2319" s="710">
        <f>(VLOOKUP($C2319,[2]Sheet1!$A$2:$P$18,$M2319+1)/12)*12*D2319</f>
        <v>0</v>
      </c>
      <c r="K2319" s="711"/>
      <c r="M2319" s="62">
        <f t="shared" si="186"/>
        <v>3</v>
      </c>
    </row>
    <row r="2320" spans="1:13">
      <c r="A2320" s="88">
        <f t="shared" si="187"/>
        <v>55</v>
      </c>
      <c r="B2320" s="69" t="s">
        <v>2616</v>
      </c>
      <c r="C2320" s="69">
        <v>14</v>
      </c>
      <c r="D2320" s="89">
        <v>1</v>
      </c>
      <c r="E2320" s="111">
        <v>1</v>
      </c>
      <c r="F2320" s="89">
        <v>1</v>
      </c>
      <c r="G2320" s="89">
        <v>1</v>
      </c>
      <c r="H2320" s="296">
        <v>1</v>
      </c>
      <c r="I2320" s="89">
        <v>1</v>
      </c>
      <c r="J2320" s="710">
        <f>(VLOOKUP($C2320,[2]Sheet1!$A$2:$P$18,$M2320+1)/12)*12*D2320</f>
        <v>669099.40824000002</v>
      </c>
      <c r="K2320" s="711"/>
      <c r="M2320" s="62">
        <f t="shared" si="186"/>
        <v>3</v>
      </c>
    </row>
    <row r="2321" spans="1:13">
      <c r="A2321" s="88">
        <f t="shared" si="187"/>
        <v>56</v>
      </c>
      <c r="B2321" s="69" t="s">
        <v>2617</v>
      </c>
      <c r="C2321" s="69">
        <v>13</v>
      </c>
      <c r="D2321" s="89">
        <v>0</v>
      </c>
      <c r="E2321" s="111">
        <v>1</v>
      </c>
      <c r="F2321" s="89">
        <v>0</v>
      </c>
      <c r="G2321" s="89">
        <v>0</v>
      </c>
      <c r="H2321" s="296">
        <v>0</v>
      </c>
      <c r="I2321" s="89">
        <v>0</v>
      </c>
      <c r="J2321" s="710">
        <f>(VLOOKUP($C2321,[2]Sheet1!$A$2:$P$18,$M2321+1)/12)*12*D2321</f>
        <v>0</v>
      </c>
      <c r="K2321" s="711"/>
      <c r="M2321" s="62">
        <f t="shared" si="186"/>
        <v>3</v>
      </c>
    </row>
    <row r="2322" spans="1:13">
      <c r="A2322" s="88">
        <f t="shared" si="187"/>
        <v>57</v>
      </c>
      <c r="B2322" s="69" t="s">
        <v>154</v>
      </c>
      <c r="C2322" s="69">
        <v>12</v>
      </c>
      <c r="D2322" s="89">
        <v>1</v>
      </c>
      <c r="E2322" s="111">
        <v>1</v>
      </c>
      <c r="F2322" s="89">
        <v>1</v>
      </c>
      <c r="G2322" s="89">
        <v>1</v>
      </c>
      <c r="H2322" s="296">
        <v>2</v>
      </c>
      <c r="I2322" s="89">
        <v>1</v>
      </c>
      <c r="J2322" s="710">
        <f>(VLOOKUP($C2322,[2]Sheet1!$A$2:$P$18,$M2322+1)/12)*12*D2322</f>
        <v>552685.0537200002</v>
      </c>
      <c r="K2322" s="711"/>
      <c r="M2322" s="62">
        <f t="shared" si="186"/>
        <v>3</v>
      </c>
    </row>
    <row r="2323" spans="1:13">
      <c r="A2323" s="88">
        <f t="shared" si="187"/>
        <v>58</v>
      </c>
      <c r="B2323" s="69" t="s">
        <v>49</v>
      </c>
      <c r="C2323" s="69">
        <v>10</v>
      </c>
      <c r="D2323" s="89">
        <v>1</v>
      </c>
      <c r="E2323" s="111">
        <v>1</v>
      </c>
      <c r="F2323" s="89">
        <v>1</v>
      </c>
      <c r="G2323" s="89">
        <v>1</v>
      </c>
      <c r="H2323" s="296">
        <v>1</v>
      </c>
      <c r="I2323" s="89">
        <v>1</v>
      </c>
      <c r="J2323" s="710">
        <f>(VLOOKUP($C2323,[2]Sheet1!$A$2:$P$18,$M2323+1)/12)*12*D2323</f>
        <v>483974.5687200001</v>
      </c>
      <c r="K2323" s="711"/>
      <c r="M2323" s="62">
        <f t="shared" si="186"/>
        <v>3</v>
      </c>
    </row>
    <row r="2324" spans="1:13">
      <c r="A2324" s="88">
        <f t="shared" si="187"/>
        <v>59</v>
      </c>
      <c r="B2324" s="69" t="s">
        <v>50</v>
      </c>
      <c r="C2324" s="69">
        <v>8</v>
      </c>
      <c r="D2324" s="89">
        <v>2</v>
      </c>
      <c r="E2324" s="111">
        <v>2</v>
      </c>
      <c r="F2324" s="89">
        <v>2</v>
      </c>
      <c r="G2324" s="89">
        <v>2</v>
      </c>
      <c r="H2324" s="296">
        <v>2</v>
      </c>
      <c r="I2324" s="89">
        <v>2</v>
      </c>
      <c r="J2324" s="710">
        <f>(VLOOKUP($C2324,[2]Sheet1!$A$2:$P$18,$M2324+1)/12)*12*D2324</f>
        <v>684282.54816000001</v>
      </c>
      <c r="K2324" s="711"/>
      <c r="M2324" s="62">
        <f t="shared" si="186"/>
        <v>3</v>
      </c>
    </row>
    <row r="2325" spans="1:13">
      <c r="A2325" s="88">
        <f>+A2324+1</f>
        <v>60</v>
      </c>
      <c r="B2325" s="69" t="s">
        <v>3755</v>
      </c>
      <c r="C2325" s="69">
        <v>3</v>
      </c>
      <c r="D2325" s="89">
        <v>1</v>
      </c>
      <c r="E2325" s="111">
        <v>0</v>
      </c>
      <c r="F2325" s="89">
        <v>1</v>
      </c>
      <c r="G2325" s="89">
        <v>1</v>
      </c>
      <c r="H2325" s="296">
        <v>1</v>
      </c>
      <c r="I2325" s="89">
        <v>1</v>
      </c>
      <c r="J2325" s="710">
        <f>(VLOOKUP($C2325,[2]Sheet1!$A$2:$P$18,$M2325+1)/12)*12*D2325</f>
        <v>219336.17893036499</v>
      </c>
      <c r="K2325" s="711"/>
      <c r="M2325" s="62">
        <f t="shared" si="186"/>
        <v>5</v>
      </c>
    </row>
    <row r="2326" spans="1:13">
      <c r="A2326" s="88">
        <f>+A2325+1</f>
        <v>61</v>
      </c>
      <c r="B2326" s="69" t="s">
        <v>608</v>
      </c>
      <c r="C2326" s="69">
        <v>6</v>
      </c>
      <c r="D2326" s="89">
        <v>4</v>
      </c>
      <c r="E2326" s="111">
        <v>0</v>
      </c>
      <c r="F2326" s="89">
        <v>4</v>
      </c>
      <c r="G2326" s="89">
        <v>4</v>
      </c>
      <c r="H2326" s="296">
        <v>4</v>
      </c>
      <c r="I2326" s="89">
        <v>4</v>
      </c>
      <c r="J2326" s="710">
        <f>(VLOOKUP($C2326,[2]Sheet1!$A$2:$P$18,$M2326+1)/12)*12*D2326</f>
        <v>952397.51572145987</v>
      </c>
      <c r="K2326" s="711"/>
      <c r="M2326" s="62">
        <f>IF(C2326&gt;6,3,5)</f>
        <v>5</v>
      </c>
    </row>
    <row r="2327" spans="1:13">
      <c r="A2327" s="92"/>
      <c r="B2327" s="93" t="s">
        <v>1684</v>
      </c>
      <c r="C2327" s="94"/>
      <c r="D2327" s="123">
        <f t="shared" ref="D2327:J2327" si="188">SUM(D2258:D2325)</f>
        <v>37</v>
      </c>
      <c r="E2327" s="279">
        <f t="shared" si="188"/>
        <v>45</v>
      </c>
      <c r="F2327" s="123">
        <f t="shared" si="188"/>
        <v>37</v>
      </c>
      <c r="G2327" s="123">
        <f>SUM(G2258:G2325)</f>
        <v>37</v>
      </c>
      <c r="H2327" s="297">
        <f t="shared" si="188"/>
        <v>38</v>
      </c>
      <c r="I2327" s="123">
        <f t="shared" si="188"/>
        <v>37</v>
      </c>
      <c r="J2327" s="124">
        <f t="shared" si="188"/>
        <v>12968671.917426571</v>
      </c>
      <c r="K2327" s="376"/>
      <c r="M2327" s="62">
        <f t="shared" si="186"/>
        <v>5</v>
      </c>
    </row>
    <row r="2328" spans="1:13">
      <c r="A2328" s="88"/>
      <c r="B2328" s="90" t="s">
        <v>1199</v>
      </c>
      <c r="C2328" s="97"/>
      <c r="D2328" s="98"/>
      <c r="E2328" s="98"/>
      <c r="F2328" s="125"/>
      <c r="G2328" s="240" t="s">
        <v>243</v>
      </c>
      <c r="H2328" s="240" t="s">
        <v>4130</v>
      </c>
      <c r="I2328" s="240" t="s">
        <v>4202</v>
      </c>
      <c r="J2328" s="241" t="s">
        <v>4200</v>
      </c>
      <c r="K2328" s="375"/>
      <c r="M2328" s="62">
        <f t="shared" si="186"/>
        <v>5</v>
      </c>
    </row>
    <row r="2329" spans="1:13">
      <c r="A2329" s="88">
        <v>1</v>
      </c>
      <c r="B2329" s="69" t="s">
        <v>2786</v>
      </c>
      <c r="C2329" s="69"/>
      <c r="D2329" s="89"/>
      <c r="E2329" s="89"/>
      <c r="F2329" s="89"/>
      <c r="G2329" s="100">
        <f>J2327*0.2</f>
        <v>2593734.3834853144</v>
      </c>
      <c r="H2329" s="100">
        <f>G2329*1.02</f>
        <v>2645609.071155021</v>
      </c>
      <c r="I2329" s="100">
        <f>H2329*1.02</f>
        <v>2698521.2525781216</v>
      </c>
      <c r="J2329" s="100">
        <f>SUM(G2329:I2329)</f>
        <v>7937864.707218457</v>
      </c>
      <c r="K2329" s="114"/>
      <c r="M2329" s="62">
        <f t="shared" si="186"/>
        <v>5</v>
      </c>
    </row>
    <row r="2330" spans="1:13">
      <c r="A2330" s="92"/>
      <c r="B2330" s="93" t="s">
        <v>1933</v>
      </c>
      <c r="C2330" s="94"/>
      <c r="D2330" s="101"/>
      <c r="E2330" s="101"/>
      <c r="F2330" s="95"/>
      <c r="G2330" s="95">
        <f>SUM(G2329:G2329)</f>
        <v>2593734.3834853144</v>
      </c>
      <c r="H2330" s="95">
        <f>SUM(H2329:H2329)</f>
        <v>2645609.071155021</v>
      </c>
      <c r="I2330" s="95">
        <f>SUM(I2329:I2329)</f>
        <v>2698521.2525781216</v>
      </c>
      <c r="J2330" s="95">
        <f>SUM(J2329:J2329)</f>
        <v>7937864.707218457</v>
      </c>
      <c r="K2330" s="378"/>
      <c r="M2330" s="62">
        <f t="shared" si="186"/>
        <v>5</v>
      </c>
    </row>
    <row r="2331" spans="1:13">
      <c r="A2331" s="88">
        <v>1</v>
      </c>
      <c r="B2331" s="69" t="s">
        <v>1934</v>
      </c>
      <c r="C2331" s="69"/>
      <c r="D2331" s="89"/>
      <c r="E2331" s="89"/>
      <c r="F2331" s="89"/>
      <c r="G2331" s="100">
        <f>G2330+J2327</f>
        <v>15562406.300911885</v>
      </c>
      <c r="H2331" s="100">
        <f>G2331*1.02</f>
        <v>15873654.426930122</v>
      </c>
      <c r="I2331" s="100">
        <f>H2331*1.02</f>
        <v>16191127.515468724</v>
      </c>
      <c r="J2331" s="100">
        <f>SUM(G2331:I2331)</f>
        <v>47627188.243310735</v>
      </c>
      <c r="K2331" s="114"/>
      <c r="L2331" s="112"/>
      <c r="M2331" s="62">
        <f t="shared" si="186"/>
        <v>5</v>
      </c>
    </row>
    <row r="2332" spans="1:13">
      <c r="A2332" s="88">
        <f>+A2331+1</f>
        <v>2</v>
      </c>
      <c r="B2332" s="69" t="s">
        <v>129</v>
      </c>
      <c r="C2332" s="69"/>
      <c r="D2332" s="89"/>
      <c r="E2332" s="89"/>
      <c r="F2332" s="89"/>
      <c r="G2332" s="89">
        <f>C2363</f>
        <v>13000000</v>
      </c>
      <c r="H2332" s="89">
        <f>D2363</f>
        <v>24600000</v>
      </c>
      <c r="I2332" s="89">
        <f>E2363</f>
        <v>24600000</v>
      </c>
      <c r="J2332" s="100">
        <f>SUM(G2332:I2332)</f>
        <v>62200000</v>
      </c>
      <c r="K2332" s="114"/>
      <c r="M2332" s="62">
        <f t="shared" si="186"/>
        <v>5</v>
      </c>
    </row>
    <row r="2333" spans="1:13" ht="13.5" thickBot="1">
      <c r="A2333" s="92"/>
      <c r="B2333" s="103" t="s">
        <v>2241</v>
      </c>
      <c r="C2333" s="104"/>
      <c r="D2333" s="105"/>
      <c r="E2333" s="105"/>
      <c r="F2333" s="129"/>
      <c r="G2333" s="129">
        <f>+G2332+G2331</f>
        <v>28562406.300911885</v>
      </c>
      <c r="H2333" s="129">
        <f>+H2332+H2331</f>
        <v>40473654.426930122</v>
      </c>
      <c r="I2333" s="129">
        <f>+I2332+I2331</f>
        <v>40791127.515468724</v>
      </c>
      <c r="J2333" s="129">
        <f>+J2332+J2331</f>
        <v>109827188.24331073</v>
      </c>
      <c r="K2333" s="378"/>
      <c r="M2333" s="62">
        <f t="shared" si="186"/>
        <v>5</v>
      </c>
    </row>
    <row r="2334" spans="1:13" ht="13.5" thickTop="1">
      <c r="A2334" s="113"/>
      <c r="B2334" s="131"/>
      <c r="C2334" s="113"/>
      <c r="D2334" s="114"/>
      <c r="E2334" s="114"/>
      <c r="F2334" s="132"/>
      <c r="G2334" s="132"/>
      <c r="H2334" s="132"/>
      <c r="I2334" s="132"/>
      <c r="J2334" s="132"/>
      <c r="K2334" s="132"/>
      <c r="M2334" s="62">
        <f t="shared" si="186"/>
        <v>5</v>
      </c>
    </row>
    <row r="2335" spans="1:13">
      <c r="C2335" s="77"/>
      <c r="D2335" s="78" t="s">
        <v>5434</v>
      </c>
      <c r="F2335" s="132"/>
      <c r="G2335" s="132"/>
      <c r="H2335" s="132"/>
      <c r="I2335" s="132"/>
      <c r="J2335" s="132"/>
      <c r="K2335" s="132"/>
      <c r="M2335" s="62">
        <f t="shared" si="186"/>
        <v>5</v>
      </c>
    </row>
    <row r="2336" spans="1:13">
      <c r="C2336" s="77"/>
      <c r="D2336" s="78" t="s">
        <v>716</v>
      </c>
      <c r="F2336" s="132"/>
      <c r="G2336" s="132"/>
      <c r="H2336" s="132"/>
      <c r="I2336" s="132"/>
      <c r="J2336" s="132"/>
      <c r="K2336" s="132"/>
      <c r="M2336" s="62">
        <f t="shared" si="186"/>
        <v>5</v>
      </c>
    </row>
    <row r="2337" spans="1:13">
      <c r="C2337" s="79" t="s">
        <v>717</v>
      </c>
      <c r="D2337" s="78" t="s">
        <v>2227</v>
      </c>
      <c r="F2337" s="132"/>
      <c r="G2337" s="132"/>
      <c r="H2337" s="132"/>
      <c r="I2337" s="132"/>
      <c r="J2337" s="132"/>
      <c r="K2337" s="132"/>
      <c r="M2337" s="62">
        <f t="shared" si="186"/>
        <v>3</v>
      </c>
    </row>
    <row r="2338" spans="1:13">
      <c r="C2338" s="79" t="s">
        <v>718</v>
      </c>
      <c r="D2338" s="78" t="s">
        <v>2905</v>
      </c>
      <c r="F2338" s="132"/>
      <c r="G2338" s="132"/>
      <c r="H2338" s="132"/>
      <c r="I2338" s="132"/>
      <c r="J2338" s="132"/>
      <c r="K2338" s="132"/>
      <c r="M2338" s="62">
        <f t="shared" si="186"/>
        <v>3</v>
      </c>
    </row>
    <row r="2339" spans="1:13" ht="15">
      <c r="A2339" s="634" t="s">
        <v>1839</v>
      </c>
      <c r="B2339" s="635" t="s">
        <v>903</v>
      </c>
      <c r="C2339" s="1037" t="s">
        <v>4127</v>
      </c>
      <c r="D2339" s="1038"/>
      <c r="E2339" s="1039"/>
      <c r="F2339" s="635" t="s">
        <v>1684</v>
      </c>
      <c r="G2339" s="1037" t="s">
        <v>4132</v>
      </c>
      <c r="H2339" s="1038"/>
      <c r="I2339" s="1039"/>
      <c r="J2339" s="726"/>
      <c r="K2339" s="727"/>
    </row>
    <row r="2340" spans="1:13">
      <c r="A2340" s="636" t="s">
        <v>1620</v>
      </c>
      <c r="B2340" s="637"/>
      <c r="C2340" s="635" t="s">
        <v>1841</v>
      </c>
      <c r="D2340" s="635" t="s">
        <v>4133</v>
      </c>
      <c r="E2340" s="635" t="s">
        <v>4133</v>
      </c>
      <c r="F2340" s="1056" t="s">
        <v>4200</v>
      </c>
      <c r="G2340" s="634" t="s">
        <v>4135</v>
      </c>
      <c r="H2340" s="1051" t="s">
        <v>4182</v>
      </c>
      <c r="I2340" s="634" t="s">
        <v>4135</v>
      </c>
      <c r="J2340" s="728" t="s">
        <v>4136</v>
      </c>
      <c r="K2340" s="727"/>
    </row>
    <row r="2341" spans="1:13" ht="12.75" customHeight="1">
      <c r="A2341" s="638" t="s">
        <v>387</v>
      </c>
      <c r="B2341" s="639"/>
      <c r="C2341" s="638">
        <v>2015</v>
      </c>
      <c r="D2341" s="638">
        <v>2016</v>
      </c>
      <c r="E2341" s="638">
        <v>2017</v>
      </c>
      <c r="F2341" s="1057"/>
      <c r="G2341" s="638" t="s">
        <v>4304</v>
      </c>
      <c r="H2341" s="1052"/>
      <c r="I2341" s="638" t="s">
        <v>4303</v>
      </c>
      <c r="J2341" s="639"/>
      <c r="K2341" s="729"/>
    </row>
    <row r="2342" spans="1:13" ht="20.100000000000001" customHeight="1">
      <c r="A2342" s="768">
        <v>2</v>
      </c>
      <c r="B2342" s="773" t="s">
        <v>1695</v>
      </c>
      <c r="C2342" s="390">
        <v>2000000</v>
      </c>
      <c r="D2342" s="390">
        <v>3500000</v>
      </c>
      <c r="E2342" s="390">
        <v>3500000</v>
      </c>
      <c r="F2342" s="390">
        <f>SUM(C2342:E2342)</f>
        <v>9000000</v>
      </c>
      <c r="G2342" s="390">
        <v>1155000</v>
      </c>
      <c r="H2342" s="390">
        <v>3500000</v>
      </c>
      <c r="I2342" s="390"/>
      <c r="J2342" s="390"/>
      <c r="K2342" s="734"/>
      <c r="M2342" s="62" t="e">
        <f>IF(#REF!&gt;6,3,5)</f>
        <v>#REF!</v>
      </c>
    </row>
    <row r="2343" spans="1:13" ht="20.100000000000001" customHeight="1">
      <c r="A2343" s="768">
        <f t="shared" ref="A2343:A2360" si="189">+A2342+1</f>
        <v>3</v>
      </c>
      <c r="B2343" s="773" t="s">
        <v>1696</v>
      </c>
      <c r="C2343" s="390" t="s">
        <v>3007</v>
      </c>
      <c r="D2343" s="390" t="s">
        <v>3007</v>
      </c>
      <c r="E2343" s="390" t="s">
        <v>3007</v>
      </c>
      <c r="F2343" s="390">
        <f t="shared" ref="F2343:F2362" si="190">SUM(C2343:E2343)</f>
        <v>0</v>
      </c>
      <c r="G2343" s="390"/>
      <c r="H2343" s="390" t="s">
        <v>3007</v>
      </c>
      <c r="I2343" s="390"/>
      <c r="J2343" s="390"/>
      <c r="K2343" s="734"/>
      <c r="M2343" s="62" t="e">
        <f>IF(#REF!&gt;6,3,5)</f>
        <v>#REF!</v>
      </c>
    </row>
    <row r="2344" spans="1:13" ht="20.100000000000001" customHeight="1">
      <c r="A2344" s="768">
        <f t="shared" si="189"/>
        <v>4</v>
      </c>
      <c r="B2344" s="773" t="s">
        <v>1701</v>
      </c>
      <c r="C2344" s="390" t="s">
        <v>3007</v>
      </c>
      <c r="D2344" s="390" t="s">
        <v>3007</v>
      </c>
      <c r="E2344" s="390" t="s">
        <v>3007</v>
      </c>
      <c r="F2344" s="390">
        <f t="shared" si="190"/>
        <v>0</v>
      </c>
      <c r="G2344" s="390"/>
      <c r="H2344" s="390" t="s">
        <v>3007</v>
      </c>
      <c r="I2344" s="390"/>
      <c r="J2344" s="390"/>
      <c r="K2344" s="734"/>
      <c r="M2344" s="62" t="e">
        <f>IF(#REF!&gt;6,3,5)</f>
        <v>#REF!</v>
      </c>
    </row>
    <row r="2345" spans="1:13" ht="25.5" customHeight="1">
      <c r="A2345" s="768">
        <f t="shared" si="189"/>
        <v>5</v>
      </c>
      <c r="B2345" s="773" t="s">
        <v>1702</v>
      </c>
      <c r="C2345" s="390">
        <v>600000</v>
      </c>
      <c r="D2345" s="390">
        <v>1500000</v>
      </c>
      <c r="E2345" s="390">
        <v>1500000</v>
      </c>
      <c r="F2345" s="390">
        <f t="shared" si="190"/>
        <v>3600000</v>
      </c>
      <c r="G2345" s="390">
        <v>245500</v>
      </c>
      <c r="H2345" s="390">
        <v>1500000</v>
      </c>
      <c r="I2345" s="390"/>
      <c r="J2345" s="390"/>
      <c r="K2345" s="734"/>
      <c r="M2345" s="62" t="e">
        <f>IF(#REF!&gt;6,3,5)</f>
        <v>#REF!</v>
      </c>
    </row>
    <row r="2346" spans="1:13" ht="24" customHeight="1">
      <c r="A2346" s="768">
        <f t="shared" si="189"/>
        <v>6</v>
      </c>
      <c r="B2346" s="773" t="s">
        <v>1503</v>
      </c>
      <c r="C2346" s="390">
        <v>800000</v>
      </c>
      <c r="D2346" s="390">
        <v>2000000</v>
      </c>
      <c r="E2346" s="390">
        <v>2000000</v>
      </c>
      <c r="F2346" s="390">
        <f t="shared" si="190"/>
        <v>4800000</v>
      </c>
      <c r="G2346" s="390">
        <v>428600</v>
      </c>
      <c r="H2346" s="390">
        <v>2000000</v>
      </c>
      <c r="I2346" s="390"/>
      <c r="J2346" s="390"/>
      <c r="K2346" s="734"/>
      <c r="M2346" s="62" t="e">
        <f>IF(#REF!&gt;6,3,5)</f>
        <v>#REF!</v>
      </c>
    </row>
    <row r="2347" spans="1:13" ht="20.100000000000001" customHeight="1">
      <c r="A2347" s="768">
        <f t="shared" si="189"/>
        <v>7</v>
      </c>
      <c r="B2347" s="773" t="s">
        <v>3680</v>
      </c>
      <c r="C2347" s="390">
        <v>800000</v>
      </c>
      <c r="D2347" s="390">
        <v>2000000</v>
      </c>
      <c r="E2347" s="390">
        <v>2000000</v>
      </c>
      <c r="F2347" s="390">
        <f t="shared" si="190"/>
        <v>4800000</v>
      </c>
      <c r="G2347" s="390">
        <v>600485</v>
      </c>
      <c r="H2347" s="390">
        <v>2000000</v>
      </c>
      <c r="I2347" s="390"/>
      <c r="J2347" s="390"/>
      <c r="K2347" s="734"/>
      <c r="M2347" s="62" t="e">
        <f>IF(#REF!&gt;6,3,5)</f>
        <v>#REF!</v>
      </c>
    </row>
    <row r="2348" spans="1:13" ht="20.100000000000001" customHeight="1">
      <c r="A2348" s="768">
        <f t="shared" si="189"/>
        <v>8</v>
      </c>
      <c r="B2348" s="773" t="s">
        <v>1385</v>
      </c>
      <c r="C2348" s="390" t="s">
        <v>3007</v>
      </c>
      <c r="D2348" s="390" t="s">
        <v>3007</v>
      </c>
      <c r="E2348" s="390" t="s">
        <v>3007</v>
      </c>
      <c r="F2348" s="390">
        <f t="shared" si="190"/>
        <v>0</v>
      </c>
      <c r="G2348" s="390"/>
      <c r="H2348" s="390" t="s">
        <v>3007</v>
      </c>
      <c r="I2348" s="390"/>
      <c r="J2348" s="390"/>
      <c r="K2348" s="734"/>
      <c r="M2348" s="62" t="e">
        <f>IF(#REF!&gt;6,3,5)</f>
        <v>#REF!</v>
      </c>
    </row>
    <row r="2349" spans="1:13" ht="20.100000000000001" customHeight="1">
      <c r="A2349" s="768">
        <f t="shared" si="189"/>
        <v>9</v>
      </c>
      <c r="B2349" s="773" t="s">
        <v>2061</v>
      </c>
      <c r="C2349" s="390" t="s">
        <v>3007</v>
      </c>
      <c r="D2349" s="390" t="s">
        <v>3007</v>
      </c>
      <c r="E2349" s="390" t="s">
        <v>3007</v>
      </c>
      <c r="F2349" s="390">
        <f t="shared" si="190"/>
        <v>0</v>
      </c>
      <c r="G2349" s="390"/>
      <c r="H2349" s="390" t="s">
        <v>3007</v>
      </c>
      <c r="I2349" s="390"/>
      <c r="J2349" s="390"/>
      <c r="K2349" s="734"/>
      <c r="M2349" s="62" t="e">
        <f>IF(#REF!&gt;6,3,5)</f>
        <v>#REF!</v>
      </c>
    </row>
    <row r="2350" spans="1:13" ht="20.100000000000001" customHeight="1">
      <c r="A2350" s="768">
        <f t="shared" si="189"/>
        <v>10</v>
      </c>
      <c r="B2350" s="773" t="s">
        <v>2685</v>
      </c>
      <c r="C2350" s="390">
        <v>800000</v>
      </c>
      <c r="D2350" s="390">
        <v>1000000</v>
      </c>
      <c r="E2350" s="390">
        <v>1000000</v>
      </c>
      <c r="F2350" s="390">
        <f t="shared" si="190"/>
        <v>2800000</v>
      </c>
      <c r="G2350" s="390">
        <v>50000</v>
      </c>
      <c r="H2350" s="390">
        <v>1000000</v>
      </c>
      <c r="I2350" s="390"/>
      <c r="J2350" s="390"/>
      <c r="K2350" s="734"/>
      <c r="M2350" s="62" t="e">
        <f>IF(#REF!&gt;6,3,5)</f>
        <v>#REF!</v>
      </c>
    </row>
    <row r="2351" spans="1:13" ht="20.100000000000001" customHeight="1">
      <c r="A2351" s="768">
        <f t="shared" si="189"/>
        <v>11</v>
      </c>
      <c r="B2351" s="773" t="s">
        <v>764</v>
      </c>
      <c r="C2351" s="390">
        <v>100000</v>
      </c>
      <c r="D2351" s="390">
        <v>100000</v>
      </c>
      <c r="E2351" s="390">
        <v>100000</v>
      </c>
      <c r="F2351" s="390">
        <f t="shared" si="190"/>
        <v>300000</v>
      </c>
      <c r="G2351" s="390">
        <v>35000</v>
      </c>
      <c r="H2351" s="390">
        <v>100000</v>
      </c>
      <c r="I2351" s="390"/>
      <c r="J2351" s="390"/>
      <c r="K2351" s="734"/>
      <c r="M2351" s="62" t="e">
        <f>IF(#REF!&gt;6,3,5)</f>
        <v>#REF!</v>
      </c>
    </row>
    <row r="2352" spans="1:13" ht="20.100000000000001" customHeight="1">
      <c r="A2352" s="768">
        <f t="shared" si="189"/>
        <v>12</v>
      </c>
      <c r="B2352" s="773" t="s">
        <v>2688</v>
      </c>
      <c r="C2352" s="390">
        <v>2000000</v>
      </c>
      <c r="D2352" s="390">
        <v>4000000</v>
      </c>
      <c r="E2352" s="390">
        <v>4000000</v>
      </c>
      <c r="F2352" s="390">
        <f t="shared" si="190"/>
        <v>10000000</v>
      </c>
      <c r="G2352" s="743">
        <v>2930490.5</v>
      </c>
      <c r="H2352" s="390">
        <v>4000000</v>
      </c>
      <c r="I2352" s="743"/>
      <c r="J2352" s="390"/>
      <c r="K2352" s="734"/>
      <c r="M2352" s="62" t="e">
        <f>IF(#REF!&gt;6,3,5)</f>
        <v>#REF!</v>
      </c>
    </row>
    <row r="2353" spans="1:13" ht="20.100000000000001" customHeight="1">
      <c r="A2353" s="768">
        <f t="shared" si="189"/>
        <v>13</v>
      </c>
      <c r="B2353" s="773" t="s">
        <v>2249</v>
      </c>
      <c r="C2353" s="390">
        <v>100000</v>
      </c>
      <c r="D2353" s="390">
        <v>100000</v>
      </c>
      <c r="E2353" s="390">
        <v>100000</v>
      </c>
      <c r="F2353" s="390">
        <f t="shared" si="190"/>
        <v>300000</v>
      </c>
      <c r="G2353" s="390">
        <v>0</v>
      </c>
      <c r="H2353" s="390">
        <v>100000</v>
      </c>
      <c r="I2353" s="390"/>
      <c r="J2353" s="390"/>
      <c r="K2353" s="734"/>
      <c r="M2353" s="62" t="e">
        <f>IF(#REF!&gt;6,3,5)</f>
        <v>#REF!</v>
      </c>
    </row>
    <row r="2354" spans="1:13" ht="20.100000000000001" customHeight="1">
      <c r="A2354" s="768">
        <f t="shared" si="189"/>
        <v>14</v>
      </c>
      <c r="B2354" s="773" t="s">
        <v>1336</v>
      </c>
      <c r="C2354" s="390">
        <v>800000</v>
      </c>
      <c r="D2354" s="390">
        <v>1000000</v>
      </c>
      <c r="E2354" s="390">
        <v>1000000</v>
      </c>
      <c r="F2354" s="390">
        <f t="shared" si="190"/>
        <v>2800000</v>
      </c>
      <c r="G2354" s="390">
        <v>50000</v>
      </c>
      <c r="H2354" s="390">
        <v>1000000</v>
      </c>
      <c r="I2354" s="390"/>
      <c r="J2354" s="390"/>
      <c r="K2354" s="734"/>
      <c r="M2354" s="62" t="e">
        <f>IF(#REF!&gt;6,3,5)</f>
        <v>#REF!</v>
      </c>
    </row>
    <row r="2355" spans="1:13" ht="20.100000000000001" customHeight="1">
      <c r="A2355" s="768">
        <f t="shared" si="189"/>
        <v>15</v>
      </c>
      <c r="B2355" s="773" t="s">
        <v>2449</v>
      </c>
      <c r="C2355" s="390" t="s">
        <v>3007</v>
      </c>
      <c r="D2355" s="390" t="s">
        <v>3007</v>
      </c>
      <c r="E2355" s="390" t="s">
        <v>3007</v>
      </c>
      <c r="F2355" s="390">
        <f t="shared" si="190"/>
        <v>0</v>
      </c>
      <c r="G2355" s="390"/>
      <c r="H2355" s="390" t="s">
        <v>3007</v>
      </c>
      <c r="I2355" s="390"/>
      <c r="J2355" s="390"/>
      <c r="K2355" s="734"/>
      <c r="M2355" s="62" t="e">
        <f>IF(#REF!&gt;6,3,5)</f>
        <v>#REF!</v>
      </c>
    </row>
    <row r="2356" spans="1:13" ht="20.100000000000001" customHeight="1">
      <c r="A2356" s="768">
        <f t="shared" si="189"/>
        <v>16</v>
      </c>
      <c r="B2356" s="773" t="s">
        <v>2861</v>
      </c>
      <c r="C2356" s="390" t="s">
        <v>3007</v>
      </c>
      <c r="D2356" s="390" t="s">
        <v>3007</v>
      </c>
      <c r="E2356" s="390" t="s">
        <v>3007</v>
      </c>
      <c r="F2356" s="390">
        <f t="shared" si="190"/>
        <v>0</v>
      </c>
      <c r="G2356" s="390"/>
      <c r="H2356" s="390" t="s">
        <v>3007</v>
      </c>
      <c r="I2356" s="390"/>
      <c r="J2356" s="390"/>
      <c r="K2356" s="734"/>
      <c r="M2356" s="62" t="e">
        <f>IF(#REF!&gt;6,3,5)</f>
        <v>#REF!</v>
      </c>
    </row>
    <row r="2357" spans="1:13" ht="20.100000000000001" customHeight="1">
      <c r="A2357" s="768">
        <f t="shared" si="189"/>
        <v>17</v>
      </c>
      <c r="B2357" s="773" t="s">
        <v>2669</v>
      </c>
      <c r="C2357" s="390" t="s">
        <v>3007</v>
      </c>
      <c r="D2357" s="390" t="s">
        <v>3007</v>
      </c>
      <c r="E2357" s="390" t="s">
        <v>3007</v>
      </c>
      <c r="F2357" s="390">
        <f t="shared" si="190"/>
        <v>0</v>
      </c>
      <c r="G2357" s="390"/>
      <c r="H2357" s="390" t="s">
        <v>3007</v>
      </c>
      <c r="I2357" s="390"/>
      <c r="J2357" s="390"/>
      <c r="K2357" s="734"/>
      <c r="M2357" s="62" t="e">
        <f>IF(#REF!&gt;6,3,5)</f>
        <v>#REF!</v>
      </c>
    </row>
    <row r="2358" spans="1:13" ht="20.100000000000001" customHeight="1">
      <c r="A2358" s="768">
        <f t="shared" si="189"/>
        <v>18</v>
      </c>
      <c r="B2358" s="773" t="s">
        <v>2831</v>
      </c>
      <c r="C2358" s="390">
        <v>500000</v>
      </c>
      <c r="D2358" s="390">
        <v>3000000</v>
      </c>
      <c r="E2358" s="390">
        <v>3000000</v>
      </c>
      <c r="F2358" s="390">
        <f t="shared" si="190"/>
        <v>6500000</v>
      </c>
      <c r="G2358" s="390"/>
      <c r="H2358" s="390">
        <v>3000000</v>
      </c>
      <c r="I2358" s="390"/>
      <c r="J2358" s="390"/>
      <c r="K2358" s="734"/>
      <c r="M2358" s="62" t="e">
        <f>IF(#REF!&gt;6,3,5)</f>
        <v>#REF!</v>
      </c>
    </row>
    <row r="2359" spans="1:13" ht="20.100000000000001" customHeight="1">
      <c r="A2359" s="768">
        <f t="shared" si="189"/>
        <v>19</v>
      </c>
      <c r="B2359" s="773" t="s">
        <v>2615</v>
      </c>
      <c r="C2359" s="390">
        <v>1000000</v>
      </c>
      <c r="D2359" s="390">
        <v>1400000</v>
      </c>
      <c r="E2359" s="390">
        <v>1400000</v>
      </c>
      <c r="F2359" s="390">
        <f t="shared" si="190"/>
        <v>3800000</v>
      </c>
      <c r="G2359" s="390"/>
      <c r="H2359" s="390">
        <v>1400000</v>
      </c>
      <c r="I2359" s="390"/>
      <c r="J2359" s="390"/>
      <c r="K2359" s="734"/>
      <c r="M2359" s="62" t="e">
        <f>IF(#REF!&gt;6,3,5)</f>
        <v>#REF!</v>
      </c>
    </row>
    <row r="2360" spans="1:13" ht="25.5">
      <c r="A2360" s="768">
        <f t="shared" si="189"/>
        <v>20</v>
      </c>
      <c r="B2360" s="773" t="s">
        <v>2901</v>
      </c>
      <c r="C2360" s="390">
        <v>500000</v>
      </c>
      <c r="D2360" s="390">
        <v>1000000</v>
      </c>
      <c r="E2360" s="390">
        <v>1000000</v>
      </c>
      <c r="F2360" s="390">
        <f t="shared" si="190"/>
        <v>2500000</v>
      </c>
      <c r="G2360" s="390"/>
      <c r="H2360" s="390">
        <v>1000000</v>
      </c>
      <c r="I2360" s="390"/>
      <c r="J2360" s="390"/>
      <c r="K2360" s="734"/>
      <c r="M2360" s="62" t="e">
        <f>IF(#REF!&gt;6,3,5)</f>
        <v>#REF!</v>
      </c>
    </row>
    <row r="2361" spans="1:13" ht="20.100000000000001" customHeight="1">
      <c r="A2361" s="768">
        <f>+A2360+1</f>
        <v>21</v>
      </c>
      <c r="B2361" s="773" t="s">
        <v>2904</v>
      </c>
      <c r="C2361" s="390" t="s">
        <v>3007</v>
      </c>
      <c r="D2361" s="390" t="s">
        <v>3007</v>
      </c>
      <c r="E2361" s="390" t="s">
        <v>3007</v>
      </c>
      <c r="F2361" s="390">
        <f t="shared" si="190"/>
        <v>0</v>
      </c>
      <c r="G2361" s="390"/>
      <c r="H2361" s="390" t="s">
        <v>3007</v>
      </c>
      <c r="I2361" s="390"/>
      <c r="J2361" s="390"/>
      <c r="K2361" s="734"/>
      <c r="M2361" s="62" t="e">
        <f>IF(#REF!&gt;6,3,5)</f>
        <v>#REF!</v>
      </c>
    </row>
    <row r="2362" spans="1:13" ht="20.100000000000001" customHeight="1">
      <c r="A2362" s="768">
        <f>+A2361+1</f>
        <v>22</v>
      </c>
      <c r="B2362" s="773" t="s">
        <v>1772</v>
      </c>
      <c r="C2362" s="390">
        <v>3000000</v>
      </c>
      <c r="D2362" s="390">
        <v>4000000</v>
      </c>
      <c r="E2362" s="390">
        <v>4000000</v>
      </c>
      <c r="F2362" s="390">
        <f t="shared" si="190"/>
        <v>11000000</v>
      </c>
      <c r="G2362" s="390"/>
      <c r="H2362" s="390">
        <v>4000000</v>
      </c>
      <c r="I2362" s="390"/>
      <c r="J2362" s="390"/>
      <c r="K2362" s="734"/>
      <c r="M2362" s="62" t="e">
        <f>IF(#REF!&gt;6,3,5)</f>
        <v>#REF!</v>
      </c>
    </row>
    <row r="2363" spans="1:13" ht="20.100000000000001" customHeight="1">
      <c r="A2363" s="770"/>
      <c r="B2363" s="770" t="s">
        <v>1684</v>
      </c>
      <c r="C2363" s="739">
        <f t="shared" ref="C2363:I2363" si="191">SUM(C2342:C2362)</f>
        <v>13000000</v>
      </c>
      <c r="D2363" s="739">
        <f t="shared" si="191"/>
        <v>24600000</v>
      </c>
      <c r="E2363" s="739">
        <f t="shared" si="191"/>
        <v>24600000</v>
      </c>
      <c r="F2363" s="739">
        <f t="shared" si="191"/>
        <v>62200000</v>
      </c>
      <c r="G2363" s="739">
        <f>SUM(G2342:G2362)</f>
        <v>5495075.5</v>
      </c>
      <c r="H2363" s="739">
        <f t="shared" si="191"/>
        <v>24600000</v>
      </c>
      <c r="I2363" s="739">
        <f t="shared" si="191"/>
        <v>0</v>
      </c>
      <c r="J2363" s="739"/>
      <c r="K2363" s="740"/>
      <c r="M2363" s="62" t="e">
        <f>IF(#REF!&gt;6,3,5)</f>
        <v>#REF!</v>
      </c>
    </row>
    <row r="2364" spans="1:13" ht="15">
      <c r="A2364" s="113"/>
      <c r="B2364" s="131"/>
      <c r="C2364" s="113"/>
      <c r="D2364" s="114"/>
      <c r="E2364" s="114"/>
      <c r="F2364" s="132"/>
      <c r="G2364" s="132"/>
      <c r="H2364" s="132"/>
      <c r="I2364" s="132"/>
      <c r="J2364" s="584"/>
      <c r="K2364" s="584"/>
      <c r="M2364" s="62">
        <f t="shared" ref="M2364:M2407" si="192">IF(C2364&gt;6,3,5)</f>
        <v>5</v>
      </c>
    </row>
    <row r="2365" spans="1:13" ht="15">
      <c r="C2365" s="77"/>
      <c r="D2365" s="78" t="s">
        <v>5434</v>
      </c>
      <c r="G2365" s="78"/>
      <c r="H2365" s="62"/>
      <c r="I2365" s="78"/>
      <c r="J2365" s="584"/>
      <c r="K2365" s="584"/>
      <c r="M2365" s="62">
        <f t="shared" si="192"/>
        <v>5</v>
      </c>
    </row>
    <row r="2366" spans="1:13">
      <c r="C2366" s="77"/>
      <c r="D2366" s="78" t="s">
        <v>1693</v>
      </c>
      <c r="G2366" s="78"/>
      <c r="H2366" s="62"/>
      <c r="I2366" s="78"/>
      <c r="J2366" s="76"/>
      <c r="K2366" s="76"/>
      <c r="M2366" s="62">
        <f t="shared" si="192"/>
        <v>5</v>
      </c>
    </row>
    <row r="2367" spans="1:13">
      <c r="C2367" s="79" t="s">
        <v>717</v>
      </c>
      <c r="D2367" s="78" t="s">
        <v>3994</v>
      </c>
      <c r="G2367" s="78"/>
      <c r="H2367" s="78"/>
      <c r="I2367" s="78"/>
      <c r="J2367" s="76"/>
      <c r="K2367" s="76"/>
    </row>
    <row r="2368" spans="1:13" ht="13.5" thickBot="1">
      <c r="C2368" s="79" t="s">
        <v>718</v>
      </c>
      <c r="D2368" s="78" t="s">
        <v>1203</v>
      </c>
      <c r="G2368" s="78"/>
      <c r="H2368" s="78"/>
      <c r="I2368" s="78"/>
      <c r="J2368" s="76"/>
      <c r="K2368" s="76"/>
    </row>
    <row r="2369" spans="1:13" ht="15.75" thickTop="1">
      <c r="A2369" s="1047" t="s">
        <v>2791</v>
      </c>
      <c r="B2369" s="1049" t="s">
        <v>4126</v>
      </c>
      <c r="C2369" s="1049" t="s">
        <v>854</v>
      </c>
      <c r="D2369" s="1040" t="s">
        <v>4127</v>
      </c>
      <c r="E2369" s="1041"/>
      <c r="F2369" s="1041"/>
      <c r="G2369" s="1040" t="s">
        <v>904</v>
      </c>
      <c r="H2369" s="1041"/>
      <c r="I2369" s="1042"/>
      <c r="J2369" s="1035" t="s">
        <v>855</v>
      </c>
      <c r="K2369" s="389"/>
    </row>
    <row r="2370" spans="1:13" ht="26.25" thickBot="1">
      <c r="A2370" s="1048"/>
      <c r="B2370" s="1050"/>
      <c r="C2370" s="1050"/>
      <c r="D2370" s="285" t="s">
        <v>5505</v>
      </c>
      <c r="E2370" s="285" t="s">
        <v>4485</v>
      </c>
      <c r="F2370" s="285" t="s">
        <v>4486</v>
      </c>
      <c r="G2370" s="287" t="s">
        <v>4487</v>
      </c>
      <c r="H2370" s="285" t="s">
        <v>4488</v>
      </c>
      <c r="I2370" s="287" t="s">
        <v>4489</v>
      </c>
      <c r="J2370" s="1036"/>
      <c r="K2370" s="712"/>
    </row>
    <row r="2371" spans="1:13" ht="13.5" thickTop="1">
      <c r="A2371" s="107"/>
      <c r="B2371" s="258" t="s">
        <v>53</v>
      </c>
      <c r="C2371" s="109"/>
      <c r="D2371" s="110"/>
      <c r="E2371" s="110"/>
      <c r="F2371" s="69"/>
      <c r="G2371" s="110"/>
      <c r="H2371" s="110"/>
      <c r="I2371" s="110"/>
      <c r="J2371" s="713"/>
      <c r="K2371" s="711"/>
      <c r="M2371" s="62">
        <f t="shared" si="192"/>
        <v>5</v>
      </c>
    </row>
    <row r="2372" spans="1:13">
      <c r="A2372" s="88">
        <v>1</v>
      </c>
      <c r="B2372" s="69" t="s">
        <v>2970</v>
      </c>
      <c r="C2372" s="69" t="s">
        <v>2335</v>
      </c>
      <c r="D2372" s="89">
        <v>1</v>
      </c>
      <c r="E2372" s="89">
        <v>1</v>
      </c>
      <c r="F2372" s="89">
        <v>1</v>
      </c>
      <c r="G2372" s="89">
        <v>1</v>
      </c>
      <c r="H2372" s="89">
        <v>1</v>
      </c>
      <c r="I2372" s="89">
        <v>1</v>
      </c>
      <c r="J2372" s="713">
        <f>H2372*L2372</f>
        <v>3600000</v>
      </c>
      <c r="K2372" s="711"/>
      <c r="L2372" s="62">
        <f>300000*12</f>
        <v>3600000</v>
      </c>
      <c r="M2372" s="62">
        <f t="shared" si="192"/>
        <v>3</v>
      </c>
    </row>
    <row r="2373" spans="1:13">
      <c r="A2373" s="88">
        <f>+A2372+1</f>
        <v>2</v>
      </c>
      <c r="B2373" s="69" t="s">
        <v>54</v>
      </c>
      <c r="C2373" s="69" t="s">
        <v>2335</v>
      </c>
      <c r="D2373" s="89">
        <v>10</v>
      </c>
      <c r="E2373" s="89">
        <v>10</v>
      </c>
      <c r="F2373" s="89">
        <v>10</v>
      </c>
      <c r="G2373" s="89">
        <v>10</v>
      </c>
      <c r="H2373" s="89">
        <v>10</v>
      </c>
      <c r="I2373" s="89">
        <v>10</v>
      </c>
      <c r="J2373" s="713">
        <f>H2373*L2373</f>
        <v>15600000</v>
      </c>
      <c r="K2373" s="711"/>
      <c r="L2373" s="62">
        <f>130000*12</f>
        <v>1560000</v>
      </c>
      <c r="M2373" s="62">
        <f t="shared" si="192"/>
        <v>3</v>
      </c>
    </row>
    <row r="2374" spans="1:13">
      <c r="A2374" s="88">
        <f>+A2373+1</f>
        <v>3</v>
      </c>
      <c r="B2374" s="69" t="s">
        <v>2311</v>
      </c>
      <c r="C2374" s="69" t="s">
        <v>2335</v>
      </c>
      <c r="D2374" s="89">
        <v>6</v>
      </c>
      <c r="E2374" s="89">
        <v>6</v>
      </c>
      <c r="F2374" s="89">
        <v>6</v>
      </c>
      <c r="G2374" s="89">
        <v>6</v>
      </c>
      <c r="H2374" s="89">
        <v>6</v>
      </c>
      <c r="I2374" s="89">
        <v>6</v>
      </c>
      <c r="J2374" s="713">
        <f>H2374*L2374</f>
        <v>8640000</v>
      </c>
      <c r="K2374" s="711"/>
      <c r="L2374" s="62">
        <f>120000*12</f>
        <v>1440000</v>
      </c>
      <c r="M2374" s="62">
        <f t="shared" si="192"/>
        <v>3</v>
      </c>
    </row>
    <row r="2375" spans="1:13">
      <c r="A2375" s="88">
        <f>+A2374+1</f>
        <v>4</v>
      </c>
      <c r="B2375" s="69" t="s">
        <v>2312</v>
      </c>
      <c r="C2375" s="69" t="s">
        <v>2335</v>
      </c>
      <c r="D2375" s="89">
        <v>12</v>
      </c>
      <c r="E2375" s="89">
        <v>12</v>
      </c>
      <c r="F2375" s="89">
        <v>12</v>
      </c>
      <c r="G2375" s="89">
        <v>12</v>
      </c>
      <c r="H2375" s="89">
        <v>12</v>
      </c>
      <c r="I2375" s="89">
        <v>12</v>
      </c>
      <c r="J2375" s="713">
        <f>H2375*L2375</f>
        <v>11520000</v>
      </c>
      <c r="K2375" s="711"/>
      <c r="L2375" s="62">
        <f>80000*12</f>
        <v>960000</v>
      </c>
      <c r="M2375" s="62">
        <f t="shared" si="192"/>
        <v>3</v>
      </c>
    </row>
    <row r="2376" spans="1:13">
      <c r="A2376" s="88">
        <f>+A2375+1</f>
        <v>5</v>
      </c>
      <c r="B2376" s="69" t="s">
        <v>754</v>
      </c>
      <c r="C2376" s="69">
        <v>7</v>
      </c>
      <c r="D2376" s="89">
        <v>3</v>
      </c>
      <c r="E2376" s="89">
        <v>3</v>
      </c>
      <c r="F2376" s="89">
        <v>3</v>
      </c>
      <c r="G2376" s="89">
        <v>3</v>
      </c>
      <c r="H2376" s="89">
        <v>3</v>
      </c>
      <c r="I2376" s="89">
        <v>3</v>
      </c>
      <c r="J2376" s="710">
        <f>(VLOOKUP($C2376,[2]Sheet1!$A$2:$P$18,$M2376+1)/12)*12*D2376</f>
        <v>923120.1072000002</v>
      </c>
      <c r="K2376" s="711"/>
      <c r="M2376" s="62">
        <f t="shared" si="192"/>
        <v>3</v>
      </c>
    </row>
    <row r="2377" spans="1:13">
      <c r="A2377" s="88">
        <f>+A2376+1</f>
        <v>6</v>
      </c>
      <c r="B2377" s="69" t="s">
        <v>1868</v>
      </c>
      <c r="C2377" s="69">
        <v>6</v>
      </c>
      <c r="D2377" s="89">
        <v>1</v>
      </c>
      <c r="E2377" s="89">
        <v>1</v>
      </c>
      <c r="F2377" s="89">
        <v>1</v>
      </c>
      <c r="G2377" s="89">
        <v>1</v>
      </c>
      <c r="H2377" s="89">
        <v>1</v>
      </c>
      <c r="I2377" s="89">
        <v>1</v>
      </c>
      <c r="J2377" s="710">
        <f>(VLOOKUP($C2377,[2]Sheet1!$A$2:$P$18,$M2377+1)/12)*12*D2377</f>
        <v>238099.37893036497</v>
      </c>
      <c r="K2377" s="711"/>
      <c r="M2377" s="62">
        <f>IF(C2377&gt;6,3,5)</f>
        <v>5</v>
      </c>
    </row>
    <row r="2378" spans="1:13">
      <c r="A2378" s="88">
        <f>+A2376+1</f>
        <v>6</v>
      </c>
      <c r="B2378" s="69" t="s">
        <v>3858</v>
      </c>
      <c r="C2378" s="69">
        <v>2</v>
      </c>
      <c r="D2378" s="89">
        <v>0</v>
      </c>
      <c r="E2378" s="89">
        <v>0</v>
      </c>
      <c r="F2378" s="89">
        <v>0</v>
      </c>
      <c r="G2378" s="89">
        <v>0</v>
      </c>
      <c r="H2378" s="89">
        <v>0</v>
      </c>
      <c r="I2378" s="89">
        <v>0</v>
      </c>
      <c r="J2378" s="710">
        <f>(VLOOKUP($C2378,[2]Sheet1!$A$2:$P$18,$M2378+1)/12)*12*D2378</f>
        <v>0</v>
      </c>
      <c r="K2378" s="711"/>
      <c r="M2378" s="62">
        <f t="shared" si="192"/>
        <v>5</v>
      </c>
    </row>
    <row r="2379" spans="1:13">
      <c r="A2379" s="88">
        <f t="shared" ref="A2379:A2387" si="193">+A2378+1</f>
        <v>7</v>
      </c>
      <c r="B2379" s="69" t="s">
        <v>2364</v>
      </c>
      <c r="C2379" s="69">
        <v>2</v>
      </c>
      <c r="D2379" s="89">
        <v>0</v>
      </c>
      <c r="E2379" s="89">
        <v>0</v>
      </c>
      <c r="F2379" s="89">
        <v>0</v>
      </c>
      <c r="G2379" s="89">
        <v>0</v>
      </c>
      <c r="H2379" s="89">
        <v>0</v>
      </c>
      <c r="I2379" s="89">
        <v>0</v>
      </c>
      <c r="J2379" s="710">
        <f>(VLOOKUP($C2379,[2]Sheet1!$A$2:$P$18,$M2379+1)/12)*12*D2379</f>
        <v>0</v>
      </c>
      <c r="K2379" s="711"/>
      <c r="M2379" s="62">
        <f t="shared" si="192"/>
        <v>5</v>
      </c>
    </row>
    <row r="2380" spans="1:13">
      <c r="A2380" s="88">
        <f t="shared" si="193"/>
        <v>8</v>
      </c>
      <c r="B2380" s="69" t="s">
        <v>3861</v>
      </c>
      <c r="C2380" s="69">
        <v>2</v>
      </c>
      <c r="D2380" s="89">
        <v>0</v>
      </c>
      <c r="E2380" s="89">
        <v>0</v>
      </c>
      <c r="F2380" s="89">
        <v>0</v>
      </c>
      <c r="G2380" s="89">
        <v>0</v>
      </c>
      <c r="H2380" s="89">
        <v>0</v>
      </c>
      <c r="I2380" s="89">
        <v>0</v>
      </c>
      <c r="J2380" s="710">
        <f>(VLOOKUP($C2380,[2]Sheet1!$A$2:$P$18,$M2380+1)/12)*12*D2380</f>
        <v>0</v>
      </c>
      <c r="K2380" s="711"/>
      <c r="M2380" s="62">
        <f t="shared" si="192"/>
        <v>5</v>
      </c>
    </row>
    <row r="2381" spans="1:13">
      <c r="A2381" s="88">
        <f t="shared" si="193"/>
        <v>9</v>
      </c>
      <c r="B2381" s="69" t="s">
        <v>581</v>
      </c>
      <c r="C2381" s="69">
        <v>4</v>
      </c>
      <c r="D2381" s="89">
        <v>2</v>
      </c>
      <c r="E2381" s="89">
        <v>2</v>
      </c>
      <c r="F2381" s="89">
        <v>2</v>
      </c>
      <c r="G2381" s="89">
        <v>2</v>
      </c>
      <c r="H2381" s="89">
        <v>2</v>
      </c>
      <c r="I2381" s="89">
        <v>2</v>
      </c>
      <c r="J2381" s="710">
        <f>(VLOOKUP($C2381,[2]Sheet1!$A$2:$P$18,$M2381+1)/12)*12*D2381</f>
        <v>449085.95786073001</v>
      </c>
      <c r="K2381" s="711"/>
      <c r="M2381" s="62">
        <f t="shared" si="192"/>
        <v>5</v>
      </c>
    </row>
    <row r="2382" spans="1:13">
      <c r="A2382" s="88">
        <f>+A2381+1</f>
        <v>10</v>
      </c>
      <c r="B2382" s="69" t="s">
        <v>2563</v>
      </c>
      <c r="C2382" s="69">
        <v>6</v>
      </c>
      <c r="D2382" s="89">
        <v>1</v>
      </c>
      <c r="E2382" s="89">
        <v>1</v>
      </c>
      <c r="F2382" s="89">
        <v>1</v>
      </c>
      <c r="G2382" s="89">
        <v>1</v>
      </c>
      <c r="H2382" s="89">
        <v>1</v>
      </c>
      <c r="I2382" s="89">
        <v>1</v>
      </c>
      <c r="J2382" s="710">
        <f>(VLOOKUP($C2382,[2]Sheet1!$A$2:$P$18,$M2382+1)/12)*12*D2382</f>
        <v>238099.37893036497</v>
      </c>
      <c r="K2382" s="711"/>
      <c r="M2382" s="62">
        <f>IF(C2382&gt;6,3,5)</f>
        <v>5</v>
      </c>
    </row>
    <row r="2383" spans="1:13">
      <c r="A2383" s="88">
        <f>+A2382+1</f>
        <v>11</v>
      </c>
      <c r="B2383" s="69" t="s">
        <v>2597</v>
      </c>
      <c r="C2383" s="69">
        <v>4</v>
      </c>
      <c r="D2383" s="89">
        <v>0</v>
      </c>
      <c r="E2383" s="89">
        <v>0</v>
      </c>
      <c r="F2383" s="89">
        <v>0</v>
      </c>
      <c r="G2383" s="89">
        <v>0</v>
      </c>
      <c r="H2383" s="89">
        <v>0</v>
      </c>
      <c r="I2383" s="89">
        <v>0</v>
      </c>
      <c r="J2383" s="710">
        <f>(VLOOKUP($C2383,[2]Sheet1!$A$2:$P$18,$M2383+1)/12)*12*D2383</f>
        <v>0</v>
      </c>
      <c r="K2383" s="711"/>
      <c r="M2383" s="62">
        <f t="shared" si="192"/>
        <v>5</v>
      </c>
    </row>
    <row r="2384" spans="1:13">
      <c r="A2384" s="88">
        <f t="shared" si="193"/>
        <v>12</v>
      </c>
      <c r="B2384" s="69" t="s">
        <v>919</v>
      </c>
      <c r="C2384" s="69">
        <v>6</v>
      </c>
      <c r="D2384" s="89">
        <v>1</v>
      </c>
      <c r="E2384" s="89">
        <v>1</v>
      </c>
      <c r="F2384" s="89">
        <v>1</v>
      </c>
      <c r="G2384" s="89">
        <v>1</v>
      </c>
      <c r="H2384" s="89">
        <v>1</v>
      </c>
      <c r="I2384" s="89">
        <v>1</v>
      </c>
      <c r="J2384" s="710">
        <f>(VLOOKUP($C2384,[2]Sheet1!$A$2:$P$18,$M2384+1)/12)*12*D2384</f>
        <v>238099.37893036497</v>
      </c>
      <c r="K2384" s="711"/>
      <c r="M2384" s="62">
        <f t="shared" si="192"/>
        <v>5</v>
      </c>
    </row>
    <row r="2385" spans="1:13">
      <c r="A2385" s="88">
        <f t="shared" si="193"/>
        <v>13</v>
      </c>
      <c r="B2385" s="69" t="s">
        <v>3256</v>
      </c>
      <c r="C2385" s="69">
        <v>3</v>
      </c>
      <c r="D2385" s="89">
        <v>2</v>
      </c>
      <c r="E2385" s="89">
        <v>2</v>
      </c>
      <c r="F2385" s="89">
        <v>2</v>
      </c>
      <c r="G2385" s="89">
        <v>2</v>
      </c>
      <c r="H2385" s="89">
        <v>2</v>
      </c>
      <c r="I2385" s="89">
        <v>2</v>
      </c>
      <c r="J2385" s="710">
        <f>(VLOOKUP($C2385,[2]Sheet1!$A$2:$P$18,$M2385+1)/12)*12*D2385</f>
        <v>438672.35786072997</v>
      </c>
      <c r="K2385" s="711"/>
      <c r="M2385" s="62">
        <f t="shared" si="192"/>
        <v>5</v>
      </c>
    </row>
    <row r="2386" spans="1:13">
      <c r="A2386" s="88">
        <f t="shared" si="193"/>
        <v>14</v>
      </c>
      <c r="B2386" s="69" t="s">
        <v>3861</v>
      </c>
      <c r="C2386" s="69">
        <v>2</v>
      </c>
      <c r="D2386" s="89">
        <v>3</v>
      </c>
      <c r="E2386" s="89">
        <v>3</v>
      </c>
      <c r="F2386" s="89">
        <v>3</v>
      </c>
      <c r="G2386" s="89">
        <v>3</v>
      </c>
      <c r="H2386" s="89">
        <v>3</v>
      </c>
      <c r="I2386" s="89">
        <v>3</v>
      </c>
      <c r="J2386" s="710">
        <f>(VLOOKUP($C2386,[2]Sheet1!$A$2:$P$18,$M2386+1)/12)*12*D2386</f>
        <v>643972.13679109514</v>
      </c>
      <c r="K2386" s="711"/>
      <c r="M2386" s="62">
        <f t="shared" si="192"/>
        <v>5</v>
      </c>
    </row>
    <row r="2387" spans="1:13">
      <c r="A2387" s="88">
        <f t="shared" si="193"/>
        <v>15</v>
      </c>
      <c r="B2387" s="69" t="s">
        <v>2543</v>
      </c>
      <c r="C2387" s="69">
        <v>2</v>
      </c>
      <c r="D2387" s="89">
        <v>3</v>
      </c>
      <c r="E2387" s="89">
        <v>3</v>
      </c>
      <c r="F2387" s="89">
        <v>3</v>
      </c>
      <c r="G2387" s="89">
        <v>3</v>
      </c>
      <c r="H2387" s="89">
        <v>3</v>
      </c>
      <c r="I2387" s="89">
        <v>3</v>
      </c>
      <c r="J2387" s="710">
        <f>(VLOOKUP($C2387,[2]Sheet1!$A$2:$P$18,$M2387+1)/12)*12*D2387</f>
        <v>643972.13679109514</v>
      </c>
      <c r="K2387" s="711"/>
      <c r="M2387" s="62">
        <f t="shared" si="192"/>
        <v>5</v>
      </c>
    </row>
    <row r="2388" spans="1:13">
      <c r="A2388" s="88">
        <f>+A2387+1</f>
        <v>16</v>
      </c>
      <c r="B2388" s="69" t="s">
        <v>582</v>
      </c>
      <c r="C2388" s="69">
        <v>2</v>
      </c>
      <c r="D2388" s="89">
        <v>3</v>
      </c>
      <c r="E2388" s="89">
        <v>3</v>
      </c>
      <c r="F2388" s="89">
        <v>3</v>
      </c>
      <c r="G2388" s="89">
        <v>3</v>
      </c>
      <c r="H2388" s="89">
        <v>3</v>
      </c>
      <c r="I2388" s="89">
        <v>3</v>
      </c>
      <c r="J2388" s="710">
        <f>(VLOOKUP($C2388,[2]Sheet1!$A$2:$P$18,$M2388+1)/12)*12*D2388</f>
        <v>643972.13679109514</v>
      </c>
      <c r="K2388" s="711"/>
      <c r="M2388" s="62">
        <f>IF(C2388&gt;6,3,5)</f>
        <v>5</v>
      </c>
    </row>
    <row r="2389" spans="1:13">
      <c r="A2389" s="88"/>
      <c r="B2389" s="90" t="s">
        <v>2319</v>
      </c>
      <c r="C2389" s="69"/>
      <c r="D2389" s="89"/>
      <c r="E2389" s="89"/>
      <c r="F2389" s="89"/>
      <c r="G2389" s="89"/>
      <c r="H2389" s="89"/>
      <c r="I2389" s="89"/>
      <c r="J2389" s="710"/>
      <c r="K2389" s="711"/>
      <c r="M2389" s="62">
        <f t="shared" si="192"/>
        <v>5</v>
      </c>
    </row>
    <row r="2390" spans="1:13">
      <c r="A2390" s="88">
        <f>+A2387+1</f>
        <v>16</v>
      </c>
      <c r="B2390" s="69" t="s">
        <v>3187</v>
      </c>
      <c r="C2390" s="69">
        <v>2</v>
      </c>
      <c r="D2390" s="89">
        <v>1</v>
      </c>
      <c r="E2390" s="89">
        <v>1</v>
      </c>
      <c r="F2390" s="89">
        <v>1</v>
      </c>
      <c r="G2390" s="89">
        <v>1</v>
      </c>
      <c r="H2390" s="89">
        <v>1</v>
      </c>
      <c r="I2390" s="89">
        <v>1</v>
      </c>
      <c r="J2390" s="710">
        <f>(VLOOKUP($C2390,[2]Sheet1!$A$2:$P$18,$M2390+1)/12)*12*D2390</f>
        <v>214657.37893036503</v>
      </c>
      <c r="K2390" s="711"/>
      <c r="M2390" s="62">
        <f t="shared" si="192"/>
        <v>5</v>
      </c>
    </row>
    <row r="2391" spans="1:13">
      <c r="A2391" s="88">
        <f>+A2390+1</f>
        <v>17</v>
      </c>
      <c r="B2391" s="69" t="s">
        <v>2472</v>
      </c>
      <c r="C2391" s="69">
        <v>3</v>
      </c>
      <c r="D2391" s="89">
        <v>1</v>
      </c>
      <c r="E2391" s="89">
        <v>1</v>
      </c>
      <c r="F2391" s="89">
        <v>1</v>
      </c>
      <c r="G2391" s="89">
        <v>1</v>
      </c>
      <c r="H2391" s="89">
        <v>1</v>
      </c>
      <c r="I2391" s="89">
        <v>1</v>
      </c>
      <c r="J2391" s="710">
        <f>(VLOOKUP($C2391,[2]Sheet1!$A$2:$P$18,$M2391+1)/12)*12*D2391</f>
        <v>219336.17893036499</v>
      </c>
      <c r="K2391" s="711"/>
      <c r="M2391" s="62">
        <f t="shared" si="192"/>
        <v>5</v>
      </c>
    </row>
    <row r="2392" spans="1:13">
      <c r="A2392" s="88">
        <f>+A2391+1</f>
        <v>18</v>
      </c>
      <c r="B2392" s="69" t="s">
        <v>2172</v>
      </c>
      <c r="C2392" s="69">
        <v>2</v>
      </c>
      <c r="D2392" s="89">
        <v>1</v>
      </c>
      <c r="E2392" s="89">
        <v>1</v>
      </c>
      <c r="F2392" s="89">
        <v>1</v>
      </c>
      <c r="G2392" s="89">
        <v>1</v>
      </c>
      <c r="H2392" s="89">
        <v>1</v>
      </c>
      <c r="I2392" s="89">
        <v>1</v>
      </c>
      <c r="J2392" s="710">
        <f>(VLOOKUP($C2392,[2]Sheet1!$A$2:$P$18,$M2392+1)/12)*12*D2392</f>
        <v>214657.37893036503</v>
      </c>
      <c r="K2392" s="711"/>
      <c r="M2392" s="62">
        <f t="shared" si="192"/>
        <v>5</v>
      </c>
    </row>
    <row r="2393" spans="1:13">
      <c r="A2393" s="88">
        <v>18</v>
      </c>
      <c r="B2393" s="69" t="s">
        <v>3796</v>
      </c>
      <c r="C2393" s="69">
        <v>5</v>
      </c>
      <c r="D2393" s="89">
        <v>0</v>
      </c>
      <c r="E2393" s="89">
        <v>0</v>
      </c>
      <c r="F2393" s="89">
        <v>0</v>
      </c>
      <c r="G2393" s="89">
        <v>0</v>
      </c>
      <c r="H2393" s="89">
        <v>0</v>
      </c>
      <c r="I2393" s="89">
        <v>0</v>
      </c>
      <c r="J2393" s="710">
        <f>(VLOOKUP($C2393,[2]Sheet1!$A$2:$P$18,$M2393+1)/12)*12*D2393</f>
        <v>0</v>
      </c>
      <c r="K2393" s="711"/>
      <c r="M2393" s="62">
        <f t="shared" si="192"/>
        <v>5</v>
      </c>
    </row>
    <row r="2394" spans="1:13">
      <c r="A2394" s="88">
        <v>19</v>
      </c>
      <c r="B2394" s="69" t="s">
        <v>2473</v>
      </c>
      <c r="C2394" s="69">
        <v>4</v>
      </c>
      <c r="D2394" s="89">
        <v>1</v>
      </c>
      <c r="E2394" s="89">
        <v>1</v>
      </c>
      <c r="F2394" s="89">
        <v>1</v>
      </c>
      <c r="G2394" s="89">
        <v>1</v>
      </c>
      <c r="H2394" s="89">
        <v>1</v>
      </c>
      <c r="I2394" s="89">
        <v>1</v>
      </c>
      <c r="J2394" s="710">
        <f>(VLOOKUP($C2394,[2]Sheet1!$A$2:$P$18,$M2394+1)/12)*12*D2394</f>
        <v>224542.978930365</v>
      </c>
      <c r="K2394" s="711"/>
      <c r="M2394" s="62">
        <f t="shared" si="192"/>
        <v>5</v>
      </c>
    </row>
    <row r="2395" spans="1:13">
      <c r="A2395" s="88">
        <v>20</v>
      </c>
      <c r="B2395" s="69" t="s">
        <v>2474</v>
      </c>
      <c r="C2395" s="69">
        <v>7</v>
      </c>
      <c r="D2395" s="89">
        <v>0</v>
      </c>
      <c r="E2395" s="89">
        <v>0</v>
      </c>
      <c r="F2395" s="89">
        <v>0</v>
      </c>
      <c r="G2395" s="89">
        <v>0</v>
      </c>
      <c r="H2395" s="89">
        <v>0</v>
      </c>
      <c r="I2395" s="89">
        <v>0</v>
      </c>
      <c r="J2395" s="710">
        <f>(VLOOKUP($C2395,[2]Sheet1!$A$2:$P$18,$M2395+1)/12)*12*D2395</f>
        <v>0</v>
      </c>
      <c r="K2395" s="711"/>
      <c r="M2395" s="62">
        <f t="shared" si="192"/>
        <v>3</v>
      </c>
    </row>
    <row r="2396" spans="1:13">
      <c r="A2396" s="88">
        <v>21</v>
      </c>
      <c r="B2396" s="69" t="s">
        <v>2716</v>
      </c>
      <c r="C2396" s="69">
        <v>6</v>
      </c>
      <c r="D2396" s="89">
        <v>0</v>
      </c>
      <c r="E2396" s="89">
        <v>0</v>
      </c>
      <c r="F2396" s="89">
        <v>0</v>
      </c>
      <c r="G2396" s="89">
        <v>0</v>
      </c>
      <c r="H2396" s="89">
        <v>0</v>
      </c>
      <c r="I2396" s="89">
        <v>0</v>
      </c>
      <c r="J2396" s="710">
        <f>(VLOOKUP($C2396,[2]Sheet1!$A$2:$P$18,$M2396+1)/12)*12*D2396</f>
        <v>0</v>
      </c>
      <c r="K2396" s="711"/>
      <c r="M2396" s="62">
        <f t="shared" si="192"/>
        <v>5</v>
      </c>
    </row>
    <row r="2397" spans="1:13">
      <c r="A2397" s="88"/>
      <c r="B2397" s="90" t="s">
        <v>2321</v>
      </c>
      <c r="C2397" s="69"/>
      <c r="D2397" s="89"/>
      <c r="E2397" s="89"/>
      <c r="F2397" s="89"/>
      <c r="G2397" s="89"/>
      <c r="H2397" s="89"/>
      <c r="I2397" s="89"/>
      <c r="J2397" s="710"/>
      <c r="K2397" s="711"/>
      <c r="M2397" s="62">
        <f t="shared" si="192"/>
        <v>5</v>
      </c>
    </row>
    <row r="2398" spans="1:13">
      <c r="A2398" s="88">
        <f>+A2396+1</f>
        <v>22</v>
      </c>
      <c r="B2398" s="69" t="s">
        <v>2543</v>
      </c>
      <c r="C2398" s="69">
        <v>2</v>
      </c>
      <c r="D2398" s="89">
        <v>0</v>
      </c>
      <c r="E2398" s="89">
        <v>0</v>
      </c>
      <c r="F2398" s="89">
        <v>0</v>
      </c>
      <c r="G2398" s="89">
        <v>0</v>
      </c>
      <c r="H2398" s="89">
        <v>0</v>
      </c>
      <c r="I2398" s="89">
        <v>0</v>
      </c>
      <c r="J2398" s="710">
        <f>(VLOOKUP($C2398,[2]Sheet1!$A$2:$P$18,$M2398+1)/12)*12*D2398</f>
        <v>0</v>
      </c>
      <c r="K2398" s="711"/>
      <c r="M2398" s="62">
        <f t="shared" si="192"/>
        <v>5</v>
      </c>
    </row>
    <row r="2399" spans="1:13">
      <c r="A2399" s="88">
        <f>+A2398+1</f>
        <v>23</v>
      </c>
      <c r="B2399" s="69" t="s">
        <v>2322</v>
      </c>
      <c r="C2399" s="69">
        <v>3</v>
      </c>
      <c r="D2399" s="89">
        <v>0</v>
      </c>
      <c r="E2399" s="89">
        <v>0</v>
      </c>
      <c r="F2399" s="89">
        <v>0</v>
      </c>
      <c r="G2399" s="89">
        <v>0</v>
      </c>
      <c r="H2399" s="89">
        <v>0</v>
      </c>
      <c r="I2399" s="89">
        <v>0</v>
      </c>
      <c r="J2399" s="710">
        <f>(VLOOKUP($C2399,[2]Sheet1!$A$2:$P$18,$M2399+1)/12)*12*D2399</f>
        <v>0</v>
      </c>
      <c r="K2399" s="711"/>
      <c r="M2399" s="62">
        <f t="shared" si="192"/>
        <v>5</v>
      </c>
    </row>
    <row r="2400" spans="1:13">
      <c r="A2400" s="88">
        <f>+A2399+1</f>
        <v>24</v>
      </c>
      <c r="B2400" s="69" t="s">
        <v>2696</v>
      </c>
      <c r="C2400" s="69">
        <v>3</v>
      </c>
      <c r="D2400" s="89">
        <v>0</v>
      </c>
      <c r="E2400" s="89">
        <v>0</v>
      </c>
      <c r="F2400" s="89">
        <v>0</v>
      </c>
      <c r="G2400" s="89">
        <v>0</v>
      </c>
      <c r="H2400" s="89">
        <v>0</v>
      </c>
      <c r="I2400" s="89">
        <v>0</v>
      </c>
      <c r="J2400" s="710">
        <f>(VLOOKUP($C2400,[2]Sheet1!$A$2:$P$18,$M2400+1)/12)*12*D2400</f>
        <v>0</v>
      </c>
      <c r="K2400" s="711"/>
      <c r="M2400" s="62">
        <f t="shared" si="192"/>
        <v>5</v>
      </c>
    </row>
    <row r="2401" spans="1:13">
      <c r="A2401" s="88"/>
      <c r="B2401" s="90" t="s">
        <v>4026</v>
      </c>
      <c r="C2401" s="69"/>
      <c r="D2401" s="89"/>
      <c r="E2401" s="89"/>
      <c r="F2401" s="89"/>
      <c r="G2401" s="89"/>
      <c r="H2401" s="89"/>
      <c r="I2401" s="89"/>
      <c r="J2401" s="710"/>
      <c r="K2401" s="711"/>
      <c r="M2401" s="62">
        <f t="shared" si="192"/>
        <v>5</v>
      </c>
    </row>
    <row r="2402" spans="1:13">
      <c r="A2402" s="88">
        <f>+A2400+1</f>
        <v>25</v>
      </c>
      <c r="B2402" s="69" t="s">
        <v>3858</v>
      </c>
      <c r="C2402" s="69">
        <v>2</v>
      </c>
      <c r="D2402" s="89">
        <v>0</v>
      </c>
      <c r="E2402" s="89">
        <v>0</v>
      </c>
      <c r="F2402" s="89">
        <v>0</v>
      </c>
      <c r="G2402" s="89">
        <v>0</v>
      </c>
      <c r="H2402" s="89">
        <v>0</v>
      </c>
      <c r="I2402" s="89">
        <v>0</v>
      </c>
      <c r="J2402" s="710">
        <f>(VLOOKUP($C2402,[2]Sheet1!$A$2:$P$18,$M2402+1)/12)*12*D2402</f>
        <v>0</v>
      </c>
      <c r="K2402" s="711"/>
      <c r="M2402" s="62">
        <f t="shared" si="192"/>
        <v>5</v>
      </c>
    </row>
    <row r="2403" spans="1:13">
      <c r="A2403" s="88">
        <f>+A2402+1</f>
        <v>26</v>
      </c>
      <c r="B2403" s="69" t="s">
        <v>3187</v>
      </c>
      <c r="C2403" s="69">
        <v>2</v>
      </c>
      <c r="D2403" s="89">
        <v>0</v>
      </c>
      <c r="E2403" s="89">
        <v>0</v>
      </c>
      <c r="F2403" s="89">
        <v>0</v>
      </c>
      <c r="G2403" s="89">
        <v>0</v>
      </c>
      <c r="H2403" s="89">
        <v>0</v>
      </c>
      <c r="I2403" s="89">
        <v>0</v>
      </c>
      <c r="J2403" s="710">
        <f>(VLOOKUP($C2403,[2]Sheet1!$A$2:$P$18,$M2403+1)/12)*12*D2403</f>
        <v>0</v>
      </c>
      <c r="K2403" s="711"/>
      <c r="M2403" s="62">
        <f t="shared" si="192"/>
        <v>5</v>
      </c>
    </row>
    <row r="2404" spans="1:13">
      <c r="A2404" s="88">
        <f>+A2403+1</f>
        <v>27</v>
      </c>
      <c r="B2404" s="69" t="s">
        <v>3861</v>
      </c>
      <c r="C2404" s="69">
        <v>2</v>
      </c>
      <c r="D2404" s="89">
        <v>0</v>
      </c>
      <c r="E2404" s="89">
        <v>0</v>
      </c>
      <c r="F2404" s="89">
        <v>0</v>
      </c>
      <c r="G2404" s="89">
        <v>0</v>
      </c>
      <c r="H2404" s="89">
        <v>0</v>
      </c>
      <c r="I2404" s="89">
        <v>0</v>
      </c>
      <c r="J2404" s="710">
        <f>(VLOOKUP($C2404,[2]Sheet1!$A$2:$P$18,$M2404+1)/12)*12*D2404</f>
        <v>0</v>
      </c>
      <c r="K2404" s="711"/>
      <c r="M2404" s="62">
        <f t="shared" si="192"/>
        <v>5</v>
      </c>
    </row>
    <row r="2405" spans="1:13">
      <c r="A2405" s="92"/>
      <c r="B2405" s="93" t="s">
        <v>1684</v>
      </c>
      <c r="C2405" s="94"/>
      <c r="D2405" s="123">
        <f t="shared" ref="D2405:J2405" si="194">SUM(D2372:D2396)</f>
        <v>52</v>
      </c>
      <c r="E2405" s="123">
        <f t="shared" si="194"/>
        <v>52</v>
      </c>
      <c r="F2405" s="123">
        <f t="shared" si="194"/>
        <v>52</v>
      </c>
      <c r="G2405" s="123">
        <f>SUM(G2372:G2396)</f>
        <v>52</v>
      </c>
      <c r="H2405" s="123">
        <f t="shared" si="194"/>
        <v>52</v>
      </c>
      <c r="I2405" s="123">
        <f t="shared" si="194"/>
        <v>52</v>
      </c>
      <c r="J2405" s="124">
        <f t="shared" si="194"/>
        <v>44690286.885807306</v>
      </c>
      <c r="K2405" s="376"/>
      <c r="M2405" s="62">
        <f t="shared" si="192"/>
        <v>5</v>
      </c>
    </row>
    <row r="2406" spans="1:13">
      <c r="A2406" s="88"/>
      <c r="B2406" s="90" t="s">
        <v>1199</v>
      </c>
      <c r="C2406" s="97"/>
      <c r="D2406" s="98"/>
      <c r="E2406" s="98"/>
      <c r="F2406" s="125"/>
      <c r="G2406" s="240" t="s">
        <v>243</v>
      </c>
      <c r="H2406" s="240" t="s">
        <v>4130</v>
      </c>
      <c r="I2406" s="240" t="s">
        <v>4202</v>
      </c>
      <c r="J2406" s="241" t="s">
        <v>4200</v>
      </c>
      <c r="K2406" s="375"/>
      <c r="M2406" s="62">
        <f t="shared" si="192"/>
        <v>5</v>
      </c>
    </row>
    <row r="2407" spans="1:13">
      <c r="A2407" s="88">
        <v>1</v>
      </c>
      <c r="B2407" s="69" t="s">
        <v>2786</v>
      </c>
      <c r="C2407" s="69"/>
      <c r="D2407" s="89"/>
      <c r="E2407" s="89"/>
      <c r="F2407" s="89"/>
      <c r="G2407" s="100">
        <f>J2405*0.2</f>
        <v>8938057.3771614619</v>
      </c>
      <c r="H2407" s="100">
        <f>G2407*1.02</f>
        <v>9116818.524704691</v>
      </c>
      <c r="I2407" s="100">
        <f>H2407*1.02</f>
        <v>9299154.8951987848</v>
      </c>
      <c r="J2407" s="100">
        <f>SUM(G2407:I2407)</f>
        <v>27354030.797064938</v>
      </c>
      <c r="K2407" s="114"/>
      <c r="M2407" s="62">
        <f t="shared" si="192"/>
        <v>5</v>
      </c>
    </row>
    <row r="2408" spans="1:13">
      <c r="A2408" s="92"/>
      <c r="B2408" s="93" t="s">
        <v>1933</v>
      </c>
      <c r="C2408" s="94"/>
      <c r="D2408" s="101"/>
      <c r="E2408" s="101"/>
      <c r="F2408" s="95"/>
      <c r="G2408" s="95">
        <f>SUM(G2407:G2407)</f>
        <v>8938057.3771614619</v>
      </c>
      <c r="H2408" s="95">
        <f>SUM(H2407:H2407)</f>
        <v>9116818.524704691</v>
      </c>
      <c r="I2408" s="95">
        <f>SUM(I2407:I2407)</f>
        <v>9299154.8951987848</v>
      </c>
      <c r="J2408" s="95">
        <f>SUM(J2407:J2407)</f>
        <v>27354030.797064938</v>
      </c>
      <c r="K2408" s="378"/>
      <c r="M2408" s="62">
        <f t="shared" ref="M2408:M2468" si="195">IF(C2408&gt;6,3,5)</f>
        <v>5</v>
      </c>
    </row>
    <row r="2409" spans="1:13">
      <c r="A2409" s="88">
        <v>1</v>
      </c>
      <c r="B2409" s="69" t="s">
        <v>1934</v>
      </c>
      <c r="C2409" s="69"/>
      <c r="D2409" s="89"/>
      <c r="E2409" s="89"/>
      <c r="F2409" s="89"/>
      <c r="G2409" s="100">
        <f>G2408+J2405</f>
        <v>53628344.262968764</v>
      </c>
      <c r="H2409" s="100">
        <f>G2409*1.02</f>
        <v>54700911.148228139</v>
      </c>
      <c r="I2409" s="100">
        <f>H2409*1.02</f>
        <v>55794929.371192701</v>
      </c>
      <c r="J2409" s="100">
        <f>SUM(G2409:I2409)</f>
        <v>164124184.78238961</v>
      </c>
      <c r="K2409" s="114"/>
      <c r="L2409" s="112"/>
      <c r="M2409" s="62">
        <f t="shared" si="195"/>
        <v>5</v>
      </c>
    </row>
    <row r="2410" spans="1:13">
      <c r="A2410" s="88">
        <f>+A2409+1</f>
        <v>2</v>
      </c>
      <c r="B2410" s="69" t="s">
        <v>129</v>
      </c>
      <c r="C2410" s="69"/>
      <c r="D2410" s="89"/>
      <c r="E2410" s="89"/>
      <c r="F2410" s="89"/>
      <c r="G2410" s="89">
        <f>C2437</f>
        <v>3000000</v>
      </c>
      <c r="H2410" s="89">
        <f>D2437</f>
        <v>3000000</v>
      </c>
      <c r="I2410" s="89">
        <f>E2437</f>
        <v>3000000</v>
      </c>
      <c r="J2410" s="100">
        <f>SUM(G2410:I2410)</f>
        <v>9000000</v>
      </c>
      <c r="K2410" s="114"/>
      <c r="M2410" s="62">
        <f t="shared" si="195"/>
        <v>5</v>
      </c>
    </row>
    <row r="2411" spans="1:13" ht="13.5" thickBot="1">
      <c r="A2411" s="92"/>
      <c r="B2411" s="103" t="s">
        <v>2241</v>
      </c>
      <c r="C2411" s="104"/>
      <c r="D2411" s="105"/>
      <c r="E2411" s="105"/>
      <c r="F2411" s="129"/>
      <c r="G2411" s="129">
        <f>SUM(G2409:G2410)</f>
        <v>56628344.262968764</v>
      </c>
      <c r="H2411" s="129">
        <f>SUM(H2409:H2410)</f>
        <v>57700911.148228139</v>
      </c>
      <c r="I2411" s="129">
        <f>SUM(I2409:I2410)</f>
        <v>58794929.371192701</v>
      </c>
      <c r="J2411" s="129">
        <f>SUM(J2409:J2410)</f>
        <v>173124184.78238961</v>
      </c>
      <c r="K2411" s="378"/>
      <c r="M2411" s="62">
        <f t="shared" si="195"/>
        <v>5</v>
      </c>
    </row>
    <row r="2412" spans="1:13" ht="15.75" thickTop="1">
      <c r="C2412" s="77"/>
      <c r="D2412" s="78" t="s">
        <v>5434</v>
      </c>
      <c r="J2412" s="584"/>
      <c r="K2412" s="584"/>
      <c r="M2412" s="62">
        <f t="shared" si="195"/>
        <v>5</v>
      </c>
    </row>
    <row r="2413" spans="1:13" ht="15">
      <c r="C2413" s="77"/>
      <c r="D2413" s="78" t="s">
        <v>716</v>
      </c>
      <c r="J2413" s="584"/>
      <c r="K2413" s="584"/>
      <c r="M2413" s="62">
        <f t="shared" si="195"/>
        <v>5</v>
      </c>
    </row>
    <row r="2414" spans="1:13" ht="15">
      <c r="C2414" s="79" t="s">
        <v>717</v>
      </c>
      <c r="D2414" s="78" t="s">
        <v>3994</v>
      </c>
      <c r="J2414" s="584"/>
      <c r="K2414" s="584"/>
      <c r="M2414" s="62">
        <f t="shared" si="195"/>
        <v>3</v>
      </c>
    </row>
    <row r="2415" spans="1:13" ht="15">
      <c r="C2415" s="79" t="s">
        <v>718</v>
      </c>
      <c r="D2415" s="78" t="s">
        <v>1203</v>
      </c>
      <c r="J2415" s="584"/>
      <c r="K2415" s="584"/>
      <c r="M2415" s="62">
        <f t="shared" si="195"/>
        <v>3</v>
      </c>
    </row>
    <row r="2416" spans="1:13" ht="15">
      <c r="A2416" s="634" t="s">
        <v>1839</v>
      </c>
      <c r="B2416" s="635" t="s">
        <v>903</v>
      </c>
      <c r="C2416" s="1037" t="s">
        <v>4127</v>
      </c>
      <c r="D2416" s="1038"/>
      <c r="E2416" s="1039"/>
      <c r="F2416" s="635" t="s">
        <v>1684</v>
      </c>
      <c r="G2416" s="1037" t="s">
        <v>4132</v>
      </c>
      <c r="H2416" s="1038"/>
      <c r="I2416" s="1039"/>
      <c r="J2416" s="726"/>
      <c r="K2416" s="727"/>
    </row>
    <row r="2417" spans="1:13">
      <c r="A2417" s="636" t="s">
        <v>1620</v>
      </c>
      <c r="B2417" s="637"/>
      <c r="C2417" s="635" t="s">
        <v>1841</v>
      </c>
      <c r="D2417" s="635" t="s">
        <v>4133</v>
      </c>
      <c r="E2417" s="635" t="s">
        <v>4133</v>
      </c>
      <c r="F2417" s="1056" t="s">
        <v>4200</v>
      </c>
      <c r="G2417" s="634" t="s">
        <v>4135</v>
      </c>
      <c r="H2417" s="1051" t="s">
        <v>4182</v>
      </c>
      <c r="I2417" s="634" t="s">
        <v>4135</v>
      </c>
      <c r="J2417" s="728" t="s">
        <v>4136</v>
      </c>
      <c r="K2417" s="727"/>
    </row>
    <row r="2418" spans="1:13" ht="12.75" customHeight="1">
      <c r="A2418" s="638" t="s">
        <v>387</v>
      </c>
      <c r="B2418" s="639"/>
      <c r="C2418" s="638">
        <v>2015</v>
      </c>
      <c r="D2418" s="638">
        <v>2016</v>
      </c>
      <c r="E2418" s="638">
        <v>2017</v>
      </c>
      <c r="F2418" s="1057"/>
      <c r="G2418" s="638" t="s">
        <v>4304</v>
      </c>
      <c r="H2418" s="1052"/>
      <c r="I2418" s="638" t="s">
        <v>4303</v>
      </c>
      <c r="J2418" s="639"/>
      <c r="K2418" s="729"/>
    </row>
    <row r="2419" spans="1:13">
      <c r="A2419" s="768"/>
      <c r="B2419" s="768"/>
      <c r="C2419" s="390"/>
      <c r="D2419" s="390"/>
      <c r="E2419" s="390"/>
      <c r="F2419" s="390"/>
      <c r="G2419" s="390"/>
      <c r="H2419" s="390"/>
      <c r="I2419" s="390"/>
      <c r="J2419" s="390"/>
      <c r="K2419" s="734"/>
      <c r="M2419" s="62">
        <f t="shared" si="195"/>
        <v>5</v>
      </c>
    </row>
    <row r="2420" spans="1:13">
      <c r="A2420" s="768">
        <v>2</v>
      </c>
      <c r="B2420" s="768" t="s">
        <v>206</v>
      </c>
      <c r="C2420" s="390">
        <v>1000000</v>
      </c>
      <c r="D2420" s="390">
        <v>1000000</v>
      </c>
      <c r="E2420" s="390">
        <v>1000000</v>
      </c>
      <c r="F2420" s="390">
        <f>SUM(C2420:E2420)</f>
        <v>3000000</v>
      </c>
      <c r="G2420" s="390"/>
      <c r="H2420" s="390">
        <v>1000000</v>
      </c>
      <c r="I2420" s="390"/>
      <c r="J2420" s="390"/>
      <c r="K2420" s="734"/>
      <c r="M2420" s="62">
        <f t="shared" si="195"/>
        <v>3</v>
      </c>
    </row>
    <row r="2421" spans="1:13">
      <c r="A2421" s="768">
        <f t="shared" ref="A2421:A2433" si="196">+A2420+1</f>
        <v>3</v>
      </c>
      <c r="B2421" s="768" t="s">
        <v>1696</v>
      </c>
      <c r="C2421" s="390" t="s">
        <v>1386</v>
      </c>
      <c r="D2421" s="390" t="s">
        <v>1386</v>
      </c>
      <c r="E2421" s="390" t="s">
        <v>1386</v>
      </c>
      <c r="F2421" s="390">
        <f t="shared" ref="F2421:F2433" si="197">SUM(C2421:E2421)</f>
        <v>0</v>
      </c>
      <c r="G2421" s="390"/>
      <c r="H2421" s="390" t="s">
        <v>1386</v>
      </c>
      <c r="I2421" s="390"/>
      <c r="J2421" s="390"/>
      <c r="K2421" s="734"/>
      <c r="M2421" s="62">
        <f t="shared" si="195"/>
        <v>3</v>
      </c>
    </row>
    <row r="2422" spans="1:13">
      <c r="A2422" s="768">
        <f t="shared" si="196"/>
        <v>4</v>
      </c>
      <c r="B2422" s="768" t="s">
        <v>1895</v>
      </c>
      <c r="C2422" s="390" t="s">
        <v>1386</v>
      </c>
      <c r="D2422" s="390" t="s">
        <v>1386</v>
      </c>
      <c r="E2422" s="390" t="s">
        <v>1386</v>
      </c>
      <c r="F2422" s="390">
        <f t="shared" si="197"/>
        <v>0</v>
      </c>
      <c r="G2422" s="390"/>
      <c r="H2422" s="390" t="s">
        <v>1386</v>
      </c>
      <c r="I2422" s="390"/>
      <c r="J2422" s="390"/>
      <c r="K2422" s="734"/>
      <c r="M2422" s="62">
        <f t="shared" si="195"/>
        <v>3</v>
      </c>
    </row>
    <row r="2423" spans="1:13">
      <c r="A2423" s="768">
        <f t="shared" si="196"/>
        <v>5</v>
      </c>
      <c r="B2423" s="768" t="s">
        <v>2032</v>
      </c>
      <c r="C2423" s="390">
        <v>200000</v>
      </c>
      <c r="D2423" s="390">
        <v>200000</v>
      </c>
      <c r="E2423" s="390">
        <v>200000</v>
      </c>
      <c r="F2423" s="390">
        <f t="shared" si="197"/>
        <v>600000</v>
      </c>
      <c r="G2423" s="390"/>
      <c r="H2423" s="390">
        <v>200000</v>
      </c>
      <c r="I2423" s="390"/>
      <c r="J2423" s="390"/>
      <c r="K2423" s="734"/>
      <c r="M2423" s="62">
        <f t="shared" si="195"/>
        <v>3</v>
      </c>
    </row>
    <row r="2424" spans="1:13">
      <c r="A2424" s="768">
        <f t="shared" si="196"/>
        <v>6</v>
      </c>
      <c r="B2424" s="768" t="s">
        <v>2033</v>
      </c>
      <c r="C2424" s="390">
        <v>200000</v>
      </c>
      <c r="D2424" s="390">
        <v>200000</v>
      </c>
      <c r="E2424" s="390">
        <v>200000</v>
      </c>
      <c r="F2424" s="390">
        <f t="shared" si="197"/>
        <v>600000</v>
      </c>
      <c r="G2424" s="390"/>
      <c r="H2424" s="390">
        <v>200000</v>
      </c>
      <c r="I2424" s="390"/>
      <c r="J2424" s="390"/>
      <c r="K2424" s="734"/>
      <c r="M2424" s="62">
        <f t="shared" si="195"/>
        <v>3</v>
      </c>
    </row>
    <row r="2425" spans="1:13">
      <c r="A2425" s="768">
        <f t="shared" si="196"/>
        <v>7</v>
      </c>
      <c r="B2425" s="768" t="s">
        <v>2091</v>
      </c>
      <c r="C2425" s="390">
        <v>500000</v>
      </c>
      <c r="D2425" s="390">
        <v>500000</v>
      </c>
      <c r="E2425" s="390">
        <v>500000</v>
      </c>
      <c r="F2425" s="390">
        <f t="shared" si="197"/>
        <v>1500000</v>
      </c>
      <c r="G2425" s="390"/>
      <c r="H2425" s="390">
        <v>500000</v>
      </c>
      <c r="I2425" s="390"/>
      <c r="J2425" s="390"/>
      <c r="K2425" s="734"/>
      <c r="M2425" s="62">
        <f t="shared" si="195"/>
        <v>3</v>
      </c>
    </row>
    <row r="2426" spans="1:13">
      <c r="A2426" s="768">
        <f t="shared" si="196"/>
        <v>8</v>
      </c>
      <c r="B2426" s="768" t="s">
        <v>1385</v>
      </c>
      <c r="C2426" s="390" t="s">
        <v>1386</v>
      </c>
      <c r="D2426" s="390" t="s">
        <v>1386</v>
      </c>
      <c r="E2426" s="390" t="s">
        <v>1386</v>
      </c>
      <c r="F2426" s="390">
        <f t="shared" si="197"/>
        <v>0</v>
      </c>
      <c r="G2426" s="390"/>
      <c r="H2426" s="390" t="s">
        <v>1386</v>
      </c>
      <c r="I2426" s="390"/>
      <c r="J2426" s="390"/>
      <c r="K2426" s="734"/>
      <c r="M2426" s="62">
        <f t="shared" si="195"/>
        <v>3</v>
      </c>
    </row>
    <row r="2427" spans="1:13">
      <c r="A2427" s="768">
        <f t="shared" si="196"/>
        <v>9</v>
      </c>
      <c r="B2427" s="768" t="s">
        <v>2036</v>
      </c>
      <c r="C2427" s="390" t="s">
        <v>1386</v>
      </c>
      <c r="D2427" s="390" t="s">
        <v>1386</v>
      </c>
      <c r="E2427" s="390" t="s">
        <v>1386</v>
      </c>
      <c r="F2427" s="390">
        <f t="shared" si="197"/>
        <v>0</v>
      </c>
      <c r="G2427" s="390"/>
      <c r="H2427" s="390" t="s">
        <v>1386</v>
      </c>
      <c r="I2427" s="390"/>
      <c r="J2427" s="390"/>
      <c r="K2427" s="734"/>
      <c r="M2427" s="62">
        <f t="shared" si="195"/>
        <v>3</v>
      </c>
    </row>
    <row r="2428" spans="1:13">
      <c r="A2428" s="768">
        <f t="shared" si="196"/>
        <v>10</v>
      </c>
      <c r="B2428" s="768" t="s">
        <v>2037</v>
      </c>
      <c r="C2428" s="390">
        <v>200000</v>
      </c>
      <c r="D2428" s="390">
        <v>200000</v>
      </c>
      <c r="E2428" s="390">
        <v>200000</v>
      </c>
      <c r="F2428" s="390">
        <f t="shared" si="197"/>
        <v>600000</v>
      </c>
      <c r="G2428" s="390"/>
      <c r="H2428" s="390">
        <v>200000</v>
      </c>
      <c r="I2428" s="390"/>
      <c r="J2428" s="390"/>
      <c r="K2428" s="734"/>
      <c r="M2428" s="62">
        <f t="shared" si="195"/>
        <v>3</v>
      </c>
    </row>
    <row r="2429" spans="1:13">
      <c r="A2429" s="768">
        <f t="shared" si="196"/>
        <v>11</v>
      </c>
      <c r="B2429" s="768" t="s">
        <v>764</v>
      </c>
      <c r="C2429" s="390">
        <v>100000</v>
      </c>
      <c r="D2429" s="390">
        <v>100000</v>
      </c>
      <c r="E2429" s="390">
        <v>100000</v>
      </c>
      <c r="F2429" s="390">
        <f t="shared" si="197"/>
        <v>300000</v>
      </c>
      <c r="G2429" s="390"/>
      <c r="H2429" s="390">
        <v>100000</v>
      </c>
      <c r="I2429" s="390"/>
      <c r="J2429" s="390"/>
      <c r="K2429" s="734"/>
      <c r="M2429" s="62">
        <f t="shared" si="195"/>
        <v>3</v>
      </c>
    </row>
    <row r="2430" spans="1:13">
      <c r="A2430" s="768">
        <f t="shared" si="196"/>
        <v>12</v>
      </c>
      <c r="B2430" s="768" t="s">
        <v>895</v>
      </c>
      <c r="C2430" s="390">
        <v>500000</v>
      </c>
      <c r="D2430" s="390">
        <v>500000</v>
      </c>
      <c r="E2430" s="390">
        <v>500000</v>
      </c>
      <c r="F2430" s="390">
        <f t="shared" si="197"/>
        <v>1500000</v>
      </c>
      <c r="G2430" s="390"/>
      <c r="H2430" s="390">
        <v>500000</v>
      </c>
      <c r="I2430" s="390"/>
      <c r="J2430" s="390"/>
      <c r="K2430" s="734"/>
      <c r="M2430" s="62">
        <f t="shared" si="195"/>
        <v>3</v>
      </c>
    </row>
    <row r="2431" spans="1:13">
      <c r="A2431" s="768">
        <f t="shared" si="196"/>
        <v>13</v>
      </c>
      <c r="B2431" s="768" t="s">
        <v>2249</v>
      </c>
      <c r="C2431" s="390">
        <v>100000</v>
      </c>
      <c r="D2431" s="390">
        <v>100000</v>
      </c>
      <c r="E2431" s="390">
        <v>100000</v>
      </c>
      <c r="F2431" s="390">
        <f t="shared" si="197"/>
        <v>300000</v>
      </c>
      <c r="G2431" s="390"/>
      <c r="H2431" s="390">
        <v>100000</v>
      </c>
      <c r="I2431" s="390"/>
      <c r="J2431" s="390"/>
      <c r="K2431" s="734"/>
      <c r="M2431" s="62">
        <f t="shared" si="195"/>
        <v>3</v>
      </c>
    </row>
    <row r="2432" spans="1:13">
      <c r="A2432" s="768">
        <f t="shared" si="196"/>
        <v>14</v>
      </c>
      <c r="B2432" s="768" t="s">
        <v>1336</v>
      </c>
      <c r="C2432" s="390">
        <v>200000</v>
      </c>
      <c r="D2432" s="390">
        <v>200000</v>
      </c>
      <c r="E2432" s="390">
        <v>200000</v>
      </c>
      <c r="F2432" s="390">
        <f t="shared" si="197"/>
        <v>600000</v>
      </c>
      <c r="G2432" s="390"/>
      <c r="H2432" s="390">
        <v>200000</v>
      </c>
      <c r="I2432" s="390"/>
      <c r="J2432" s="390"/>
      <c r="K2432" s="734"/>
      <c r="M2432" s="62">
        <f t="shared" si="195"/>
        <v>3</v>
      </c>
    </row>
    <row r="2433" spans="1:13">
      <c r="A2433" s="768">
        <f t="shared" si="196"/>
        <v>15</v>
      </c>
      <c r="B2433" s="768" t="s">
        <v>2038</v>
      </c>
      <c r="C2433" s="390" t="s">
        <v>1386</v>
      </c>
      <c r="D2433" s="390" t="s">
        <v>1386</v>
      </c>
      <c r="E2433" s="390" t="s">
        <v>1386</v>
      </c>
      <c r="F2433" s="390">
        <f t="shared" si="197"/>
        <v>0</v>
      </c>
      <c r="G2433" s="390"/>
      <c r="H2433" s="390" t="s">
        <v>1386</v>
      </c>
      <c r="I2433" s="390"/>
      <c r="J2433" s="390"/>
      <c r="K2433" s="734"/>
      <c r="M2433" s="62">
        <f t="shared" si="195"/>
        <v>3</v>
      </c>
    </row>
    <row r="2434" spans="1:13">
      <c r="A2434" s="768"/>
      <c r="B2434" s="768"/>
      <c r="C2434" s="390"/>
      <c r="D2434" s="390"/>
      <c r="E2434" s="390"/>
      <c r="F2434" s="390"/>
      <c r="G2434" s="390"/>
      <c r="H2434" s="390"/>
      <c r="I2434" s="390"/>
      <c r="J2434" s="390"/>
      <c r="K2434" s="734"/>
      <c r="M2434" s="62">
        <f t="shared" si="195"/>
        <v>5</v>
      </c>
    </row>
    <row r="2435" spans="1:13">
      <c r="A2435" s="768"/>
      <c r="B2435" s="768"/>
      <c r="C2435" s="390"/>
      <c r="D2435" s="390"/>
      <c r="E2435" s="390"/>
      <c r="F2435" s="390"/>
      <c r="G2435" s="390"/>
      <c r="H2435" s="390"/>
      <c r="I2435" s="390"/>
      <c r="J2435" s="390"/>
      <c r="K2435" s="734"/>
      <c r="M2435" s="62">
        <f t="shared" si="195"/>
        <v>5</v>
      </c>
    </row>
    <row r="2436" spans="1:13">
      <c r="A2436" s="768"/>
      <c r="B2436" s="768"/>
      <c r="C2436" s="390"/>
      <c r="D2436" s="390"/>
      <c r="E2436" s="390"/>
      <c r="F2436" s="390"/>
      <c r="G2436" s="390"/>
      <c r="H2436" s="390"/>
      <c r="I2436" s="390"/>
      <c r="J2436" s="390"/>
      <c r="K2436" s="734"/>
      <c r="M2436" s="62">
        <f t="shared" si="195"/>
        <v>5</v>
      </c>
    </row>
    <row r="2437" spans="1:13">
      <c r="A2437" s="770"/>
      <c r="B2437" s="770" t="s">
        <v>1684</v>
      </c>
      <c r="C2437" s="739">
        <f t="shared" ref="C2437:I2437" si="198">SUM(C2419:C2436)</f>
        <v>3000000</v>
      </c>
      <c r="D2437" s="739">
        <f t="shared" si="198"/>
        <v>3000000</v>
      </c>
      <c r="E2437" s="739">
        <f t="shared" si="198"/>
        <v>3000000</v>
      </c>
      <c r="F2437" s="739">
        <f t="shared" si="198"/>
        <v>9000000</v>
      </c>
      <c r="G2437" s="739">
        <f>SUM(G2419:G2436)</f>
        <v>0</v>
      </c>
      <c r="H2437" s="739">
        <f t="shared" si="198"/>
        <v>3000000</v>
      </c>
      <c r="I2437" s="739">
        <f t="shared" si="198"/>
        <v>0</v>
      </c>
      <c r="J2437" s="739"/>
      <c r="K2437" s="740"/>
      <c r="M2437" s="62">
        <f t="shared" si="195"/>
        <v>3</v>
      </c>
    </row>
    <row r="2438" spans="1:13" ht="15">
      <c r="J2438" s="584"/>
      <c r="K2438" s="584"/>
      <c r="M2438" s="62">
        <f t="shared" si="195"/>
        <v>5</v>
      </c>
    </row>
    <row r="2439" spans="1:13" ht="15">
      <c r="C2439" s="77"/>
      <c r="D2439" s="78" t="s">
        <v>5434</v>
      </c>
      <c r="J2439" s="584"/>
      <c r="K2439" s="584"/>
      <c r="M2439" s="62">
        <f t="shared" si="195"/>
        <v>5</v>
      </c>
    </row>
    <row r="2440" spans="1:13" ht="15">
      <c r="C2440" s="77"/>
      <c r="D2440" s="78" t="s">
        <v>1693</v>
      </c>
      <c r="J2440" s="584"/>
      <c r="K2440" s="584"/>
      <c r="M2440" s="62">
        <f t="shared" si="195"/>
        <v>5</v>
      </c>
    </row>
    <row r="2441" spans="1:13" ht="15">
      <c r="C2441" s="79" t="s">
        <v>717</v>
      </c>
      <c r="D2441" s="78" t="s">
        <v>1135</v>
      </c>
      <c r="J2441" s="584"/>
      <c r="K2441" s="584"/>
      <c r="M2441" s="62">
        <f t="shared" si="195"/>
        <v>3</v>
      </c>
    </row>
    <row r="2442" spans="1:13" ht="15.75" thickBot="1">
      <c r="C2442" s="79" t="s">
        <v>718</v>
      </c>
      <c r="D2442" s="78" t="s">
        <v>1205</v>
      </c>
      <c r="J2442" s="584"/>
      <c r="K2442" s="584"/>
      <c r="M2442" s="62">
        <f t="shared" si="195"/>
        <v>3</v>
      </c>
    </row>
    <row r="2443" spans="1:13" ht="15.75" thickTop="1">
      <c r="A2443" s="1047" t="s">
        <v>2791</v>
      </c>
      <c r="B2443" s="1049" t="s">
        <v>4126</v>
      </c>
      <c r="C2443" s="1049" t="s">
        <v>854</v>
      </c>
      <c r="D2443" s="1040" t="s">
        <v>4127</v>
      </c>
      <c r="E2443" s="1041"/>
      <c r="F2443" s="1041"/>
      <c r="G2443" s="1040" t="s">
        <v>904</v>
      </c>
      <c r="H2443" s="1041"/>
      <c r="I2443" s="1042"/>
      <c r="J2443" s="1035" t="s">
        <v>855</v>
      </c>
      <c r="K2443" s="389"/>
    </row>
    <row r="2444" spans="1:13" ht="26.25" thickBot="1">
      <c r="A2444" s="1048"/>
      <c r="B2444" s="1050"/>
      <c r="C2444" s="1050"/>
      <c r="D2444" s="285" t="s">
        <v>5505</v>
      </c>
      <c r="E2444" s="285" t="s">
        <v>4485</v>
      </c>
      <c r="F2444" s="285" t="s">
        <v>4486</v>
      </c>
      <c r="G2444" s="287" t="s">
        <v>4487</v>
      </c>
      <c r="H2444" s="285" t="s">
        <v>4488</v>
      </c>
      <c r="I2444" s="287" t="s">
        <v>4489</v>
      </c>
      <c r="J2444" s="1036"/>
      <c r="K2444" s="712"/>
    </row>
    <row r="2445" spans="1:13" ht="13.5" thickTop="1">
      <c r="A2445" s="88">
        <v>1</v>
      </c>
      <c r="B2445" s="69" t="s">
        <v>1231</v>
      </c>
      <c r="C2445" s="89" t="s">
        <v>2335</v>
      </c>
      <c r="D2445" s="89">
        <v>1</v>
      </c>
      <c r="E2445" s="89">
        <v>1</v>
      </c>
      <c r="F2445" s="89">
        <v>1</v>
      </c>
      <c r="G2445" s="89">
        <v>1</v>
      </c>
      <c r="H2445" s="89">
        <v>1</v>
      </c>
      <c r="I2445" s="89">
        <v>1</v>
      </c>
      <c r="J2445" s="713">
        <f t="shared" ref="J2445:J2451" si="199">H2445*L2445</f>
        <v>9000000</v>
      </c>
      <c r="K2445" s="711"/>
      <c r="L2445" s="183">
        <f>750000*12</f>
        <v>9000000</v>
      </c>
      <c r="M2445" s="62">
        <f t="shared" si="195"/>
        <v>3</v>
      </c>
    </row>
    <row r="2446" spans="1:13">
      <c r="A2446" s="88">
        <f t="shared" ref="A2446:A2458" si="200">+A2445+1</f>
        <v>2</v>
      </c>
      <c r="B2446" s="69" t="s">
        <v>908</v>
      </c>
      <c r="C2446" s="89" t="s">
        <v>2335</v>
      </c>
      <c r="D2446" s="89">
        <v>1</v>
      </c>
      <c r="E2446" s="89">
        <v>1</v>
      </c>
      <c r="F2446" s="89">
        <v>1</v>
      </c>
      <c r="G2446" s="89">
        <v>1</v>
      </c>
      <c r="H2446" s="89">
        <v>1</v>
      </c>
      <c r="I2446" s="89">
        <v>1</v>
      </c>
      <c r="J2446" s="713">
        <f t="shared" si="199"/>
        <v>8500000</v>
      </c>
      <c r="K2446" s="711"/>
      <c r="L2446" s="183">
        <v>8500000</v>
      </c>
      <c r="M2446" s="62">
        <f t="shared" si="195"/>
        <v>3</v>
      </c>
    </row>
    <row r="2447" spans="1:13">
      <c r="A2447" s="88">
        <f t="shared" si="200"/>
        <v>3</v>
      </c>
      <c r="B2447" s="69" t="s">
        <v>1060</v>
      </c>
      <c r="C2447" s="89" t="s">
        <v>2335</v>
      </c>
      <c r="D2447" s="89">
        <v>1</v>
      </c>
      <c r="E2447" s="89">
        <v>1</v>
      </c>
      <c r="F2447" s="89">
        <v>1</v>
      </c>
      <c r="G2447" s="89">
        <v>1</v>
      </c>
      <c r="H2447" s="89">
        <v>1</v>
      </c>
      <c r="I2447" s="89">
        <v>1</v>
      </c>
      <c r="J2447" s="713">
        <f t="shared" si="199"/>
        <v>7500000</v>
      </c>
      <c r="K2447" s="711"/>
      <c r="L2447" s="183">
        <v>7500000</v>
      </c>
      <c r="M2447" s="62">
        <f t="shared" si="195"/>
        <v>3</v>
      </c>
    </row>
    <row r="2448" spans="1:13">
      <c r="A2448" s="88">
        <f t="shared" si="200"/>
        <v>4</v>
      </c>
      <c r="B2448" s="69" t="s">
        <v>1061</v>
      </c>
      <c r="C2448" s="89" t="s">
        <v>2335</v>
      </c>
      <c r="D2448" s="89">
        <v>1</v>
      </c>
      <c r="E2448" s="89">
        <v>1</v>
      </c>
      <c r="F2448" s="89">
        <v>1</v>
      </c>
      <c r="G2448" s="89">
        <v>1</v>
      </c>
      <c r="H2448" s="89">
        <v>1</v>
      </c>
      <c r="I2448" s="89">
        <v>1</v>
      </c>
      <c r="J2448" s="713">
        <f t="shared" si="199"/>
        <v>3000000</v>
      </c>
      <c r="K2448" s="711"/>
      <c r="L2448" s="183">
        <f>250000*12</f>
        <v>3000000</v>
      </c>
      <c r="M2448" s="62">
        <f t="shared" si="195"/>
        <v>3</v>
      </c>
    </row>
    <row r="2449" spans="1:14">
      <c r="A2449" s="88">
        <f t="shared" si="200"/>
        <v>5</v>
      </c>
      <c r="B2449" s="69" t="s">
        <v>913</v>
      </c>
      <c r="C2449" s="89" t="s">
        <v>2335</v>
      </c>
      <c r="D2449" s="89">
        <v>24</v>
      </c>
      <c r="E2449" s="89">
        <v>24</v>
      </c>
      <c r="F2449" s="89">
        <v>24</v>
      </c>
      <c r="G2449" s="89">
        <v>24</v>
      </c>
      <c r="H2449" s="89">
        <v>24</v>
      </c>
      <c r="I2449" s="89">
        <v>24</v>
      </c>
      <c r="J2449" s="713">
        <f t="shared" si="199"/>
        <v>115200000</v>
      </c>
      <c r="K2449" s="711"/>
      <c r="L2449" s="183">
        <f>400000*12</f>
        <v>4800000</v>
      </c>
      <c r="M2449" s="62">
        <f t="shared" si="195"/>
        <v>3</v>
      </c>
      <c r="N2449" s="193"/>
    </row>
    <row r="2450" spans="1:14">
      <c r="A2450" s="88">
        <f t="shared" si="200"/>
        <v>6</v>
      </c>
      <c r="B2450" s="69" t="s">
        <v>1370</v>
      </c>
      <c r="C2450" s="89" t="s">
        <v>2335</v>
      </c>
      <c r="D2450" s="89">
        <v>33</v>
      </c>
      <c r="E2450" s="89">
        <v>33</v>
      </c>
      <c r="F2450" s="89">
        <v>31</v>
      </c>
      <c r="G2450" s="89">
        <v>31</v>
      </c>
      <c r="H2450" s="89">
        <v>33</v>
      </c>
      <c r="I2450" s="89">
        <v>31</v>
      </c>
      <c r="J2450" s="713">
        <f t="shared" si="199"/>
        <v>118800000</v>
      </c>
      <c r="K2450" s="711"/>
      <c r="L2450" s="183">
        <f>300000*12</f>
        <v>3600000</v>
      </c>
      <c r="M2450" s="62">
        <f t="shared" si="195"/>
        <v>3</v>
      </c>
    </row>
    <row r="2451" spans="1:14">
      <c r="A2451" s="88">
        <f t="shared" si="200"/>
        <v>7</v>
      </c>
      <c r="B2451" s="69" t="s">
        <v>1856</v>
      </c>
      <c r="C2451" s="69" t="s">
        <v>2335</v>
      </c>
      <c r="D2451" s="89">
        <v>40</v>
      </c>
      <c r="E2451" s="89">
        <v>30</v>
      </c>
      <c r="F2451" s="89">
        <v>33</v>
      </c>
      <c r="G2451" s="89">
        <v>33</v>
      </c>
      <c r="H2451" s="89">
        <v>40</v>
      </c>
      <c r="I2451" s="89">
        <v>33</v>
      </c>
      <c r="J2451" s="713">
        <f t="shared" si="199"/>
        <v>57600000</v>
      </c>
      <c r="K2451" s="711"/>
      <c r="L2451" s="183">
        <f>120000*12</f>
        <v>1440000</v>
      </c>
      <c r="M2451" s="62">
        <f>IF(C2451&gt;6,3,5)</f>
        <v>3</v>
      </c>
    </row>
    <row r="2452" spans="1:14">
      <c r="A2452" s="88">
        <f t="shared" si="200"/>
        <v>8</v>
      </c>
      <c r="B2452" s="69" t="s">
        <v>1371</v>
      </c>
      <c r="C2452" s="89" t="s">
        <v>2335</v>
      </c>
      <c r="D2452" s="89">
        <v>300</v>
      </c>
      <c r="E2452" s="89">
        <v>50</v>
      </c>
      <c r="F2452" s="89">
        <v>0</v>
      </c>
      <c r="G2452" s="89">
        <v>0</v>
      </c>
      <c r="H2452" s="89">
        <v>50</v>
      </c>
      <c r="I2452" s="89">
        <v>0</v>
      </c>
      <c r="J2452" s="713">
        <f>L2452*D2452</f>
        <v>180000000</v>
      </c>
      <c r="K2452" s="711"/>
      <c r="L2452" s="183">
        <f>50000*12</f>
        <v>600000</v>
      </c>
      <c r="M2452" s="62">
        <f t="shared" si="195"/>
        <v>3</v>
      </c>
    </row>
    <row r="2453" spans="1:14">
      <c r="A2453" s="88">
        <f t="shared" si="200"/>
        <v>9</v>
      </c>
      <c r="B2453" s="69" t="s">
        <v>1375</v>
      </c>
      <c r="C2453" s="89" t="s">
        <v>2335</v>
      </c>
      <c r="D2453" s="89">
        <v>450</v>
      </c>
      <c r="E2453" s="89">
        <v>80</v>
      </c>
      <c r="F2453" s="89">
        <v>0</v>
      </c>
      <c r="G2453" s="89">
        <v>0</v>
      </c>
      <c r="H2453" s="89">
        <v>80</v>
      </c>
      <c r="I2453" s="89">
        <v>0</v>
      </c>
      <c r="J2453" s="713">
        <f>L2453*D2453</f>
        <v>162000000</v>
      </c>
      <c r="K2453" s="711"/>
      <c r="L2453" s="183">
        <f>30000*12</f>
        <v>360000</v>
      </c>
      <c r="M2453" s="62">
        <f t="shared" si="195"/>
        <v>3</v>
      </c>
    </row>
    <row r="2454" spans="1:14">
      <c r="A2454" s="88">
        <f t="shared" si="200"/>
        <v>10</v>
      </c>
      <c r="B2454" s="69" t="s">
        <v>345</v>
      </c>
      <c r="C2454" s="89">
        <v>14</v>
      </c>
      <c r="D2454" s="89">
        <v>1</v>
      </c>
      <c r="E2454" s="89">
        <v>1</v>
      </c>
      <c r="F2454" s="89">
        <v>1</v>
      </c>
      <c r="G2454" s="89">
        <v>1</v>
      </c>
      <c r="H2454" s="89">
        <v>1</v>
      </c>
      <c r="I2454" s="89">
        <v>1</v>
      </c>
      <c r="J2454" s="710">
        <f>(VLOOKUP($C2454,[2]Sheet1!$A$2:$P$18,$M2454+1)/12)*12*D2454</f>
        <v>669099.40824000002</v>
      </c>
      <c r="K2454" s="711"/>
      <c r="L2454" s="183"/>
      <c r="M2454" s="62">
        <f t="shared" si="195"/>
        <v>3</v>
      </c>
    </row>
    <row r="2455" spans="1:14">
      <c r="A2455" s="88">
        <f t="shared" si="200"/>
        <v>11</v>
      </c>
      <c r="B2455" s="69" t="s">
        <v>914</v>
      </c>
      <c r="C2455" s="89" t="s">
        <v>2335</v>
      </c>
      <c r="D2455" s="89">
        <v>21</v>
      </c>
      <c r="E2455" s="89">
        <v>21</v>
      </c>
      <c r="F2455" s="89">
        <v>21</v>
      </c>
      <c r="G2455" s="89">
        <v>21</v>
      </c>
      <c r="H2455" s="89">
        <v>21</v>
      </c>
      <c r="I2455" s="89">
        <v>21</v>
      </c>
      <c r="J2455" s="713">
        <f>H2455*L2455</f>
        <v>5040000</v>
      </c>
      <c r="K2455" s="711"/>
      <c r="L2455" s="183">
        <f>20000*12</f>
        <v>240000</v>
      </c>
      <c r="M2455" s="62">
        <f t="shared" si="195"/>
        <v>3</v>
      </c>
    </row>
    <row r="2456" spans="1:14">
      <c r="A2456" s="88">
        <f t="shared" si="200"/>
        <v>12</v>
      </c>
      <c r="B2456" s="69" t="s">
        <v>1471</v>
      </c>
      <c r="C2456" s="89" t="s">
        <v>2335</v>
      </c>
      <c r="D2456" s="89">
        <v>4</v>
      </c>
      <c r="E2456" s="89">
        <v>4</v>
      </c>
      <c r="F2456" s="89">
        <v>4</v>
      </c>
      <c r="G2456" s="89">
        <v>4</v>
      </c>
      <c r="H2456" s="89">
        <v>4</v>
      </c>
      <c r="I2456" s="89">
        <v>4</v>
      </c>
      <c r="J2456" s="713">
        <f>H2456*L2456</f>
        <v>960000</v>
      </c>
      <c r="K2456" s="711"/>
      <c r="L2456" s="183">
        <f>20000*12</f>
        <v>240000</v>
      </c>
      <c r="M2456" s="62">
        <f t="shared" si="195"/>
        <v>3</v>
      </c>
    </row>
    <row r="2457" spans="1:14">
      <c r="A2457" s="88">
        <f t="shared" si="200"/>
        <v>13</v>
      </c>
      <c r="B2457" s="69" t="s">
        <v>915</v>
      </c>
      <c r="C2457" s="89" t="s">
        <v>2335</v>
      </c>
      <c r="D2457" s="89">
        <v>15</v>
      </c>
      <c r="E2457" s="89">
        <v>15</v>
      </c>
      <c r="F2457" s="89">
        <v>15</v>
      </c>
      <c r="G2457" s="89">
        <v>15</v>
      </c>
      <c r="H2457" s="89">
        <v>15</v>
      </c>
      <c r="I2457" s="89">
        <v>15</v>
      </c>
      <c r="J2457" s="713">
        <f>H2457*L2457</f>
        <v>3600000</v>
      </c>
      <c r="K2457" s="711"/>
      <c r="L2457" s="183">
        <f>20000*12</f>
        <v>240000</v>
      </c>
      <c r="M2457" s="62">
        <f t="shared" si="195"/>
        <v>3</v>
      </c>
    </row>
    <row r="2458" spans="1:14">
      <c r="A2458" s="88">
        <f t="shared" si="200"/>
        <v>14</v>
      </c>
      <c r="B2458" s="69" t="s">
        <v>916</v>
      </c>
      <c r="C2458" s="89" t="s">
        <v>2335</v>
      </c>
      <c r="D2458" s="89">
        <v>27</v>
      </c>
      <c r="E2458" s="89">
        <v>27</v>
      </c>
      <c r="F2458" s="89">
        <v>27</v>
      </c>
      <c r="G2458" s="89">
        <v>27</v>
      </c>
      <c r="H2458" s="89">
        <v>27</v>
      </c>
      <c r="I2458" s="89">
        <v>27</v>
      </c>
      <c r="J2458" s="713">
        <f>H2458*L2458</f>
        <v>6480000</v>
      </c>
      <c r="K2458" s="711"/>
      <c r="L2458" s="183">
        <f>20000*12</f>
        <v>240000</v>
      </c>
      <c r="M2458" s="62">
        <f t="shared" si="195"/>
        <v>3</v>
      </c>
    </row>
    <row r="2459" spans="1:14">
      <c r="A2459" s="88"/>
      <c r="B2459" s="90" t="s">
        <v>917</v>
      </c>
      <c r="C2459" s="69"/>
      <c r="D2459" s="89"/>
      <c r="E2459" s="89"/>
      <c r="F2459" s="89"/>
      <c r="G2459" s="89"/>
      <c r="H2459" s="89"/>
      <c r="I2459" s="89"/>
      <c r="J2459" s="713"/>
      <c r="K2459" s="711"/>
      <c r="M2459" s="62">
        <f t="shared" si="195"/>
        <v>5</v>
      </c>
    </row>
    <row r="2460" spans="1:14">
      <c r="A2460" s="88">
        <f>+A2458+1</f>
        <v>15</v>
      </c>
      <c r="B2460" s="69" t="s">
        <v>2288</v>
      </c>
      <c r="C2460" s="69">
        <v>7</v>
      </c>
      <c r="D2460" s="89">
        <v>1</v>
      </c>
      <c r="E2460" s="89">
        <v>1</v>
      </c>
      <c r="F2460" s="89">
        <v>1</v>
      </c>
      <c r="G2460" s="89">
        <v>1</v>
      </c>
      <c r="H2460" s="89">
        <v>1</v>
      </c>
      <c r="I2460" s="89">
        <v>1</v>
      </c>
      <c r="J2460" s="710">
        <f>(VLOOKUP($C2460,[2]Sheet1!$A$2:$P$18,$M2460+1)/12)*12*D2460</f>
        <v>307706.70240000007</v>
      </c>
      <c r="K2460" s="711"/>
      <c r="M2460" s="62">
        <f t="shared" si="195"/>
        <v>3</v>
      </c>
    </row>
    <row r="2461" spans="1:14">
      <c r="A2461" s="88">
        <f>+A2460+1</f>
        <v>16</v>
      </c>
      <c r="B2461" s="69" t="s">
        <v>918</v>
      </c>
      <c r="C2461" s="69">
        <v>6</v>
      </c>
      <c r="D2461" s="89">
        <v>1</v>
      </c>
      <c r="E2461" s="89">
        <v>1</v>
      </c>
      <c r="F2461" s="89">
        <v>1</v>
      </c>
      <c r="G2461" s="89">
        <v>1</v>
      </c>
      <c r="H2461" s="89">
        <v>1</v>
      </c>
      <c r="I2461" s="89">
        <v>1</v>
      </c>
      <c r="J2461" s="710">
        <f>(VLOOKUP($C2461,[2]Sheet1!$A$2:$P$18,$M2461+1)/12)*12*D2461</f>
        <v>238099.37893036497</v>
      </c>
      <c r="K2461" s="711"/>
      <c r="M2461" s="62">
        <f t="shared" si="195"/>
        <v>5</v>
      </c>
    </row>
    <row r="2462" spans="1:14">
      <c r="A2462" s="88">
        <f>+A2461+1</f>
        <v>17</v>
      </c>
      <c r="B2462" s="69" t="s">
        <v>866</v>
      </c>
      <c r="C2462" s="69">
        <v>7</v>
      </c>
      <c r="D2462" s="89">
        <v>1</v>
      </c>
      <c r="E2462" s="89">
        <v>1</v>
      </c>
      <c r="F2462" s="89">
        <v>1</v>
      </c>
      <c r="G2462" s="89">
        <v>1</v>
      </c>
      <c r="H2462" s="89">
        <v>1</v>
      </c>
      <c r="I2462" s="89">
        <v>1</v>
      </c>
      <c r="J2462" s="710">
        <f>(VLOOKUP($C2462,[2]Sheet1!$A$2:$P$18,$M2462+1)/12)*12*D2462</f>
        <v>307706.70240000007</v>
      </c>
      <c r="K2462" s="711"/>
      <c r="M2462" s="62">
        <f t="shared" si="195"/>
        <v>3</v>
      </c>
    </row>
    <row r="2463" spans="1:14">
      <c r="A2463" s="88">
        <f>+A2462+1</f>
        <v>18</v>
      </c>
      <c r="B2463" s="69" t="s">
        <v>919</v>
      </c>
      <c r="C2463" s="69">
        <v>6</v>
      </c>
      <c r="D2463" s="89">
        <v>2</v>
      </c>
      <c r="E2463" s="89">
        <v>2</v>
      </c>
      <c r="F2463" s="89">
        <v>2</v>
      </c>
      <c r="G2463" s="89">
        <v>2</v>
      </c>
      <c r="H2463" s="89">
        <v>2</v>
      </c>
      <c r="I2463" s="89">
        <v>2</v>
      </c>
      <c r="J2463" s="710">
        <f>(VLOOKUP($C2463,[2]Sheet1!$A$2:$P$18,$M2463+1)/12)*12*D2463</f>
        <v>476198.75786072994</v>
      </c>
      <c r="K2463" s="711"/>
      <c r="M2463" s="62">
        <f t="shared" si="195"/>
        <v>5</v>
      </c>
    </row>
    <row r="2464" spans="1:14">
      <c r="A2464" s="88">
        <f>+A2463+1</f>
        <v>19</v>
      </c>
      <c r="B2464" s="69" t="s">
        <v>2542</v>
      </c>
      <c r="C2464" s="69">
        <v>3</v>
      </c>
      <c r="D2464" s="89">
        <v>1</v>
      </c>
      <c r="E2464" s="89">
        <v>1</v>
      </c>
      <c r="F2464" s="89">
        <v>1</v>
      </c>
      <c r="G2464" s="89">
        <v>1</v>
      </c>
      <c r="H2464" s="89">
        <v>1</v>
      </c>
      <c r="I2464" s="89">
        <v>1</v>
      </c>
      <c r="J2464" s="710">
        <f>(VLOOKUP($C2464,[2]Sheet1!$A$2:$P$18,$M2464+1)/12)*12*D2464</f>
        <v>219336.17893036499</v>
      </c>
      <c r="K2464" s="711"/>
      <c r="M2464" s="62">
        <f t="shared" si="195"/>
        <v>5</v>
      </c>
    </row>
    <row r="2465" spans="1:13">
      <c r="A2465" s="88">
        <f>+A2464+1</f>
        <v>20</v>
      </c>
      <c r="B2465" s="69" t="s">
        <v>2543</v>
      </c>
      <c r="C2465" s="69">
        <v>2</v>
      </c>
      <c r="D2465" s="89">
        <v>2</v>
      </c>
      <c r="E2465" s="89">
        <v>2</v>
      </c>
      <c r="F2465" s="89">
        <v>2</v>
      </c>
      <c r="G2465" s="89">
        <v>2</v>
      </c>
      <c r="H2465" s="89">
        <v>2</v>
      </c>
      <c r="I2465" s="89">
        <v>2</v>
      </c>
      <c r="J2465" s="710">
        <f>(VLOOKUP($C2465,[2]Sheet1!$A$2:$P$18,$M2465+1)/12)*12*D2465</f>
        <v>429314.75786073005</v>
      </c>
      <c r="K2465" s="711"/>
      <c r="M2465" s="62">
        <f t="shared" si="195"/>
        <v>5</v>
      </c>
    </row>
    <row r="2466" spans="1:13">
      <c r="A2466" s="92"/>
      <c r="B2466" s="93" t="s">
        <v>1684</v>
      </c>
      <c r="C2466" s="94"/>
      <c r="D2466" s="123">
        <f t="shared" ref="D2466:I2466" si="201">SUM(D2445:D2465)</f>
        <v>927</v>
      </c>
      <c r="E2466" s="123">
        <f t="shared" si="201"/>
        <v>297</v>
      </c>
      <c r="F2466" s="123">
        <f t="shared" si="201"/>
        <v>168</v>
      </c>
      <c r="G2466" s="123">
        <f>SUM(G2445:G2465)</f>
        <v>168</v>
      </c>
      <c r="H2466" s="123">
        <f t="shared" si="201"/>
        <v>307</v>
      </c>
      <c r="I2466" s="123">
        <f t="shared" si="201"/>
        <v>168</v>
      </c>
      <c r="J2466" s="123">
        <f>SUM(J2445:J2465)-283200000</f>
        <v>397127461.88662219</v>
      </c>
      <c r="K2466" s="378"/>
      <c r="M2466" s="62">
        <f t="shared" si="195"/>
        <v>5</v>
      </c>
    </row>
    <row r="2467" spans="1:13">
      <c r="A2467" s="88"/>
      <c r="B2467" s="90" t="s">
        <v>1199</v>
      </c>
      <c r="C2467" s="97"/>
      <c r="D2467" s="98"/>
      <c r="E2467" s="98"/>
      <c r="F2467" s="125"/>
      <c r="G2467" s="240" t="s">
        <v>243</v>
      </c>
      <c r="H2467" s="240" t="s">
        <v>4130</v>
      </c>
      <c r="I2467" s="240" t="s">
        <v>4202</v>
      </c>
      <c r="J2467" s="241" t="s">
        <v>4200</v>
      </c>
      <c r="K2467" s="375"/>
      <c r="M2467" s="62">
        <f t="shared" si="195"/>
        <v>5</v>
      </c>
    </row>
    <row r="2468" spans="1:13">
      <c r="A2468" s="88">
        <v>1</v>
      </c>
      <c r="B2468" s="69" t="s">
        <v>2786</v>
      </c>
      <c r="C2468" s="69"/>
      <c r="D2468" s="89"/>
      <c r="E2468" s="89"/>
      <c r="F2468" s="89"/>
      <c r="G2468" s="100">
        <f>J2466*0.2</f>
        <v>79425492.377324447</v>
      </c>
      <c r="H2468" s="100">
        <f>G2468*1.02</f>
        <v>81014002.224870935</v>
      </c>
      <c r="I2468" s="100">
        <f>H2468*1.02</f>
        <v>82634282.269368351</v>
      </c>
      <c r="J2468" s="100">
        <f>SUM(G2468:I2468)</f>
        <v>243073776.87156373</v>
      </c>
      <c r="K2468" s="114"/>
      <c r="M2468" s="62">
        <f t="shared" si="195"/>
        <v>5</v>
      </c>
    </row>
    <row r="2469" spans="1:13">
      <c r="A2469" s="88">
        <f>+A2468+1</f>
        <v>2</v>
      </c>
      <c r="B2469" s="69" t="s">
        <v>1342</v>
      </c>
      <c r="C2469" s="69"/>
      <c r="D2469" s="89"/>
      <c r="E2469" s="89"/>
      <c r="F2469" s="89"/>
      <c r="G2469" s="100">
        <v>2148624.7328000003</v>
      </c>
      <c r="H2469" s="100">
        <f>G2469*1.02</f>
        <v>2191597.2274560002</v>
      </c>
      <c r="I2469" s="100">
        <f>H2469*1.02</f>
        <v>2235429.1720051202</v>
      </c>
      <c r="J2469" s="100">
        <f>SUM(G2469:I2469)</f>
        <v>6575651.1322611216</v>
      </c>
      <c r="K2469" s="114"/>
    </row>
    <row r="2470" spans="1:13">
      <c r="A2470" s="92"/>
      <c r="B2470" s="93" t="s">
        <v>1933</v>
      </c>
      <c r="C2470" s="94"/>
      <c r="D2470" s="101"/>
      <c r="E2470" s="101"/>
      <c r="F2470" s="95"/>
      <c r="G2470" s="95">
        <f>SUM(G2468:G2469)</f>
        <v>81574117.110124454</v>
      </c>
      <c r="H2470" s="95">
        <f>SUM(H2468:H2469)</f>
        <v>83205599.452326939</v>
      </c>
      <c r="I2470" s="95">
        <f>SUM(I2468:I2469)</f>
        <v>84869711.441373467</v>
      </c>
      <c r="J2470" s="95">
        <f>SUM(J2468:J2469)</f>
        <v>249649428.00382486</v>
      </c>
      <c r="K2470" s="378"/>
      <c r="M2470" s="62">
        <f t="shared" ref="M2470:M2536" si="202">IF(C2470&gt;6,3,5)</f>
        <v>5</v>
      </c>
    </row>
    <row r="2471" spans="1:13">
      <c r="A2471" s="88">
        <v>1</v>
      </c>
      <c r="B2471" s="69" t="s">
        <v>1934</v>
      </c>
      <c r="C2471" s="69"/>
      <c r="D2471" s="89"/>
      <c r="E2471" s="89"/>
      <c r="F2471" s="89"/>
      <c r="G2471" s="100">
        <f>G2470+J2466</f>
        <v>478701578.99674666</v>
      </c>
      <c r="H2471" s="100">
        <f>G2471*1.02</f>
        <v>488275610.57668161</v>
      </c>
      <c r="I2471" s="100">
        <f>H2471*1.02</f>
        <v>498041122.78821528</v>
      </c>
      <c r="J2471" s="100">
        <f>SUM(G2471:I2471)</f>
        <v>1465018312.3616436</v>
      </c>
      <c r="K2471" s="114"/>
      <c r="L2471" s="112"/>
      <c r="M2471" s="62">
        <f t="shared" si="202"/>
        <v>5</v>
      </c>
    </row>
    <row r="2472" spans="1:13" ht="13.5" thickBot="1">
      <c r="A2472" s="135">
        <v>2</v>
      </c>
      <c r="B2472" s="136" t="s">
        <v>129</v>
      </c>
      <c r="C2472" s="136"/>
      <c r="D2472" s="137"/>
      <c r="E2472" s="137"/>
      <c r="F2472" s="137"/>
      <c r="G2472" s="137">
        <f>C2500</f>
        <v>67600000</v>
      </c>
      <c r="H2472" s="137">
        <f>D2500</f>
        <v>151800000</v>
      </c>
      <c r="I2472" s="137">
        <f>E2500</f>
        <v>151800000</v>
      </c>
      <c r="J2472" s="100">
        <f>SUM(G2472:I2472)</f>
        <v>371200000</v>
      </c>
      <c r="K2472" s="114"/>
      <c r="M2472" s="62">
        <f t="shared" si="202"/>
        <v>5</v>
      </c>
    </row>
    <row r="2473" spans="1:13" ht="14.25" thickTop="1" thickBot="1">
      <c r="A2473" s="138"/>
      <c r="B2473" s="139" t="s">
        <v>2241</v>
      </c>
      <c r="C2473" s="140"/>
      <c r="D2473" s="141"/>
      <c r="E2473" s="141"/>
      <c r="F2473" s="142"/>
      <c r="G2473" s="142">
        <f>SUM(G2471:G2472)</f>
        <v>546301578.99674666</v>
      </c>
      <c r="H2473" s="142">
        <f>SUM(H2471:H2472)</f>
        <v>640075610.57668161</v>
      </c>
      <c r="I2473" s="142">
        <f>SUM(I2471:I2472)</f>
        <v>649841122.78821528</v>
      </c>
      <c r="J2473" s="142">
        <f>SUM(J2471:J2472)</f>
        <v>1836218312.3616436</v>
      </c>
      <c r="K2473" s="378"/>
      <c r="M2473" s="62">
        <f t="shared" si="202"/>
        <v>5</v>
      </c>
    </row>
    <row r="2474" spans="1:13" ht="15.75" thickTop="1">
      <c r="C2474" s="77"/>
      <c r="D2474" s="78" t="s">
        <v>5434</v>
      </c>
      <c r="J2474" s="584"/>
      <c r="K2474" s="584"/>
      <c r="M2474" s="62">
        <f t="shared" si="202"/>
        <v>5</v>
      </c>
    </row>
    <row r="2475" spans="1:13" ht="15">
      <c r="C2475" s="77"/>
      <c r="D2475" s="78" t="s">
        <v>716</v>
      </c>
      <c r="J2475" s="584"/>
      <c r="K2475" s="584"/>
      <c r="M2475" s="62">
        <f t="shared" si="202"/>
        <v>5</v>
      </c>
    </row>
    <row r="2476" spans="1:13" ht="15">
      <c r="C2476" s="79" t="s">
        <v>717</v>
      </c>
      <c r="D2476" s="78" t="s">
        <v>1135</v>
      </c>
      <c r="J2476" s="584"/>
      <c r="K2476" s="584"/>
      <c r="M2476" s="62">
        <f t="shared" si="202"/>
        <v>3</v>
      </c>
    </row>
    <row r="2477" spans="1:13" ht="15">
      <c r="C2477" s="79" t="s">
        <v>718</v>
      </c>
      <c r="D2477" s="78" t="s">
        <v>1205</v>
      </c>
      <c r="J2477" s="584"/>
      <c r="K2477" s="584"/>
      <c r="M2477" s="62">
        <f t="shared" si="202"/>
        <v>3</v>
      </c>
    </row>
    <row r="2478" spans="1:13" ht="15">
      <c r="A2478" s="634" t="s">
        <v>1839</v>
      </c>
      <c r="B2478" s="635" t="s">
        <v>903</v>
      </c>
      <c r="C2478" s="1037" t="s">
        <v>4127</v>
      </c>
      <c r="D2478" s="1038"/>
      <c r="E2478" s="1039"/>
      <c r="F2478" s="635" t="s">
        <v>1684</v>
      </c>
      <c r="G2478" s="1037" t="s">
        <v>4132</v>
      </c>
      <c r="H2478" s="1038"/>
      <c r="I2478" s="1039"/>
      <c r="J2478" s="726"/>
      <c r="K2478" s="727"/>
    </row>
    <row r="2479" spans="1:13">
      <c r="A2479" s="636" t="s">
        <v>1620</v>
      </c>
      <c r="B2479" s="637"/>
      <c r="C2479" s="635" t="s">
        <v>1841</v>
      </c>
      <c r="D2479" s="635" t="s">
        <v>4133</v>
      </c>
      <c r="E2479" s="635" t="s">
        <v>4133</v>
      </c>
      <c r="F2479" s="1056" t="s">
        <v>4200</v>
      </c>
      <c r="G2479" s="634" t="s">
        <v>4135</v>
      </c>
      <c r="H2479" s="1051" t="s">
        <v>4182</v>
      </c>
      <c r="I2479" s="634" t="s">
        <v>4135</v>
      </c>
      <c r="J2479" s="728" t="s">
        <v>4136</v>
      </c>
      <c r="K2479" s="727"/>
    </row>
    <row r="2480" spans="1:13" ht="12.75" customHeight="1">
      <c r="A2480" s="638" t="s">
        <v>387</v>
      </c>
      <c r="B2480" s="639"/>
      <c r="C2480" s="638">
        <v>2015</v>
      </c>
      <c r="D2480" s="638">
        <v>2016</v>
      </c>
      <c r="E2480" s="638">
        <v>2017</v>
      </c>
      <c r="F2480" s="1057"/>
      <c r="G2480" s="638" t="s">
        <v>4304</v>
      </c>
      <c r="H2480" s="1052"/>
      <c r="I2480" s="638" t="s">
        <v>4303</v>
      </c>
      <c r="J2480" s="639"/>
      <c r="K2480" s="729"/>
    </row>
    <row r="2481" spans="1:13" ht="15" customHeight="1">
      <c r="A2481" s="768">
        <v>2</v>
      </c>
      <c r="B2481" s="773" t="s">
        <v>1695</v>
      </c>
      <c r="C2481" s="390">
        <v>10000000</v>
      </c>
      <c r="D2481" s="390">
        <v>10000000</v>
      </c>
      <c r="E2481" s="390">
        <v>10000000</v>
      </c>
      <c r="F2481" s="288">
        <f>SUM(C2481:E2481)</f>
        <v>30000000</v>
      </c>
      <c r="G2481" s="390">
        <v>3205000</v>
      </c>
      <c r="H2481" s="390">
        <v>8000000</v>
      </c>
      <c r="I2481" s="390">
        <f>339000+2450000</f>
        <v>2789000</v>
      </c>
      <c r="J2481" s="390"/>
      <c r="K2481" s="734"/>
      <c r="M2481" s="62" t="e">
        <f>IF(#REF!&gt;6,3,5)</f>
        <v>#REF!</v>
      </c>
    </row>
    <row r="2482" spans="1:13" ht="15" customHeight="1">
      <c r="A2482" s="768">
        <f t="shared" ref="A2482:A2494" si="203">+A2481+1</f>
        <v>3</v>
      </c>
      <c r="B2482" s="773" t="s">
        <v>1696</v>
      </c>
      <c r="C2482" s="731" t="s">
        <v>1386</v>
      </c>
      <c r="D2482" s="731" t="s">
        <v>1386</v>
      </c>
      <c r="E2482" s="731" t="s">
        <v>1386</v>
      </c>
      <c r="F2482" s="288">
        <f t="shared" ref="F2482:F2499" si="204">SUM(C2482:E2482)</f>
        <v>0</v>
      </c>
      <c r="G2482" s="731"/>
      <c r="H2482" s="731" t="s">
        <v>1386</v>
      </c>
      <c r="I2482" s="731"/>
      <c r="J2482" s="390"/>
      <c r="K2482" s="734"/>
      <c r="M2482" s="62" t="e">
        <f>IF(#REF!&gt;6,3,5)</f>
        <v>#REF!</v>
      </c>
    </row>
    <row r="2483" spans="1:13" ht="15" customHeight="1">
      <c r="A2483" s="768">
        <f t="shared" si="203"/>
        <v>4</v>
      </c>
      <c r="B2483" s="773" t="s">
        <v>1701</v>
      </c>
      <c r="C2483" s="731" t="s">
        <v>1386</v>
      </c>
      <c r="D2483" s="731" t="s">
        <v>1386</v>
      </c>
      <c r="E2483" s="731" t="s">
        <v>1386</v>
      </c>
      <c r="F2483" s="288">
        <f t="shared" si="204"/>
        <v>0</v>
      </c>
      <c r="G2483" s="731"/>
      <c r="H2483" s="731" t="s">
        <v>1386</v>
      </c>
      <c r="I2483" s="731"/>
      <c r="J2483" s="390"/>
      <c r="K2483" s="734"/>
      <c r="M2483" s="62" t="e">
        <f>IF(#REF!&gt;6,3,5)</f>
        <v>#REF!</v>
      </c>
    </row>
    <row r="2484" spans="1:13" ht="15" customHeight="1">
      <c r="A2484" s="768">
        <f t="shared" si="203"/>
        <v>5</v>
      </c>
      <c r="B2484" s="773" t="s">
        <v>1702</v>
      </c>
      <c r="C2484" s="390">
        <v>1000000</v>
      </c>
      <c r="D2484" s="390">
        <v>1200000</v>
      </c>
      <c r="E2484" s="390">
        <v>1200000</v>
      </c>
      <c r="F2484" s="288">
        <f t="shared" si="204"/>
        <v>3400000</v>
      </c>
      <c r="G2484" s="731">
        <v>233000</v>
      </c>
      <c r="H2484" s="390">
        <v>1000000</v>
      </c>
      <c r="I2484" s="731">
        <v>240000</v>
      </c>
      <c r="J2484" s="731">
        <v>240000</v>
      </c>
      <c r="K2484" s="734"/>
      <c r="M2484" s="62" t="e">
        <f>IF(#REF!&gt;6,3,5)</f>
        <v>#REF!</v>
      </c>
    </row>
    <row r="2485" spans="1:13" ht="15" customHeight="1">
      <c r="A2485" s="768">
        <f t="shared" si="203"/>
        <v>6</v>
      </c>
      <c r="B2485" s="773" t="s">
        <v>1544</v>
      </c>
      <c r="C2485" s="390">
        <v>500000</v>
      </c>
      <c r="D2485" s="390">
        <v>500000</v>
      </c>
      <c r="E2485" s="390">
        <v>500000</v>
      </c>
      <c r="F2485" s="288">
        <f t="shared" si="204"/>
        <v>1500000</v>
      </c>
      <c r="G2485" s="390">
        <v>116378</v>
      </c>
      <c r="H2485" s="390">
        <v>500000</v>
      </c>
      <c r="I2485" s="390">
        <v>240400</v>
      </c>
      <c r="J2485" s="390">
        <v>240400</v>
      </c>
      <c r="K2485" s="734"/>
      <c r="M2485" s="62" t="e">
        <f>IF(#REF!&gt;6,3,5)</f>
        <v>#REF!</v>
      </c>
    </row>
    <row r="2486" spans="1:13" ht="15" customHeight="1">
      <c r="A2486" s="768">
        <f t="shared" si="203"/>
        <v>7</v>
      </c>
      <c r="B2486" s="773" t="s">
        <v>897</v>
      </c>
      <c r="C2486" s="390">
        <v>1000000</v>
      </c>
      <c r="D2486" s="390">
        <v>2000000</v>
      </c>
      <c r="E2486" s="390">
        <v>2000000</v>
      </c>
      <c r="F2486" s="288">
        <f t="shared" si="204"/>
        <v>5000000</v>
      </c>
      <c r="G2486" s="390">
        <v>690222</v>
      </c>
      <c r="H2486" s="390">
        <v>1000000</v>
      </c>
      <c r="I2486" s="390">
        <v>110000</v>
      </c>
      <c r="J2486" s="390">
        <v>110000</v>
      </c>
      <c r="K2486" s="734"/>
      <c r="M2486" s="62" t="e">
        <f>IF(#REF!&gt;6,3,5)</f>
        <v>#REF!</v>
      </c>
    </row>
    <row r="2487" spans="1:13" ht="15" customHeight="1">
      <c r="A2487" s="768">
        <f t="shared" si="203"/>
        <v>8</v>
      </c>
      <c r="B2487" s="773" t="s">
        <v>1385</v>
      </c>
      <c r="C2487" s="731" t="s">
        <v>1386</v>
      </c>
      <c r="D2487" s="731" t="s">
        <v>1386</v>
      </c>
      <c r="E2487" s="731" t="s">
        <v>1386</v>
      </c>
      <c r="F2487" s="288">
        <f t="shared" si="204"/>
        <v>0</v>
      </c>
      <c r="G2487" s="731"/>
      <c r="H2487" s="731" t="s">
        <v>1386</v>
      </c>
      <c r="I2487" s="731"/>
      <c r="J2487" s="731"/>
      <c r="K2487" s="734"/>
      <c r="M2487" s="62" t="e">
        <f>IF(#REF!&gt;6,3,5)</f>
        <v>#REF!</v>
      </c>
    </row>
    <row r="2488" spans="1:13" ht="15" customHeight="1">
      <c r="A2488" s="768">
        <f t="shared" si="203"/>
        <v>9</v>
      </c>
      <c r="B2488" s="773" t="s">
        <v>2061</v>
      </c>
      <c r="C2488" s="731" t="s">
        <v>1386</v>
      </c>
      <c r="D2488" s="731" t="s">
        <v>1386</v>
      </c>
      <c r="E2488" s="731" t="s">
        <v>1386</v>
      </c>
      <c r="F2488" s="288">
        <f t="shared" si="204"/>
        <v>0</v>
      </c>
      <c r="G2488" s="731"/>
      <c r="H2488" s="731" t="s">
        <v>1386</v>
      </c>
      <c r="I2488" s="731"/>
      <c r="J2488" s="731"/>
      <c r="K2488" s="734"/>
      <c r="M2488" s="62" t="e">
        <f>IF(#REF!&gt;6,3,5)</f>
        <v>#REF!</v>
      </c>
    </row>
    <row r="2489" spans="1:13" ht="15" customHeight="1">
      <c r="A2489" s="768">
        <f t="shared" si="203"/>
        <v>10</v>
      </c>
      <c r="B2489" s="773" t="s">
        <v>1680</v>
      </c>
      <c r="C2489" s="390">
        <v>1300000</v>
      </c>
      <c r="D2489" s="390">
        <v>500000</v>
      </c>
      <c r="E2489" s="390">
        <v>500000</v>
      </c>
      <c r="F2489" s="288">
        <f t="shared" si="204"/>
        <v>2300000</v>
      </c>
      <c r="G2489" s="390">
        <v>437690</v>
      </c>
      <c r="H2489" s="390">
        <v>500000</v>
      </c>
      <c r="I2489" s="390">
        <v>0</v>
      </c>
      <c r="J2489" s="390">
        <v>0</v>
      </c>
      <c r="K2489" s="734"/>
      <c r="M2489" s="62" t="e">
        <f>IF(#REF!&gt;6,3,5)</f>
        <v>#REF!</v>
      </c>
    </row>
    <row r="2490" spans="1:13" ht="15" customHeight="1">
      <c r="A2490" s="768">
        <f t="shared" si="203"/>
        <v>11</v>
      </c>
      <c r="B2490" s="773" t="s">
        <v>1681</v>
      </c>
      <c r="C2490" s="390">
        <v>500000</v>
      </c>
      <c r="D2490" s="390">
        <v>500000</v>
      </c>
      <c r="E2490" s="390">
        <v>500000</v>
      </c>
      <c r="F2490" s="288">
        <f t="shared" si="204"/>
        <v>1500000</v>
      </c>
      <c r="G2490" s="390">
        <v>6597710</v>
      </c>
      <c r="H2490" s="390">
        <v>500000</v>
      </c>
      <c r="I2490" s="390">
        <v>250000</v>
      </c>
      <c r="J2490" s="390">
        <v>250000</v>
      </c>
      <c r="K2490" s="734"/>
      <c r="M2490" s="62" t="e">
        <f>IF(#REF!&gt;6,3,5)</f>
        <v>#REF!</v>
      </c>
    </row>
    <row r="2491" spans="1:13" ht="15" customHeight="1">
      <c r="A2491" s="768">
        <f t="shared" si="203"/>
        <v>12</v>
      </c>
      <c r="B2491" s="773" t="s">
        <v>1682</v>
      </c>
      <c r="C2491" s="390">
        <v>12000000</v>
      </c>
      <c r="D2491" s="390">
        <v>10000000</v>
      </c>
      <c r="E2491" s="390">
        <v>10000000</v>
      </c>
      <c r="F2491" s="288">
        <f t="shared" si="204"/>
        <v>32000000</v>
      </c>
      <c r="G2491" s="390"/>
      <c r="H2491" s="390">
        <v>8000000</v>
      </c>
      <c r="I2491" s="390">
        <f>19000000</f>
        <v>19000000</v>
      </c>
      <c r="J2491" s="390">
        <v>572600</v>
      </c>
      <c r="K2491" s="734"/>
      <c r="M2491" s="62" t="e">
        <f>IF(#REF!&gt;6,3,5)</f>
        <v>#REF!</v>
      </c>
    </row>
    <row r="2492" spans="1:13" ht="15" customHeight="1">
      <c r="A2492" s="768">
        <f t="shared" si="203"/>
        <v>13</v>
      </c>
      <c r="B2492" s="773" t="s">
        <v>2249</v>
      </c>
      <c r="C2492" s="731">
        <v>100000</v>
      </c>
      <c r="D2492" s="731">
        <v>100000</v>
      </c>
      <c r="E2492" s="731">
        <v>100000</v>
      </c>
      <c r="F2492" s="288">
        <f t="shared" si="204"/>
        <v>300000</v>
      </c>
      <c r="G2492" s="731">
        <v>400000</v>
      </c>
      <c r="H2492" s="731">
        <v>100000</v>
      </c>
      <c r="I2492" s="731">
        <v>0</v>
      </c>
      <c r="J2492" s="731">
        <v>0</v>
      </c>
      <c r="K2492" s="734"/>
      <c r="M2492" s="62" t="e">
        <f>IF(#REF!&gt;6,3,5)</f>
        <v>#REF!</v>
      </c>
    </row>
    <row r="2493" spans="1:13" ht="15" customHeight="1">
      <c r="A2493" s="768">
        <f t="shared" si="203"/>
        <v>14</v>
      </c>
      <c r="B2493" s="773" t="s">
        <v>1336</v>
      </c>
      <c r="C2493" s="731">
        <v>1200000</v>
      </c>
      <c r="D2493" s="731">
        <v>2000000</v>
      </c>
      <c r="E2493" s="731">
        <v>2000000</v>
      </c>
      <c r="F2493" s="288">
        <f t="shared" si="204"/>
        <v>5200000</v>
      </c>
      <c r="G2493" s="731"/>
      <c r="H2493" s="731">
        <v>1000000</v>
      </c>
      <c r="I2493" s="731">
        <v>640000</v>
      </c>
      <c r="J2493" s="731">
        <v>640000</v>
      </c>
      <c r="K2493" s="734"/>
      <c r="M2493" s="62" t="e">
        <f>IF(#REF!&gt;6,3,5)</f>
        <v>#REF!</v>
      </c>
    </row>
    <row r="2494" spans="1:13" ht="15" customHeight="1">
      <c r="A2494" s="768">
        <f t="shared" si="203"/>
        <v>15</v>
      </c>
      <c r="B2494" s="773" t="s">
        <v>411</v>
      </c>
      <c r="C2494" s="390" t="s">
        <v>1386</v>
      </c>
      <c r="D2494" s="390" t="s">
        <v>1386</v>
      </c>
      <c r="E2494" s="390" t="s">
        <v>1386</v>
      </c>
      <c r="F2494" s="288">
        <f t="shared" si="204"/>
        <v>0</v>
      </c>
      <c r="G2494" s="390"/>
      <c r="H2494" s="390" t="s">
        <v>1386</v>
      </c>
      <c r="I2494" s="390"/>
      <c r="J2494" s="390"/>
      <c r="K2494" s="734"/>
      <c r="M2494" s="62" t="e">
        <f>IF(#REF!&gt;6,3,5)</f>
        <v>#REF!</v>
      </c>
    </row>
    <row r="2495" spans="1:13" ht="15" customHeight="1">
      <c r="A2495" s="768">
        <v>16</v>
      </c>
      <c r="B2495" s="773" t="s">
        <v>3342</v>
      </c>
      <c r="C2495" s="390" t="s">
        <v>1386</v>
      </c>
      <c r="D2495" s="390" t="s">
        <v>1386</v>
      </c>
      <c r="E2495" s="390" t="s">
        <v>1386</v>
      </c>
      <c r="F2495" s="288">
        <f t="shared" si="204"/>
        <v>0</v>
      </c>
      <c r="G2495" s="390"/>
      <c r="H2495" s="390" t="s">
        <v>1386</v>
      </c>
      <c r="I2495" s="390"/>
      <c r="J2495" s="390"/>
      <c r="K2495" s="734"/>
      <c r="M2495" s="62" t="e">
        <f>IF(#REF!&gt;6,3,5)</f>
        <v>#REF!</v>
      </c>
    </row>
    <row r="2496" spans="1:13" ht="15" customHeight="1">
      <c r="A2496" s="768">
        <v>17</v>
      </c>
      <c r="B2496" s="773" t="s">
        <v>610</v>
      </c>
      <c r="C2496" s="390" t="s">
        <v>1386</v>
      </c>
      <c r="D2496" s="390">
        <v>50000000</v>
      </c>
      <c r="E2496" s="390">
        <v>50000000</v>
      </c>
      <c r="F2496" s="288">
        <f t="shared" si="204"/>
        <v>100000000</v>
      </c>
      <c r="G2496" s="390"/>
      <c r="H2496" s="390" t="s">
        <v>1386</v>
      </c>
      <c r="I2496" s="390"/>
      <c r="J2496" s="390"/>
      <c r="K2496" s="734"/>
    </row>
    <row r="2497" spans="1:13" ht="25.5">
      <c r="A2497" s="768">
        <v>18</v>
      </c>
      <c r="B2497" s="773" t="s">
        <v>12</v>
      </c>
      <c r="C2497" s="390">
        <v>25000000</v>
      </c>
      <c r="D2497" s="390">
        <v>25000000</v>
      </c>
      <c r="E2497" s="390">
        <v>25000000</v>
      </c>
      <c r="F2497" s="288">
        <f t="shared" si="204"/>
        <v>75000000</v>
      </c>
      <c r="G2497" s="390"/>
      <c r="H2497" s="390">
        <v>5000000</v>
      </c>
      <c r="I2497" s="390">
        <v>0</v>
      </c>
      <c r="J2497" s="390"/>
      <c r="K2497" s="734"/>
    </row>
    <row r="2498" spans="1:13" ht="15" customHeight="1">
      <c r="A2498" s="768">
        <v>19</v>
      </c>
      <c r="B2498" s="773" t="s">
        <v>13</v>
      </c>
      <c r="C2498" s="390">
        <v>15000000</v>
      </c>
      <c r="D2498" s="390">
        <v>50000000</v>
      </c>
      <c r="E2498" s="390">
        <v>50000000</v>
      </c>
      <c r="F2498" s="288">
        <f t="shared" si="204"/>
        <v>115000000</v>
      </c>
      <c r="G2498" s="390"/>
      <c r="H2498" s="390">
        <v>50000000</v>
      </c>
      <c r="I2498" s="390"/>
      <c r="J2498" s="390"/>
      <c r="K2498" s="734"/>
    </row>
    <row r="2499" spans="1:13">
      <c r="A2499" s="768"/>
      <c r="B2499" s="773"/>
      <c r="C2499" s="390"/>
      <c r="D2499" s="390"/>
      <c r="E2499" s="390"/>
      <c r="F2499" s="288">
        <f t="shared" si="204"/>
        <v>0</v>
      </c>
      <c r="G2499" s="390"/>
      <c r="H2499" s="390"/>
      <c r="I2499" s="390"/>
      <c r="J2499" s="390"/>
      <c r="K2499" s="734"/>
    </row>
    <row r="2500" spans="1:13">
      <c r="A2500" s="777"/>
      <c r="B2500" s="777" t="s">
        <v>1684</v>
      </c>
      <c r="C2500" s="785">
        <f>SUM(C2481:C2499)</f>
        <v>67600000</v>
      </c>
      <c r="D2500" s="785">
        <f>SUM(D2481:D2499)</f>
        <v>151800000</v>
      </c>
      <c r="E2500" s="786">
        <f>SUM(E2481:E2498)</f>
        <v>151800000</v>
      </c>
      <c r="F2500" s="786">
        <f>SUM(F2481:F2498)</f>
        <v>371200000</v>
      </c>
      <c r="G2500" s="786">
        <f>SUM(G2481:G2498)</f>
        <v>11680000</v>
      </c>
      <c r="H2500" s="786">
        <f>SUM(H2481:H2498)</f>
        <v>75600000</v>
      </c>
      <c r="I2500" s="786">
        <f>SUM(I2481:I2498)</f>
        <v>23269400</v>
      </c>
      <c r="J2500" s="785"/>
      <c r="K2500" s="787"/>
      <c r="M2500" s="62" t="e">
        <f>IF(#REF!&gt;6,3,5)</f>
        <v>#REF!</v>
      </c>
    </row>
    <row r="2501" spans="1:13" ht="15">
      <c r="J2501" s="584"/>
      <c r="K2501" s="584"/>
      <c r="M2501" s="62">
        <f t="shared" si="202"/>
        <v>5</v>
      </c>
    </row>
    <row r="2502" spans="1:13" ht="15">
      <c r="C2502" s="77"/>
      <c r="D2502" s="78" t="s">
        <v>5434</v>
      </c>
      <c r="J2502" s="584"/>
      <c r="K2502" s="584"/>
      <c r="M2502" s="62">
        <f t="shared" si="202"/>
        <v>5</v>
      </c>
    </row>
    <row r="2503" spans="1:13" ht="15">
      <c r="C2503" s="77"/>
      <c r="D2503" s="78" t="s">
        <v>1693</v>
      </c>
      <c r="J2503" s="584"/>
      <c r="K2503" s="584"/>
      <c r="M2503" s="62">
        <f t="shared" si="202"/>
        <v>5</v>
      </c>
    </row>
    <row r="2504" spans="1:13" ht="15">
      <c r="C2504" s="79" t="s">
        <v>717</v>
      </c>
      <c r="D2504" s="78" t="s">
        <v>1204</v>
      </c>
      <c r="J2504" s="584"/>
      <c r="K2504" s="584"/>
      <c r="M2504" s="62">
        <f t="shared" si="202"/>
        <v>3</v>
      </c>
    </row>
    <row r="2505" spans="1:13" ht="15.75" thickBot="1">
      <c r="C2505" s="79" t="s">
        <v>718</v>
      </c>
      <c r="D2505" s="78" t="s">
        <v>3436</v>
      </c>
      <c r="J2505" s="584"/>
      <c r="K2505" s="584"/>
      <c r="M2505" s="62">
        <f t="shared" si="202"/>
        <v>3</v>
      </c>
    </row>
    <row r="2506" spans="1:13" ht="15.75" thickTop="1">
      <c r="A2506" s="1047" t="s">
        <v>2791</v>
      </c>
      <c r="B2506" s="1049" t="s">
        <v>4126</v>
      </c>
      <c r="C2506" s="1049" t="s">
        <v>854</v>
      </c>
      <c r="D2506" s="1040" t="s">
        <v>4127</v>
      </c>
      <c r="E2506" s="1041"/>
      <c r="F2506" s="1041"/>
      <c r="G2506" s="1040" t="s">
        <v>904</v>
      </c>
      <c r="H2506" s="1041"/>
      <c r="I2506" s="1042"/>
      <c r="J2506" s="1035" t="s">
        <v>855</v>
      </c>
      <c r="K2506" s="389"/>
    </row>
    <row r="2507" spans="1:13" ht="26.25" thickBot="1">
      <c r="A2507" s="1048"/>
      <c r="B2507" s="1050"/>
      <c r="C2507" s="1050"/>
      <c r="D2507" s="285" t="s">
        <v>5505</v>
      </c>
      <c r="E2507" s="285" t="s">
        <v>4485</v>
      </c>
      <c r="F2507" s="285" t="s">
        <v>4486</v>
      </c>
      <c r="G2507" s="287" t="s">
        <v>4487</v>
      </c>
      <c r="H2507" s="285" t="s">
        <v>4488</v>
      </c>
      <c r="I2507" s="287" t="s">
        <v>4489</v>
      </c>
      <c r="J2507" s="1036"/>
      <c r="K2507" s="712"/>
    </row>
    <row r="2508" spans="1:13" ht="13.5" thickTop="1">
      <c r="A2508" s="88"/>
      <c r="B2508" s="90" t="s">
        <v>3885</v>
      </c>
      <c r="C2508" s="89"/>
      <c r="D2508" s="89"/>
      <c r="E2508" s="89"/>
      <c r="F2508" s="69"/>
      <c r="G2508" s="89"/>
      <c r="H2508" s="89"/>
      <c r="I2508" s="89"/>
      <c r="J2508" s="713"/>
      <c r="K2508" s="711"/>
      <c r="M2508" s="62">
        <f t="shared" si="202"/>
        <v>5</v>
      </c>
    </row>
    <row r="2509" spans="1:13">
      <c r="A2509" s="88">
        <v>1</v>
      </c>
      <c r="B2509" s="69" t="s">
        <v>2764</v>
      </c>
      <c r="C2509" s="69">
        <v>6</v>
      </c>
      <c r="D2509" s="89">
        <v>1</v>
      </c>
      <c r="E2509" s="89">
        <v>1</v>
      </c>
      <c r="F2509" s="89">
        <v>1</v>
      </c>
      <c r="G2509" s="89">
        <v>1</v>
      </c>
      <c r="H2509" s="89">
        <v>1</v>
      </c>
      <c r="I2509" s="89">
        <v>1</v>
      </c>
      <c r="J2509" s="710">
        <f>(VLOOKUP($C2509,[2]Sheet1!$A$2:$P$18,$M2509+1)/12)*12*D2509</f>
        <v>238099.37893036497</v>
      </c>
      <c r="K2509" s="711"/>
      <c r="M2509" s="62">
        <f t="shared" si="202"/>
        <v>5</v>
      </c>
    </row>
    <row r="2510" spans="1:13">
      <c r="A2510" s="88">
        <f t="shared" ref="A2510:A2530" si="205">+A2509+1</f>
        <v>2</v>
      </c>
      <c r="B2510" s="69" t="s">
        <v>1250</v>
      </c>
      <c r="C2510" s="69">
        <v>5</v>
      </c>
      <c r="D2510" s="89">
        <v>0</v>
      </c>
      <c r="E2510" s="89">
        <v>0</v>
      </c>
      <c r="F2510" s="89">
        <v>0</v>
      </c>
      <c r="G2510" s="89">
        <v>0</v>
      </c>
      <c r="H2510" s="89">
        <v>0</v>
      </c>
      <c r="I2510" s="89">
        <v>0</v>
      </c>
      <c r="J2510" s="710">
        <f>(VLOOKUP($C2510,[2]Sheet1!$A$2:$P$18,$M2510+1)/12)*12*D2510</f>
        <v>0</v>
      </c>
      <c r="K2510" s="711"/>
      <c r="M2510" s="62">
        <f t="shared" si="202"/>
        <v>5</v>
      </c>
    </row>
    <row r="2511" spans="1:13">
      <c r="A2511" s="88">
        <f t="shared" si="205"/>
        <v>3</v>
      </c>
      <c r="B2511" s="69" t="s">
        <v>2765</v>
      </c>
      <c r="C2511" s="69">
        <v>4</v>
      </c>
      <c r="D2511" s="89">
        <v>2</v>
      </c>
      <c r="E2511" s="89">
        <v>2</v>
      </c>
      <c r="F2511" s="89">
        <v>2</v>
      </c>
      <c r="G2511" s="89">
        <v>2</v>
      </c>
      <c r="H2511" s="89">
        <v>2</v>
      </c>
      <c r="I2511" s="89">
        <v>2</v>
      </c>
      <c r="J2511" s="710">
        <f>(VLOOKUP($C2511,[2]Sheet1!$A$2:$P$18,$M2511+1)/12)*12*D2511</f>
        <v>449085.95786073001</v>
      </c>
      <c r="K2511" s="711"/>
      <c r="M2511" s="62">
        <f t="shared" si="202"/>
        <v>5</v>
      </c>
    </row>
    <row r="2512" spans="1:13">
      <c r="A2512" s="88">
        <f t="shared" si="205"/>
        <v>4</v>
      </c>
      <c r="B2512" s="69" t="s">
        <v>4030</v>
      </c>
      <c r="C2512" s="69">
        <v>3</v>
      </c>
      <c r="D2512" s="89">
        <v>4</v>
      </c>
      <c r="E2512" s="89">
        <v>4</v>
      </c>
      <c r="F2512" s="89">
        <v>4</v>
      </c>
      <c r="G2512" s="89">
        <v>4</v>
      </c>
      <c r="H2512" s="89">
        <v>4</v>
      </c>
      <c r="I2512" s="89">
        <v>4</v>
      </c>
      <c r="J2512" s="710">
        <f>(VLOOKUP($C2512,[2]Sheet1!$A$2:$P$18,$M2512+1)/12)*12*D2512</f>
        <v>877344.71572145994</v>
      </c>
      <c r="K2512" s="711"/>
      <c r="M2512" s="62">
        <f t="shared" si="202"/>
        <v>5</v>
      </c>
    </row>
    <row r="2513" spans="1:13">
      <c r="A2513" s="88">
        <f t="shared" si="205"/>
        <v>5</v>
      </c>
      <c r="B2513" s="69" t="s">
        <v>866</v>
      </c>
      <c r="C2513" s="69">
        <v>7</v>
      </c>
      <c r="D2513" s="89">
        <v>0</v>
      </c>
      <c r="E2513" s="89">
        <v>0</v>
      </c>
      <c r="F2513" s="89">
        <v>0</v>
      </c>
      <c r="G2513" s="89">
        <v>0</v>
      </c>
      <c r="H2513" s="89">
        <v>0</v>
      </c>
      <c r="I2513" s="89">
        <v>0</v>
      </c>
      <c r="J2513" s="710">
        <f>(VLOOKUP($C2513,[2]Sheet1!$A$2:$P$18,$M2513+1)/12)*12*D2513</f>
        <v>0</v>
      </c>
      <c r="K2513" s="711"/>
      <c r="M2513" s="62">
        <f t="shared" si="202"/>
        <v>3</v>
      </c>
    </row>
    <row r="2514" spans="1:13">
      <c r="A2514" s="88">
        <f t="shared" si="205"/>
        <v>6</v>
      </c>
      <c r="B2514" s="69" t="s">
        <v>919</v>
      </c>
      <c r="C2514" s="69">
        <v>6</v>
      </c>
      <c r="D2514" s="89">
        <v>0</v>
      </c>
      <c r="E2514" s="89">
        <v>0</v>
      </c>
      <c r="F2514" s="89">
        <v>0</v>
      </c>
      <c r="G2514" s="89">
        <v>0</v>
      </c>
      <c r="H2514" s="89">
        <v>0</v>
      </c>
      <c r="I2514" s="89">
        <v>0</v>
      </c>
      <c r="J2514" s="710">
        <f>(VLOOKUP($C2514,[2]Sheet1!$A$2:$P$18,$M2514+1)/12)*12*D2514</f>
        <v>0</v>
      </c>
      <c r="K2514" s="711"/>
      <c r="M2514" s="62">
        <f t="shared" si="202"/>
        <v>5</v>
      </c>
    </row>
    <row r="2515" spans="1:13">
      <c r="A2515" s="88">
        <f t="shared" si="205"/>
        <v>7</v>
      </c>
      <c r="B2515" s="69" t="s">
        <v>3796</v>
      </c>
      <c r="C2515" s="69">
        <v>5</v>
      </c>
      <c r="D2515" s="89">
        <v>1</v>
      </c>
      <c r="E2515" s="89">
        <v>1</v>
      </c>
      <c r="F2515" s="89">
        <v>1</v>
      </c>
      <c r="G2515" s="89">
        <v>1</v>
      </c>
      <c r="H2515" s="89">
        <v>1</v>
      </c>
      <c r="I2515" s="89">
        <v>1</v>
      </c>
      <c r="J2515" s="710">
        <f>(VLOOKUP($C2515,[2]Sheet1!$A$2:$P$18,$M2515+1)/12)*12*D2515</f>
        <v>229569.77893036499</v>
      </c>
      <c r="K2515" s="711"/>
      <c r="M2515" s="62">
        <f t="shared" si="202"/>
        <v>5</v>
      </c>
    </row>
    <row r="2516" spans="1:13">
      <c r="A2516" s="88">
        <f t="shared" si="205"/>
        <v>8</v>
      </c>
      <c r="B2516" s="69" t="s">
        <v>3797</v>
      </c>
      <c r="C2516" s="69">
        <v>4</v>
      </c>
      <c r="D2516" s="89">
        <v>0</v>
      </c>
      <c r="E2516" s="89">
        <v>0</v>
      </c>
      <c r="F2516" s="89">
        <v>0</v>
      </c>
      <c r="G2516" s="89">
        <v>0</v>
      </c>
      <c r="H2516" s="89">
        <v>0</v>
      </c>
      <c r="I2516" s="89">
        <v>0</v>
      </c>
      <c r="J2516" s="710">
        <f>(VLOOKUP($C2516,[2]Sheet1!$A$2:$P$18,$M2516+1)/12)*12*D2516</f>
        <v>0</v>
      </c>
      <c r="K2516" s="711"/>
      <c r="M2516" s="62">
        <f t="shared" si="202"/>
        <v>5</v>
      </c>
    </row>
    <row r="2517" spans="1:13">
      <c r="A2517" s="88">
        <f t="shared" si="205"/>
        <v>9</v>
      </c>
      <c r="B2517" s="69" t="s">
        <v>3798</v>
      </c>
      <c r="C2517" s="69">
        <v>3</v>
      </c>
      <c r="D2517" s="89">
        <v>1</v>
      </c>
      <c r="E2517" s="89">
        <v>1</v>
      </c>
      <c r="F2517" s="89">
        <v>1</v>
      </c>
      <c r="G2517" s="89">
        <v>1</v>
      </c>
      <c r="H2517" s="89">
        <v>1</v>
      </c>
      <c r="I2517" s="89">
        <v>1</v>
      </c>
      <c r="J2517" s="710">
        <f>(VLOOKUP($C2517,[2]Sheet1!$A$2:$P$18,$M2517+1)/12)*12*D2517</f>
        <v>219336.17893036499</v>
      </c>
      <c r="K2517" s="711"/>
      <c r="M2517" s="62">
        <f t="shared" si="202"/>
        <v>5</v>
      </c>
    </row>
    <row r="2518" spans="1:13">
      <c r="A2518" s="88">
        <f t="shared" si="205"/>
        <v>10</v>
      </c>
      <c r="B2518" s="69" t="s">
        <v>2563</v>
      </c>
      <c r="C2518" s="69">
        <v>7</v>
      </c>
      <c r="D2518" s="89">
        <v>1</v>
      </c>
      <c r="E2518" s="89">
        <v>1</v>
      </c>
      <c r="F2518" s="89">
        <v>1</v>
      </c>
      <c r="G2518" s="89">
        <v>1</v>
      </c>
      <c r="H2518" s="89">
        <v>1</v>
      </c>
      <c r="I2518" s="89">
        <v>1</v>
      </c>
      <c r="J2518" s="710">
        <f>(VLOOKUP($C2518,[2]Sheet1!$A$2:$P$18,$M2518+1)/12)*12*D2518</f>
        <v>307706.70240000007</v>
      </c>
      <c r="K2518" s="711"/>
      <c r="M2518" s="62">
        <f t="shared" si="202"/>
        <v>3</v>
      </c>
    </row>
    <row r="2519" spans="1:13">
      <c r="A2519" s="88">
        <f t="shared" si="205"/>
        <v>11</v>
      </c>
      <c r="B2519" s="69" t="s">
        <v>2766</v>
      </c>
      <c r="C2519" s="69">
        <v>6</v>
      </c>
      <c r="D2519" s="89">
        <v>1</v>
      </c>
      <c r="E2519" s="89">
        <v>1</v>
      </c>
      <c r="F2519" s="89">
        <v>1</v>
      </c>
      <c r="G2519" s="89">
        <v>1</v>
      </c>
      <c r="H2519" s="89">
        <v>1</v>
      </c>
      <c r="I2519" s="89">
        <v>1</v>
      </c>
      <c r="J2519" s="710">
        <f>(VLOOKUP($C2519,[2]Sheet1!$A$2:$P$18,$M2519+1)/12)*12*D2519</f>
        <v>238099.37893036497</v>
      </c>
      <c r="K2519" s="711"/>
      <c r="M2519" s="62">
        <f t="shared" si="202"/>
        <v>5</v>
      </c>
    </row>
    <row r="2520" spans="1:13">
      <c r="A2520" s="88">
        <f t="shared" si="205"/>
        <v>12</v>
      </c>
      <c r="B2520" s="69" t="s">
        <v>2442</v>
      </c>
      <c r="C2520" s="69">
        <v>5</v>
      </c>
      <c r="D2520" s="89">
        <v>3</v>
      </c>
      <c r="E2520" s="89">
        <v>3</v>
      </c>
      <c r="F2520" s="89">
        <v>3</v>
      </c>
      <c r="G2520" s="89">
        <v>3</v>
      </c>
      <c r="H2520" s="89">
        <v>3</v>
      </c>
      <c r="I2520" s="89">
        <v>3</v>
      </c>
      <c r="J2520" s="710">
        <f>(VLOOKUP($C2520,[2]Sheet1!$A$2:$P$18,$M2520+1)/12)*12*D2520</f>
        <v>688709.33679109497</v>
      </c>
      <c r="K2520" s="711"/>
      <c r="M2520" s="62">
        <f t="shared" si="202"/>
        <v>5</v>
      </c>
    </row>
    <row r="2521" spans="1:13">
      <c r="A2521" s="88">
        <f t="shared" si="205"/>
        <v>13</v>
      </c>
      <c r="B2521" s="69" t="s">
        <v>2231</v>
      </c>
      <c r="C2521" s="69">
        <v>4</v>
      </c>
      <c r="D2521" s="89">
        <v>2</v>
      </c>
      <c r="E2521" s="89">
        <v>2</v>
      </c>
      <c r="F2521" s="89">
        <v>2</v>
      </c>
      <c r="G2521" s="89">
        <v>2</v>
      </c>
      <c r="H2521" s="89">
        <v>2</v>
      </c>
      <c r="I2521" s="89">
        <v>2</v>
      </c>
      <c r="J2521" s="710">
        <f>(VLOOKUP($C2521,[2]Sheet1!$A$2:$P$18,$M2521+1)/12)*12*D2521</f>
        <v>449085.95786073001</v>
      </c>
      <c r="K2521" s="711"/>
      <c r="M2521" s="62">
        <f t="shared" si="202"/>
        <v>5</v>
      </c>
    </row>
    <row r="2522" spans="1:13">
      <c r="A2522" s="88">
        <f t="shared" si="205"/>
        <v>14</v>
      </c>
      <c r="B2522" s="69" t="s">
        <v>4028</v>
      </c>
      <c r="C2522" s="69">
        <v>3</v>
      </c>
      <c r="D2522" s="89">
        <v>0</v>
      </c>
      <c r="E2522" s="89">
        <v>0</v>
      </c>
      <c r="F2522" s="89">
        <v>0</v>
      </c>
      <c r="G2522" s="89">
        <v>0</v>
      </c>
      <c r="H2522" s="89">
        <v>0</v>
      </c>
      <c r="I2522" s="89">
        <v>0</v>
      </c>
      <c r="J2522" s="710">
        <f>(VLOOKUP($C2522,[2]Sheet1!$A$2:$P$18,$M2522+1)/12)*12*D2522</f>
        <v>0</v>
      </c>
      <c r="K2522" s="711"/>
      <c r="M2522" s="62">
        <f t="shared" si="202"/>
        <v>5</v>
      </c>
    </row>
    <row r="2523" spans="1:13">
      <c r="A2523" s="88">
        <f t="shared" si="205"/>
        <v>15</v>
      </c>
      <c r="B2523" s="69" t="s">
        <v>2179</v>
      </c>
      <c r="C2523" s="69">
        <v>4</v>
      </c>
      <c r="D2523" s="89">
        <v>0</v>
      </c>
      <c r="E2523" s="89">
        <v>0</v>
      </c>
      <c r="F2523" s="89">
        <v>0</v>
      </c>
      <c r="G2523" s="89">
        <v>0</v>
      </c>
      <c r="H2523" s="89">
        <v>0</v>
      </c>
      <c r="I2523" s="89">
        <v>0</v>
      </c>
      <c r="J2523" s="710">
        <f>(VLOOKUP($C2523,[2]Sheet1!$A$2:$P$18,$M2523+1)/12)*12*D2523</f>
        <v>0</v>
      </c>
      <c r="K2523" s="711"/>
      <c r="M2523" s="62">
        <f t="shared" si="202"/>
        <v>5</v>
      </c>
    </row>
    <row r="2524" spans="1:13">
      <c r="A2524" s="88">
        <f t="shared" si="205"/>
        <v>16</v>
      </c>
      <c r="B2524" s="69" t="s">
        <v>2542</v>
      </c>
      <c r="C2524" s="69">
        <v>3</v>
      </c>
      <c r="D2524" s="89">
        <v>0</v>
      </c>
      <c r="E2524" s="89">
        <v>0</v>
      </c>
      <c r="F2524" s="89">
        <v>0</v>
      </c>
      <c r="G2524" s="89">
        <v>0</v>
      </c>
      <c r="H2524" s="89">
        <v>0</v>
      </c>
      <c r="I2524" s="89">
        <v>0</v>
      </c>
      <c r="J2524" s="710">
        <f>(VLOOKUP($C2524,[2]Sheet1!$A$2:$P$18,$M2524+1)/12)*12*D2524</f>
        <v>0</v>
      </c>
      <c r="K2524" s="711"/>
      <c r="M2524" s="62">
        <f t="shared" si="202"/>
        <v>5</v>
      </c>
    </row>
    <row r="2525" spans="1:13">
      <c r="A2525" s="88">
        <f t="shared" si="205"/>
        <v>17</v>
      </c>
      <c r="B2525" s="69" t="s">
        <v>2543</v>
      </c>
      <c r="C2525" s="69">
        <v>2</v>
      </c>
      <c r="D2525" s="89">
        <v>5</v>
      </c>
      <c r="E2525" s="89">
        <v>5</v>
      </c>
      <c r="F2525" s="89">
        <v>5</v>
      </c>
      <c r="G2525" s="89">
        <v>5</v>
      </c>
      <c r="H2525" s="89">
        <v>5</v>
      </c>
      <c r="I2525" s="89">
        <v>5</v>
      </c>
      <c r="J2525" s="710">
        <f>(VLOOKUP($C2525,[2]Sheet1!$A$2:$P$18,$M2525+1)/12)*12*D2525</f>
        <v>1073286.8946518251</v>
      </c>
      <c r="K2525" s="711"/>
      <c r="M2525" s="62">
        <f t="shared" si="202"/>
        <v>5</v>
      </c>
    </row>
    <row r="2526" spans="1:13">
      <c r="A2526" s="88">
        <f t="shared" si="205"/>
        <v>18</v>
      </c>
      <c r="B2526" s="69" t="s">
        <v>2171</v>
      </c>
      <c r="C2526" s="69">
        <v>3</v>
      </c>
      <c r="D2526" s="89">
        <v>0</v>
      </c>
      <c r="E2526" s="89">
        <v>0</v>
      </c>
      <c r="F2526" s="89">
        <v>0</v>
      </c>
      <c r="G2526" s="89">
        <v>0</v>
      </c>
      <c r="H2526" s="89">
        <v>0</v>
      </c>
      <c r="I2526" s="89">
        <v>0</v>
      </c>
      <c r="J2526" s="710">
        <f>(VLOOKUP($C2526,[2]Sheet1!$A$2:$P$18,$M2526+1)/12)*12*D2526</f>
        <v>0</v>
      </c>
      <c r="K2526" s="711"/>
      <c r="M2526" s="62">
        <f t="shared" si="202"/>
        <v>5</v>
      </c>
    </row>
    <row r="2527" spans="1:13">
      <c r="A2527" s="88">
        <f t="shared" si="205"/>
        <v>19</v>
      </c>
      <c r="B2527" s="69" t="s">
        <v>2171</v>
      </c>
      <c r="C2527" s="69">
        <v>2</v>
      </c>
      <c r="D2527" s="89">
        <v>1</v>
      </c>
      <c r="E2527" s="89">
        <v>1</v>
      </c>
      <c r="F2527" s="89">
        <v>1</v>
      </c>
      <c r="G2527" s="89">
        <v>1</v>
      </c>
      <c r="H2527" s="89">
        <v>1</v>
      </c>
      <c r="I2527" s="89">
        <v>1</v>
      </c>
      <c r="J2527" s="710">
        <f>(VLOOKUP($C2527,[2]Sheet1!$A$2:$P$18,$M2527+1)/12)*12*D2527</f>
        <v>214657.37893036503</v>
      </c>
      <c r="K2527" s="711"/>
      <c r="M2527" s="62">
        <f t="shared" si="202"/>
        <v>5</v>
      </c>
    </row>
    <row r="2528" spans="1:13">
      <c r="A2528" s="88">
        <f t="shared" si="205"/>
        <v>20</v>
      </c>
      <c r="B2528" s="69" t="s">
        <v>2172</v>
      </c>
      <c r="C2528" s="69">
        <v>1</v>
      </c>
      <c r="D2528" s="89">
        <v>1</v>
      </c>
      <c r="E2528" s="89">
        <v>1</v>
      </c>
      <c r="F2528" s="89">
        <v>1</v>
      </c>
      <c r="G2528" s="89">
        <v>1</v>
      </c>
      <c r="H2528" s="89">
        <v>1</v>
      </c>
      <c r="I2528" s="89">
        <v>1</v>
      </c>
      <c r="J2528" s="710">
        <f>(VLOOKUP($C2528,[2]Sheet1!$A$2:$P$18,$M2528+1)/12)*12*D2528</f>
        <v>207107.57893036498</v>
      </c>
      <c r="K2528" s="711"/>
      <c r="M2528" s="62">
        <f t="shared" si="202"/>
        <v>5</v>
      </c>
    </row>
    <row r="2529" spans="1:13">
      <c r="A2529" s="88">
        <f t="shared" si="205"/>
        <v>21</v>
      </c>
      <c r="B2529" s="69" t="s">
        <v>3675</v>
      </c>
      <c r="C2529" s="69">
        <v>2</v>
      </c>
      <c r="D2529" s="89">
        <v>1</v>
      </c>
      <c r="E2529" s="89">
        <v>1</v>
      </c>
      <c r="F2529" s="89">
        <v>1</v>
      </c>
      <c r="G2529" s="89">
        <v>1</v>
      </c>
      <c r="H2529" s="89">
        <v>1</v>
      </c>
      <c r="I2529" s="89">
        <v>1</v>
      </c>
      <c r="J2529" s="710">
        <f>(VLOOKUP($C2529,[2]Sheet1!$A$2:$P$18,$M2529+1)/12)*12*D2529</f>
        <v>214657.37893036503</v>
      </c>
      <c r="K2529" s="711"/>
      <c r="M2529" s="62">
        <f t="shared" si="202"/>
        <v>5</v>
      </c>
    </row>
    <row r="2530" spans="1:13">
      <c r="A2530" s="88">
        <f t="shared" si="205"/>
        <v>22</v>
      </c>
      <c r="B2530" s="69" t="s">
        <v>2172</v>
      </c>
      <c r="C2530" s="69">
        <v>2</v>
      </c>
      <c r="D2530" s="89">
        <v>1</v>
      </c>
      <c r="E2530" s="89">
        <v>1</v>
      </c>
      <c r="F2530" s="89">
        <v>1</v>
      </c>
      <c r="G2530" s="89">
        <v>1</v>
      </c>
      <c r="H2530" s="89">
        <v>1</v>
      </c>
      <c r="I2530" s="89">
        <v>1</v>
      </c>
      <c r="J2530" s="710">
        <f>(VLOOKUP($C2530,[2]Sheet1!$A$2:$P$18,$M2530+1)/12)*12*D2530</f>
        <v>214657.37893036503</v>
      </c>
      <c r="K2530" s="711"/>
      <c r="M2530" s="62">
        <f t="shared" si="202"/>
        <v>5</v>
      </c>
    </row>
    <row r="2531" spans="1:13">
      <c r="A2531" s="88"/>
      <c r="B2531" s="90" t="s">
        <v>3521</v>
      </c>
      <c r="C2531" s="69"/>
      <c r="D2531" s="89"/>
      <c r="E2531" s="89"/>
      <c r="F2531" s="89"/>
      <c r="G2531" s="89"/>
      <c r="H2531" s="89"/>
      <c r="I2531" s="89"/>
      <c r="J2531" s="710"/>
      <c r="K2531" s="711"/>
      <c r="M2531" s="62">
        <f t="shared" si="202"/>
        <v>5</v>
      </c>
    </row>
    <row r="2532" spans="1:13">
      <c r="A2532" s="88">
        <f>+A2529+1</f>
        <v>22</v>
      </c>
      <c r="B2532" s="69" t="s">
        <v>2767</v>
      </c>
      <c r="C2532" s="69">
        <v>7</v>
      </c>
      <c r="D2532" s="89">
        <v>1</v>
      </c>
      <c r="E2532" s="89">
        <v>1</v>
      </c>
      <c r="F2532" s="89">
        <v>1</v>
      </c>
      <c r="G2532" s="89">
        <v>1</v>
      </c>
      <c r="H2532" s="89">
        <v>1</v>
      </c>
      <c r="I2532" s="89">
        <v>1</v>
      </c>
      <c r="J2532" s="710">
        <f>(VLOOKUP($C2532,[2]Sheet1!$A$2:$P$18,$M2532+1)/12)*12*D2532</f>
        <v>307706.70240000007</v>
      </c>
      <c r="K2532" s="711"/>
      <c r="M2532" s="62">
        <f t="shared" si="202"/>
        <v>3</v>
      </c>
    </row>
    <row r="2533" spans="1:13">
      <c r="A2533" s="88">
        <f>+A2532+1</f>
        <v>23</v>
      </c>
      <c r="B2533" s="69" t="s">
        <v>797</v>
      </c>
      <c r="C2533" s="69">
        <v>6</v>
      </c>
      <c r="D2533" s="89">
        <v>0</v>
      </c>
      <c r="E2533" s="89">
        <v>0</v>
      </c>
      <c r="F2533" s="89">
        <v>0</v>
      </c>
      <c r="G2533" s="89">
        <v>0</v>
      </c>
      <c r="H2533" s="89">
        <v>0</v>
      </c>
      <c r="I2533" s="89">
        <v>0</v>
      </c>
      <c r="J2533" s="710">
        <f>(VLOOKUP($C2533,[2]Sheet1!$A$2:$P$18,$M2533+1)/12)*12*D2533</f>
        <v>0</v>
      </c>
      <c r="K2533" s="711"/>
      <c r="M2533" s="62">
        <f t="shared" si="202"/>
        <v>5</v>
      </c>
    </row>
    <row r="2534" spans="1:13">
      <c r="A2534" s="88">
        <f>+A2533+1</f>
        <v>24</v>
      </c>
      <c r="B2534" s="69" t="s">
        <v>798</v>
      </c>
      <c r="C2534" s="69">
        <v>6</v>
      </c>
      <c r="D2534" s="89">
        <v>1</v>
      </c>
      <c r="E2534" s="89">
        <v>1</v>
      </c>
      <c r="F2534" s="89">
        <v>1</v>
      </c>
      <c r="G2534" s="89">
        <v>1</v>
      </c>
      <c r="H2534" s="89">
        <v>1</v>
      </c>
      <c r="I2534" s="89">
        <v>1</v>
      </c>
      <c r="J2534" s="710">
        <f>(VLOOKUP($C2534,[2]Sheet1!$A$2:$P$18,$M2534+1)/12)*12*D2534</f>
        <v>238099.37893036497</v>
      </c>
      <c r="K2534" s="711"/>
      <c r="M2534" s="62">
        <f t="shared" si="202"/>
        <v>5</v>
      </c>
    </row>
    <row r="2535" spans="1:13">
      <c r="A2535" s="88">
        <f>+A2534+1</f>
        <v>25</v>
      </c>
      <c r="B2535" s="69" t="s">
        <v>1250</v>
      </c>
      <c r="C2535" s="69">
        <v>5</v>
      </c>
      <c r="D2535" s="89">
        <v>1</v>
      </c>
      <c r="E2535" s="89">
        <v>1</v>
      </c>
      <c r="F2535" s="89">
        <v>1</v>
      </c>
      <c r="G2535" s="89">
        <v>1</v>
      </c>
      <c r="H2535" s="89">
        <v>1</v>
      </c>
      <c r="I2535" s="89">
        <v>1</v>
      </c>
      <c r="J2535" s="710">
        <f>(VLOOKUP($C2535,[2]Sheet1!$A$2:$P$18,$M2535+1)/12)*12*D2535</f>
        <v>229569.77893036499</v>
      </c>
      <c r="K2535" s="711"/>
      <c r="M2535" s="62">
        <f t="shared" si="202"/>
        <v>5</v>
      </c>
    </row>
    <row r="2536" spans="1:13">
      <c r="A2536" s="88">
        <f>+A2535+1</f>
        <v>26</v>
      </c>
      <c r="B2536" s="69" t="s">
        <v>2360</v>
      </c>
      <c r="C2536" s="69">
        <v>4</v>
      </c>
      <c r="D2536" s="89">
        <v>1</v>
      </c>
      <c r="E2536" s="89">
        <v>1</v>
      </c>
      <c r="F2536" s="89">
        <v>1</v>
      </c>
      <c r="G2536" s="89">
        <v>1</v>
      </c>
      <c r="H2536" s="89">
        <v>1</v>
      </c>
      <c r="I2536" s="89">
        <v>1</v>
      </c>
      <c r="J2536" s="710">
        <f>(VLOOKUP($C2536,[2]Sheet1!$A$2:$P$18,$M2536+1)/12)*12*D2536</f>
        <v>224542.978930365</v>
      </c>
      <c r="K2536" s="711"/>
      <c r="M2536" s="62">
        <f t="shared" si="202"/>
        <v>5</v>
      </c>
    </row>
    <row r="2537" spans="1:13">
      <c r="A2537" s="88">
        <f>+A2536+1</f>
        <v>27</v>
      </c>
      <c r="B2537" s="69" t="s">
        <v>799</v>
      </c>
      <c r="C2537" s="69">
        <v>3</v>
      </c>
      <c r="D2537" s="89">
        <v>0</v>
      </c>
      <c r="E2537" s="89">
        <v>0</v>
      </c>
      <c r="F2537" s="89">
        <v>0</v>
      </c>
      <c r="G2537" s="89">
        <v>0</v>
      </c>
      <c r="H2537" s="89">
        <v>0</v>
      </c>
      <c r="I2537" s="89">
        <v>0</v>
      </c>
      <c r="J2537" s="710">
        <f>(VLOOKUP($C2537,[2]Sheet1!$A$2:$P$18,$M2537+1)/12)*12*D2537</f>
        <v>0</v>
      </c>
      <c r="K2537" s="711"/>
      <c r="M2537" s="62">
        <f t="shared" ref="M2537:M2595" si="206">IF(C2537&gt;6,3,5)</f>
        <v>5</v>
      </c>
    </row>
    <row r="2538" spans="1:13">
      <c r="A2538" s="92"/>
      <c r="B2538" s="93" t="s">
        <v>1684</v>
      </c>
      <c r="C2538" s="94"/>
      <c r="D2538" s="123">
        <f t="shared" ref="D2538:J2538" si="207">SUM(D2508:D2537)</f>
        <v>29</v>
      </c>
      <c r="E2538" s="123">
        <f t="shared" si="207"/>
        <v>29</v>
      </c>
      <c r="F2538" s="123">
        <f t="shared" si="207"/>
        <v>29</v>
      </c>
      <c r="G2538" s="123">
        <f>SUM(G2508:G2537)</f>
        <v>29</v>
      </c>
      <c r="H2538" s="123">
        <f t="shared" si="207"/>
        <v>29</v>
      </c>
      <c r="I2538" s="123">
        <f t="shared" si="207"/>
        <v>29</v>
      </c>
      <c r="J2538" s="124">
        <f t="shared" si="207"/>
        <v>6621322.8359198533</v>
      </c>
      <c r="K2538" s="376"/>
      <c r="M2538" s="62">
        <f t="shared" si="206"/>
        <v>5</v>
      </c>
    </row>
    <row r="2539" spans="1:13">
      <c r="A2539" s="88"/>
      <c r="B2539" s="90" t="s">
        <v>1199</v>
      </c>
      <c r="C2539" s="97"/>
      <c r="D2539" s="98"/>
      <c r="E2539" s="98"/>
      <c r="F2539" s="125"/>
      <c r="G2539" s="240" t="s">
        <v>243</v>
      </c>
      <c r="H2539" s="240" t="s">
        <v>4130</v>
      </c>
      <c r="I2539" s="240" t="s">
        <v>4202</v>
      </c>
      <c r="J2539" s="241" t="s">
        <v>4200</v>
      </c>
      <c r="K2539" s="375"/>
      <c r="M2539" s="62">
        <f t="shared" si="206"/>
        <v>5</v>
      </c>
    </row>
    <row r="2540" spans="1:13">
      <c r="A2540" s="88">
        <v>1</v>
      </c>
      <c r="B2540" s="69" t="s">
        <v>2786</v>
      </c>
      <c r="C2540" s="69"/>
      <c r="D2540" s="89"/>
      <c r="E2540" s="89"/>
      <c r="F2540" s="89"/>
      <c r="G2540" s="100">
        <f>J2538*0.2</f>
        <v>1324264.5671839707</v>
      </c>
      <c r="H2540" s="100">
        <f>G2540*1.02</f>
        <v>1350749.8585276501</v>
      </c>
      <c r="I2540" s="100">
        <f>H2540*1.02</f>
        <v>1377764.8556982032</v>
      </c>
      <c r="J2540" s="100">
        <f>SUM(G2540:I2540)</f>
        <v>4052779.2814098238</v>
      </c>
      <c r="K2540" s="114"/>
      <c r="M2540" s="62">
        <f t="shared" si="206"/>
        <v>5</v>
      </c>
    </row>
    <row r="2541" spans="1:13">
      <c r="A2541" s="92"/>
      <c r="B2541" s="93" t="s">
        <v>1933</v>
      </c>
      <c r="C2541" s="94"/>
      <c r="D2541" s="101"/>
      <c r="E2541" s="101"/>
      <c r="F2541" s="95"/>
      <c r="G2541" s="95">
        <f>SUM(G2540:G2540)</f>
        <v>1324264.5671839707</v>
      </c>
      <c r="H2541" s="95">
        <f>SUM(H2540:H2540)</f>
        <v>1350749.8585276501</v>
      </c>
      <c r="I2541" s="95">
        <f>SUM(I2540:I2540)</f>
        <v>1377764.8556982032</v>
      </c>
      <c r="J2541" s="95">
        <f>SUM(J2540:J2540)</f>
        <v>4052779.2814098238</v>
      </c>
      <c r="K2541" s="378"/>
      <c r="M2541" s="62">
        <f t="shared" si="206"/>
        <v>5</v>
      </c>
    </row>
    <row r="2542" spans="1:13">
      <c r="A2542" s="88">
        <v>1</v>
      </c>
      <c r="B2542" s="69" t="s">
        <v>1934</v>
      </c>
      <c r="C2542" s="69"/>
      <c r="D2542" s="89"/>
      <c r="E2542" s="89"/>
      <c r="F2542" s="89"/>
      <c r="G2542" s="100">
        <f>G2541+J2538</f>
        <v>7945587.4031038238</v>
      </c>
      <c r="H2542" s="100">
        <f>G2542*1.02</f>
        <v>8104499.1511659008</v>
      </c>
      <c r="I2542" s="100">
        <f>H2542*1.02</f>
        <v>8266589.1341892192</v>
      </c>
      <c r="J2542" s="100">
        <f>SUM(G2542:I2542)</f>
        <v>24316675.688458942</v>
      </c>
      <c r="K2542" s="114"/>
      <c r="L2542" s="112"/>
      <c r="M2542" s="62">
        <f t="shared" si="206"/>
        <v>5</v>
      </c>
    </row>
    <row r="2543" spans="1:13" ht="13.5" thickBot="1">
      <c r="A2543" s="135">
        <v>2</v>
      </c>
      <c r="B2543" s="136" t="s">
        <v>129</v>
      </c>
      <c r="C2543" s="136"/>
      <c r="D2543" s="137"/>
      <c r="E2543" s="137"/>
      <c r="F2543" s="137"/>
      <c r="G2543" s="137">
        <f>C2572</f>
        <v>1045200000</v>
      </c>
      <c r="H2543" s="137">
        <f>D2572</f>
        <v>1293968000</v>
      </c>
      <c r="I2543" s="137">
        <f>E2572</f>
        <v>9933664</v>
      </c>
      <c r="J2543" s="100">
        <f>SUM(G2543:I2543)</f>
        <v>2349101664</v>
      </c>
      <c r="K2543" s="114"/>
      <c r="M2543" s="62">
        <f t="shared" si="206"/>
        <v>5</v>
      </c>
    </row>
    <row r="2544" spans="1:13" ht="14.25" thickTop="1" thickBot="1">
      <c r="A2544" s="138"/>
      <c r="B2544" s="139" t="s">
        <v>2241</v>
      </c>
      <c r="C2544" s="140"/>
      <c r="D2544" s="141"/>
      <c r="E2544" s="141"/>
      <c r="F2544" s="142"/>
      <c r="G2544" s="142">
        <f>+G2543+G2542</f>
        <v>1053145587.4031038</v>
      </c>
      <c r="H2544" s="142">
        <f>+H2543+H2542</f>
        <v>1302072499.151166</v>
      </c>
      <c r="I2544" s="142">
        <f>+I2543+I2542</f>
        <v>18200253.134189218</v>
      </c>
      <c r="J2544" s="142">
        <f>+J2543+J2542</f>
        <v>2373418339.6884589</v>
      </c>
      <c r="K2544" s="378"/>
      <c r="M2544" s="62">
        <f t="shared" si="206"/>
        <v>5</v>
      </c>
    </row>
    <row r="2545" spans="1:13" ht="15.75" thickTop="1">
      <c r="C2545" s="77"/>
      <c r="D2545" s="78" t="s">
        <v>5434</v>
      </c>
      <c r="J2545" s="584"/>
      <c r="K2545" s="584"/>
      <c r="M2545" s="62">
        <f t="shared" si="206"/>
        <v>5</v>
      </c>
    </row>
    <row r="2546" spans="1:13" ht="15">
      <c r="C2546" s="77"/>
      <c r="D2546" s="78" t="s">
        <v>716</v>
      </c>
      <c r="J2546" s="607"/>
      <c r="K2546" s="607"/>
      <c r="M2546" s="62">
        <f t="shared" si="206"/>
        <v>5</v>
      </c>
    </row>
    <row r="2547" spans="1:13" ht="15">
      <c r="C2547" s="79" t="s">
        <v>717</v>
      </c>
      <c r="D2547" s="78" t="s">
        <v>1204</v>
      </c>
      <c r="J2547" s="584"/>
      <c r="K2547" s="584"/>
      <c r="M2547" s="62">
        <f t="shared" si="206"/>
        <v>3</v>
      </c>
    </row>
    <row r="2548" spans="1:13" ht="15">
      <c r="C2548" s="79" t="s">
        <v>718</v>
      </c>
      <c r="D2548" s="78" t="s">
        <v>3436</v>
      </c>
      <c r="J2548" s="584"/>
      <c r="K2548" s="584"/>
      <c r="M2548" s="62">
        <f t="shared" si="206"/>
        <v>3</v>
      </c>
    </row>
    <row r="2549" spans="1:13" ht="15">
      <c r="A2549" s="634" t="s">
        <v>1839</v>
      </c>
      <c r="B2549" s="635" t="s">
        <v>903</v>
      </c>
      <c r="C2549" s="1037" t="s">
        <v>4127</v>
      </c>
      <c r="D2549" s="1038"/>
      <c r="E2549" s="1039"/>
      <c r="F2549" s="635" t="s">
        <v>1684</v>
      </c>
      <c r="G2549" s="1037" t="s">
        <v>4132</v>
      </c>
      <c r="H2549" s="1038"/>
      <c r="I2549" s="1039"/>
      <c r="J2549" s="726"/>
      <c r="K2549" s="727"/>
    </row>
    <row r="2550" spans="1:13">
      <c r="A2550" s="636" t="s">
        <v>1620</v>
      </c>
      <c r="B2550" s="637"/>
      <c r="C2550" s="635" t="s">
        <v>1841</v>
      </c>
      <c r="D2550" s="635" t="s">
        <v>4133</v>
      </c>
      <c r="E2550" s="635" t="s">
        <v>4133</v>
      </c>
      <c r="F2550" s="1056" t="s">
        <v>4200</v>
      </c>
      <c r="G2550" s="634" t="s">
        <v>4135</v>
      </c>
      <c r="H2550" s="1051" t="s">
        <v>4182</v>
      </c>
      <c r="I2550" s="634" t="s">
        <v>4135</v>
      </c>
      <c r="J2550" s="728" t="s">
        <v>4136</v>
      </c>
      <c r="K2550" s="727"/>
    </row>
    <row r="2551" spans="1:13" ht="12.75" customHeight="1">
      <c r="A2551" s="638" t="s">
        <v>387</v>
      </c>
      <c r="B2551" s="639"/>
      <c r="C2551" s="638">
        <v>2015</v>
      </c>
      <c r="D2551" s="638">
        <v>2016</v>
      </c>
      <c r="E2551" s="638">
        <v>2017</v>
      </c>
      <c r="F2551" s="1057"/>
      <c r="G2551" s="638" t="s">
        <v>4304</v>
      </c>
      <c r="H2551" s="1052"/>
      <c r="I2551" s="638" t="s">
        <v>4303</v>
      </c>
      <c r="J2551" s="639"/>
      <c r="K2551" s="729"/>
    </row>
    <row r="2552" spans="1:13">
      <c r="A2552" s="768"/>
      <c r="B2552" s="768"/>
      <c r="C2552" s="390"/>
      <c r="D2552" s="390"/>
      <c r="E2552" s="390"/>
      <c r="F2552" s="390"/>
      <c r="G2552" s="390"/>
      <c r="H2552" s="390"/>
      <c r="I2552" s="390"/>
      <c r="J2552" s="390"/>
      <c r="K2552" s="734"/>
      <c r="M2552" s="62" t="e">
        <f>IF(#REF!&gt;6,3,5)</f>
        <v>#REF!</v>
      </c>
    </row>
    <row r="2553" spans="1:13">
      <c r="A2553" s="768">
        <v>2</v>
      </c>
      <c r="B2553" s="768" t="s">
        <v>1695</v>
      </c>
      <c r="C2553" s="390">
        <v>2000000</v>
      </c>
      <c r="D2553" s="390">
        <f>H2553*1.04</f>
        <v>2080000</v>
      </c>
      <c r="E2553" s="390">
        <f>I2553*1.04</f>
        <v>244400</v>
      </c>
      <c r="F2553" s="390">
        <f>SUM(C2553:E2553)</f>
        <v>4324400</v>
      </c>
      <c r="G2553" s="390">
        <v>1450612</v>
      </c>
      <c r="H2553" s="390">
        <v>2000000</v>
      </c>
      <c r="I2553" s="390">
        <v>235000</v>
      </c>
      <c r="J2553" s="390"/>
      <c r="K2553" s="734"/>
      <c r="M2553" s="62" t="e">
        <f>IF(#REF!&gt;6,3,5)</f>
        <v>#REF!</v>
      </c>
    </row>
    <row r="2554" spans="1:13">
      <c r="A2554" s="768">
        <f t="shared" ref="A2554:A2570" si="208">+A2553+1</f>
        <v>3</v>
      </c>
      <c r="B2554" s="768" t="s">
        <v>1696</v>
      </c>
      <c r="C2554" s="390" t="s">
        <v>1386</v>
      </c>
      <c r="D2554" s="390" t="s">
        <v>1386</v>
      </c>
      <c r="E2554" s="390" t="s">
        <v>1386</v>
      </c>
      <c r="F2554" s="390">
        <f t="shared" ref="F2554:F2570" si="209">SUM(C2554:E2554)</f>
        <v>0</v>
      </c>
      <c r="G2554" s="390"/>
      <c r="H2554" s="390" t="s">
        <v>1386</v>
      </c>
      <c r="I2554" s="390"/>
      <c r="J2554" s="390"/>
      <c r="K2554" s="734"/>
      <c r="M2554" s="62" t="e">
        <f>IF(#REF!&gt;6,3,5)</f>
        <v>#REF!</v>
      </c>
    </row>
    <row r="2555" spans="1:13">
      <c r="A2555" s="768">
        <f t="shared" si="208"/>
        <v>4</v>
      </c>
      <c r="B2555" s="768" t="s">
        <v>1701</v>
      </c>
      <c r="C2555" s="390" t="s">
        <v>1386</v>
      </c>
      <c r="D2555" s="390" t="s">
        <v>1386</v>
      </c>
      <c r="E2555" s="390" t="s">
        <v>1386</v>
      </c>
      <c r="F2555" s="390">
        <f t="shared" si="209"/>
        <v>0</v>
      </c>
      <c r="G2555" s="390"/>
      <c r="H2555" s="390" t="s">
        <v>1386</v>
      </c>
      <c r="I2555" s="390"/>
      <c r="J2555" s="390"/>
      <c r="K2555" s="734"/>
      <c r="M2555" s="62" t="e">
        <f>IF(#REF!&gt;6,3,5)</f>
        <v>#REF!</v>
      </c>
    </row>
    <row r="2556" spans="1:13">
      <c r="A2556" s="768">
        <f t="shared" si="208"/>
        <v>5</v>
      </c>
      <c r="B2556" s="768" t="s">
        <v>1702</v>
      </c>
      <c r="C2556" s="390">
        <v>100000</v>
      </c>
      <c r="D2556" s="390">
        <f t="shared" ref="D2556:E2558" si="210">H2556*1.04</f>
        <v>104000</v>
      </c>
      <c r="E2556" s="390">
        <f t="shared" si="210"/>
        <v>13000</v>
      </c>
      <c r="F2556" s="390">
        <f t="shared" si="209"/>
        <v>217000</v>
      </c>
      <c r="G2556" s="390">
        <v>35000</v>
      </c>
      <c r="H2556" s="390">
        <v>100000</v>
      </c>
      <c r="I2556" s="390">
        <v>12500</v>
      </c>
      <c r="J2556" s="390"/>
      <c r="K2556" s="734"/>
      <c r="M2556" s="62" t="e">
        <f>IF(#REF!&gt;6,3,5)</f>
        <v>#REF!</v>
      </c>
    </row>
    <row r="2557" spans="1:13">
      <c r="A2557" s="768">
        <f t="shared" si="208"/>
        <v>6</v>
      </c>
      <c r="B2557" s="768" t="s">
        <v>1544</v>
      </c>
      <c r="C2557" s="390">
        <v>1000000</v>
      </c>
      <c r="D2557" s="390">
        <f t="shared" si="210"/>
        <v>1040000</v>
      </c>
      <c r="E2557" s="390">
        <f t="shared" si="210"/>
        <v>302640</v>
      </c>
      <c r="F2557" s="390">
        <f t="shared" si="209"/>
        <v>2342640</v>
      </c>
      <c r="G2557" s="390">
        <v>283300</v>
      </c>
      <c r="H2557" s="390">
        <v>1000000</v>
      </c>
      <c r="I2557" s="390">
        <v>291000</v>
      </c>
      <c r="J2557" s="390"/>
      <c r="K2557" s="734"/>
      <c r="M2557" s="62" t="e">
        <f>IF(#REF!&gt;6,3,5)</f>
        <v>#REF!</v>
      </c>
    </row>
    <row r="2558" spans="1:13">
      <c r="A2558" s="768">
        <f t="shared" si="208"/>
        <v>7</v>
      </c>
      <c r="B2558" s="768" t="s">
        <v>897</v>
      </c>
      <c r="C2558" s="390">
        <v>500000</v>
      </c>
      <c r="D2558" s="390">
        <f t="shared" si="210"/>
        <v>1560000</v>
      </c>
      <c r="E2558" s="390">
        <f t="shared" si="210"/>
        <v>934648</v>
      </c>
      <c r="F2558" s="390">
        <f t="shared" si="209"/>
        <v>2994648</v>
      </c>
      <c r="G2558" s="390">
        <v>241000</v>
      </c>
      <c r="H2558" s="390">
        <v>1500000</v>
      </c>
      <c r="I2558" s="390">
        <v>898700</v>
      </c>
      <c r="J2558" s="390"/>
      <c r="K2558" s="734"/>
      <c r="M2558" s="62" t="e">
        <f>IF(#REF!&gt;6,3,5)</f>
        <v>#REF!</v>
      </c>
    </row>
    <row r="2559" spans="1:13">
      <c r="A2559" s="768">
        <f t="shared" si="208"/>
        <v>8</v>
      </c>
      <c r="B2559" s="768" t="s">
        <v>1385</v>
      </c>
      <c r="C2559" s="390" t="s">
        <v>1386</v>
      </c>
      <c r="D2559" s="390" t="s">
        <v>1386</v>
      </c>
      <c r="E2559" s="390" t="s">
        <v>1386</v>
      </c>
      <c r="F2559" s="390">
        <f t="shared" si="209"/>
        <v>0</v>
      </c>
      <c r="G2559" s="390"/>
      <c r="H2559" s="390" t="s">
        <v>1386</v>
      </c>
      <c r="I2559" s="390"/>
      <c r="J2559" s="390"/>
      <c r="K2559" s="734"/>
      <c r="M2559" s="62" t="e">
        <f>IF(#REF!&gt;6,3,5)</f>
        <v>#REF!</v>
      </c>
    </row>
    <row r="2560" spans="1:13">
      <c r="A2560" s="768">
        <f t="shared" si="208"/>
        <v>9</v>
      </c>
      <c r="B2560" s="768" t="s">
        <v>2061</v>
      </c>
      <c r="C2560" s="390" t="s">
        <v>1386</v>
      </c>
      <c r="D2560" s="390" t="s">
        <v>1386</v>
      </c>
      <c r="E2560" s="390" t="s">
        <v>1386</v>
      </c>
      <c r="F2560" s="390">
        <f t="shared" si="209"/>
        <v>0</v>
      </c>
      <c r="G2560" s="390"/>
      <c r="H2560" s="390" t="s">
        <v>1386</v>
      </c>
      <c r="I2560" s="390"/>
      <c r="J2560" s="390"/>
      <c r="K2560" s="734"/>
      <c r="M2560" s="62" t="e">
        <f>IF(#REF!&gt;6,3,5)</f>
        <v>#REF!</v>
      </c>
    </row>
    <row r="2561" spans="1:13">
      <c r="A2561" s="768">
        <f t="shared" si="208"/>
        <v>10</v>
      </c>
      <c r="B2561" s="768" t="s">
        <v>1680</v>
      </c>
      <c r="C2561" s="390">
        <v>500000</v>
      </c>
      <c r="D2561" s="390">
        <f t="shared" ref="D2561:E2565" si="211">H2561*1.04</f>
        <v>520000</v>
      </c>
      <c r="E2561" s="390">
        <f t="shared" si="211"/>
        <v>0</v>
      </c>
      <c r="F2561" s="390">
        <f t="shared" si="209"/>
        <v>1020000</v>
      </c>
      <c r="G2561" s="390"/>
      <c r="H2561" s="390">
        <v>500000</v>
      </c>
      <c r="I2561" s="390"/>
      <c r="J2561" s="390"/>
      <c r="K2561" s="734"/>
      <c r="M2561" s="62" t="e">
        <f>IF(#REF!&gt;6,3,5)</f>
        <v>#REF!</v>
      </c>
    </row>
    <row r="2562" spans="1:13">
      <c r="A2562" s="768">
        <f t="shared" si="208"/>
        <v>11</v>
      </c>
      <c r="B2562" s="768" t="s">
        <v>1681</v>
      </c>
      <c r="C2562" s="731">
        <v>1000000</v>
      </c>
      <c r="D2562" s="390">
        <f t="shared" si="211"/>
        <v>1040000</v>
      </c>
      <c r="E2562" s="390">
        <f t="shared" si="211"/>
        <v>0</v>
      </c>
      <c r="F2562" s="390">
        <f t="shared" si="209"/>
        <v>2040000</v>
      </c>
      <c r="G2562" s="390">
        <v>223000</v>
      </c>
      <c r="H2562" s="731">
        <v>1000000</v>
      </c>
      <c r="I2562" s="390">
        <v>0</v>
      </c>
      <c r="J2562" s="390"/>
      <c r="K2562" s="734"/>
      <c r="M2562" s="62" t="e">
        <f>IF(#REF!&gt;6,3,5)</f>
        <v>#REF!</v>
      </c>
    </row>
    <row r="2563" spans="1:13">
      <c r="A2563" s="768">
        <f t="shared" si="208"/>
        <v>12</v>
      </c>
      <c r="B2563" s="768" t="s">
        <v>1682</v>
      </c>
      <c r="C2563" s="731">
        <v>5000000</v>
      </c>
      <c r="D2563" s="390">
        <f t="shared" si="211"/>
        <v>3120000</v>
      </c>
      <c r="E2563" s="390">
        <f t="shared" si="211"/>
        <v>0</v>
      </c>
      <c r="F2563" s="390">
        <f t="shared" si="209"/>
        <v>8120000</v>
      </c>
      <c r="G2563" s="390">
        <v>1370000</v>
      </c>
      <c r="H2563" s="731">
        <v>3000000</v>
      </c>
      <c r="I2563" s="390">
        <v>0</v>
      </c>
      <c r="J2563" s="390"/>
      <c r="K2563" s="734"/>
      <c r="M2563" s="62" t="e">
        <f>IF(#REF!&gt;6,3,5)</f>
        <v>#REF!</v>
      </c>
    </row>
    <row r="2564" spans="1:13">
      <c r="A2564" s="768">
        <f t="shared" si="208"/>
        <v>13</v>
      </c>
      <c r="B2564" s="768" t="s">
        <v>2249</v>
      </c>
      <c r="C2564" s="731">
        <v>100000</v>
      </c>
      <c r="D2564" s="390">
        <f t="shared" si="211"/>
        <v>104000</v>
      </c>
      <c r="E2564" s="390">
        <f t="shared" si="211"/>
        <v>0</v>
      </c>
      <c r="F2564" s="390">
        <f t="shared" si="209"/>
        <v>204000</v>
      </c>
      <c r="G2564" s="390">
        <v>100000</v>
      </c>
      <c r="H2564" s="731">
        <v>100000</v>
      </c>
      <c r="I2564" s="390">
        <v>0</v>
      </c>
      <c r="J2564" s="390"/>
      <c r="K2564" s="734"/>
      <c r="M2564" s="62" t="e">
        <f>IF(#REF!&gt;6,3,5)</f>
        <v>#REF!</v>
      </c>
    </row>
    <row r="2565" spans="1:13">
      <c r="A2565" s="768">
        <f t="shared" si="208"/>
        <v>14</v>
      </c>
      <c r="B2565" s="768" t="s">
        <v>1336</v>
      </c>
      <c r="C2565" s="731">
        <v>2000000</v>
      </c>
      <c r="D2565" s="390">
        <f t="shared" si="211"/>
        <v>2080000</v>
      </c>
      <c r="E2565" s="390">
        <f t="shared" si="211"/>
        <v>0</v>
      </c>
      <c r="F2565" s="390">
        <f t="shared" si="209"/>
        <v>4080000</v>
      </c>
      <c r="G2565" s="390"/>
      <c r="H2565" s="731">
        <v>2000000</v>
      </c>
      <c r="I2565" s="390"/>
      <c r="J2565" s="390"/>
      <c r="K2565" s="734"/>
      <c r="M2565" s="62" t="e">
        <f>IF(#REF!&gt;6,3,5)</f>
        <v>#REF!</v>
      </c>
    </row>
    <row r="2566" spans="1:13">
      <c r="A2566" s="768">
        <f t="shared" si="208"/>
        <v>15</v>
      </c>
      <c r="B2566" s="768" t="s">
        <v>1218</v>
      </c>
      <c r="C2566" s="390" t="s">
        <v>1386</v>
      </c>
      <c r="D2566" s="390" t="s">
        <v>1386</v>
      </c>
      <c r="E2566" s="390" t="s">
        <v>1386</v>
      </c>
      <c r="F2566" s="390">
        <f t="shared" si="209"/>
        <v>0</v>
      </c>
      <c r="G2566" s="390"/>
      <c r="H2566" s="390" t="s">
        <v>1386</v>
      </c>
      <c r="I2566" s="390"/>
      <c r="J2566" s="390"/>
      <c r="K2566" s="734"/>
      <c r="M2566" s="62" t="e">
        <f>IF(#REF!&gt;6,3,5)</f>
        <v>#REF!</v>
      </c>
    </row>
    <row r="2567" spans="1:13">
      <c r="A2567" s="768">
        <f t="shared" si="208"/>
        <v>16</v>
      </c>
      <c r="B2567" s="768" t="s">
        <v>2499</v>
      </c>
      <c r="C2567" s="76">
        <v>3000000</v>
      </c>
      <c r="D2567" s="390">
        <f t="shared" ref="D2567:E2570" si="212">H2567*1.04</f>
        <v>3120000</v>
      </c>
      <c r="E2567" s="390">
        <f t="shared" si="212"/>
        <v>0</v>
      </c>
      <c r="F2567" s="390">
        <f t="shared" si="209"/>
        <v>6120000</v>
      </c>
      <c r="G2567" s="390"/>
      <c r="H2567" s="76">
        <v>3000000</v>
      </c>
      <c r="I2567" s="390"/>
      <c r="J2567" s="390"/>
      <c r="K2567" s="734"/>
      <c r="M2567" s="62" t="e">
        <f>IF(#REF!&gt;6,3,5)</f>
        <v>#REF!</v>
      </c>
    </row>
    <row r="2568" spans="1:13">
      <c r="A2568" s="768">
        <f t="shared" si="208"/>
        <v>17</v>
      </c>
      <c r="B2568" s="768" t="s">
        <v>1041</v>
      </c>
      <c r="C2568" s="390">
        <v>30000000</v>
      </c>
      <c r="D2568" s="390">
        <f t="shared" si="212"/>
        <v>31200000</v>
      </c>
      <c r="E2568" s="390">
        <f t="shared" si="212"/>
        <v>520000</v>
      </c>
      <c r="F2568" s="390">
        <f t="shared" si="209"/>
        <v>61720000</v>
      </c>
      <c r="G2568" s="390"/>
      <c r="H2568" s="390">
        <v>30000000</v>
      </c>
      <c r="I2568" s="390">
        <v>500000</v>
      </c>
      <c r="J2568" s="390"/>
      <c r="K2568" s="734"/>
      <c r="M2568" s="62" t="e">
        <f>IF(#REF!&gt;6,3,5)</f>
        <v>#REF!</v>
      </c>
    </row>
    <row r="2569" spans="1:13">
      <c r="A2569" s="768">
        <f t="shared" si="208"/>
        <v>18</v>
      </c>
      <c r="B2569" s="768" t="s">
        <v>5369</v>
      </c>
      <c r="C2569" s="390" t="s">
        <v>1386</v>
      </c>
      <c r="D2569" s="390" t="s">
        <v>1386</v>
      </c>
      <c r="E2569" s="390">
        <f t="shared" si="212"/>
        <v>0</v>
      </c>
      <c r="F2569" s="390">
        <f t="shared" si="209"/>
        <v>0</v>
      </c>
      <c r="G2569" s="390"/>
      <c r="H2569" s="390" t="s">
        <v>1386</v>
      </c>
      <c r="I2569" s="390"/>
      <c r="J2569" s="390"/>
      <c r="K2569" s="734"/>
      <c r="M2569" s="62" t="e">
        <f>IF(#REF!&gt;6,3,5)</f>
        <v>#REF!</v>
      </c>
    </row>
    <row r="2570" spans="1:13">
      <c r="A2570" s="768">
        <f t="shared" si="208"/>
        <v>19</v>
      </c>
      <c r="B2570" s="768" t="s">
        <v>1201</v>
      </c>
      <c r="C2570" s="731">
        <v>1000000000</v>
      </c>
      <c r="D2570" s="390">
        <f t="shared" si="212"/>
        <v>1248000000</v>
      </c>
      <c r="E2570" s="390">
        <f t="shared" si="212"/>
        <v>7918976</v>
      </c>
      <c r="F2570" s="390">
        <f t="shared" si="209"/>
        <v>2255918976</v>
      </c>
      <c r="G2570" s="390">
        <v>1852600000</v>
      </c>
      <c r="H2570" s="731">
        <v>1200000000</v>
      </c>
      <c r="I2570" s="390">
        <v>7614400</v>
      </c>
      <c r="J2570" s="390"/>
      <c r="K2570" s="734"/>
      <c r="M2570" s="62" t="e">
        <f>IF(#REF!&gt;6,3,5)</f>
        <v>#REF!</v>
      </c>
    </row>
    <row r="2571" spans="1:13">
      <c r="A2571" s="768"/>
      <c r="B2571" s="768"/>
      <c r="C2571" s="390"/>
      <c r="D2571" s="390"/>
      <c r="E2571" s="390"/>
      <c r="F2571" s="390"/>
      <c r="G2571" s="390"/>
      <c r="H2571" s="390"/>
      <c r="I2571" s="390"/>
      <c r="J2571" s="390"/>
      <c r="K2571" s="734"/>
      <c r="M2571" s="62" t="e">
        <f>IF(#REF!&gt;6,3,5)</f>
        <v>#REF!</v>
      </c>
    </row>
    <row r="2572" spans="1:13">
      <c r="A2572" s="777"/>
      <c r="B2572" s="777" t="s">
        <v>1684</v>
      </c>
      <c r="C2572" s="785">
        <f t="shared" ref="C2572:I2572" si="213">SUM(C2552:C2571)</f>
        <v>1045200000</v>
      </c>
      <c r="D2572" s="785">
        <f t="shared" si="213"/>
        <v>1293968000</v>
      </c>
      <c r="E2572" s="785">
        <f t="shared" si="213"/>
        <v>9933664</v>
      </c>
      <c r="F2572" s="785">
        <f t="shared" si="213"/>
        <v>2349101664</v>
      </c>
      <c r="G2572" s="785">
        <f>SUM(G2552:G2571)</f>
        <v>1856302912</v>
      </c>
      <c r="H2572" s="785">
        <f t="shared" si="213"/>
        <v>1244200000</v>
      </c>
      <c r="I2572" s="785">
        <f t="shared" si="213"/>
        <v>9551600</v>
      </c>
      <c r="J2572" s="785"/>
      <c r="K2572" s="787"/>
      <c r="M2572" s="62" t="e">
        <f>IF(#REF!&gt;6,3,5)</f>
        <v>#REF!</v>
      </c>
    </row>
    <row r="2573" spans="1:13" ht="15">
      <c r="J2573" s="584"/>
      <c r="K2573" s="584"/>
      <c r="M2573" s="62">
        <f t="shared" si="206"/>
        <v>5</v>
      </c>
    </row>
    <row r="2574" spans="1:13" ht="15">
      <c r="C2574" s="77"/>
      <c r="D2574" s="78" t="s">
        <v>5434</v>
      </c>
      <c r="J2574" s="584"/>
      <c r="K2574" s="584"/>
      <c r="M2574" s="62">
        <f t="shared" si="206"/>
        <v>5</v>
      </c>
    </row>
    <row r="2575" spans="1:13" ht="15">
      <c r="C2575" s="77"/>
      <c r="D2575" s="78" t="s">
        <v>1693</v>
      </c>
      <c r="J2575" s="584"/>
      <c r="K2575" s="584"/>
      <c r="M2575" s="62">
        <f t="shared" si="206"/>
        <v>5</v>
      </c>
    </row>
    <row r="2576" spans="1:13" ht="15">
      <c r="C2576" s="79" t="s">
        <v>717</v>
      </c>
      <c r="D2576" s="78" t="s">
        <v>739</v>
      </c>
      <c r="J2576" s="584"/>
      <c r="K2576" s="584"/>
      <c r="M2576" s="62">
        <f t="shared" si="206"/>
        <v>3</v>
      </c>
    </row>
    <row r="2577" spans="1:13" ht="15.75" thickBot="1">
      <c r="C2577" s="79" t="s">
        <v>718</v>
      </c>
      <c r="D2577" s="78" t="s">
        <v>611</v>
      </c>
      <c r="J2577" s="584"/>
      <c r="K2577" s="584"/>
      <c r="M2577" s="62">
        <f t="shared" si="206"/>
        <v>3</v>
      </c>
    </row>
    <row r="2578" spans="1:13" ht="15.75" thickTop="1">
      <c r="A2578" s="1047" t="s">
        <v>2791</v>
      </c>
      <c r="B2578" s="1049" t="s">
        <v>4126</v>
      </c>
      <c r="C2578" s="1049" t="s">
        <v>854</v>
      </c>
      <c r="D2578" s="1040" t="s">
        <v>4127</v>
      </c>
      <c r="E2578" s="1041"/>
      <c r="F2578" s="1041"/>
      <c r="G2578" s="1040" t="s">
        <v>904</v>
      </c>
      <c r="H2578" s="1041"/>
      <c r="I2578" s="1042"/>
      <c r="J2578" s="1035" t="s">
        <v>855</v>
      </c>
      <c r="K2578" s="389"/>
    </row>
    <row r="2579" spans="1:13" ht="26.25" thickBot="1">
      <c r="A2579" s="1048"/>
      <c r="B2579" s="1050"/>
      <c r="C2579" s="1050"/>
      <c r="D2579" s="285" t="s">
        <v>5505</v>
      </c>
      <c r="E2579" s="285" t="s">
        <v>4485</v>
      </c>
      <c r="F2579" s="285" t="s">
        <v>4486</v>
      </c>
      <c r="G2579" s="287" t="s">
        <v>4487</v>
      </c>
      <c r="H2579" s="285" t="s">
        <v>4488</v>
      </c>
      <c r="I2579" s="287" t="s">
        <v>4489</v>
      </c>
      <c r="J2579" s="1036"/>
      <c r="K2579" s="712"/>
    </row>
    <row r="2580" spans="1:13" ht="13.5" thickTop="1">
      <c r="A2580" s="107"/>
      <c r="B2580" s="202" t="s">
        <v>800</v>
      </c>
      <c r="C2580" s="109"/>
      <c r="D2580" s="110"/>
      <c r="E2580" s="110"/>
      <c r="F2580" s="69"/>
      <c r="G2580" s="110"/>
      <c r="H2580" s="110"/>
      <c r="I2580" s="110"/>
      <c r="J2580" s="713"/>
      <c r="K2580" s="711"/>
      <c r="M2580" s="62">
        <f t="shared" si="206"/>
        <v>5</v>
      </c>
    </row>
    <row r="2581" spans="1:13">
      <c r="A2581" s="88">
        <v>1</v>
      </c>
      <c r="B2581" s="69" t="s">
        <v>3662</v>
      </c>
      <c r="C2581" s="69">
        <v>4</v>
      </c>
      <c r="D2581" s="89">
        <v>0</v>
      </c>
      <c r="E2581" s="89">
        <v>1</v>
      </c>
      <c r="F2581" s="89">
        <v>0</v>
      </c>
      <c r="G2581" s="89">
        <v>0</v>
      </c>
      <c r="H2581" s="89">
        <v>1</v>
      </c>
      <c r="I2581" s="89">
        <v>0</v>
      </c>
      <c r="J2581" s="710">
        <f>(VLOOKUP($C2581,[2]Sheet1!$A$2:$P$18,$M2581+1)/12)*12*D2581</f>
        <v>0</v>
      </c>
      <c r="K2581" s="711"/>
      <c r="M2581" s="62">
        <f t="shared" si="206"/>
        <v>5</v>
      </c>
    </row>
    <row r="2582" spans="1:13">
      <c r="A2582" s="88">
        <f>+A2581+1</f>
        <v>2</v>
      </c>
      <c r="B2582" s="69" t="s">
        <v>957</v>
      </c>
      <c r="C2582" s="69">
        <v>3</v>
      </c>
      <c r="D2582" s="89">
        <v>0</v>
      </c>
      <c r="E2582" s="89">
        <v>2</v>
      </c>
      <c r="F2582" s="89">
        <v>2</v>
      </c>
      <c r="G2582" s="89">
        <v>2</v>
      </c>
      <c r="H2582" s="89">
        <v>2</v>
      </c>
      <c r="I2582" s="89">
        <v>0</v>
      </c>
      <c r="J2582" s="710">
        <f>(VLOOKUP($C2582,[2]Sheet1!$A$2:$P$18,$M2582+1)/12)*12*D2582</f>
        <v>0</v>
      </c>
      <c r="K2582" s="711"/>
      <c r="M2582" s="62">
        <f t="shared" si="206"/>
        <v>5</v>
      </c>
    </row>
    <row r="2583" spans="1:13">
      <c r="A2583" s="88">
        <f t="shared" ref="A2583:A2592" si="214">+A2582+1</f>
        <v>3</v>
      </c>
      <c r="B2583" s="69" t="s">
        <v>3797</v>
      </c>
      <c r="C2583" s="69">
        <v>4</v>
      </c>
      <c r="D2583" s="89">
        <v>0</v>
      </c>
      <c r="E2583" s="89">
        <v>1</v>
      </c>
      <c r="F2583" s="89">
        <v>0</v>
      </c>
      <c r="G2583" s="89">
        <v>0</v>
      </c>
      <c r="H2583" s="89">
        <v>1</v>
      </c>
      <c r="I2583" s="89">
        <v>0</v>
      </c>
      <c r="J2583" s="710">
        <f>(VLOOKUP($C2583,[2]Sheet1!$A$2:$P$18,$M2583+1)/12)*12*D2583</f>
        <v>0</v>
      </c>
      <c r="K2583" s="711"/>
      <c r="M2583" s="62">
        <f t="shared" si="206"/>
        <v>5</v>
      </c>
    </row>
    <row r="2584" spans="1:13">
      <c r="A2584" s="88">
        <f t="shared" si="214"/>
        <v>4</v>
      </c>
      <c r="B2584" s="69" t="s">
        <v>3798</v>
      </c>
      <c r="C2584" s="69">
        <v>3</v>
      </c>
      <c r="D2584" s="89">
        <v>0</v>
      </c>
      <c r="E2584" s="89">
        <v>1</v>
      </c>
      <c r="F2584" s="89">
        <v>0</v>
      </c>
      <c r="G2584" s="89">
        <v>0</v>
      </c>
      <c r="H2584" s="89">
        <v>0</v>
      </c>
      <c r="I2584" s="89">
        <v>0</v>
      </c>
      <c r="J2584" s="710">
        <f>(VLOOKUP($C2584,[2]Sheet1!$A$2:$P$18,$M2584+1)/12)*12*D2584</f>
        <v>0</v>
      </c>
      <c r="K2584" s="711"/>
      <c r="M2584" s="62">
        <f t="shared" si="206"/>
        <v>5</v>
      </c>
    </row>
    <row r="2585" spans="1:13">
      <c r="A2585" s="88">
        <f t="shared" si="214"/>
        <v>5</v>
      </c>
      <c r="B2585" s="69" t="s">
        <v>3282</v>
      </c>
      <c r="C2585" s="69">
        <v>5</v>
      </c>
      <c r="D2585" s="89">
        <v>2</v>
      </c>
      <c r="E2585" s="89">
        <v>1</v>
      </c>
      <c r="F2585" s="89">
        <v>0</v>
      </c>
      <c r="G2585" s="89">
        <v>0</v>
      </c>
      <c r="H2585" s="89">
        <v>1</v>
      </c>
      <c r="I2585" s="89">
        <v>2</v>
      </c>
      <c r="J2585" s="710">
        <f>(VLOOKUP($C2585,[2]Sheet1!$A$2:$P$18,$M2585+1)/12)*12*D2585</f>
        <v>459139.55786072998</v>
      </c>
      <c r="K2585" s="711"/>
      <c r="M2585" s="62">
        <f t="shared" si="206"/>
        <v>5</v>
      </c>
    </row>
    <row r="2586" spans="1:13">
      <c r="A2586" s="88">
        <f t="shared" si="214"/>
        <v>6</v>
      </c>
      <c r="B2586" s="69" t="s">
        <v>958</v>
      </c>
      <c r="C2586" s="69">
        <v>3</v>
      </c>
      <c r="D2586" s="89">
        <v>1</v>
      </c>
      <c r="E2586" s="89">
        <v>2</v>
      </c>
      <c r="F2586" s="89">
        <v>2</v>
      </c>
      <c r="G2586" s="89">
        <v>2</v>
      </c>
      <c r="H2586" s="89">
        <v>2</v>
      </c>
      <c r="I2586" s="89">
        <v>1</v>
      </c>
      <c r="J2586" s="710">
        <f>(VLOOKUP($C2586,[2]Sheet1!$A$2:$P$18,$M2586+1)/12)*12*D2586</f>
        <v>219336.17893036499</v>
      </c>
      <c r="K2586" s="711"/>
      <c r="M2586" s="62">
        <f t="shared" si="206"/>
        <v>5</v>
      </c>
    </row>
    <row r="2587" spans="1:13">
      <c r="A2587" s="88">
        <f t="shared" si="214"/>
        <v>7</v>
      </c>
      <c r="B2587" s="69" t="s">
        <v>2179</v>
      </c>
      <c r="C2587" s="69">
        <v>4</v>
      </c>
      <c r="D2587" s="89">
        <v>0</v>
      </c>
      <c r="E2587" s="89">
        <v>1</v>
      </c>
      <c r="F2587" s="89">
        <v>0</v>
      </c>
      <c r="G2587" s="89">
        <v>0</v>
      </c>
      <c r="H2587" s="89">
        <v>0</v>
      </c>
      <c r="I2587" s="89">
        <v>0</v>
      </c>
      <c r="J2587" s="710">
        <f>(VLOOKUP($C2587,[2]Sheet1!$A$2:$P$18,$M2587+1)/12)*12*D2587</f>
        <v>0</v>
      </c>
      <c r="K2587" s="711"/>
      <c r="M2587" s="62">
        <f t="shared" si="206"/>
        <v>5</v>
      </c>
    </row>
    <row r="2588" spans="1:13">
      <c r="A2588" s="88">
        <f t="shared" si="214"/>
        <v>8</v>
      </c>
      <c r="B2588" s="69" t="s">
        <v>2542</v>
      </c>
      <c r="C2588" s="69">
        <v>3</v>
      </c>
      <c r="D2588" s="89">
        <v>0</v>
      </c>
      <c r="E2588" s="89">
        <v>1</v>
      </c>
      <c r="F2588" s="89">
        <v>0</v>
      </c>
      <c r="G2588" s="89">
        <v>0</v>
      </c>
      <c r="H2588" s="89">
        <v>1</v>
      </c>
      <c r="I2588" s="89">
        <v>0</v>
      </c>
      <c r="J2588" s="710">
        <f>(VLOOKUP($C2588,[2]Sheet1!$A$2:$P$18,$M2588+1)/12)*12*D2588</f>
        <v>0</v>
      </c>
      <c r="K2588" s="711"/>
      <c r="M2588" s="62">
        <f t="shared" si="206"/>
        <v>5</v>
      </c>
    </row>
    <row r="2589" spans="1:13">
      <c r="A2589" s="88">
        <f t="shared" si="214"/>
        <v>9</v>
      </c>
      <c r="B2589" s="69" t="s">
        <v>2543</v>
      </c>
      <c r="C2589" s="69">
        <v>2</v>
      </c>
      <c r="D2589" s="89">
        <v>2</v>
      </c>
      <c r="E2589" s="89">
        <v>2</v>
      </c>
      <c r="F2589" s="89">
        <v>2</v>
      </c>
      <c r="G2589" s="89">
        <v>2</v>
      </c>
      <c r="H2589" s="89">
        <v>2</v>
      </c>
      <c r="I2589" s="89">
        <v>2</v>
      </c>
      <c r="J2589" s="710">
        <f>(VLOOKUP($C2589,[2]Sheet1!$A$2:$P$18,$M2589+1)/12)*12*D2589</f>
        <v>429314.75786073005</v>
      </c>
      <c r="K2589" s="711"/>
      <c r="M2589" s="62">
        <f t="shared" si="206"/>
        <v>5</v>
      </c>
    </row>
    <row r="2590" spans="1:13">
      <c r="A2590" s="88">
        <f t="shared" si="214"/>
        <v>10</v>
      </c>
      <c r="B2590" s="69" t="s">
        <v>2930</v>
      </c>
      <c r="C2590" s="69">
        <v>2</v>
      </c>
      <c r="D2590" s="89">
        <v>0</v>
      </c>
      <c r="E2590" s="89">
        <v>0</v>
      </c>
      <c r="F2590" s="89">
        <v>0</v>
      </c>
      <c r="G2590" s="89">
        <v>0</v>
      </c>
      <c r="H2590" s="89">
        <v>0</v>
      </c>
      <c r="I2590" s="89">
        <v>0</v>
      </c>
      <c r="J2590" s="710">
        <f>(VLOOKUP($C2590,[2]Sheet1!$A$2:$P$18,$M2590+1)/12)*12*D2590</f>
        <v>0</v>
      </c>
      <c r="K2590" s="711"/>
      <c r="M2590" s="62">
        <f t="shared" si="206"/>
        <v>5</v>
      </c>
    </row>
    <row r="2591" spans="1:13">
      <c r="A2591" s="88">
        <f t="shared" si="214"/>
        <v>11</v>
      </c>
      <c r="B2591" s="69" t="s">
        <v>2931</v>
      </c>
      <c r="C2591" s="69">
        <v>2</v>
      </c>
      <c r="D2591" s="89">
        <v>0</v>
      </c>
      <c r="E2591" s="89">
        <v>0</v>
      </c>
      <c r="F2591" s="89">
        <v>0</v>
      </c>
      <c r="G2591" s="89">
        <v>0</v>
      </c>
      <c r="H2591" s="89">
        <v>0</v>
      </c>
      <c r="I2591" s="89">
        <v>0</v>
      </c>
      <c r="J2591" s="710">
        <f>(VLOOKUP($C2591,[2]Sheet1!$A$2:$P$18,$M2591+1)/12)*12*D2591</f>
        <v>0</v>
      </c>
      <c r="K2591" s="711"/>
      <c r="M2591" s="62">
        <f t="shared" si="206"/>
        <v>5</v>
      </c>
    </row>
    <row r="2592" spans="1:13">
      <c r="A2592" s="88">
        <f t="shared" si="214"/>
        <v>12</v>
      </c>
      <c r="B2592" s="69" t="s">
        <v>4030</v>
      </c>
      <c r="C2592" s="69">
        <v>3</v>
      </c>
      <c r="D2592" s="89">
        <v>1</v>
      </c>
      <c r="E2592" s="89">
        <v>0</v>
      </c>
      <c r="F2592" s="89">
        <v>0</v>
      </c>
      <c r="G2592" s="89">
        <v>0</v>
      </c>
      <c r="H2592" s="89">
        <v>0</v>
      </c>
      <c r="I2592" s="89">
        <v>1</v>
      </c>
      <c r="J2592" s="710">
        <f>(VLOOKUP($C2592,[2]Sheet1!$A$2:$P$18,$M2592+1)/12)*12*D2592</f>
        <v>219336.17893036499</v>
      </c>
      <c r="K2592" s="711"/>
      <c r="M2592" s="62">
        <f>IF(C2592&gt;6,3,5)</f>
        <v>5</v>
      </c>
    </row>
    <row r="2593" spans="1:13">
      <c r="A2593" s="88"/>
      <c r="B2593" s="90" t="s">
        <v>2417</v>
      </c>
      <c r="C2593" s="69"/>
      <c r="D2593" s="89"/>
      <c r="E2593" s="89"/>
      <c r="F2593" s="89"/>
      <c r="G2593" s="89"/>
      <c r="H2593" s="89"/>
      <c r="I2593" s="89"/>
      <c r="J2593" s="710"/>
      <c r="K2593" s="711"/>
      <c r="M2593" s="62">
        <f t="shared" si="206"/>
        <v>5</v>
      </c>
    </row>
    <row r="2594" spans="1:13">
      <c r="A2594" s="88">
        <f>+A2591+1</f>
        <v>12</v>
      </c>
      <c r="B2594" s="69" t="s">
        <v>603</v>
      </c>
      <c r="C2594" s="69">
        <v>4</v>
      </c>
      <c r="D2594" s="89">
        <v>0</v>
      </c>
      <c r="E2594" s="89">
        <v>0</v>
      </c>
      <c r="F2594" s="89">
        <v>0</v>
      </c>
      <c r="G2594" s="89">
        <v>0</v>
      </c>
      <c r="H2594" s="89">
        <v>0</v>
      </c>
      <c r="I2594" s="89">
        <v>0</v>
      </c>
      <c r="J2594" s="710">
        <f>(VLOOKUP($C2594,[2]Sheet1!$A$2:$P$18,$M2594+1)/12)*12*D2594</f>
        <v>0</v>
      </c>
      <c r="K2594" s="711"/>
      <c r="M2594" s="62">
        <f t="shared" si="206"/>
        <v>5</v>
      </c>
    </row>
    <row r="2595" spans="1:13">
      <c r="A2595" s="88">
        <f>+A2594+1</f>
        <v>13</v>
      </c>
      <c r="B2595" s="69" t="s">
        <v>2769</v>
      </c>
      <c r="C2595" s="69">
        <v>7</v>
      </c>
      <c r="D2595" s="89">
        <v>1</v>
      </c>
      <c r="E2595" s="89">
        <v>0</v>
      </c>
      <c r="F2595" s="89">
        <v>0</v>
      </c>
      <c r="G2595" s="89">
        <v>0</v>
      </c>
      <c r="H2595" s="89">
        <v>0</v>
      </c>
      <c r="I2595" s="89">
        <v>1</v>
      </c>
      <c r="J2595" s="710">
        <f>(VLOOKUP($C2595,[2]Sheet1!$A$2:$P$18,$M2595+1)/12)*12*D2595</f>
        <v>307706.70240000007</v>
      </c>
      <c r="K2595" s="711"/>
      <c r="M2595" s="62">
        <f t="shared" si="206"/>
        <v>3</v>
      </c>
    </row>
    <row r="2596" spans="1:13">
      <c r="A2596" s="88">
        <f>+A2595+1</f>
        <v>14</v>
      </c>
      <c r="B2596" s="69" t="s">
        <v>1860</v>
      </c>
      <c r="C2596" s="69">
        <v>2</v>
      </c>
      <c r="D2596" s="89">
        <v>0</v>
      </c>
      <c r="E2596" s="89">
        <v>0</v>
      </c>
      <c r="F2596" s="89">
        <v>0</v>
      </c>
      <c r="G2596" s="89">
        <v>0</v>
      </c>
      <c r="H2596" s="89">
        <v>0</v>
      </c>
      <c r="I2596" s="89">
        <v>0</v>
      </c>
      <c r="J2596" s="710">
        <f>(VLOOKUP($C2596,[2]Sheet1!$A$2:$P$18,$M2596+1)/12)*12*D2596</f>
        <v>0</v>
      </c>
      <c r="K2596" s="711"/>
      <c r="M2596" s="62">
        <f t="shared" ref="M2596:M2653" si="215">IF(C2596&gt;6,3,5)</f>
        <v>5</v>
      </c>
    </row>
    <row r="2597" spans="1:13">
      <c r="A2597" s="88"/>
      <c r="B2597" s="90" t="s">
        <v>1409</v>
      </c>
      <c r="C2597" s="69"/>
      <c r="D2597" s="89"/>
      <c r="E2597" s="89">
        <v>0</v>
      </c>
      <c r="F2597" s="89"/>
      <c r="G2597" s="89"/>
      <c r="H2597" s="89">
        <v>0</v>
      </c>
      <c r="I2597" s="89"/>
      <c r="J2597" s="710"/>
      <c r="K2597" s="711"/>
      <c r="M2597" s="62">
        <f t="shared" si="215"/>
        <v>5</v>
      </c>
    </row>
    <row r="2598" spans="1:13">
      <c r="A2598" s="88">
        <f>+A2596+1</f>
        <v>15</v>
      </c>
      <c r="B2598" s="69" t="s">
        <v>1410</v>
      </c>
      <c r="C2598" s="69">
        <v>5</v>
      </c>
      <c r="D2598" s="89">
        <v>0</v>
      </c>
      <c r="E2598" s="89">
        <v>0</v>
      </c>
      <c r="F2598" s="89">
        <v>0</v>
      </c>
      <c r="G2598" s="89">
        <v>0</v>
      </c>
      <c r="H2598" s="89">
        <v>0</v>
      </c>
      <c r="I2598" s="89">
        <v>0</v>
      </c>
      <c r="J2598" s="710">
        <f>(VLOOKUP($C2598,[2]Sheet1!$A$2:$P$18,$M2598+1)/12)*12*D2598</f>
        <v>0</v>
      </c>
      <c r="K2598" s="711"/>
      <c r="M2598" s="62">
        <f t="shared" si="215"/>
        <v>5</v>
      </c>
    </row>
    <row r="2599" spans="1:13">
      <c r="A2599" s="88">
        <f>+A2598+1</f>
        <v>16</v>
      </c>
      <c r="B2599" s="69" t="s">
        <v>1411</v>
      </c>
      <c r="C2599" s="69">
        <v>5</v>
      </c>
      <c r="D2599" s="89">
        <v>0</v>
      </c>
      <c r="E2599" s="89">
        <v>0</v>
      </c>
      <c r="F2599" s="89">
        <v>0</v>
      </c>
      <c r="G2599" s="89">
        <v>0</v>
      </c>
      <c r="H2599" s="89">
        <v>0</v>
      </c>
      <c r="I2599" s="89">
        <v>0</v>
      </c>
      <c r="J2599" s="710">
        <f>(VLOOKUP($C2599,[2]Sheet1!$A$2:$P$18,$M2599+1)/12)*12*D2599</f>
        <v>0</v>
      </c>
      <c r="K2599" s="711"/>
      <c r="M2599" s="62">
        <f t="shared" si="215"/>
        <v>5</v>
      </c>
    </row>
    <row r="2600" spans="1:13">
      <c r="A2600" s="88">
        <f>+A2599+1</f>
        <v>17</v>
      </c>
      <c r="B2600" s="69" t="s">
        <v>2327</v>
      </c>
      <c r="C2600" s="69">
        <v>4</v>
      </c>
      <c r="D2600" s="89">
        <v>0</v>
      </c>
      <c r="E2600" s="89">
        <v>0</v>
      </c>
      <c r="F2600" s="89">
        <v>0</v>
      </c>
      <c r="G2600" s="89">
        <v>0</v>
      </c>
      <c r="H2600" s="89">
        <v>0</v>
      </c>
      <c r="I2600" s="89">
        <v>0</v>
      </c>
      <c r="J2600" s="710">
        <f>(VLOOKUP($C2600,[2]Sheet1!$A$2:$P$18,$M2600+1)/12)*12*D2600</f>
        <v>0</v>
      </c>
      <c r="K2600" s="711"/>
      <c r="M2600" s="62">
        <f t="shared" si="215"/>
        <v>5</v>
      </c>
    </row>
    <row r="2601" spans="1:13">
      <c r="A2601" s="88">
        <f>+A2600+1</f>
        <v>18</v>
      </c>
      <c r="B2601" s="69" t="s">
        <v>1276</v>
      </c>
      <c r="C2601" s="69">
        <v>5</v>
      </c>
      <c r="D2601" s="89">
        <v>0</v>
      </c>
      <c r="E2601" s="89">
        <v>0</v>
      </c>
      <c r="F2601" s="89">
        <v>0</v>
      </c>
      <c r="G2601" s="89">
        <v>0</v>
      </c>
      <c r="H2601" s="89">
        <v>0</v>
      </c>
      <c r="I2601" s="89">
        <v>0</v>
      </c>
      <c r="J2601" s="710">
        <f>(VLOOKUP($C2601,[2]Sheet1!$A$2:$P$18,$M2601+1)/12)*12*D2601</f>
        <v>0</v>
      </c>
      <c r="K2601" s="711"/>
      <c r="M2601" s="62">
        <f t="shared" si="215"/>
        <v>5</v>
      </c>
    </row>
    <row r="2602" spans="1:13">
      <c r="A2602" s="88">
        <f>+A2601+1</f>
        <v>19</v>
      </c>
      <c r="B2602" s="69" t="s">
        <v>2210</v>
      </c>
      <c r="C2602" s="69">
        <v>3</v>
      </c>
      <c r="D2602" s="89">
        <v>0</v>
      </c>
      <c r="E2602" s="89">
        <v>0</v>
      </c>
      <c r="F2602" s="89">
        <v>0</v>
      </c>
      <c r="G2602" s="89">
        <v>0</v>
      </c>
      <c r="H2602" s="89">
        <v>0</v>
      </c>
      <c r="I2602" s="89">
        <v>0</v>
      </c>
      <c r="J2602" s="710">
        <f>(VLOOKUP($C2602,[2]Sheet1!$A$2:$P$18,$M2602+1)/12)*12*D2602</f>
        <v>0</v>
      </c>
      <c r="K2602" s="711"/>
      <c r="M2602" s="62">
        <f t="shared" si="215"/>
        <v>5</v>
      </c>
    </row>
    <row r="2603" spans="1:13">
      <c r="A2603" s="88"/>
      <c r="B2603" s="69"/>
      <c r="C2603" s="69"/>
      <c r="D2603" s="89"/>
      <c r="E2603" s="89"/>
      <c r="F2603" s="89"/>
      <c r="G2603" s="89"/>
      <c r="H2603" s="89"/>
      <c r="I2603" s="89"/>
      <c r="J2603" s="713"/>
      <c r="K2603" s="711"/>
      <c r="M2603" s="62">
        <f t="shared" si="215"/>
        <v>5</v>
      </c>
    </row>
    <row r="2604" spans="1:13">
      <c r="A2604" s="88"/>
      <c r="B2604" s="69"/>
      <c r="C2604" s="69"/>
      <c r="D2604" s="89"/>
      <c r="E2604" s="89"/>
      <c r="F2604" s="89"/>
      <c r="G2604" s="89"/>
      <c r="H2604" s="89"/>
      <c r="I2604" s="89"/>
      <c r="J2604" s="713"/>
      <c r="K2604" s="711"/>
      <c r="M2604" s="62">
        <f t="shared" si="215"/>
        <v>5</v>
      </c>
    </row>
    <row r="2605" spans="1:13">
      <c r="A2605" s="92"/>
      <c r="B2605" s="93" t="s">
        <v>1684</v>
      </c>
      <c r="C2605" s="94"/>
      <c r="D2605" s="123">
        <f t="shared" ref="D2605:I2605" si="216">SUM(D2581:D2604)</f>
        <v>7</v>
      </c>
      <c r="E2605" s="123">
        <f t="shared" si="216"/>
        <v>12</v>
      </c>
      <c r="F2605" s="123">
        <f t="shared" si="216"/>
        <v>6</v>
      </c>
      <c r="G2605" s="123">
        <f>SUM(G2581:G2604)</f>
        <v>6</v>
      </c>
      <c r="H2605" s="123">
        <f t="shared" si="216"/>
        <v>10</v>
      </c>
      <c r="I2605" s="123">
        <f t="shared" si="216"/>
        <v>7</v>
      </c>
      <c r="J2605" s="123">
        <f>SUM(J2581:J2604)-30000-255836+214549-50000</f>
        <v>1513546.3759821902</v>
      </c>
      <c r="K2605" s="378"/>
      <c r="M2605" s="62">
        <f t="shared" si="215"/>
        <v>5</v>
      </c>
    </row>
    <row r="2606" spans="1:13">
      <c r="A2606" s="88"/>
      <c r="B2606" s="69"/>
      <c r="C2606" s="69"/>
      <c r="D2606" s="89"/>
      <c r="E2606" s="89"/>
      <c r="F2606" s="89"/>
      <c r="G2606" s="89"/>
      <c r="H2606" s="89"/>
      <c r="I2606" s="89"/>
      <c r="J2606" s="89"/>
      <c r="K2606" s="114"/>
      <c r="M2606" s="62">
        <f t="shared" si="215"/>
        <v>5</v>
      </c>
    </row>
    <row r="2607" spans="1:13">
      <c r="A2607" s="88"/>
      <c r="B2607" s="90" t="s">
        <v>1199</v>
      </c>
      <c r="C2607" s="97"/>
      <c r="D2607" s="98"/>
      <c r="E2607" s="98"/>
      <c r="F2607" s="125"/>
      <c r="G2607" s="240" t="s">
        <v>243</v>
      </c>
      <c r="H2607" s="240" t="s">
        <v>4130</v>
      </c>
      <c r="I2607" s="240" t="s">
        <v>4202</v>
      </c>
      <c r="J2607" s="241" t="s">
        <v>4200</v>
      </c>
      <c r="K2607" s="375"/>
      <c r="M2607" s="62">
        <f t="shared" si="215"/>
        <v>5</v>
      </c>
    </row>
    <row r="2608" spans="1:13">
      <c r="A2608" s="88">
        <v>1</v>
      </c>
      <c r="B2608" s="69" t="s">
        <v>2786</v>
      </c>
      <c r="C2608" s="69"/>
      <c r="D2608" s="89"/>
      <c r="E2608" s="89"/>
      <c r="F2608" s="89"/>
      <c r="G2608" s="100">
        <f>J2605*0.2</f>
        <v>302709.27519643807</v>
      </c>
      <c r="H2608" s="100">
        <f>G2608*1.02</f>
        <v>308763.46070036682</v>
      </c>
      <c r="I2608" s="100">
        <f>H2608*1.02</f>
        <v>314938.72991437418</v>
      </c>
      <c r="J2608" s="100">
        <f>SUM(G2608:I2608)</f>
        <v>926411.46581117902</v>
      </c>
      <c r="K2608" s="114"/>
      <c r="M2608" s="62">
        <f t="shared" si="215"/>
        <v>5</v>
      </c>
    </row>
    <row r="2609" spans="1:13">
      <c r="A2609" s="92"/>
      <c r="B2609" s="93" t="s">
        <v>1933</v>
      </c>
      <c r="C2609" s="94"/>
      <c r="D2609" s="101"/>
      <c r="E2609" s="101"/>
      <c r="F2609" s="95"/>
      <c r="G2609" s="95">
        <f>SUM(G2608:G2608)</f>
        <v>302709.27519643807</v>
      </c>
      <c r="H2609" s="95">
        <f>SUM(H2608:H2608)</f>
        <v>308763.46070036682</v>
      </c>
      <c r="I2609" s="95">
        <f>SUM(I2608:I2608)</f>
        <v>314938.72991437418</v>
      </c>
      <c r="J2609" s="95">
        <f>SUM(J2608:J2608)</f>
        <v>926411.46581117902</v>
      </c>
      <c r="K2609" s="378"/>
      <c r="M2609" s="62">
        <f t="shared" si="215"/>
        <v>5</v>
      </c>
    </row>
    <row r="2610" spans="1:13">
      <c r="A2610" s="88"/>
      <c r="B2610" s="69"/>
      <c r="C2610" s="69"/>
      <c r="D2610" s="89"/>
      <c r="E2610" s="89"/>
      <c r="F2610" s="89"/>
      <c r="G2610" s="89"/>
      <c r="H2610" s="89"/>
      <c r="I2610" s="89"/>
      <c r="J2610" s="89"/>
      <c r="K2610" s="114"/>
      <c r="M2610" s="62">
        <f t="shared" si="215"/>
        <v>5</v>
      </c>
    </row>
    <row r="2611" spans="1:13">
      <c r="A2611" s="88"/>
      <c r="B2611" s="69"/>
      <c r="C2611" s="69"/>
      <c r="D2611" s="89"/>
      <c r="E2611" s="89"/>
      <c r="F2611" s="89"/>
      <c r="G2611" s="89"/>
      <c r="H2611" s="89"/>
      <c r="I2611" s="89"/>
      <c r="J2611" s="89"/>
      <c r="K2611" s="114"/>
      <c r="M2611" s="62">
        <f t="shared" si="215"/>
        <v>5</v>
      </c>
    </row>
    <row r="2612" spans="1:13">
      <c r="A2612" s="88">
        <f>+A2611+1</f>
        <v>1</v>
      </c>
      <c r="B2612" s="69" t="s">
        <v>1934</v>
      </c>
      <c r="C2612" s="69"/>
      <c r="D2612" s="89"/>
      <c r="E2612" s="89"/>
      <c r="F2612" s="89"/>
      <c r="G2612" s="100">
        <f>G2609+J2605</f>
        <v>1816255.6511786282</v>
      </c>
      <c r="H2612" s="100">
        <f>G2612*1.02</f>
        <v>1852580.7642022008</v>
      </c>
      <c r="I2612" s="100">
        <f>H2612*1.02</f>
        <v>1889632.3794862449</v>
      </c>
      <c r="J2612" s="100">
        <f>SUM(G2612:I2612)</f>
        <v>5558468.7948670741</v>
      </c>
      <c r="K2612" s="114"/>
      <c r="L2612" s="112"/>
      <c r="M2612" s="62">
        <f t="shared" si="215"/>
        <v>5</v>
      </c>
    </row>
    <row r="2613" spans="1:13">
      <c r="A2613" s="88">
        <f>+A2612+1</f>
        <v>2</v>
      </c>
      <c r="B2613" s="69" t="s">
        <v>129</v>
      </c>
      <c r="C2613" s="69"/>
      <c r="D2613" s="89"/>
      <c r="E2613" s="89"/>
      <c r="F2613" s="89"/>
      <c r="G2613" s="89">
        <f>C2643</f>
        <v>7000000</v>
      </c>
      <c r="H2613" s="89">
        <f>D2643</f>
        <v>13200000</v>
      </c>
      <c r="I2613" s="89">
        <f>E2643</f>
        <v>13500000</v>
      </c>
      <c r="J2613" s="100">
        <f>SUM(G2613:I2613)</f>
        <v>33700000</v>
      </c>
      <c r="K2613" s="114"/>
      <c r="M2613" s="62">
        <f t="shared" si="215"/>
        <v>5</v>
      </c>
    </row>
    <row r="2614" spans="1:13">
      <c r="A2614" s="88"/>
      <c r="B2614" s="69"/>
      <c r="C2614" s="69"/>
      <c r="D2614" s="89"/>
      <c r="E2614" s="89"/>
      <c r="F2614" s="89"/>
      <c r="G2614" s="89"/>
      <c r="H2614" s="89"/>
      <c r="I2614" s="89"/>
      <c r="J2614" s="89"/>
      <c r="K2614" s="114"/>
      <c r="M2614" s="62">
        <f t="shared" si="215"/>
        <v>5</v>
      </c>
    </row>
    <row r="2615" spans="1:13" ht="13.5" thickBot="1">
      <c r="A2615" s="92"/>
      <c r="B2615" s="103" t="s">
        <v>2241</v>
      </c>
      <c r="C2615" s="104"/>
      <c r="D2615" s="105"/>
      <c r="E2615" s="105"/>
      <c r="F2615" s="106"/>
      <c r="G2615" s="106">
        <f>+G2613+G2612</f>
        <v>8816255.6511786282</v>
      </c>
      <c r="H2615" s="106">
        <f>+H2613+H2612</f>
        <v>15052580.7642022</v>
      </c>
      <c r="I2615" s="106">
        <f>+I2613+I2612</f>
        <v>15389632.379486244</v>
      </c>
      <c r="J2615" s="106">
        <f>+J2613+J2612</f>
        <v>39258468.794867076</v>
      </c>
      <c r="K2615" s="378"/>
      <c r="M2615" s="62">
        <f t="shared" si="215"/>
        <v>5</v>
      </c>
    </row>
    <row r="2616" spans="1:13" ht="15.75" thickTop="1">
      <c r="C2616" s="77"/>
      <c r="D2616" s="78" t="s">
        <v>5434</v>
      </c>
      <c r="J2616" s="584"/>
      <c r="K2616" s="584"/>
      <c r="M2616" s="62">
        <f t="shared" si="215"/>
        <v>5</v>
      </c>
    </row>
    <row r="2617" spans="1:13" ht="15">
      <c r="C2617" s="77"/>
      <c r="D2617" s="78" t="s">
        <v>716</v>
      </c>
      <c r="J2617" s="584"/>
      <c r="K2617" s="584"/>
      <c r="M2617" s="62">
        <f t="shared" si="215"/>
        <v>5</v>
      </c>
    </row>
    <row r="2618" spans="1:13" ht="15">
      <c r="C2618" s="79" t="s">
        <v>717</v>
      </c>
      <c r="D2618" s="78" t="s">
        <v>739</v>
      </c>
      <c r="J2618" s="584"/>
      <c r="K2618" s="584"/>
      <c r="M2618" s="62">
        <f t="shared" si="215"/>
        <v>3</v>
      </c>
    </row>
    <row r="2619" spans="1:13" ht="15">
      <c r="C2619" s="79" t="s">
        <v>718</v>
      </c>
      <c r="D2619" s="78" t="s">
        <v>611</v>
      </c>
      <c r="J2619" s="584"/>
      <c r="K2619" s="584"/>
      <c r="M2619" s="62">
        <f t="shared" si="215"/>
        <v>3</v>
      </c>
    </row>
    <row r="2620" spans="1:13" ht="15">
      <c r="A2620" s="634" t="s">
        <v>1839</v>
      </c>
      <c r="B2620" s="635" t="s">
        <v>903</v>
      </c>
      <c r="C2620" s="1037" t="s">
        <v>4127</v>
      </c>
      <c r="D2620" s="1038"/>
      <c r="E2620" s="1039"/>
      <c r="F2620" s="635" t="s">
        <v>1684</v>
      </c>
      <c r="G2620" s="1037" t="s">
        <v>4132</v>
      </c>
      <c r="H2620" s="1038"/>
      <c r="I2620" s="1039"/>
      <c r="J2620" s="726"/>
      <c r="K2620" s="727"/>
    </row>
    <row r="2621" spans="1:13">
      <c r="A2621" s="636" t="s">
        <v>1620</v>
      </c>
      <c r="B2621" s="637"/>
      <c r="C2621" s="635" t="s">
        <v>1841</v>
      </c>
      <c r="D2621" s="635" t="s">
        <v>4133</v>
      </c>
      <c r="E2621" s="635" t="s">
        <v>4133</v>
      </c>
      <c r="F2621" s="1056" t="s">
        <v>4200</v>
      </c>
      <c r="G2621" s="634" t="s">
        <v>4135</v>
      </c>
      <c r="H2621" s="1051" t="s">
        <v>4182</v>
      </c>
      <c r="I2621" s="634" t="s">
        <v>4135</v>
      </c>
      <c r="J2621" s="728" t="s">
        <v>4136</v>
      </c>
      <c r="K2621" s="727"/>
    </row>
    <row r="2622" spans="1:13" ht="12.75" customHeight="1">
      <c r="A2622" s="638" t="s">
        <v>387</v>
      </c>
      <c r="B2622" s="639"/>
      <c r="C2622" s="638">
        <v>2015</v>
      </c>
      <c r="D2622" s="638">
        <v>2016</v>
      </c>
      <c r="E2622" s="638">
        <v>2017</v>
      </c>
      <c r="F2622" s="1057"/>
      <c r="G2622" s="638" t="s">
        <v>4304</v>
      </c>
      <c r="H2622" s="1052"/>
      <c r="I2622" s="638" t="s">
        <v>4303</v>
      </c>
      <c r="J2622" s="639"/>
      <c r="K2622" s="729"/>
    </row>
    <row r="2623" spans="1:13">
      <c r="A2623" s="768"/>
      <c r="B2623" s="768"/>
      <c r="C2623" s="390"/>
      <c r="D2623" s="390"/>
      <c r="E2623" s="390"/>
      <c r="F2623" s="390"/>
      <c r="G2623" s="390"/>
      <c r="H2623" s="390"/>
      <c r="I2623" s="390"/>
      <c r="J2623" s="390"/>
      <c r="K2623" s="734"/>
      <c r="M2623" s="62" t="e">
        <f>IF(#REF!&gt;6,3,5)</f>
        <v>#REF!</v>
      </c>
    </row>
    <row r="2624" spans="1:13">
      <c r="A2624" s="768">
        <v>2</v>
      </c>
      <c r="B2624" s="768" t="s">
        <v>1695</v>
      </c>
      <c r="C2624" s="390">
        <v>1500000</v>
      </c>
      <c r="D2624" s="390">
        <v>3000000</v>
      </c>
      <c r="E2624" s="390">
        <v>3000000</v>
      </c>
      <c r="F2624" s="390">
        <f>SUM(C2624:E2624)</f>
        <v>7500000</v>
      </c>
      <c r="G2624" s="390">
        <v>788000</v>
      </c>
      <c r="H2624" s="390">
        <v>2000000</v>
      </c>
      <c r="I2624" s="390">
        <v>868000</v>
      </c>
      <c r="J2624" s="390"/>
      <c r="K2624" s="734"/>
      <c r="M2624" s="62" t="e">
        <f>IF(#REF!&gt;6,3,5)</f>
        <v>#REF!</v>
      </c>
    </row>
    <row r="2625" spans="1:13">
      <c r="A2625" s="768">
        <f t="shared" ref="A2625:A2640" si="217">+A2624+1</f>
        <v>3</v>
      </c>
      <c r="B2625" s="768" t="s">
        <v>1696</v>
      </c>
      <c r="C2625" s="390" t="s">
        <v>3007</v>
      </c>
      <c r="D2625" s="390" t="s">
        <v>3007</v>
      </c>
      <c r="E2625" s="390" t="s">
        <v>3007</v>
      </c>
      <c r="F2625" s="390">
        <f t="shared" ref="F2625:F2640" si="218">SUM(C2625:E2625)</f>
        <v>0</v>
      </c>
      <c r="G2625" s="390"/>
      <c r="H2625" s="390" t="s">
        <v>3007</v>
      </c>
      <c r="I2625" s="390"/>
      <c r="J2625" s="390"/>
      <c r="K2625" s="734"/>
      <c r="M2625" s="62" t="e">
        <f>IF(#REF!&gt;6,3,5)</f>
        <v>#REF!</v>
      </c>
    </row>
    <row r="2626" spans="1:13">
      <c r="A2626" s="768">
        <f t="shared" si="217"/>
        <v>4</v>
      </c>
      <c r="B2626" s="768" t="s">
        <v>1701</v>
      </c>
      <c r="C2626" s="390" t="s">
        <v>3007</v>
      </c>
      <c r="D2626" s="390">
        <v>500000</v>
      </c>
      <c r="E2626" s="390">
        <v>500000</v>
      </c>
      <c r="F2626" s="390">
        <f t="shared" si="218"/>
        <v>1000000</v>
      </c>
      <c r="G2626" s="390"/>
      <c r="H2626" s="390" t="s">
        <v>3007</v>
      </c>
      <c r="I2626" s="390"/>
      <c r="J2626" s="390"/>
      <c r="K2626" s="734"/>
      <c r="M2626" s="62" t="e">
        <f>IF(#REF!&gt;6,3,5)</f>
        <v>#REF!</v>
      </c>
    </row>
    <row r="2627" spans="1:13">
      <c r="A2627" s="768">
        <f t="shared" si="217"/>
        <v>5</v>
      </c>
      <c r="B2627" s="768" t="s">
        <v>1702</v>
      </c>
      <c r="C2627" s="390">
        <v>500000</v>
      </c>
      <c r="D2627" s="390">
        <v>500000</v>
      </c>
      <c r="E2627" s="390">
        <v>500000</v>
      </c>
      <c r="F2627" s="390">
        <f t="shared" si="218"/>
        <v>1500000</v>
      </c>
      <c r="G2627" s="390"/>
      <c r="H2627" s="390">
        <v>500000</v>
      </c>
      <c r="I2627" s="390"/>
      <c r="J2627" s="390"/>
      <c r="K2627" s="734"/>
      <c r="M2627" s="62" t="e">
        <f>IF(#REF!&gt;6,3,5)</f>
        <v>#REF!</v>
      </c>
    </row>
    <row r="2628" spans="1:13">
      <c r="A2628" s="768">
        <f t="shared" si="217"/>
        <v>6</v>
      </c>
      <c r="B2628" s="768" t="s">
        <v>1544</v>
      </c>
      <c r="C2628" s="390">
        <v>500000</v>
      </c>
      <c r="D2628" s="390">
        <v>500000</v>
      </c>
      <c r="E2628" s="390">
        <v>500000</v>
      </c>
      <c r="F2628" s="390">
        <f t="shared" si="218"/>
        <v>1500000</v>
      </c>
      <c r="G2628" s="390">
        <v>20000</v>
      </c>
      <c r="H2628" s="390">
        <v>500000</v>
      </c>
      <c r="I2628" s="390">
        <v>0</v>
      </c>
      <c r="J2628" s="390"/>
      <c r="K2628" s="734"/>
      <c r="M2628" s="62" t="e">
        <f>IF(#REF!&gt;6,3,5)</f>
        <v>#REF!</v>
      </c>
    </row>
    <row r="2629" spans="1:13">
      <c r="A2629" s="768">
        <f t="shared" si="217"/>
        <v>7</v>
      </c>
      <c r="B2629" s="768" t="s">
        <v>897</v>
      </c>
      <c r="C2629" s="390">
        <v>500000</v>
      </c>
      <c r="D2629" s="390">
        <v>500000</v>
      </c>
      <c r="E2629" s="390">
        <v>500000</v>
      </c>
      <c r="F2629" s="390">
        <f t="shared" si="218"/>
        <v>1500000</v>
      </c>
      <c r="G2629" s="390"/>
      <c r="H2629" s="390">
        <v>500000</v>
      </c>
      <c r="I2629" s="390"/>
      <c r="J2629" s="390"/>
      <c r="K2629" s="734"/>
      <c r="M2629" s="62" t="e">
        <f>IF(#REF!&gt;6,3,5)</f>
        <v>#REF!</v>
      </c>
    </row>
    <row r="2630" spans="1:13">
      <c r="A2630" s="768">
        <f t="shared" si="217"/>
        <v>8</v>
      </c>
      <c r="B2630" s="768" t="s">
        <v>1385</v>
      </c>
      <c r="C2630" s="390" t="s">
        <v>3007</v>
      </c>
      <c r="D2630" s="390" t="s">
        <v>3007</v>
      </c>
      <c r="E2630" s="390" t="s">
        <v>3007</v>
      </c>
      <c r="F2630" s="390">
        <f t="shared" si="218"/>
        <v>0</v>
      </c>
      <c r="G2630" s="390"/>
      <c r="H2630" s="390" t="s">
        <v>3007</v>
      </c>
      <c r="I2630" s="390"/>
      <c r="J2630" s="390"/>
      <c r="K2630" s="734"/>
      <c r="M2630" s="62" t="e">
        <f>IF(#REF!&gt;6,3,5)</f>
        <v>#REF!</v>
      </c>
    </row>
    <row r="2631" spans="1:13">
      <c r="A2631" s="768">
        <f t="shared" si="217"/>
        <v>9</v>
      </c>
      <c r="B2631" s="62" t="s">
        <v>2061</v>
      </c>
      <c r="C2631" s="390" t="s">
        <v>3007</v>
      </c>
      <c r="D2631" s="390" t="s">
        <v>3007</v>
      </c>
      <c r="E2631" s="390" t="s">
        <v>3007</v>
      </c>
      <c r="F2631" s="390">
        <f t="shared" si="218"/>
        <v>0</v>
      </c>
      <c r="G2631" s="390"/>
      <c r="H2631" s="390" t="s">
        <v>3007</v>
      </c>
      <c r="I2631" s="390"/>
      <c r="J2631" s="390"/>
      <c r="K2631" s="734"/>
      <c r="M2631" s="62" t="e">
        <f>IF(#REF!&gt;6,3,5)</f>
        <v>#REF!</v>
      </c>
    </row>
    <row r="2632" spans="1:13">
      <c r="A2632" s="768">
        <f t="shared" si="217"/>
        <v>10</v>
      </c>
      <c r="B2632" s="768" t="s">
        <v>1680</v>
      </c>
      <c r="C2632" s="390">
        <v>200000</v>
      </c>
      <c r="D2632" s="390">
        <v>250000</v>
      </c>
      <c r="E2632" s="390">
        <v>250000</v>
      </c>
      <c r="F2632" s="390">
        <f t="shared" si="218"/>
        <v>700000</v>
      </c>
      <c r="G2632" s="390"/>
      <c r="H2632" s="390">
        <v>250000</v>
      </c>
      <c r="I2632" s="390"/>
      <c r="J2632" s="390"/>
      <c r="K2632" s="734"/>
      <c r="M2632" s="62" t="e">
        <f>IF(#REF!&gt;6,3,5)</f>
        <v>#REF!</v>
      </c>
    </row>
    <row r="2633" spans="1:13">
      <c r="A2633" s="768">
        <f t="shared" si="217"/>
        <v>11</v>
      </c>
      <c r="B2633" s="768" t="s">
        <v>1681</v>
      </c>
      <c r="C2633" s="390">
        <v>100000</v>
      </c>
      <c r="D2633" s="390">
        <v>100000</v>
      </c>
      <c r="E2633" s="390">
        <v>100000</v>
      </c>
      <c r="F2633" s="390">
        <f t="shared" si="218"/>
        <v>300000</v>
      </c>
      <c r="G2633" s="390">
        <v>93000</v>
      </c>
      <c r="H2633" s="390">
        <v>100000</v>
      </c>
      <c r="I2633" s="390">
        <v>100000</v>
      </c>
      <c r="J2633" s="390"/>
      <c r="K2633" s="734"/>
      <c r="M2633" s="62" t="e">
        <f>IF(#REF!&gt;6,3,5)</f>
        <v>#REF!</v>
      </c>
    </row>
    <row r="2634" spans="1:13">
      <c r="A2634" s="768">
        <f t="shared" si="217"/>
        <v>12</v>
      </c>
      <c r="B2634" s="768" t="s">
        <v>1682</v>
      </c>
      <c r="C2634" s="390">
        <v>2500000</v>
      </c>
      <c r="D2634" s="390">
        <v>2050000</v>
      </c>
      <c r="E2634" s="390">
        <v>2050000</v>
      </c>
      <c r="F2634" s="390">
        <f t="shared" si="218"/>
        <v>6600000</v>
      </c>
      <c r="G2634" s="390">
        <v>891000</v>
      </c>
      <c r="H2634" s="390">
        <v>2050000</v>
      </c>
      <c r="I2634" s="390">
        <v>281200</v>
      </c>
      <c r="J2634" s="390"/>
      <c r="K2634" s="734"/>
      <c r="M2634" s="62" t="e">
        <f>IF(#REF!&gt;6,3,5)</f>
        <v>#REF!</v>
      </c>
    </row>
    <row r="2635" spans="1:13">
      <c r="A2635" s="768">
        <f t="shared" si="217"/>
        <v>13</v>
      </c>
      <c r="B2635" s="768" t="s">
        <v>2249</v>
      </c>
      <c r="C2635" s="390">
        <v>100000</v>
      </c>
      <c r="D2635" s="390">
        <v>100000</v>
      </c>
      <c r="E2635" s="390">
        <v>100000</v>
      </c>
      <c r="F2635" s="390">
        <f t="shared" si="218"/>
        <v>300000</v>
      </c>
      <c r="G2635" s="390"/>
      <c r="H2635" s="390">
        <v>100000</v>
      </c>
      <c r="I2635" s="390"/>
      <c r="J2635" s="390"/>
      <c r="K2635" s="734"/>
      <c r="M2635" s="62" t="e">
        <f>IF(#REF!&gt;6,3,5)</f>
        <v>#REF!</v>
      </c>
    </row>
    <row r="2636" spans="1:13">
      <c r="A2636" s="768">
        <f t="shared" si="217"/>
        <v>14</v>
      </c>
      <c r="B2636" s="768" t="s">
        <v>1771</v>
      </c>
      <c r="C2636" s="390">
        <v>500000</v>
      </c>
      <c r="D2636" s="390">
        <v>500000</v>
      </c>
      <c r="E2636" s="390">
        <v>500000</v>
      </c>
      <c r="F2636" s="390">
        <f t="shared" si="218"/>
        <v>1500000</v>
      </c>
      <c r="G2636" s="390"/>
      <c r="H2636" s="390">
        <v>500000</v>
      </c>
      <c r="I2636" s="390"/>
      <c r="J2636" s="390"/>
      <c r="K2636" s="734"/>
      <c r="M2636" s="62" t="e">
        <f>IF(#REF!&gt;6,3,5)</f>
        <v>#REF!</v>
      </c>
    </row>
    <row r="2637" spans="1:13">
      <c r="A2637" s="768">
        <f t="shared" si="217"/>
        <v>15</v>
      </c>
      <c r="B2637" s="768" t="s">
        <v>1063</v>
      </c>
      <c r="C2637" s="390" t="s">
        <v>3007</v>
      </c>
      <c r="D2637" s="390">
        <v>4000000</v>
      </c>
      <c r="E2637" s="390">
        <v>4000000</v>
      </c>
      <c r="F2637" s="390">
        <f t="shared" si="218"/>
        <v>8000000</v>
      </c>
      <c r="G2637" s="390"/>
      <c r="H2637" s="390">
        <v>4000000</v>
      </c>
      <c r="I2637" s="390"/>
      <c r="J2637" s="390"/>
      <c r="K2637" s="734"/>
      <c r="M2637" s="62" t="e">
        <f>IF(#REF!&gt;6,3,5)</f>
        <v>#REF!</v>
      </c>
    </row>
    <row r="2638" spans="1:13">
      <c r="A2638" s="768">
        <f t="shared" si="217"/>
        <v>16</v>
      </c>
      <c r="B2638" s="768" t="s">
        <v>1202</v>
      </c>
      <c r="C2638" s="390" t="s">
        <v>3007</v>
      </c>
      <c r="D2638" s="390" t="s">
        <v>3007</v>
      </c>
      <c r="E2638" s="390" t="s">
        <v>3007</v>
      </c>
      <c r="F2638" s="390">
        <f t="shared" si="218"/>
        <v>0</v>
      </c>
      <c r="G2638" s="390"/>
      <c r="H2638" s="390" t="s">
        <v>3007</v>
      </c>
      <c r="I2638" s="390"/>
      <c r="J2638" s="390"/>
      <c r="K2638" s="734"/>
      <c r="M2638" s="62" t="e">
        <f>IF(#REF!&gt;6,3,5)</f>
        <v>#REF!</v>
      </c>
    </row>
    <row r="2639" spans="1:13">
      <c r="A2639" s="768">
        <f t="shared" si="217"/>
        <v>17</v>
      </c>
      <c r="B2639" s="768" t="s">
        <v>4141</v>
      </c>
      <c r="C2639" s="390">
        <v>600000</v>
      </c>
      <c r="D2639" s="390">
        <v>1200000</v>
      </c>
      <c r="E2639" s="390">
        <v>1500000</v>
      </c>
      <c r="F2639" s="390">
        <f t="shared" si="218"/>
        <v>3300000</v>
      </c>
      <c r="G2639" s="390"/>
      <c r="H2639" s="390">
        <v>1000000</v>
      </c>
      <c r="I2639" s="390"/>
      <c r="J2639" s="390"/>
      <c r="K2639" s="734"/>
      <c r="M2639" s="62" t="e">
        <f>IF(#REF!&gt;6,3,5)</f>
        <v>#REF!</v>
      </c>
    </row>
    <row r="2640" spans="1:13">
      <c r="A2640" s="768">
        <f t="shared" si="217"/>
        <v>18</v>
      </c>
      <c r="B2640" s="768" t="s">
        <v>1772</v>
      </c>
      <c r="C2640" s="390" t="s">
        <v>3007</v>
      </c>
      <c r="D2640" s="390" t="s">
        <v>3007</v>
      </c>
      <c r="E2640" s="390" t="s">
        <v>3007</v>
      </c>
      <c r="F2640" s="390">
        <f t="shared" si="218"/>
        <v>0</v>
      </c>
      <c r="G2640" s="390"/>
      <c r="H2640" s="390" t="s">
        <v>3007</v>
      </c>
      <c r="I2640" s="390"/>
      <c r="J2640" s="390"/>
      <c r="K2640" s="734"/>
      <c r="M2640" s="62" t="e">
        <f>IF(#REF!&gt;6,3,5)</f>
        <v>#REF!</v>
      </c>
    </row>
    <row r="2641" spans="1:13">
      <c r="A2641" s="768"/>
      <c r="B2641" s="768"/>
      <c r="C2641" s="390"/>
      <c r="D2641" s="390"/>
      <c r="E2641" s="390"/>
      <c r="F2641" s="390"/>
      <c r="G2641" s="390"/>
      <c r="H2641" s="390"/>
      <c r="I2641" s="390"/>
      <c r="J2641" s="390"/>
      <c r="K2641" s="734"/>
      <c r="M2641" s="62" t="e">
        <f>IF(#REF!&gt;6,3,5)</f>
        <v>#REF!</v>
      </c>
    </row>
    <row r="2642" spans="1:13">
      <c r="A2642" s="768"/>
      <c r="B2642" s="768"/>
      <c r="C2642" s="390"/>
      <c r="D2642" s="390"/>
      <c r="E2642" s="390"/>
      <c r="F2642" s="390"/>
      <c r="G2642" s="390"/>
      <c r="H2642" s="390"/>
      <c r="I2642" s="390"/>
      <c r="J2642" s="390"/>
      <c r="K2642" s="734"/>
      <c r="M2642" s="62" t="e">
        <f>IF(#REF!&gt;6,3,5)</f>
        <v>#REF!</v>
      </c>
    </row>
    <row r="2643" spans="1:13">
      <c r="A2643" s="777"/>
      <c r="B2643" s="777" t="s">
        <v>1684</v>
      </c>
      <c r="C2643" s="785">
        <f t="shared" ref="C2643:H2643" si="219">SUM(C2623:C2642)</f>
        <v>7000000</v>
      </c>
      <c r="D2643" s="785">
        <f t="shared" si="219"/>
        <v>13200000</v>
      </c>
      <c r="E2643" s="785">
        <f t="shared" si="219"/>
        <v>13500000</v>
      </c>
      <c r="F2643" s="785">
        <f t="shared" si="219"/>
        <v>33700000</v>
      </c>
      <c r="G2643" s="785"/>
      <c r="H2643" s="785">
        <f t="shared" si="219"/>
        <v>11500000</v>
      </c>
      <c r="I2643" s="785"/>
      <c r="J2643" s="785"/>
      <c r="K2643" s="787"/>
      <c r="M2643" s="62" t="e">
        <f>IF(#REF!&gt;6,3,5)</f>
        <v>#REF!</v>
      </c>
    </row>
    <row r="2644" spans="1:13" ht="15">
      <c r="J2644" s="584"/>
      <c r="K2644" s="584"/>
      <c r="M2644" s="62">
        <f t="shared" si="215"/>
        <v>5</v>
      </c>
    </row>
    <row r="2645" spans="1:13" ht="15">
      <c r="C2645" s="77"/>
      <c r="D2645" s="78" t="s">
        <v>5434</v>
      </c>
      <c r="J2645" s="584"/>
      <c r="K2645" s="584"/>
      <c r="M2645" s="62">
        <f t="shared" si="215"/>
        <v>5</v>
      </c>
    </row>
    <row r="2646" spans="1:13" ht="15">
      <c r="C2646" s="77"/>
      <c r="D2646" s="78" t="s">
        <v>1693</v>
      </c>
      <c r="J2646" s="584"/>
      <c r="K2646" s="584"/>
      <c r="M2646" s="62">
        <f t="shared" si="215"/>
        <v>5</v>
      </c>
    </row>
    <row r="2647" spans="1:13" ht="15">
      <c r="C2647" s="79" t="s">
        <v>717</v>
      </c>
      <c r="D2647" s="78" t="s">
        <v>1773</v>
      </c>
      <c r="J2647" s="584"/>
      <c r="K2647" s="584"/>
      <c r="M2647" s="62">
        <f t="shared" si="215"/>
        <v>3</v>
      </c>
    </row>
    <row r="2648" spans="1:13" ht="15.75" thickBot="1">
      <c r="C2648" s="79" t="s">
        <v>718</v>
      </c>
      <c r="D2648" s="78" t="s">
        <v>1623</v>
      </c>
      <c r="J2648" s="584"/>
      <c r="K2648" s="584"/>
      <c r="M2648" s="62">
        <f t="shared" si="215"/>
        <v>3</v>
      </c>
    </row>
    <row r="2649" spans="1:13" ht="15.75" thickTop="1">
      <c r="A2649" s="1047" t="s">
        <v>2791</v>
      </c>
      <c r="B2649" s="1049" t="s">
        <v>4126</v>
      </c>
      <c r="C2649" s="1049" t="s">
        <v>854</v>
      </c>
      <c r="D2649" s="1040" t="s">
        <v>4127</v>
      </c>
      <c r="E2649" s="1041"/>
      <c r="F2649" s="1041"/>
      <c r="G2649" s="1040" t="s">
        <v>904</v>
      </c>
      <c r="H2649" s="1041"/>
      <c r="I2649" s="1042"/>
      <c r="J2649" s="1035" t="s">
        <v>855</v>
      </c>
      <c r="K2649" s="389"/>
    </row>
    <row r="2650" spans="1:13" ht="26.25" thickBot="1">
      <c r="A2650" s="1048"/>
      <c r="B2650" s="1050"/>
      <c r="C2650" s="1050"/>
      <c r="D2650" s="285" t="s">
        <v>5505</v>
      </c>
      <c r="E2650" s="285" t="s">
        <v>4485</v>
      </c>
      <c r="F2650" s="285" t="s">
        <v>4486</v>
      </c>
      <c r="G2650" s="287" t="s">
        <v>4487</v>
      </c>
      <c r="H2650" s="285" t="s">
        <v>4488</v>
      </c>
      <c r="I2650" s="287" t="s">
        <v>4489</v>
      </c>
      <c r="J2650" s="1036"/>
      <c r="K2650" s="712"/>
    </row>
    <row r="2651" spans="1:13" ht="13.5" thickTop="1">
      <c r="A2651" s="88"/>
      <c r="B2651" s="90" t="s">
        <v>2051</v>
      </c>
      <c r="C2651" s="69"/>
      <c r="D2651" s="89"/>
      <c r="E2651" s="89"/>
      <c r="F2651" s="89"/>
      <c r="G2651" s="89"/>
      <c r="H2651" s="89"/>
      <c r="I2651" s="89"/>
      <c r="J2651" s="713"/>
      <c r="K2651" s="711"/>
      <c r="M2651" s="62">
        <f t="shared" si="215"/>
        <v>5</v>
      </c>
    </row>
    <row r="2652" spans="1:13">
      <c r="A2652" s="88">
        <v>1</v>
      </c>
      <c r="B2652" s="69" t="s">
        <v>3845</v>
      </c>
      <c r="C2652" s="69">
        <v>7</v>
      </c>
      <c r="D2652" s="89">
        <v>1</v>
      </c>
      <c r="E2652" s="89">
        <v>1</v>
      </c>
      <c r="F2652" s="89">
        <v>0</v>
      </c>
      <c r="G2652" s="89">
        <v>0</v>
      </c>
      <c r="H2652" s="89">
        <v>1</v>
      </c>
      <c r="I2652" s="89">
        <v>1</v>
      </c>
      <c r="J2652" s="710">
        <f>(VLOOKUP($C2652,[2]Sheet1!$A$2:$P$18,$M2652+1)/12)*12*D2652</f>
        <v>307706.70240000007</v>
      </c>
      <c r="K2652" s="711"/>
      <c r="M2652" s="62">
        <f t="shared" si="215"/>
        <v>3</v>
      </c>
    </row>
    <row r="2653" spans="1:13">
      <c r="A2653" s="88">
        <f t="shared" ref="A2653:A2678" si="220">+A2652+1</f>
        <v>2</v>
      </c>
      <c r="B2653" s="69" t="s">
        <v>3846</v>
      </c>
      <c r="C2653" s="69">
        <v>6</v>
      </c>
      <c r="D2653" s="89">
        <v>2</v>
      </c>
      <c r="E2653" s="89">
        <v>2</v>
      </c>
      <c r="F2653" s="89">
        <v>1</v>
      </c>
      <c r="G2653" s="89">
        <v>1</v>
      </c>
      <c r="H2653" s="89">
        <v>2</v>
      </c>
      <c r="I2653" s="89">
        <v>2</v>
      </c>
      <c r="J2653" s="710">
        <f>(VLOOKUP($C2653,[2]Sheet1!$A$2:$P$18,$M2653+1)/12)*12*D2653</f>
        <v>476198.75786072994</v>
      </c>
      <c r="K2653" s="711"/>
      <c r="M2653" s="62">
        <f t="shared" si="215"/>
        <v>5</v>
      </c>
    </row>
    <row r="2654" spans="1:13">
      <c r="A2654" s="88">
        <f t="shared" si="220"/>
        <v>3</v>
      </c>
      <c r="B2654" s="69" t="s">
        <v>3847</v>
      </c>
      <c r="C2654" s="69">
        <v>5</v>
      </c>
      <c r="D2654" s="89">
        <v>1</v>
      </c>
      <c r="E2654" s="89">
        <v>1</v>
      </c>
      <c r="F2654" s="89">
        <v>0</v>
      </c>
      <c r="G2654" s="89">
        <v>0</v>
      </c>
      <c r="H2654" s="89">
        <v>1</v>
      </c>
      <c r="I2654" s="89">
        <v>1</v>
      </c>
      <c r="J2654" s="710">
        <f>(VLOOKUP($C2654,[2]Sheet1!$A$2:$P$18,$M2654+1)/12)*12*D2654</f>
        <v>229569.77893036499</v>
      </c>
      <c r="K2654" s="711"/>
      <c r="M2654" s="62">
        <f t="shared" ref="M2654:M2719" si="221">IF(C2654&gt;6,3,5)</f>
        <v>5</v>
      </c>
    </row>
    <row r="2655" spans="1:13">
      <c r="A2655" s="88">
        <f t="shared" si="220"/>
        <v>4</v>
      </c>
      <c r="B2655" s="69" t="s">
        <v>2336</v>
      </c>
      <c r="C2655" s="69">
        <v>4</v>
      </c>
      <c r="D2655" s="89">
        <v>2</v>
      </c>
      <c r="E2655" s="89">
        <v>2</v>
      </c>
      <c r="F2655" s="89">
        <v>1</v>
      </c>
      <c r="G2655" s="89">
        <v>1</v>
      </c>
      <c r="H2655" s="89">
        <v>2</v>
      </c>
      <c r="I2655" s="89">
        <v>2</v>
      </c>
      <c r="J2655" s="710">
        <f>(VLOOKUP($C2655,[2]Sheet1!$A$2:$P$18,$M2655+1)/12)*12*D2655</f>
        <v>449085.95786073001</v>
      </c>
      <c r="K2655" s="711"/>
      <c r="M2655" s="62">
        <f t="shared" si="221"/>
        <v>5</v>
      </c>
    </row>
    <row r="2656" spans="1:13">
      <c r="A2656" s="88">
        <f t="shared" si="220"/>
        <v>5</v>
      </c>
      <c r="B2656" s="69" t="s">
        <v>1069</v>
      </c>
      <c r="C2656" s="69">
        <v>3</v>
      </c>
      <c r="D2656" s="89">
        <v>3</v>
      </c>
      <c r="E2656" s="89">
        <v>4</v>
      </c>
      <c r="F2656" s="89">
        <v>4</v>
      </c>
      <c r="G2656" s="89">
        <v>4</v>
      </c>
      <c r="H2656" s="89">
        <v>4</v>
      </c>
      <c r="I2656" s="89">
        <v>3</v>
      </c>
      <c r="J2656" s="710">
        <f>(VLOOKUP($C2656,[2]Sheet1!$A$2:$P$18,$M2656+1)/12)*12*D2656</f>
        <v>658008.53679109493</v>
      </c>
      <c r="K2656" s="711"/>
      <c r="M2656" s="62">
        <f t="shared" si="221"/>
        <v>5</v>
      </c>
    </row>
    <row r="2657" spans="1:13">
      <c r="A2657" s="88">
        <f t="shared" si="220"/>
        <v>6</v>
      </c>
      <c r="B2657" s="69" t="s">
        <v>2207</v>
      </c>
      <c r="C2657" s="69">
        <v>9</v>
      </c>
      <c r="D2657" s="89">
        <v>1</v>
      </c>
      <c r="E2657" s="89">
        <v>1</v>
      </c>
      <c r="F2657" s="89">
        <v>0</v>
      </c>
      <c r="G2657" s="89">
        <v>0</v>
      </c>
      <c r="H2657" s="89">
        <v>1</v>
      </c>
      <c r="I2657" s="89">
        <v>1</v>
      </c>
      <c r="J2657" s="710">
        <f>(VLOOKUP($C2657,[2]Sheet1!$A$2:$P$18,$M2657+1)/12)*12*D2657</f>
        <v>409681.90619999997</v>
      </c>
      <c r="K2657" s="711"/>
      <c r="M2657" s="62">
        <f t="shared" si="221"/>
        <v>3</v>
      </c>
    </row>
    <row r="2658" spans="1:13">
      <c r="A2658" s="88">
        <f t="shared" si="220"/>
        <v>7</v>
      </c>
      <c r="B2658" s="69" t="s">
        <v>2208</v>
      </c>
      <c r="C2658" s="69">
        <v>8</v>
      </c>
      <c r="D2658" s="89">
        <v>3</v>
      </c>
      <c r="E2658" s="89">
        <v>3</v>
      </c>
      <c r="F2658" s="89">
        <v>3</v>
      </c>
      <c r="G2658" s="89">
        <v>3</v>
      </c>
      <c r="H2658" s="89">
        <v>3</v>
      </c>
      <c r="I2658" s="89">
        <v>3</v>
      </c>
      <c r="J2658" s="710">
        <f>(VLOOKUP($C2658,[2]Sheet1!$A$2:$P$18,$M2658+1)/12)*12*D2658</f>
        <v>1026423.82224</v>
      </c>
      <c r="K2658" s="711"/>
      <c r="M2658" s="62">
        <f t="shared" si="221"/>
        <v>3</v>
      </c>
    </row>
    <row r="2659" spans="1:13">
      <c r="A2659" s="88">
        <f t="shared" si="220"/>
        <v>8</v>
      </c>
      <c r="B2659" s="69" t="s">
        <v>4066</v>
      </c>
      <c r="C2659" s="69">
        <v>7</v>
      </c>
      <c r="D2659" s="89">
        <v>12</v>
      </c>
      <c r="E2659" s="89">
        <v>1</v>
      </c>
      <c r="F2659" s="89">
        <v>1</v>
      </c>
      <c r="G2659" s="89">
        <v>1</v>
      </c>
      <c r="H2659" s="89">
        <v>1</v>
      </c>
      <c r="I2659" s="89">
        <v>12</v>
      </c>
      <c r="J2659" s="710">
        <f>(VLOOKUP($C2659,[2]Sheet1!$A$2:$P$18,$M2659+1)/12)*12*D2659</f>
        <v>3692480.4288000008</v>
      </c>
      <c r="K2659" s="711"/>
      <c r="M2659" s="62">
        <f t="shared" si="221"/>
        <v>3</v>
      </c>
    </row>
    <row r="2660" spans="1:13">
      <c r="A2660" s="88">
        <f t="shared" si="220"/>
        <v>9</v>
      </c>
      <c r="B2660" s="69" t="s">
        <v>3764</v>
      </c>
      <c r="C2660" s="69">
        <v>6</v>
      </c>
      <c r="D2660" s="89">
        <v>1</v>
      </c>
      <c r="E2660" s="89">
        <v>1</v>
      </c>
      <c r="F2660" s="89">
        <v>0</v>
      </c>
      <c r="G2660" s="89">
        <v>0</v>
      </c>
      <c r="H2660" s="89">
        <v>1</v>
      </c>
      <c r="I2660" s="89">
        <v>1</v>
      </c>
      <c r="J2660" s="710">
        <f>(VLOOKUP($C2660,[2]Sheet1!$A$2:$P$18,$M2660+1)/12)*12*D2660</f>
        <v>238099.37893036497</v>
      </c>
      <c r="K2660" s="711"/>
      <c r="M2660" s="62">
        <f t="shared" si="221"/>
        <v>5</v>
      </c>
    </row>
    <row r="2661" spans="1:13">
      <c r="A2661" s="88">
        <f t="shared" si="220"/>
        <v>10</v>
      </c>
      <c r="B2661" s="69" t="s">
        <v>3765</v>
      </c>
      <c r="C2661" s="69">
        <v>5</v>
      </c>
      <c r="D2661" s="89">
        <v>0</v>
      </c>
      <c r="E2661" s="89">
        <v>0</v>
      </c>
      <c r="F2661" s="89">
        <v>0</v>
      </c>
      <c r="G2661" s="89">
        <v>0</v>
      </c>
      <c r="H2661" s="89">
        <v>0</v>
      </c>
      <c r="I2661" s="89">
        <v>0</v>
      </c>
      <c r="J2661" s="710">
        <f>(VLOOKUP($C2661,[2]Sheet1!$A$2:$P$18,$M2661+1)/12)*12*D2661</f>
        <v>0</v>
      </c>
      <c r="K2661" s="711"/>
      <c r="M2661" s="62">
        <f t="shared" si="221"/>
        <v>5</v>
      </c>
    </row>
    <row r="2662" spans="1:13">
      <c r="A2662" s="88">
        <f t="shared" si="220"/>
        <v>11</v>
      </c>
      <c r="B2662" s="69" t="s">
        <v>2572</v>
      </c>
      <c r="C2662" s="69">
        <v>7</v>
      </c>
      <c r="D2662" s="89">
        <v>1</v>
      </c>
      <c r="E2662" s="89">
        <v>0</v>
      </c>
      <c r="F2662" s="89">
        <v>0</v>
      </c>
      <c r="G2662" s="89">
        <v>0</v>
      </c>
      <c r="H2662" s="89">
        <v>0</v>
      </c>
      <c r="I2662" s="89">
        <v>1</v>
      </c>
      <c r="J2662" s="710">
        <f>(VLOOKUP($C2662,[2]Sheet1!$A$2:$P$18,$M2662+1)/12)*12*D2662</f>
        <v>307706.70240000007</v>
      </c>
      <c r="K2662" s="711"/>
      <c r="M2662" s="62">
        <f t="shared" si="221"/>
        <v>3</v>
      </c>
    </row>
    <row r="2663" spans="1:13">
      <c r="A2663" s="88">
        <f t="shared" si="220"/>
        <v>12</v>
      </c>
      <c r="B2663" s="69" t="s">
        <v>1749</v>
      </c>
      <c r="C2663" s="69">
        <v>6</v>
      </c>
      <c r="D2663" s="89">
        <v>1</v>
      </c>
      <c r="E2663" s="89">
        <v>2</v>
      </c>
      <c r="F2663" s="89">
        <v>1</v>
      </c>
      <c r="G2663" s="89">
        <v>1</v>
      </c>
      <c r="H2663" s="89">
        <v>2</v>
      </c>
      <c r="I2663" s="89">
        <v>1</v>
      </c>
      <c r="J2663" s="710">
        <f>(VLOOKUP($C2663,[2]Sheet1!$A$2:$P$18,$M2663+1)/12)*12*D2663</f>
        <v>238099.37893036497</v>
      </c>
      <c r="K2663" s="711"/>
      <c r="M2663" s="62">
        <f t="shared" si="221"/>
        <v>5</v>
      </c>
    </row>
    <row r="2664" spans="1:13">
      <c r="A2664" s="88">
        <f t="shared" si="220"/>
        <v>13</v>
      </c>
      <c r="B2664" s="69" t="s">
        <v>3796</v>
      </c>
      <c r="C2664" s="69">
        <v>5</v>
      </c>
      <c r="D2664" s="89">
        <v>0</v>
      </c>
      <c r="E2664" s="89">
        <v>0</v>
      </c>
      <c r="F2664" s="89">
        <v>0</v>
      </c>
      <c r="G2664" s="89">
        <v>0</v>
      </c>
      <c r="H2664" s="89">
        <v>0</v>
      </c>
      <c r="I2664" s="89">
        <v>0</v>
      </c>
      <c r="J2664" s="710">
        <f>(VLOOKUP($C2664,[2]Sheet1!$A$2:$P$18,$M2664+1)/12)*12*D2664</f>
        <v>0</v>
      </c>
      <c r="K2664" s="711"/>
      <c r="M2664" s="62">
        <f t="shared" si="221"/>
        <v>5</v>
      </c>
    </row>
    <row r="2665" spans="1:13">
      <c r="A2665" s="88">
        <f t="shared" si="220"/>
        <v>14</v>
      </c>
      <c r="B2665" s="69" t="s">
        <v>3797</v>
      </c>
      <c r="C2665" s="69">
        <v>4</v>
      </c>
      <c r="D2665" s="89">
        <v>0</v>
      </c>
      <c r="E2665" s="89">
        <v>0</v>
      </c>
      <c r="F2665" s="89">
        <v>0</v>
      </c>
      <c r="G2665" s="89">
        <v>0</v>
      </c>
      <c r="H2665" s="89">
        <v>0</v>
      </c>
      <c r="I2665" s="89">
        <v>0</v>
      </c>
      <c r="J2665" s="710">
        <f>(VLOOKUP($C2665,[2]Sheet1!$A$2:$P$18,$M2665+1)/12)*12*D2665</f>
        <v>0</v>
      </c>
      <c r="K2665" s="711"/>
      <c r="M2665" s="62">
        <f t="shared" si="221"/>
        <v>5</v>
      </c>
    </row>
    <row r="2666" spans="1:13">
      <c r="A2666" s="88">
        <f t="shared" si="220"/>
        <v>15</v>
      </c>
      <c r="B2666" s="69" t="s">
        <v>2556</v>
      </c>
      <c r="C2666" s="69">
        <v>3</v>
      </c>
      <c r="D2666" s="89">
        <v>0</v>
      </c>
      <c r="E2666" s="89">
        <v>0</v>
      </c>
      <c r="F2666" s="89">
        <v>0</v>
      </c>
      <c r="G2666" s="89">
        <v>0</v>
      </c>
      <c r="H2666" s="89">
        <v>0</v>
      </c>
      <c r="I2666" s="89">
        <v>0</v>
      </c>
      <c r="J2666" s="710">
        <f>(VLOOKUP($C2666,[2]Sheet1!$A$2:$P$18,$M2666+1)/12)*12*D2666</f>
        <v>0</v>
      </c>
      <c r="K2666" s="711"/>
      <c r="M2666" s="62">
        <f t="shared" si="221"/>
        <v>5</v>
      </c>
    </row>
    <row r="2667" spans="1:13">
      <c r="A2667" s="88">
        <f t="shared" si="220"/>
        <v>16</v>
      </c>
      <c r="B2667" s="69" t="s">
        <v>2179</v>
      </c>
      <c r="C2667" s="69">
        <v>4</v>
      </c>
      <c r="D2667" s="89">
        <v>4</v>
      </c>
      <c r="E2667" s="89">
        <v>3</v>
      </c>
      <c r="F2667" s="89">
        <v>2</v>
      </c>
      <c r="G2667" s="89">
        <v>2</v>
      </c>
      <c r="H2667" s="89">
        <v>3</v>
      </c>
      <c r="I2667" s="89">
        <v>4</v>
      </c>
      <c r="J2667" s="710">
        <f>(VLOOKUP($C2667,[2]Sheet1!$A$2:$P$18,$M2667+1)/12)*12*D2667</f>
        <v>898171.91572146001</v>
      </c>
      <c r="K2667" s="711"/>
      <c r="M2667" s="62">
        <f t="shared" si="221"/>
        <v>5</v>
      </c>
    </row>
    <row r="2668" spans="1:13">
      <c r="A2668" s="88">
        <f t="shared" si="220"/>
        <v>17</v>
      </c>
      <c r="B2668" s="69" t="s">
        <v>2542</v>
      </c>
      <c r="C2668" s="69">
        <v>3</v>
      </c>
      <c r="D2668" s="89">
        <v>1</v>
      </c>
      <c r="E2668" s="89">
        <v>5</v>
      </c>
      <c r="F2668" s="89">
        <v>5</v>
      </c>
      <c r="G2668" s="89">
        <v>5</v>
      </c>
      <c r="H2668" s="89">
        <v>5</v>
      </c>
      <c r="I2668" s="89">
        <v>1</v>
      </c>
      <c r="J2668" s="710">
        <f>(VLOOKUP($C2668,[2]Sheet1!$A$2:$P$18,$M2668+1)/12)*12*D2668</f>
        <v>219336.17893036499</v>
      </c>
      <c r="K2668" s="711"/>
      <c r="M2668" s="62">
        <f t="shared" si="221"/>
        <v>5</v>
      </c>
    </row>
    <row r="2669" spans="1:13">
      <c r="A2669" s="88">
        <f t="shared" si="220"/>
        <v>18</v>
      </c>
      <c r="B2669" s="69" t="s">
        <v>2543</v>
      </c>
      <c r="C2669" s="69">
        <v>2</v>
      </c>
      <c r="D2669" s="89">
        <v>2</v>
      </c>
      <c r="E2669" s="89">
        <v>8</v>
      </c>
      <c r="F2669" s="89">
        <v>8</v>
      </c>
      <c r="G2669" s="89">
        <v>8</v>
      </c>
      <c r="H2669" s="89">
        <v>8</v>
      </c>
      <c r="I2669" s="89">
        <v>2</v>
      </c>
      <c r="J2669" s="710">
        <f>(VLOOKUP($C2669,[2]Sheet1!$A$2:$P$18,$M2669+1)/12)*12*D2669</f>
        <v>429314.75786073005</v>
      </c>
      <c r="K2669" s="711"/>
      <c r="M2669" s="62">
        <f t="shared" si="221"/>
        <v>5</v>
      </c>
    </row>
    <row r="2670" spans="1:13">
      <c r="A2670" s="88">
        <f t="shared" si="220"/>
        <v>19</v>
      </c>
      <c r="B2670" s="69" t="s">
        <v>3766</v>
      </c>
      <c r="C2670" s="69">
        <v>3</v>
      </c>
      <c r="D2670" s="143">
        <v>2</v>
      </c>
      <c r="E2670" s="89">
        <v>2</v>
      </c>
      <c r="F2670" s="143">
        <v>2</v>
      </c>
      <c r="G2670" s="143">
        <v>2</v>
      </c>
      <c r="H2670" s="89">
        <v>2</v>
      </c>
      <c r="I2670" s="143">
        <v>2</v>
      </c>
      <c r="J2670" s="710">
        <f>(VLOOKUP($C2670,[2]Sheet1!$A$2:$P$18,$M2670+1)/12)*12*D2670</f>
        <v>438672.35786072997</v>
      </c>
      <c r="K2670" s="711"/>
      <c r="M2670" s="62">
        <f t="shared" si="221"/>
        <v>5</v>
      </c>
    </row>
    <row r="2671" spans="1:13">
      <c r="A2671" s="88">
        <f t="shared" si="220"/>
        <v>20</v>
      </c>
      <c r="B2671" s="69" t="s">
        <v>2054</v>
      </c>
      <c r="C2671" s="69">
        <v>2</v>
      </c>
      <c r="D2671" s="89">
        <v>2</v>
      </c>
      <c r="E2671" s="89">
        <v>2</v>
      </c>
      <c r="F2671" s="89">
        <v>2</v>
      </c>
      <c r="G2671" s="89">
        <v>2</v>
      </c>
      <c r="H2671" s="89">
        <v>2</v>
      </c>
      <c r="I2671" s="89">
        <v>2</v>
      </c>
      <c r="J2671" s="710">
        <f>(VLOOKUP($C2671,[2]Sheet1!$A$2:$P$18,$M2671+1)/12)*12*D2671</f>
        <v>429314.75786073005</v>
      </c>
      <c r="K2671" s="711"/>
      <c r="M2671" s="62">
        <f t="shared" si="221"/>
        <v>5</v>
      </c>
    </row>
    <row r="2672" spans="1:13">
      <c r="A2672" s="88">
        <f t="shared" si="220"/>
        <v>21</v>
      </c>
      <c r="B2672" s="69" t="s">
        <v>2931</v>
      </c>
      <c r="C2672" s="69">
        <v>2</v>
      </c>
      <c r="D2672" s="89">
        <v>6</v>
      </c>
      <c r="E2672" s="89">
        <v>6</v>
      </c>
      <c r="F2672" s="89">
        <v>6</v>
      </c>
      <c r="G2672" s="89">
        <v>6</v>
      </c>
      <c r="H2672" s="89">
        <v>6</v>
      </c>
      <c r="I2672" s="89">
        <v>6</v>
      </c>
      <c r="J2672" s="710">
        <f>(VLOOKUP($C2672,[2]Sheet1!$A$2:$P$18,$M2672+1)/12)*12*D2672</f>
        <v>1287944.2735821903</v>
      </c>
      <c r="K2672" s="711"/>
      <c r="M2672" s="62">
        <f t="shared" si="221"/>
        <v>5</v>
      </c>
    </row>
    <row r="2673" spans="1:13">
      <c r="A2673" s="88">
        <f t="shared" si="220"/>
        <v>22</v>
      </c>
      <c r="B2673" s="69" t="s">
        <v>2563</v>
      </c>
      <c r="C2673" s="69">
        <v>7</v>
      </c>
      <c r="D2673" s="89">
        <v>6</v>
      </c>
      <c r="E2673" s="89">
        <v>8</v>
      </c>
      <c r="F2673" s="89">
        <v>8</v>
      </c>
      <c r="G2673" s="89">
        <v>8</v>
      </c>
      <c r="H2673" s="89">
        <v>8</v>
      </c>
      <c r="I2673" s="89">
        <v>6</v>
      </c>
      <c r="J2673" s="710">
        <f>(VLOOKUP($C2673,[2]Sheet1!$A$2:$P$18,$M2673+1)/12)*12*D2673</f>
        <v>1846240.2144000004</v>
      </c>
      <c r="K2673" s="711"/>
      <c r="M2673" s="62">
        <f t="shared" si="221"/>
        <v>3</v>
      </c>
    </row>
    <row r="2674" spans="1:13">
      <c r="A2674" s="88">
        <f t="shared" si="220"/>
        <v>23</v>
      </c>
      <c r="B2674" s="69" t="s">
        <v>2972</v>
      </c>
      <c r="C2674" s="69">
        <v>6</v>
      </c>
      <c r="D2674" s="89">
        <v>2</v>
      </c>
      <c r="E2674" s="89">
        <v>6</v>
      </c>
      <c r="F2674" s="89">
        <v>6</v>
      </c>
      <c r="G2674" s="89">
        <v>6</v>
      </c>
      <c r="H2674" s="89">
        <v>6</v>
      </c>
      <c r="I2674" s="89">
        <v>2</v>
      </c>
      <c r="J2674" s="710">
        <f>(VLOOKUP($C2674,[2]Sheet1!$A$2:$P$18,$M2674+1)/12)*12*D2674</f>
        <v>476198.75786072994</v>
      </c>
      <c r="K2674" s="711"/>
      <c r="M2674" s="62">
        <f t="shared" si="221"/>
        <v>5</v>
      </c>
    </row>
    <row r="2675" spans="1:13">
      <c r="A2675" s="88">
        <f t="shared" si="220"/>
        <v>24</v>
      </c>
      <c r="B2675" s="69" t="s">
        <v>1794</v>
      </c>
      <c r="C2675" s="69">
        <v>5</v>
      </c>
      <c r="D2675" s="143">
        <v>0</v>
      </c>
      <c r="E2675" s="89">
        <v>0</v>
      </c>
      <c r="F2675" s="143">
        <v>0</v>
      </c>
      <c r="G2675" s="143">
        <v>0</v>
      </c>
      <c r="H2675" s="89">
        <v>0</v>
      </c>
      <c r="I2675" s="143">
        <v>0</v>
      </c>
      <c r="J2675" s="710">
        <f>(VLOOKUP($C2675,[2]Sheet1!$A$2:$P$18,$M2675+1)/12)*12*D2675</f>
        <v>0</v>
      </c>
      <c r="K2675" s="711"/>
      <c r="M2675" s="62">
        <f t="shared" si="221"/>
        <v>5</v>
      </c>
    </row>
    <row r="2676" spans="1:13">
      <c r="A2676" s="88">
        <f t="shared" si="220"/>
        <v>25</v>
      </c>
      <c r="B2676" s="69" t="s">
        <v>2231</v>
      </c>
      <c r="C2676" s="69">
        <v>4</v>
      </c>
      <c r="D2676" s="143">
        <v>0</v>
      </c>
      <c r="E2676" s="89">
        <v>0</v>
      </c>
      <c r="F2676" s="143">
        <v>0</v>
      </c>
      <c r="G2676" s="143">
        <v>0</v>
      </c>
      <c r="H2676" s="89">
        <v>0</v>
      </c>
      <c r="I2676" s="143">
        <v>0</v>
      </c>
      <c r="J2676" s="710">
        <f>(VLOOKUP($C2676,[2]Sheet1!$A$2:$P$18,$M2676+1)/12)*12*D2676</f>
        <v>0</v>
      </c>
      <c r="K2676" s="711"/>
      <c r="M2676" s="62">
        <f t="shared" si="221"/>
        <v>5</v>
      </c>
    </row>
    <row r="2677" spans="1:13">
      <c r="A2677" s="88">
        <f t="shared" si="220"/>
        <v>26</v>
      </c>
      <c r="B2677" s="69" t="s">
        <v>4028</v>
      </c>
      <c r="C2677" s="69">
        <v>3</v>
      </c>
      <c r="D2677" s="143">
        <v>0</v>
      </c>
      <c r="E2677" s="89">
        <v>0</v>
      </c>
      <c r="F2677" s="143">
        <v>0</v>
      </c>
      <c r="G2677" s="143">
        <v>0</v>
      </c>
      <c r="H2677" s="89">
        <v>0</v>
      </c>
      <c r="I2677" s="143">
        <v>0</v>
      </c>
      <c r="J2677" s="710">
        <f>(VLOOKUP($C2677,[2]Sheet1!$A$2:$P$18,$M2677+1)/12)*12*D2677</f>
        <v>0</v>
      </c>
      <c r="K2677" s="711"/>
      <c r="M2677" s="62">
        <f t="shared" si="221"/>
        <v>5</v>
      </c>
    </row>
    <row r="2678" spans="1:13" ht="13.5" thickBot="1">
      <c r="A2678" s="88">
        <f t="shared" si="220"/>
        <v>27</v>
      </c>
      <c r="B2678" s="69" t="s">
        <v>2232</v>
      </c>
      <c r="C2678" s="69">
        <v>2</v>
      </c>
      <c r="D2678" s="143">
        <v>0</v>
      </c>
      <c r="E2678" s="89">
        <v>0</v>
      </c>
      <c r="F2678" s="143">
        <v>0</v>
      </c>
      <c r="G2678" s="143">
        <v>0</v>
      </c>
      <c r="H2678" s="89">
        <v>0</v>
      </c>
      <c r="I2678" s="143">
        <v>0</v>
      </c>
      <c r="J2678" s="710">
        <f>(VLOOKUP($C2678,[2]Sheet1!$A$2:$P$18,$M2678+1)/12)*12*D2678</f>
        <v>0</v>
      </c>
      <c r="K2678" s="711"/>
      <c r="M2678" s="62">
        <f t="shared" si="221"/>
        <v>5</v>
      </c>
    </row>
    <row r="2679" spans="1:13" ht="15.75" thickTop="1">
      <c r="A2679" s="1047" t="s">
        <v>2791</v>
      </c>
      <c r="B2679" s="1049" t="s">
        <v>4126</v>
      </c>
      <c r="C2679" s="1049" t="s">
        <v>854</v>
      </c>
      <c r="D2679" s="1040" t="s">
        <v>4127</v>
      </c>
      <c r="E2679" s="1041"/>
      <c r="F2679" s="1041"/>
      <c r="G2679" s="1040" t="s">
        <v>904</v>
      </c>
      <c r="H2679" s="1041"/>
      <c r="I2679" s="1042"/>
      <c r="J2679" s="1035" t="s">
        <v>855</v>
      </c>
      <c r="K2679" s="389"/>
    </row>
    <row r="2680" spans="1:13" ht="26.25" thickBot="1">
      <c r="A2680" s="1048"/>
      <c r="B2680" s="1050"/>
      <c r="C2680" s="1050"/>
      <c r="D2680" s="285" t="s">
        <v>5505</v>
      </c>
      <c r="E2680" s="285" t="s">
        <v>4485</v>
      </c>
      <c r="F2680" s="285" t="s">
        <v>4486</v>
      </c>
      <c r="G2680" s="287" t="s">
        <v>4487</v>
      </c>
      <c r="H2680" s="285" t="s">
        <v>4488</v>
      </c>
      <c r="I2680" s="287" t="s">
        <v>4489</v>
      </c>
      <c r="J2680" s="1036"/>
      <c r="K2680" s="712"/>
    </row>
    <row r="2681" spans="1:13" ht="13.5" thickTop="1">
      <c r="A2681" s="88"/>
      <c r="B2681" s="90" t="s">
        <v>2055</v>
      </c>
      <c r="C2681" s="69"/>
      <c r="D2681" s="89"/>
      <c r="E2681" s="89"/>
      <c r="F2681" s="89"/>
      <c r="G2681" s="143"/>
      <c r="H2681" s="89"/>
      <c r="I2681" s="143"/>
      <c r="J2681" s="713"/>
      <c r="K2681" s="711"/>
      <c r="M2681" s="62">
        <f t="shared" si="221"/>
        <v>5</v>
      </c>
    </row>
    <row r="2682" spans="1:13">
      <c r="A2682" s="88">
        <f>+A2678+1</f>
        <v>28</v>
      </c>
      <c r="B2682" s="69" t="s">
        <v>1290</v>
      </c>
      <c r="C2682" s="69">
        <v>16</v>
      </c>
      <c r="D2682" s="143">
        <v>1</v>
      </c>
      <c r="E2682" s="89">
        <v>1</v>
      </c>
      <c r="F2682" s="143">
        <v>1</v>
      </c>
      <c r="G2682" s="143">
        <v>1</v>
      </c>
      <c r="H2682" s="89">
        <v>1</v>
      </c>
      <c r="I2682" s="143">
        <v>1</v>
      </c>
      <c r="J2682" s="710">
        <f>(VLOOKUP($C2682,[2]Sheet1!$A$2:$P$18,$M2682+1)/12)*12*D2682</f>
        <v>677281.26084</v>
      </c>
      <c r="K2682" s="711"/>
      <c r="M2682" s="62">
        <f t="shared" si="221"/>
        <v>3</v>
      </c>
    </row>
    <row r="2683" spans="1:13">
      <c r="A2683" s="88">
        <f t="shared" ref="A2683:A2693" si="222">+A2682+1</f>
        <v>29</v>
      </c>
      <c r="B2683" s="69" t="s">
        <v>1256</v>
      </c>
      <c r="C2683" s="69">
        <v>15</v>
      </c>
      <c r="D2683" s="143">
        <v>1</v>
      </c>
      <c r="E2683" s="89">
        <v>1</v>
      </c>
      <c r="F2683" s="143">
        <v>1</v>
      </c>
      <c r="G2683" s="143">
        <v>1</v>
      </c>
      <c r="H2683" s="89">
        <v>1</v>
      </c>
      <c r="I2683" s="143">
        <v>1</v>
      </c>
      <c r="J2683" s="710">
        <f>(VLOOKUP($C2683,[2]Sheet1!$A$2:$P$18,$M2683+1)/12)*12*D2683</f>
        <v>658331.89992</v>
      </c>
      <c r="K2683" s="711"/>
      <c r="M2683" s="62">
        <f t="shared" si="221"/>
        <v>3</v>
      </c>
    </row>
    <row r="2684" spans="1:13">
      <c r="A2684" s="88">
        <f t="shared" si="222"/>
        <v>30</v>
      </c>
      <c r="B2684" s="69" t="s">
        <v>281</v>
      </c>
      <c r="C2684" s="69">
        <v>14</v>
      </c>
      <c r="D2684" s="143">
        <v>1</v>
      </c>
      <c r="E2684" s="89">
        <v>1</v>
      </c>
      <c r="F2684" s="143">
        <v>1</v>
      </c>
      <c r="G2684" s="143">
        <v>1</v>
      </c>
      <c r="H2684" s="89">
        <v>1</v>
      </c>
      <c r="I2684" s="143">
        <v>1</v>
      </c>
      <c r="J2684" s="710">
        <f>(VLOOKUP($C2684,[2]Sheet1!$A$2:$P$18,$M2684+1)/12)*12*D2684</f>
        <v>669099.40824000002</v>
      </c>
      <c r="K2684" s="711"/>
      <c r="M2684" s="62">
        <f t="shared" si="221"/>
        <v>3</v>
      </c>
    </row>
    <row r="2685" spans="1:13">
      <c r="A2685" s="88">
        <f t="shared" si="222"/>
        <v>31</v>
      </c>
      <c r="B2685" s="69" t="s">
        <v>1545</v>
      </c>
      <c r="C2685" s="69">
        <v>13</v>
      </c>
      <c r="D2685" s="143">
        <v>1</v>
      </c>
      <c r="E2685" s="89">
        <v>0</v>
      </c>
      <c r="F2685" s="143">
        <v>1</v>
      </c>
      <c r="G2685" s="143">
        <v>1</v>
      </c>
      <c r="H2685" s="89">
        <v>0</v>
      </c>
      <c r="I2685" s="143">
        <v>1</v>
      </c>
      <c r="J2685" s="710">
        <f>(VLOOKUP($C2685,[2]Sheet1!$A$2:$P$18,$M2685+1)/12)*12*D2685</f>
        <v>628759.53804000001</v>
      </c>
      <c r="K2685" s="711"/>
      <c r="M2685" s="62">
        <f t="shared" si="221"/>
        <v>3</v>
      </c>
    </row>
    <row r="2686" spans="1:13">
      <c r="A2686" s="88">
        <f t="shared" si="222"/>
        <v>32</v>
      </c>
      <c r="B2686" s="69" t="s">
        <v>1546</v>
      </c>
      <c r="C2686" s="69">
        <v>12</v>
      </c>
      <c r="D2686" s="89">
        <v>2</v>
      </c>
      <c r="E2686" s="89">
        <v>2</v>
      </c>
      <c r="F2686" s="89">
        <v>2</v>
      </c>
      <c r="G2686" s="89">
        <v>2</v>
      </c>
      <c r="H2686" s="89">
        <v>2</v>
      </c>
      <c r="I2686" s="89">
        <v>2</v>
      </c>
      <c r="J2686" s="710">
        <f>(VLOOKUP($C2686,[2]Sheet1!$A$2:$P$18,$M2686+1)/12)*12*D2686</f>
        <v>1105370.1074400004</v>
      </c>
      <c r="K2686" s="711"/>
      <c r="M2686" s="62">
        <f t="shared" si="221"/>
        <v>3</v>
      </c>
    </row>
    <row r="2687" spans="1:13">
      <c r="A2687" s="88">
        <f t="shared" si="222"/>
        <v>33</v>
      </c>
      <c r="B2687" s="69" t="s">
        <v>1233</v>
      </c>
      <c r="C2687" s="69">
        <v>10</v>
      </c>
      <c r="D2687" s="119">
        <v>2</v>
      </c>
      <c r="E2687" s="89">
        <v>2</v>
      </c>
      <c r="F2687" s="119">
        <v>1</v>
      </c>
      <c r="G2687" s="119">
        <v>1</v>
      </c>
      <c r="H2687" s="89">
        <v>2</v>
      </c>
      <c r="I2687" s="119">
        <v>2</v>
      </c>
      <c r="J2687" s="710">
        <f>(VLOOKUP($C2687,[2]Sheet1!$A$2:$P$18,$M2687+1)/12)*12*D2687</f>
        <v>967949.1374400002</v>
      </c>
      <c r="K2687" s="711"/>
      <c r="M2687" s="62">
        <f t="shared" si="221"/>
        <v>3</v>
      </c>
    </row>
    <row r="2688" spans="1:13">
      <c r="A2688" s="88">
        <f t="shared" si="222"/>
        <v>34</v>
      </c>
      <c r="B2688" s="69" t="s">
        <v>878</v>
      </c>
      <c r="C2688" s="69">
        <v>9</v>
      </c>
      <c r="D2688" s="89">
        <v>2</v>
      </c>
      <c r="E2688" s="89">
        <v>2</v>
      </c>
      <c r="F2688" s="89">
        <v>2</v>
      </c>
      <c r="G2688" s="89">
        <v>2</v>
      </c>
      <c r="H2688" s="89">
        <v>2</v>
      </c>
      <c r="I2688" s="89">
        <v>2</v>
      </c>
      <c r="J2688" s="710">
        <f>(VLOOKUP($C2688,[2]Sheet1!$A$2:$P$18,$M2688+1)/12)*12*D2688</f>
        <v>819363.81239999994</v>
      </c>
      <c r="K2688" s="711"/>
      <c r="M2688" s="62">
        <f t="shared" si="221"/>
        <v>3</v>
      </c>
    </row>
    <row r="2689" spans="1:13">
      <c r="A2689" s="88">
        <f t="shared" si="222"/>
        <v>35</v>
      </c>
      <c r="B2689" s="69" t="s">
        <v>3579</v>
      </c>
      <c r="C2689" s="69">
        <v>8</v>
      </c>
      <c r="D2689" s="89">
        <v>1</v>
      </c>
      <c r="E2689" s="89">
        <v>1</v>
      </c>
      <c r="F2689" s="89">
        <v>1</v>
      </c>
      <c r="G2689" s="89">
        <v>1</v>
      </c>
      <c r="H2689" s="89">
        <v>1</v>
      </c>
      <c r="I2689" s="89">
        <v>1</v>
      </c>
      <c r="J2689" s="710">
        <f>(VLOOKUP($C2689,[2]Sheet1!$A$2:$P$18,$M2689+1)/12)*12*D2689</f>
        <v>342141.27408</v>
      </c>
      <c r="K2689" s="711"/>
      <c r="M2689" s="62">
        <f t="shared" si="221"/>
        <v>3</v>
      </c>
    </row>
    <row r="2690" spans="1:13">
      <c r="A2690" s="88">
        <f t="shared" si="222"/>
        <v>36</v>
      </c>
      <c r="B2690" s="69" t="s">
        <v>1858</v>
      </c>
      <c r="C2690" s="69">
        <v>14</v>
      </c>
      <c r="D2690" s="89">
        <v>1</v>
      </c>
      <c r="E2690" s="89">
        <v>1</v>
      </c>
      <c r="F2690" s="89">
        <v>1</v>
      </c>
      <c r="G2690" s="89">
        <v>1</v>
      </c>
      <c r="H2690" s="89">
        <v>1</v>
      </c>
      <c r="I2690" s="89">
        <v>1</v>
      </c>
      <c r="J2690" s="710">
        <f>(VLOOKUP($C2690,[2]Sheet1!$A$2:$P$18,$M2690+1)/12)*12*D2690</f>
        <v>669099.40824000002</v>
      </c>
      <c r="K2690" s="711"/>
      <c r="M2690" s="62">
        <f t="shared" si="221"/>
        <v>3</v>
      </c>
    </row>
    <row r="2691" spans="1:13">
      <c r="A2691" s="88">
        <f t="shared" si="222"/>
        <v>37</v>
      </c>
      <c r="B2691" s="69" t="s">
        <v>1859</v>
      </c>
      <c r="C2691" s="69">
        <v>13</v>
      </c>
      <c r="D2691" s="89">
        <v>0</v>
      </c>
      <c r="E2691" s="89">
        <v>0</v>
      </c>
      <c r="F2691" s="89">
        <v>0</v>
      </c>
      <c r="G2691" s="89">
        <v>0</v>
      </c>
      <c r="H2691" s="89">
        <v>0</v>
      </c>
      <c r="I2691" s="89">
        <v>0</v>
      </c>
      <c r="J2691" s="710">
        <f>(VLOOKUP($C2691,[2]Sheet1!$A$2:$P$18,$M2691+1)/12)*12*D2691</f>
        <v>0</v>
      </c>
      <c r="K2691" s="711"/>
      <c r="M2691" s="62">
        <f t="shared" si="221"/>
        <v>3</v>
      </c>
    </row>
    <row r="2692" spans="1:13">
      <c r="A2692" s="88">
        <f t="shared" si="222"/>
        <v>38</v>
      </c>
      <c r="B2692" s="69" t="s">
        <v>3328</v>
      </c>
      <c r="C2692" s="69">
        <v>12</v>
      </c>
      <c r="D2692" s="89">
        <v>0</v>
      </c>
      <c r="E2692" s="89">
        <v>0</v>
      </c>
      <c r="F2692" s="89">
        <v>0</v>
      </c>
      <c r="G2692" s="89">
        <v>0</v>
      </c>
      <c r="H2692" s="89">
        <v>0</v>
      </c>
      <c r="I2692" s="89">
        <v>0</v>
      </c>
      <c r="J2692" s="710">
        <f>(VLOOKUP($C2692,[2]Sheet1!$A$2:$P$18,$M2692+1)/12)*12*D2692</f>
        <v>0</v>
      </c>
      <c r="K2692" s="711"/>
      <c r="M2692" s="62">
        <f t="shared" si="221"/>
        <v>3</v>
      </c>
    </row>
    <row r="2693" spans="1:13">
      <c r="A2693" s="88">
        <f t="shared" si="222"/>
        <v>39</v>
      </c>
      <c r="B2693" s="69" t="s">
        <v>3760</v>
      </c>
      <c r="C2693" s="69">
        <v>10</v>
      </c>
      <c r="D2693" s="119">
        <v>2</v>
      </c>
      <c r="E2693" s="89">
        <v>2</v>
      </c>
      <c r="F2693" s="119">
        <v>1</v>
      </c>
      <c r="G2693" s="119">
        <v>1</v>
      </c>
      <c r="H2693" s="89">
        <v>2</v>
      </c>
      <c r="I2693" s="119">
        <v>2</v>
      </c>
      <c r="J2693" s="710">
        <f>(VLOOKUP($C2693,[2]Sheet1!$A$2:$P$18,$M2693+1)/12)*12*D2693</f>
        <v>967949.1374400002</v>
      </c>
      <c r="K2693" s="711"/>
      <c r="M2693" s="62">
        <f t="shared" si="221"/>
        <v>3</v>
      </c>
    </row>
    <row r="2694" spans="1:13">
      <c r="A2694" s="88">
        <f>+A2693+1</f>
        <v>40</v>
      </c>
      <c r="B2694" s="69" t="s">
        <v>3504</v>
      </c>
      <c r="C2694" s="69">
        <v>9</v>
      </c>
      <c r="D2694" s="119">
        <v>1</v>
      </c>
      <c r="E2694" s="89">
        <v>1</v>
      </c>
      <c r="F2694" s="119">
        <v>1</v>
      </c>
      <c r="G2694" s="119">
        <v>1</v>
      </c>
      <c r="H2694" s="89">
        <v>1</v>
      </c>
      <c r="I2694" s="119">
        <v>1</v>
      </c>
      <c r="J2694" s="710">
        <f>(VLOOKUP($C2694,[2]Sheet1!$A$2:$P$18,$M2694+1)/12)*12*D2694</f>
        <v>409681.90619999997</v>
      </c>
      <c r="K2694" s="711"/>
      <c r="M2694" s="62">
        <f t="shared" si="221"/>
        <v>3</v>
      </c>
    </row>
    <row r="2695" spans="1:13">
      <c r="A2695" s="88">
        <f t="shared" ref="A2695:A2707" si="223">+A2694+1</f>
        <v>41</v>
      </c>
      <c r="B2695" s="69" t="s">
        <v>3505</v>
      </c>
      <c r="C2695" s="69">
        <v>8</v>
      </c>
      <c r="D2695" s="89">
        <v>1</v>
      </c>
      <c r="E2695" s="89">
        <v>0</v>
      </c>
      <c r="F2695" s="89">
        <v>0</v>
      </c>
      <c r="G2695" s="89">
        <v>0</v>
      </c>
      <c r="H2695" s="89">
        <v>0</v>
      </c>
      <c r="I2695" s="89">
        <v>1</v>
      </c>
      <c r="J2695" s="710">
        <f>(VLOOKUP($C2695,[2]Sheet1!$A$2:$P$18,$M2695+1)/12)*12*D2695</f>
        <v>342141.27408</v>
      </c>
      <c r="K2695" s="711"/>
      <c r="M2695" s="62">
        <f t="shared" si="221"/>
        <v>3</v>
      </c>
    </row>
    <row r="2696" spans="1:13">
      <c r="A2696" s="88">
        <f t="shared" si="223"/>
        <v>42</v>
      </c>
      <c r="B2696" s="69" t="s">
        <v>3735</v>
      </c>
      <c r="C2696" s="69">
        <v>7</v>
      </c>
      <c r="D2696" s="119">
        <v>1</v>
      </c>
      <c r="E2696" s="89">
        <v>0</v>
      </c>
      <c r="F2696" s="119">
        <v>0</v>
      </c>
      <c r="G2696" s="119">
        <v>0</v>
      </c>
      <c r="H2696" s="89">
        <v>0</v>
      </c>
      <c r="I2696" s="119">
        <v>1</v>
      </c>
      <c r="J2696" s="710">
        <f>(VLOOKUP($C2696,[2]Sheet1!$A$2:$P$18,$M2696+1)/12)*12*D2696</f>
        <v>307706.70240000007</v>
      </c>
      <c r="K2696" s="711"/>
      <c r="M2696" s="62">
        <f t="shared" si="221"/>
        <v>3</v>
      </c>
    </row>
    <row r="2697" spans="1:13">
      <c r="A2697" s="88">
        <f t="shared" si="223"/>
        <v>43</v>
      </c>
      <c r="B2697" s="69" t="s">
        <v>779</v>
      </c>
      <c r="C2697" s="69">
        <v>6</v>
      </c>
      <c r="D2697" s="89">
        <v>1</v>
      </c>
      <c r="E2697" s="89">
        <v>0</v>
      </c>
      <c r="F2697" s="89">
        <v>0</v>
      </c>
      <c r="G2697" s="89">
        <v>0</v>
      </c>
      <c r="H2697" s="89">
        <v>0</v>
      </c>
      <c r="I2697" s="89">
        <v>1</v>
      </c>
      <c r="J2697" s="710">
        <f>(VLOOKUP($C2697,[2]Sheet1!$A$2:$P$18,$M2697+1)/12)*12*D2697</f>
        <v>238099.37893036497</v>
      </c>
      <c r="K2697" s="711"/>
      <c r="M2697" s="62">
        <f t="shared" si="221"/>
        <v>5</v>
      </c>
    </row>
    <row r="2698" spans="1:13">
      <c r="A2698" s="88">
        <f t="shared" si="223"/>
        <v>44</v>
      </c>
      <c r="B2698" s="69" t="s">
        <v>780</v>
      </c>
      <c r="C2698" s="69">
        <v>10</v>
      </c>
      <c r="D2698" s="89">
        <v>1</v>
      </c>
      <c r="E2698" s="89">
        <v>0</v>
      </c>
      <c r="F2698" s="89">
        <v>0</v>
      </c>
      <c r="G2698" s="89">
        <v>0</v>
      </c>
      <c r="H2698" s="89">
        <v>0</v>
      </c>
      <c r="I2698" s="89">
        <v>1</v>
      </c>
      <c r="J2698" s="710">
        <f>(VLOOKUP($C2698,[2]Sheet1!$A$2:$P$18,$M2698+1)/12)*12*D2698</f>
        <v>483974.5687200001</v>
      </c>
      <c r="K2698" s="711"/>
      <c r="M2698" s="62">
        <f t="shared" si="221"/>
        <v>3</v>
      </c>
    </row>
    <row r="2699" spans="1:13">
      <c r="D2699" s="62"/>
      <c r="E2699" s="62"/>
      <c r="F2699" s="62"/>
      <c r="G2699" s="62"/>
      <c r="H2699" s="62"/>
      <c r="I2699" s="62"/>
      <c r="J2699" s="710"/>
      <c r="K2699" s="711"/>
      <c r="M2699" s="62">
        <f>IF(C2679&gt;6,3,5)</f>
        <v>3</v>
      </c>
    </row>
    <row r="2700" spans="1:13">
      <c r="A2700" s="88">
        <f>+A2698+1</f>
        <v>45</v>
      </c>
      <c r="B2700" s="69" t="s">
        <v>781</v>
      </c>
      <c r="C2700" s="69">
        <v>9</v>
      </c>
      <c r="D2700" s="89">
        <v>0</v>
      </c>
      <c r="E2700" s="89">
        <v>0</v>
      </c>
      <c r="F2700" s="89">
        <v>0</v>
      </c>
      <c r="G2700" s="89">
        <v>0</v>
      </c>
      <c r="H2700" s="89">
        <v>0</v>
      </c>
      <c r="I2700" s="89">
        <v>0</v>
      </c>
      <c r="J2700" s="710">
        <f>(VLOOKUP($C2700,[2]Sheet1!$A$2:$P$18,$M2700+1)/12)*12*D2700</f>
        <v>0</v>
      </c>
      <c r="K2700" s="711"/>
      <c r="M2700" s="62">
        <f t="shared" si="221"/>
        <v>3</v>
      </c>
    </row>
    <row r="2701" spans="1:13">
      <c r="A2701" s="88">
        <f t="shared" si="223"/>
        <v>46</v>
      </c>
      <c r="B2701" s="69" t="s">
        <v>782</v>
      </c>
      <c r="C2701" s="69">
        <v>8</v>
      </c>
      <c r="D2701" s="89">
        <v>2</v>
      </c>
      <c r="E2701" s="89">
        <v>2</v>
      </c>
      <c r="F2701" s="89">
        <v>1</v>
      </c>
      <c r="G2701" s="89">
        <v>1</v>
      </c>
      <c r="H2701" s="89">
        <v>2</v>
      </c>
      <c r="I2701" s="89">
        <v>2</v>
      </c>
      <c r="J2701" s="710">
        <f>(VLOOKUP($C2701,[2]Sheet1!$A$2:$P$18,$M2701+1)/12)*12*D2701</f>
        <v>684282.54816000001</v>
      </c>
      <c r="K2701" s="711"/>
      <c r="M2701" s="62">
        <f t="shared" si="221"/>
        <v>3</v>
      </c>
    </row>
    <row r="2702" spans="1:13">
      <c r="A2702" s="88">
        <f t="shared" si="223"/>
        <v>47</v>
      </c>
      <c r="B2702" s="69" t="s">
        <v>783</v>
      </c>
      <c r="C2702" s="69">
        <v>6</v>
      </c>
      <c r="D2702" s="119">
        <v>1</v>
      </c>
      <c r="E2702" s="89">
        <v>1</v>
      </c>
      <c r="F2702" s="119">
        <v>0</v>
      </c>
      <c r="G2702" s="119">
        <v>0</v>
      </c>
      <c r="H2702" s="89">
        <v>1</v>
      </c>
      <c r="I2702" s="119">
        <v>1</v>
      </c>
      <c r="J2702" s="710">
        <f>(VLOOKUP($C2702,[2]Sheet1!$A$2:$P$18,$M2702+1)/12)*12*D2702</f>
        <v>238099.37893036497</v>
      </c>
      <c r="K2702" s="711"/>
      <c r="M2702" s="62">
        <f t="shared" si="221"/>
        <v>5</v>
      </c>
    </row>
    <row r="2703" spans="1:13">
      <c r="A2703" s="88">
        <f t="shared" si="223"/>
        <v>48</v>
      </c>
      <c r="B2703" s="69" t="s">
        <v>1979</v>
      </c>
      <c r="C2703" s="69">
        <v>5</v>
      </c>
      <c r="D2703" s="119">
        <v>1</v>
      </c>
      <c r="E2703" s="89">
        <v>0</v>
      </c>
      <c r="F2703" s="119">
        <v>0</v>
      </c>
      <c r="G2703" s="119">
        <v>0</v>
      </c>
      <c r="H2703" s="89">
        <v>0</v>
      </c>
      <c r="I2703" s="119">
        <v>1</v>
      </c>
      <c r="J2703" s="710">
        <f>(VLOOKUP($C2703,[2]Sheet1!$A$2:$P$18,$M2703+1)/12)*12*D2703</f>
        <v>229569.77893036499</v>
      </c>
      <c r="K2703" s="711"/>
      <c r="M2703" s="62">
        <f t="shared" si="221"/>
        <v>5</v>
      </c>
    </row>
    <row r="2704" spans="1:13">
      <c r="A2704" s="88">
        <f t="shared" si="223"/>
        <v>49</v>
      </c>
      <c r="B2704" s="69" t="s">
        <v>2022</v>
      </c>
      <c r="C2704" s="69">
        <v>8</v>
      </c>
      <c r="D2704" s="119">
        <v>1</v>
      </c>
      <c r="E2704" s="89">
        <v>2</v>
      </c>
      <c r="F2704" s="119">
        <v>1</v>
      </c>
      <c r="G2704" s="119">
        <v>1</v>
      </c>
      <c r="H2704" s="89">
        <v>2</v>
      </c>
      <c r="I2704" s="119">
        <v>1</v>
      </c>
      <c r="J2704" s="710">
        <f>(VLOOKUP($C2704,[2]Sheet1!$A$2:$P$18,$M2704+1)/12)*12*D2704</f>
        <v>342141.27408</v>
      </c>
      <c r="K2704" s="711"/>
      <c r="M2704" s="62">
        <f t="shared" si="221"/>
        <v>3</v>
      </c>
    </row>
    <row r="2705" spans="1:13">
      <c r="A2705" s="88">
        <f>+A2704+1</f>
        <v>50</v>
      </c>
      <c r="B2705" s="69" t="s">
        <v>1412</v>
      </c>
      <c r="C2705" s="69">
        <v>7</v>
      </c>
      <c r="D2705" s="119">
        <v>2</v>
      </c>
      <c r="E2705" s="89">
        <v>1</v>
      </c>
      <c r="F2705" s="119">
        <v>0</v>
      </c>
      <c r="G2705" s="119">
        <v>0</v>
      </c>
      <c r="H2705" s="89">
        <v>1</v>
      </c>
      <c r="I2705" s="119">
        <v>2</v>
      </c>
      <c r="J2705" s="710">
        <f>(VLOOKUP($C2705,[2]Sheet1!$A$2:$P$18,$M2705+1)/12)*12*D2705</f>
        <v>615413.40480000013</v>
      </c>
      <c r="K2705" s="711"/>
      <c r="M2705" s="62">
        <f t="shared" si="221"/>
        <v>3</v>
      </c>
    </row>
    <row r="2706" spans="1:13">
      <c r="A2706" s="88">
        <v>51</v>
      </c>
      <c r="B2706" s="69" t="s">
        <v>1413</v>
      </c>
      <c r="C2706" s="69">
        <v>5</v>
      </c>
      <c r="D2706" s="119">
        <v>2</v>
      </c>
      <c r="E2706" s="89">
        <v>2</v>
      </c>
      <c r="F2706" s="119">
        <v>2</v>
      </c>
      <c r="G2706" s="119">
        <v>2</v>
      </c>
      <c r="H2706" s="89">
        <v>2</v>
      </c>
      <c r="I2706" s="119">
        <v>2</v>
      </c>
      <c r="J2706" s="710">
        <f>(VLOOKUP($C2706,[2]Sheet1!$A$2:$P$18,$M2706+1)/12)*12*D2706</f>
        <v>459139.55786072998</v>
      </c>
      <c r="K2706" s="711"/>
      <c r="M2706" s="62">
        <f t="shared" si="221"/>
        <v>5</v>
      </c>
    </row>
    <row r="2707" spans="1:13">
      <c r="A2707" s="88">
        <f t="shared" si="223"/>
        <v>52</v>
      </c>
      <c r="B2707" s="69" t="s">
        <v>3901</v>
      </c>
      <c r="C2707" s="69">
        <v>4</v>
      </c>
      <c r="D2707" s="89">
        <v>2</v>
      </c>
      <c r="E2707" s="89">
        <v>2</v>
      </c>
      <c r="F2707" s="89">
        <v>2</v>
      </c>
      <c r="G2707" s="89">
        <v>2</v>
      </c>
      <c r="H2707" s="89">
        <v>2</v>
      </c>
      <c r="I2707" s="89">
        <v>2</v>
      </c>
      <c r="J2707" s="710">
        <f>(VLOOKUP($C2707,[2]Sheet1!$A$2:$P$18,$M2707+1)/12)*12*D2707</f>
        <v>449085.95786073001</v>
      </c>
      <c r="K2707" s="711"/>
      <c r="M2707" s="62">
        <f t="shared" si="221"/>
        <v>5</v>
      </c>
    </row>
    <row r="2708" spans="1:13">
      <c r="A2708" s="88"/>
      <c r="B2708" s="90" t="s">
        <v>3521</v>
      </c>
      <c r="C2708" s="69"/>
      <c r="D2708" s="89"/>
      <c r="E2708" s="89"/>
      <c r="F2708" s="89"/>
      <c r="G2708" s="89"/>
      <c r="H2708" s="89"/>
      <c r="I2708" s="89"/>
      <c r="J2708" s="710"/>
      <c r="K2708" s="711"/>
      <c r="M2708" s="62">
        <f t="shared" si="221"/>
        <v>5</v>
      </c>
    </row>
    <row r="2709" spans="1:13">
      <c r="A2709" s="88">
        <f>+A2707+1</f>
        <v>53</v>
      </c>
      <c r="B2709" s="69" t="s">
        <v>1317</v>
      </c>
      <c r="C2709" s="69">
        <v>6</v>
      </c>
      <c r="D2709" s="89">
        <v>1</v>
      </c>
      <c r="E2709" s="89">
        <v>1</v>
      </c>
      <c r="F2709" s="89">
        <v>1</v>
      </c>
      <c r="G2709" s="89">
        <v>1</v>
      </c>
      <c r="H2709" s="89">
        <v>1</v>
      </c>
      <c r="I2709" s="89">
        <v>1</v>
      </c>
      <c r="J2709" s="710">
        <f>(VLOOKUP($C2709,[2]Sheet1!$A$2:$P$18,$M2709+1)/12)*12*D2709</f>
        <v>238099.37893036497</v>
      </c>
      <c r="K2709" s="711"/>
      <c r="M2709" s="62">
        <f t="shared" si="221"/>
        <v>5</v>
      </c>
    </row>
    <row r="2710" spans="1:13">
      <c r="A2710" s="88">
        <f>+A2709+1</f>
        <v>54</v>
      </c>
      <c r="B2710" s="69" t="s">
        <v>602</v>
      </c>
      <c r="C2710" s="69">
        <v>5</v>
      </c>
      <c r="D2710" s="89">
        <v>1</v>
      </c>
      <c r="E2710" s="89">
        <v>1</v>
      </c>
      <c r="F2710" s="89">
        <v>1</v>
      </c>
      <c r="G2710" s="89">
        <v>1</v>
      </c>
      <c r="H2710" s="89">
        <v>1</v>
      </c>
      <c r="I2710" s="89">
        <v>1</v>
      </c>
      <c r="J2710" s="710">
        <f>(VLOOKUP($C2710,[2]Sheet1!$A$2:$P$18,$M2710+1)/12)*12*D2710</f>
        <v>229569.77893036499</v>
      </c>
      <c r="K2710" s="711"/>
      <c r="M2710" s="62">
        <f t="shared" si="221"/>
        <v>5</v>
      </c>
    </row>
    <row r="2711" spans="1:13">
      <c r="A2711" s="88">
        <f>+A2710+1</f>
        <v>55</v>
      </c>
      <c r="B2711" s="69" t="s">
        <v>603</v>
      </c>
      <c r="C2711" s="69">
        <v>4</v>
      </c>
      <c r="D2711" s="89">
        <v>1</v>
      </c>
      <c r="E2711" s="89">
        <v>1</v>
      </c>
      <c r="F2711" s="89">
        <v>1</v>
      </c>
      <c r="G2711" s="89">
        <v>1</v>
      </c>
      <c r="H2711" s="89">
        <v>1</v>
      </c>
      <c r="I2711" s="89">
        <v>1</v>
      </c>
      <c r="J2711" s="710">
        <f>(VLOOKUP($C2711,[2]Sheet1!$A$2:$P$18,$M2711+1)/12)*12*D2711</f>
        <v>224542.978930365</v>
      </c>
      <c r="K2711" s="711"/>
      <c r="M2711" s="62">
        <f t="shared" si="221"/>
        <v>5</v>
      </c>
    </row>
    <row r="2712" spans="1:13">
      <c r="A2712" s="88"/>
      <c r="B2712" s="90" t="s">
        <v>3857</v>
      </c>
      <c r="C2712" s="69"/>
      <c r="D2712" s="89"/>
      <c r="E2712" s="89"/>
      <c r="F2712" s="89"/>
      <c r="G2712" s="89"/>
      <c r="H2712" s="89"/>
      <c r="I2712" s="89"/>
      <c r="J2712" s="710"/>
      <c r="K2712" s="711"/>
      <c r="M2712" s="62">
        <f t="shared" si="221"/>
        <v>5</v>
      </c>
    </row>
    <row r="2713" spans="1:13">
      <c r="A2713" s="88">
        <f>+A2711+1</f>
        <v>56</v>
      </c>
      <c r="B2713" s="69" t="s">
        <v>2784</v>
      </c>
      <c r="C2713" s="69">
        <v>7</v>
      </c>
      <c r="D2713" s="89">
        <v>3</v>
      </c>
      <c r="E2713" s="89">
        <v>3</v>
      </c>
      <c r="F2713" s="89">
        <v>3</v>
      </c>
      <c r="G2713" s="89">
        <v>3</v>
      </c>
      <c r="H2713" s="89">
        <v>3</v>
      </c>
      <c r="I2713" s="89">
        <v>3</v>
      </c>
      <c r="J2713" s="710">
        <f>(VLOOKUP($C2713,[2]Sheet1!$A$2:$P$18,$M2713+1)/12)*12*D2713</f>
        <v>923120.1072000002</v>
      </c>
      <c r="K2713" s="711"/>
      <c r="M2713" s="62">
        <f t="shared" si="221"/>
        <v>3</v>
      </c>
    </row>
    <row r="2714" spans="1:13">
      <c r="A2714" s="88">
        <f>+A2713+1</f>
        <v>57</v>
      </c>
      <c r="B2714" s="69" t="s">
        <v>2344</v>
      </c>
      <c r="C2714" s="69">
        <v>6</v>
      </c>
      <c r="D2714" s="89">
        <v>2</v>
      </c>
      <c r="E2714" s="89">
        <v>2</v>
      </c>
      <c r="F2714" s="89">
        <v>1</v>
      </c>
      <c r="G2714" s="89">
        <v>1</v>
      </c>
      <c r="H2714" s="89">
        <v>2</v>
      </c>
      <c r="I2714" s="89">
        <v>2</v>
      </c>
      <c r="J2714" s="710">
        <f>(VLOOKUP($C2714,[2]Sheet1!$A$2:$P$18,$M2714+1)/12)*12*D2714</f>
        <v>476198.75786072994</v>
      </c>
      <c r="K2714" s="711"/>
      <c r="M2714" s="62">
        <f t="shared" si="221"/>
        <v>5</v>
      </c>
    </row>
    <row r="2715" spans="1:13">
      <c r="A2715" s="88">
        <f>+A2714+1</f>
        <v>58</v>
      </c>
      <c r="B2715" s="69" t="s">
        <v>785</v>
      </c>
      <c r="C2715" s="69">
        <v>5</v>
      </c>
      <c r="D2715" s="89">
        <v>1</v>
      </c>
      <c r="E2715" s="89">
        <v>1</v>
      </c>
      <c r="F2715" s="89">
        <v>1</v>
      </c>
      <c r="G2715" s="89">
        <v>1</v>
      </c>
      <c r="H2715" s="89">
        <v>1</v>
      </c>
      <c r="I2715" s="89">
        <v>1</v>
      </c>
      <c r="J2715" s="710">
        <f>(VLOOKUP($C2715,[2]Sheet1!$A$2:$P$18,$M2715+1)/12)*12*D2715</f>
        <v>229569.77893036499</v>
      </c>
      <c r="K2715" s="711"/>
      <c r="M2715" s="62">
        <f t="shared" si="221"/>
        <v>5</v>
      </c>
    </row>
    <row r="2716" spans="1:13">
      <c r="A2716" s="88">
        <f>+A2715+1</f>
        <v>59</v>
      </c>
      <c r="B2716" s="69" t="s">
        <v>2874</v>
      </c>
      <c r="C2716" s="69">
        <v>4</v>
      </c>
      <c r="D2716" s="89">
        <v>1</v>
      </c>
      <c r="E2716" s="89">
        <v>1</v>
      </c>
      <c r="F2716" s="89">
        <v>1</v>
      </c>
      <c r="G2716" s="89">
        <v>1</v>
      </c>
      <c r="H2716" s="89">
        <v>1</v>
      </c>
      <c r="I2716" s="89">
        <v>1</v>
      </c>
      <c r="J2716" s="710">
        <f>(VLOOKUP($C2716,[2]Sheet1!$A$2:$P$18,$M2716+1)/12)*12*D2716</f>
        <v>224542.978930365</v>
      </c>
      <c r="K2716" s="711"/>
      <c r="M2716" s="62">
        <f t="shared" si="221"/>
        <v>5</v>
      </c>
    </row>
    <row r="2717" spans="1:13">
      <c r="A2717" s="88">
        <f>+A2716+1</f>
        <v>60</v>
      </c>
      <c r="B2717" s="69" t="s">
        <v>2416</v>
      </c>
      <c r="C2717" s="69">
        <v>3</v>
      </c>
      <c r="D2717" s="89">
        <v>0</v>
      </c>
      <c r="E2717" s="89">
        <v>1</v>
      </c>
      <c r="F2717" s="89">
        <v>0</v>
      </c>
      <c r="G2717" s="89">
        <v>0</v>
      </c>
      <c r="H2717" s="89">
        <v>0</v>
      </c>
      <c r="I2717" s="89">
        <v>0</v>
      </c>
      <c r="J2717" s="710">
        <f>(VLOOKUP($C2717,[2]Sheet1!$A$2:$P$18,$M2717+1)/12)*12*D2717</f>
        <v>0</v>
      </c>
      <c r="K2717" s="711"/>
      <c r="M2717" s="62">
        <f t="shared" si="221"/>
        <v>5</v>
      </c>
    </row>
    <row r="2718" spans="1:13">
      <c r="A2718" s="88"/>
      <c r="B2718" s="90" t="s">
        <v>786</v>
      </c>
      <c r="C2718" s="69"/>
      <c r="D2718" s="89"/>
      <c r="E2718" s="89"/>
      <c r="F2718" s="89"/>
      <c r="G2718" s="89"/>
      <c r="H2718" s="89"/>
      <c r="I2718" s="89"/>
      <c r="J2718" s="710"/>
      <c r="K2718" s="711"/>
      <c r="M2718" s="62">
        <f t="shared" si="221"/>
        <v>5</v>
      </c>
    </row>
    <row r="2719" spans="1:13">
      <c r="A2719" s="88">
        <f>+A2717+1</f>
        <v>61</v>
      </c>
      <c r="B2719" s="69" t="s">
        <v>1290</v>
      </c>
      <c r="C2719" s="69">
        <v>16</v>
      </c>
      <c r="D2719" s="89">
        <v>1</v>
      </c>
      <c r="E2719" s="89">
        <v>1</v>
      </c>
      <c r="F2719" s="89">
        <v>1</v>
      </c>
      <c r="G2719" s="89">
        <v>1</v>
      </c>
      <c r="H2719" s="89">
        <v>1</v>
      </c>
      <c r="I2719" s="89">
        <v>1</v>
      </c>
      <c r="J2719" s="710">
        <f>(VLOOKUP($C2719,[2]Sheet1!$A$2:$P$18,$M2719+1)/12)*12*D2719</f>
        <v>677281.26084</v>
      </c>
      <c r="K2719" s="711"/>
      <c r="M2719" s="62">
        <f t="shared" si="221"/>
        <v>3</v>
      </c>
    </row>
    <row r="2720" spans="1:13">
      <c r="A2720" s="88">
        <f t="shared" ref="A2720:A2742" si="224">+A2719+1</f>
        <v>62</v>
      </c>
      <c r="B2720" s="69" t="s">
        <v>1256</v>
      </c>
      <c r="C2720" s="69">
        <v>15</v>
      </c>
      <c r="D2720" s="89">
        <v>2</v>
      </c>
      <c r="E2720" s="89">
        <v>1</v>
      </c>
      <c r="F2720" s="89">
        <v>0</v>
      </c>
      <c r="G2720" s="89">
        <v>0</v>
      </c>
      <c r="H2720" s="89">
        <v>1</v>
      </c>
      <c r="I2720" s="89">
        <v>2</v>
      </c>
      <c r="J2720" s="710">
        <f>(VLOOKUP($C2720,[2]Sheet1!$A$2:$P$18,$M2720+1)/12)*12*D2720</f>
        <v>1316663.79984</v>
      </c>
      <c r="K2720" s="711"/>
      <c r="M2720" s="62">
        <f t="shared" ref="M2720:M2785" si="225">IF(C2720&gt;6,3,5)</f>
        <v>3</v>
      </c>
    </row>
    <row r="2721" spans="1:13" ht="13.5" thickBot="1">
      <c r="A2721" s="88">
        <f t="shared" si="224"/>
        <v>63</v>
      </c>
      <c r="B2721" s="69" t="s">
        <v>3533</v>
      </c>
      <c r="C2721" s="69">
        <v>14</v>
      </c>
      <c r="D2721" s="89">
        <v>3</v>
      </c>
      <c r="E2721" s="89">
        <v>2</v>
      </c>
      <c r="F2721" s="89">
        <v>2</v>
      </c>
      <c r="G2721" s="89">
        <v>2</v>
      </c>
      <c r="H2721" s="89">
        <v>2</v>
      </c>
      <c r="I2721" s="89">
        <v>3</v>
      </c>
      <c r="J2721" s="710">
        <f>(VLOOKUP($C2721,[2]Sheet1!$A$2:$P$18,$M2721+1)/12)*12*D2721</f>
        <v>2007298.2247200001</v>
      </c>
      <c r="K2721" s="711"/>
      <c r="M2721" s="62">
        <f t="shared" si="225"/>
        <v>3</v>
      </c>
    </row>
    <row r="2722" spans="1:13" ht="15.75" thickTop="1">
      <c r="A2722" s="1047" t="s">
        <v>2791</v>
      </c>
      <c r="B2722" s="1049" t="s">
        <v>4126</v>
      </c>
      <c r="C2722" s="1049" t="s">
        <v>854</v>
      </c>
      <c r="D2722" s="1040" t="s">
        <v>4127</v>
      </c>
      <c r="E2722" s="1041"/>
      <c r="F2722" s="1041"/>
      <c r="G2722" s="1040" t="s">
        <v>904</v>
      </c>
      <c r="H2722" s="1041"/>
      <c r="I2722" s="1042"/>
      <c r="J2722" s="1035" t="s">
        <v>855</v>
      </c>
      <c r="K2722" s="389"/>
    </row>
    <row r="2723" spans="1:13" ht="26.25" thickBot="1">
      <c r="A2723" s="1048"/>
      <c r="B2723" s="1050"/>
      <c r="C2723" s="1050"/>
      <c r="D2723" s="285" t="s">
        <v>5505</v>
      </c>
      <c r="E2723" s="285" t="s">
        <v>4485</v>
      </c>
      <c r="F2723" s="285" t="s">
        <v>4486</v>
      </c>
      <c r="G2723" s="287" t="s">
        <v>4487</v>
      </c>
      <c r="H2723" s="285" t="s">
        <v>4488</v>
      </c>
      <c r="I2723" s="287" t="s">
        <v>4489</v>
      </c>
      <c r="J2723" s="1036"/>
      <c r="K2723" s="712"/>
    </row>
    <row r="2724" spans="1:13" ht="13.5" thickTop="1">
      <c r="A2724" s="88">
        <f>+A2721+1</f>
        <v>64</v>
      </c>
      <c r="B2724" s="69" t="s">
        <v>791</v>
      </c>
      <c r="C2724" s="69">
        <v>13</v>
      </c>
      <c r="D2724" s="89">
        <v>4</v>
      </c>
      <c r="E2724" s="89">
        <v>3</v>
      </c>
      <c r="F2724" s="89">
        <v>3</v>
      </c>
      <c r="G2724" s="89">
        <v>3</v>
      </c>
      <c r="H2724" s="89">
        <v>3</v>
      </c>
      <c r="I2724" s="89">
        <v>4</v>
      </c>
      <c r="J2724" s="710">
        <f>(VLOOKUP($C2724,[2]Sheet1!$A$2:$P$18,$M2724+1)/12)*12*D2724</f>
        <v>2515038.1521600001</v>
      </c>
      <c r="K2724" s="711"/>
      <c r="M2724" s="62">
        <f t="shared" si="225"/>
        <v>3</v>
      </c>
    </row>
    <row r="2725" spans="1:13">
      <c r="A2725" s="88">
        <f>+A2724+1</f>
        <v>65</v>
      </c>
      <c r="B2725" s="69" t="s">
        <v>240</v>
      </c>
      <c r="C2725" s="69">
        <v>12</v>
      </c>
      <c r="D2725" s="89">
        <v>2</v>
      </c>
      <c r="E2725" s="89">
        <v>2</v>
      </c>
      <c r="F2725" s="89">
        <v>1</v>
      </c>
      <c r="G2725" s="89">
        <v>1</v>
      </c>
      <c r="H2725" s="89">
        <v>2</v>
      </c>
      <c r="I2725" s="89">
        <v>2</v>
      </c>
      <c r="J2725" s="710">
        <f>(VLOOKUP($C2725,[2]Sheet1!$A$2:$P$18,$M2725+1)/12)*12*D2725</f>
        <v>1105370.1074400004</v>
      </c>
      <c r="K2725" s="711"/>
      <c r="M2725" s="62">
        <f t="shared" si="225"/>
        <v>3</v>
      </c>
    </row>
    <row r="2726" spans="1:13">
      <c r="A2726" s="88">
        <f>+A2725+1</f>
        <v>66</v>
      </c>
      <c r="B2726" s="69" t="s">
        <v>400</v>
      </c>
      <c r="C2726" s="69">
        <v>10</v>
      </c>
      <c r="D2726" s="89">
        <v>3</v>
      </c>
      <c r="E2726" s="89">
        <v>2</v>
      </c>
      <c r="F2726" s="89">
        <v>2</v>
      </c>
      <c r="G2726" s="89">
        <v>2</v>
      </c>
      <c r="H2726" s="89">
        <v>2</v>
      </c>
      <c r="I2726" s="89">
        <v>3</v>
      </c>
      <c r="J2726" s="710">
        <f>(VLOOKUP($C2726,[2]Sheet1!$A$2:$P$18,$M2726+1)/12)*12*D2726</f>
        <v>1451923.7061600003</v>
      </c>
      <c r="K2726" s="711"/>
      <c r="M2726" s="62">
        <f t="shared" si="225"/>
        <v>3</v>
      </c>
    </row>
    <row r="2727" spans="1:13">
      <c r="A2727" s="88">
        <f t="shared" si="224"/>
        <v>67</v>
      </c>
      <c r="B2727" s="69" t="s">
        <v>794</v>
      </c>
      <c r="C2727" s="69">
        <v>9</v>
      </c>
      <c r="D2727" s="89">
        <v>3</v>
      </c>
      <c r="E2727" s="89">
        <v>2</v>
      </c>
      <c r="F2727" s="89">
        <v>1</v>
      </c>
      <c r="G2727" s="89">
        <v>1</v>
      </c>
      <c r="H2727" s="89">
        <v>2</v>
      </c>
      <c r="I2727" s="89">
        <v>3</v>
      </c>
      <c r="J2727" s="710">
        <f>(VLOOKUP($C2727,[2]Sheet1!$A$2:$P$18,$M2727+1)/12)*12*D2727</f>
        <v>1229045.7185999998</v>
      </c>
      <c r="K2727" s="711"/>
      <c r="M2727" s="62">
        <f t="shared" si="225"/>
        <v>3</v>
      </c>
    </row>
    <row r="2728" spans="1:13">
      <c r="A2728" s="88">
        <f t="shared" si="224"/>
        <v>68</v>
      </c>
      <c r="B2728" s="69" t="s">
        <v>1805</v>
      </c>
      <c r="C2728" s="69">
        <v>8</v>
      </c>
      <c r="D2728" s="89">
        <v>10</v>
      </c>
      <c r="E2728" s="89">
        <v>3</v>
      </c>
      <c r="F2728" s="89">
        <v>3</v>
      </c>
      <c r="G2728" s="89">
        <v>3</v>
      </c>
      <c r="H2728" s="89">
        <v>2</v>
      </c>
      <c r="I2728" s="89">
        <v>10</v>
      </c>
      <c r="J2728" s="710">
        <f>(VLOOKUP($C2728,[2]Sheet1!$A$2:$P$18,$M2728+1)/12)*12*D2728</f>
        <v>3421412.7407999998</v>
      </c>
      <c r="K2728" s="711"/>
      <c r="M2728" s="62">
        <f t="shared" si="225"/>
        <v>3</v>
      </c>
    </row>
    <row r="2729" spans="1:13">
      <c r="A2729" s="88">
        <f t="shared" si="224"/>
        <v>69</v>
      </c>
      <c r="B2729" s="69" t="s">
        <v>1806</v>
      </c>
      <c r="C2729" s="69">
        <v>14</v>
      </c>
      <c r="D2729" s="89">
        <v>3</v>
      </c>
      <c r="E2729" s="89">
        <v>1</v>
      </c>
      <c r="F2729" s="89">
        <v>1</v>
      </c>
      <c r="G2729" s="89">
        <v>1</v>
      </c>
      <c r="H2729" s="89">
        <v>1</v>
      </c>
      <c r="I2729" s="89">
        <v>3</v>
      </c>
      <c r="J2729" s="710">
        <f>(VLOOKUP($C2729,[2]Sheet1!$A$2:$P$18,$M2729+1)/12)*12*D2729</f>
        <v>2007298.2247200001</v>
      </c>
      <c r="K2729" s="711"/>
      <c r="M2729" s="62">
        <f t="shared" si="225"/>
        <v>3</v>
      </c>
    </row>
    <row r="2730" spans="1:13">
      <c r="A2730" s="88">
        <f t="shared" si="224"/>
        <v>70</v>
      </c>
      <c r="B2730" s="69" t="s">
        <v>1915</v>
      </c>
      <c r="C2730" s="69">
        <v>13</v>
      </c>
      <c r="D2730" s="89">
        <v>2</v>
      </c>
      <c r="E2730" s="89">
        <v>1</v>
      </c>
      <c r="F2730" s="89">
        <v>0</v>
      </c>
      <c r="G2730" s="89">
        <v>0</v>
      </c>
      <c r="H2730" s="89">
        <v>1</v>
      </c>
      <c r="I2730" s="89">
        <v>2</v>
      </c>
      <c r="J2730" s="710">
        <f>(VLOOKUP($C2730,[2]Sheet1!$A$2:$P$18,$M2730+1)/12)*12*D2730</f>
        <v>1257519.07608</v>
      </c>
      <c r="K2730" s="711"/>
      <c r="M2730" s="62">
        <f t="shared" si="225"/>
        <v>3</v>
      </c>
    </row>
    <row r="2731" spans="1:13">
      <c r="A2731" s="88">
        <f t="shared" si="224"/>
        <v>71</v>
      </c>
      <c r="B2731" s="69" t="s">
        <v>241</v>
      </c>
      <c r="C2731" s="69">
        <v>12</v>
      </c>
      <c r="D2731" s="89">
        <v>3</v>
      </c>
      <c r="E2731" s="89">
        <v>2</v>
      </c>
      <c r="F2731" s="89">
        <v>1</v>
      </c>
      <c r="G2731" s="89">
        <v>1</v>
      </c>
      <c r="H2731" s="89">
        <v>2</v>
      </c>
      <c r="I2731" s="89">
        <v>3</v>
      </c>
      <c r="J2731" s="710">
        <f>(VLOOKUP($C2731,[2]Sheet1!$A$2:$P$18,$M2731+1)/12)*12*D2731</f>
        <v>1658055.1611600006</v>
      </c>
      <c r="K2731" s="711"/>
      <c r="M2731" s="62">
        <f t="shared" si="225"/>
        <v>3</v>
      </c>
    </row>
    <row r="2732" spans="1:13">
      <c r="A2732" s="88">
        <f t="shared" si="224"/>
        <v>72</v>
      </c>
      <c r="B2732" s="69" t="s">
        <v>3760</v>
      </c>
      <c r="C2732" s="69">
        <v>10</v>
      </c>
      <c r="D2732" s="89">
        <v>3</v>
      </c>
      <c r="E2732" s="89">
        <v>3</v>
      </c>
      <c r="F2732" s="89">
        <v>3</v>
      </c>
      <c r="G2732" s="89">
        <v>3</v>
      </c>
      <c r="H2732" s="89">
        <v>2</v>
      </c>
      <c r="I2732" s="89">
        <v>3</v>
      </c>
      <c r="J2732" s="710">
        <f>(VLOOKUP($C2732,[2]Sheet1!$A$2:$P$18,$M2732+1)/12)*12*D2732</f>
        <v>1451923.7061600003</v>
      </c>
      <c r="K2732" s="711"/>
      <c r="M2732" s="62">
        <f t="shared" si="225"/>
        <v>3</v>
      </c>
    </row>
    <row r="2733" spans="1:13">
      <c r="A2733" s="88">
        <f t="shared" si="224"/>
        <v>73</v>
      </c>
      <c r="B2733" s="69" t="s">
        <v>242</v>
      </c>
      <c r="C2733" s="69">
        <v>9</v>
      </c>
      <c r="D2733" s="89">
        <v>6</v>
      </c>
      <c r="E2733" s="89">
        <v>1</v>
      </c>
      <c r="F2733" s="89">
        <v>0</v>
      </c>
      <c r="G2733" s="89">
        <v>0</v>
      </c>
      <c r="H2733" s="89">
        <v>1</v>
      </c>
      <c r="I2733" s="89">
        <v>6</v>
      </c>
      <c r="J2733" s="710">
        <f>(VLOOKUP($C2733,[2]Sheet1!$A$2:$P$18,$M2733+1)/12)*12*D2733</f>
        <v>2458091.4371999996</v>
      </c>
      <c r="K2733" s="711"/>
      <c r="M2733" s="62">
        <f t="shared" si="225"/>
        <v>3</v>
      </c>
    </row>
    <row r="2734" spans="1:13">
      <c r="A2734" s="88">
        <f t="shared" si="224"/>
        <v>74</v>
      </c>
      <c r="B2734" s="69" t="s">
        <v>4069</v>
      </c>
      <c r="C2734" s="69">
        <v>8</v>
      </c>
      <c r="D2734" s="89">
        <v>10</v>
      </c>
      <c r="E2734" s="89">
        <v>2</v>
      </c>
      <c r="F2734" s="89">
        <v>1</v>
      </c>
      <c r="G2734" s="89">
        <v>1</v>
      </c>
      <c r="H2734" s="89">
        <v>2</v>
      </c>
      <c r="I2734" s="89">
        <v>10</v>
      </c>
      <c r="J2734" s="710">
        <f>(VLOOKUP($C2734,[2]Sheet1!$A$2:$P$18,$M2734+1)/12)*12*D2734</f>
        <v>3421412.7407999998</v>
      </c>
      <c r="K2734" s="711"/>
      <c r="M2734" s="62">
        <f t="shared" si="225"/>
        <v>3</v>
      </c>
    </row>
    <row r="2735" spans="1:13">
      <c r="A2735" s="88">
        <f t="shared" si="224"/>
        <v>75</v>
      </c>
      <c r="B2735" s="69" t="s">
        <v>3735</v>
      </c>
      <c r="C2735" s="69">
        <v>7</v>
      </c>
      <c r="D2735" s="89">
        <v>5</v>
      </c>
      <c r="E2735" s="89">
        <v>1</v>
      </c>
      <c r="F2735" s="89">
        <v>1</v>
      </c>
      <c r="G2735" s="89">
        <v>1</v>
      </c>
      <c r="H2735" s="89">
        <v>1</v>
      </c>
      <c r="I2735" s="89">
        <v>5</v>
      </c>
      <c r="J2735" s="710">
        <f>(VLOOKUP($C2735,[2]Sheet1!$A$2:$P$18,$M2735+1)/12)*12*D2735</f>
        <v>1538533.5120000003</v>
      </c>
      <c r="K2735" s="711"/>
      <c r="M2735" s="62">
        <f t="shared" si="225"/>
        <v>3</v>
      </c>
    </row>
    <row r="2736" spans="1:13">
      <c r="A2736" s="88">
        <f t="shared" si="224"/>
        <v>76</v>
      </c>
      <c r="B2736" s="69" t="s">
        <v>779</v>
      </c>
      <c r="C2736" s="69">
        <v>6</v>
      </c>
      <c r="D2736" s="89">
        <v>5</v>
      </c>
      <c r="E2736" s="89">
        <v>1</v>
      </c>
      <c r="F2736" s="89">
        <v>0</v>
      </c>
      <c r="G2736" s="89">
        <v>0</v>
      </c>
      <c r="H2736" s="89">
        <v>1</v>
      </c>
      <c r="I2736" s="89">
        <v>5</v>
      </c>
      <c r="J2736" s="710">
        <f>(VLOOKUP($C2736,[2]Sheet1!$A$2:$P$18,$M2736+1)/12)*12*D2736</f>
        <v>1190496.8946518248</v>
      </c>
      <c r="K2736" s="711"/>
      <c r="M2736" s="62">
        <f t="shared" si="225"/>
        <v>5</v>
      </c>
    </row>
    <row r="2737" spans="1:13">
      <c r="A2737" s="88">
        <f t="shared" si="224"/>
        <v>77</v>
      </c>
      <c r="B2737" s="69" t="s">
        <v>4070</v>
      </c>
      <c r="C2737" s="69">
        <v>4</v>
      </c>
      <c r="D2737" s="89">
        <v>2</v>
      </c>
      <c r="E2737" s="89">
        <v>2</v>
      </c>
      <c r="F2737" s="89">
        <v>1</v>
      </c>
      <c r="G2737" s="89">
        <v>1</v>
      </c>
      <c r="H2737" s="89">
        <v>2</v>
      </c>
      <c r="I2737" s="89">
        <v>2</v>
      </c>
      <c r="J2737" s="710">
        <f>(VLOOKUP($C2737,[2]Sheet1!$A$2:$P$18,$M2737+1)/12)*12*D2737</f>
        <v>449085.95786073001</v>
      </c>
      <c r="K2737" s="711"/>
      <c r="M2737" s="62">
        <f t="shared" si="225"/>
        <v>5</v>
      </c>
    </row>
    <row r="2738" spans="1:13">
      <c r="A2738" s="88">
        <f t="shared" si="224"/>
        <v>78</v>
      </c>
      <c r="B2738" s="69" t="s">
        <v>2790</v>
      </c>
      <c r="C2738" s="69">
        <v>3</v>
      </c>
      <c r="D2738" s="89">
        <v>3</v>
      </c>
      <c r="E2738" s="89">
        <v>3</v>
      </c>
      <c r="F2738" s="89">
        <v>3</v>
      </c>
      <c r="G2738" s="89">
        <v>3</v>
      </c>
      <c r="H2738" s="89">
        <v>3</v>
      </c>
      <c r="I2738" s="89">
        <v>3</v>
      </c>
      <c r="J2738" s="710">
        <f>(VLOOKUP($C2738,[2]Sheet1!$A$2:$P$18,$M2738+1)/12)*12*D2738</f>
        <v>658008.53679109493</v>
      </c>
      <c r="K2738" s="711"/>
      <c r="M2738" s="62">
        <f t="shared" si="225"/>
        <v>5</v>
      </c>
    </row>
    <row r="2739" spans="1:13">
      <c r="A2739" s="88">
        <f t="shared" si="224"/>
        <v>79</v>
      </c>
      <c r="B2739" s="69" t="s">
        <v>2432</v>
      </c>
      <c r="C2739" s="69">
        <v>6</v>
      </c>
      <c r="D2739" s="119">
        <v>5</v>
      </c>
      <c r="E2739" s="89">
        <v>0</v>
      </c>
      <c r="F2739" s="119">
        <v>0</v>
      </c>
      <c r="G2739" s="119">
        <v>0</v>
      </c>
      <c r="H2739" s="89">
        <v>0</v>
      </c>
      <c r="I2739" s="119">
        <v>5</v>
      </c>
      <c r="J2739" s="710">
        <f>(VLOOKUP($C2739,[2]Sheet1!$A$2:$P$18,$M2739+1)/12)*12*D2739</f>
        <v>1190496.8946518248</v>
      </c>
      <c r="K2739" s="711"/>
      <c r="M2739" s="62">
        <f t="shared" si="225"/>
        <v>5</v>
      </c>
    </row>
    <row r="2740" spans="1:13">
      <c r="A2740" s="88">
        <f t="shared" si="224"/>
        <v>80</v>
      </c>
      <c r="B2740" s="69" t="s">
        <v>1439</v>
      </c>
      <c r="C2740" s="69">
        <v>5</v>
      </c>
      <c r="D2740" s="89">
        <v>5</v>
      </c>
      <c r="E2740" s="89">
        <v>0</v>
      </c>
      <c r="F2740" s="89">
        <v>0</v>
      </c>
      <c r="G2740" s="89">
        <v>0</v>
      </c>
      <c r="H2740" s="89">
        <v>0</v>
      </c>
      <c r="I2740" s="89">
        <v>5</v>
      </c>
      <c r="J2740" s="710">
        <f>(VLOOKUP($C2740,[2]Sheet1!$A$2:$P$18,$M2740+1)/12)*12*D2740</f>
        <v>1147848.8946518251</v>
      </c>
      <c r="K2740" s="711"/>
      <c r="M2740" s="62">
        <f t="shared" si="225"/>
        <v>5</v>
      </c>
    </row>
    <row r="2741" spans="1:13">
      <c r="A2741" s="88">
        <f t="shared" si="224"/>
        <v>81</v>
      </c>
      <c r="B2741" s="69" t="s">
        <v>1285</v>
      </c>
      <c r="C2741" s="69">
        <v>4</v>
      </c>
      <c r="D2741" s="119">
        <v>5</v>
      </c>
      <c r="E2741" s="89">
        <v>1</v>
      </c>
      <c r="F2741" s="119">
        <v>1</v>
      </c>
      <c r="G2741" s="119">
        <v>1</v>
      </c>
      <c r="H2741" s="89">
        <v>1</v>
      </c>
      <c r="I2741" s="119">
        <v>5</v>
      </c>
      <c r="J2741" s="710">
        <f>(VLOOKUP($C2741,[2]Sheet1!$A$2:$P$18,$M2741+1)/12)*12*D2741</f>
        <v>1122714.8946518251</v>
      </c>
      <c r="K2741" s="711"/>
      <c r="M2741" s="62">
        <f t="shared" si="225"/>
        <v>5</v>
      </c>
    </row>
    <row r="2742" spans="1:13">
      <c r="A2742" s="88">
        <f t="shared" si="224"/>
        <v>82</v>
      </c>
      <c r="B2742" s="69" t="s">
        <v>1286</v>
      </c>
      <c r="C2742" s="69">
        <v>3</v>
      </c>
      <c r="D2742" s="89">
        <v>10</v>
      </c>
      <c r="E2742" s="89">
        <v>0</v>
      </c>
      <c r="F2742" s="89">
        <v>0</v>
      </c>
      <c r="G2742" s="89">
        <v>0</v>
      </c>
      <c r="H2742" s="89">
        <v>0</v>
      </c>
      <c r="I2742" s="89">
        <v>10</v>
      </c>
      <c r="J2742" s="710">
        <f>(VLOOKUP($C2742,[2]Sheet1!$A$2:$P$18,$M2742+1)/12)*12*D2742</f>
        <v>2193361.7893036497</v>
      </c>
      <c r="K2742" s="711"/>
      <c r="M2742" s="62">
        <f t="shared" si="225"/>
        <v>5</v>
      </c>
    </row>
    <row r="2743" spans="1:13">
      <c r="A2743" s="88"/>
      <c r="B2743" s="90" t="s">
        <v>1750</v>
      </c>
      <c r="C2743" s="69"/>
      <c r="D2743" s="89"/>
      <c r="E2743" s="89"/>
      <c r="F2743" s="89"/>
      <c r="G2743" s="89"/>
      <c r="H2743" s="89"/>
      <c r="I2743" s="89"/>
      <c r="J2743" s="710"/>
      <c r="K2743" s="711"/>
      <c r="M2743" s="62">
        <f t="shared" si="225"/>
        <v>5</v>
      </c>
    </row>
    <row r="2744" spans="1:13">
      <c r="A2744" s="88">
        <f>+A2742+1</f>
        <v>83</v>
      </c>
      <c r="B2744" s="69" t="s">
        <v>3532</v>
      </c>
      <c r="C2744" s="69">
        <v>16</v>
      </c>
      <c r="D2744" s="143">
        <v>1</v>
      </c>
      <c r="E2744" s="89">
        <v>1</v>
      </c>
      <c r="F2744" s="143">
        <v>1</v>
      </c>
      <c r="G2744" s="143">
        <v>1</v>
      </c>
      <c r="H2744" s="89">
        <v>1</v>
      </c>
      <c r="I2744" s="143">
        <v>1</v>
      </c>
      <c r="J2744" s="710">
        <f>(VLOOKUP($C2744,[2]Sheet1!$A$2:$P$18,$M2744+1)/12)*12*D2744</f>
        <v>677281.26084</v>
      </c>
      <c r="K2744" s="711"/>
      <c r="M2744" s="62">
        <f t="shared" si="225"/>
        <v>3</v>
      </c>
    </row>
    <row r="2745" spans="1:13">
      <c r="A2745" s="88">
        <f t="shared" ref="A2745:A2762" si="226">+A2744+1</f>
        <v>84</v>
      </c>
      <c r="B2745" s="69" t="s">
        <v>1099</v>
      </c>
      <c r="C2745" s="69">
        <v>15</v>
      </c>
      <c r="D2745" s="89">
        <v>2</v>
      </c>
      <c r="E2745" s="89">
        <v>2</v>
      </c>
      <c r="F2745" s="89">
        <v>2</v>
      </c>
      <c r="G2745" s="89">
        <v>2</v>
      </c>
      <c r="H2745" s="89">
        <v>2</v>
      </c>
      <c r="I2745" s="89">
        <v>2</v>
      </c>
      <c r="J2745" s="710">
        <f>(VLOOKUP($C2745,[2]Sheet1!$A$2:$P$18,$M2745+1)/12)*12*D2745</f>
        <v>1316663.79984</v>
      </c>
      <c r="K2745" s="711"/>
      <c r="M2745" s="62">
        <f t="shared" si="225"/>
        <v>3</v>
      </c>
    </row>
    <row r="2746" spans="1:13">
      <c r="A2746" s="88">
        <f t="shared" si="226"/>
        <v>85</v>
      </c>
      <c r="B2746" s="69" t="s">
        <v>1593</v>
      </c>
      <c r="C2746" s="69">
        <v>14</v>
      </c>
      <c r="D2746" s="143">
        <v>2</v>
      </c>
      <c r="E2746" s="89">
        <v>0</v>
      </c>
      <c r="F2746" s="143">
        <v>0</v>
      </c>
      <c r="G2746" s="143">
        <v>0</v>
      </c>
      <c r="H2746" s="89">
        <v>0</v>
      </c>
      <c r="I2746" s="143">
        <v>2</v>
      </c>
      <c r="J2746" s="710">
        <f>(VLOOKUP($C2746,[2]Sheet1!$A$2:$P$18,$M2746+1)/12)*12*D2746</f>
        <v>1338198.81648</v>
      </c>
      <c r="K2746" s="711"/>
      <c r="M2746" s="62">
        <f t="shared" si="225"/>
        <v>3</v>
      </c>
    </row>
    <row r="2747" spans="1:13">
      <c r="A2747" s="88">
        <f t="shared" si="226"/>
        <v>86</v>
      </c>
      <c r="B2747" s="69" t="s">
        <v>1594</v>
      </c>
      <c r="C2747" s="69">
        <v>13</v>
      </c>
      <c r="D2747" s="143">
        <v>1</v>
      </c>
      <c r="E2747" s="89">
        <v>0</v>
      </c>
      <c r="F2747" s="143">
        <v>0</v>
      </c>
      <c r="G2747" s="143">
        <v>0</v>
      </c>
      <c r="H2747" s="89">
        <v>0</v>
      </c>
      <c r="I2747" s="143">
        <v>1</v>
      </c>
      <c r="J2747" s="710">
        <f>(VLOOKUP($C2747,[2]Sheet1!$A$2:$P$18,$M2747+1)/12)*12*D2747</f>
        <v>628759.53804000001</v>
      </c>
      <c r="K2747" s="711"/>
      <c r="M2747" s="62">
        <f t="shared" si="225"/>
        <v>3</v>
      </c>
    </row>
    <row r="2748" spans="1:13">
      <c r="A2748" s="88">
        <f t="shared" si="226"/>
        <v>87</v>
      </c>
      <c r="B2748" s="69" t="s">
        <v>1476</v>
      </c>
      <c r="C2748" s="69">
        <v>14</v>
      </c>
      <c r="D2748" s="143">
        <v>1</v>
      </c>
      <c r="E2748" s="89">
        <v>0</v>
      </c>
      <c r="F2748" s="143">
        <v>0</v>
      </c>
      <c r="G2748" s="143">
        <v>0</v>
      </c>
      <c r="H2748" s="89">
        <v>0</v>
      </c>
      <c r="I2748" s="143">
        <v>1</v>
      </c>
      <c r="J2748" s="710">
        <f>(VLOOKUP($C2748,[2]Sheet1!$A$2:$P$18,$M2748+1)/12)*12*D2748</f>
        <v>669099.40824000002</v>
      </c>
      <c r="K2748" s="711"/>
      <c r="M2748" s="62">
        <f t="shared" si="225"/>
        <v>3</v>
      </c>
    </row>
    <row r="2749" spans="1:13">
      <c r="A2749" s="88">
        <f t="shared" si="226"/>
        <v>88</v>
      </c>
      <c r="B2749" s="69" t="s">
        <v>1477</v>
      </c>
      <c r="C2749" s="69">
        <v>12</v>
      </c>
      <c r="D2749" s="143">
        <v>5</v>
      </c>
      <c r="E2749" s="89">
        <v>3</v>
      </c>
      <c r="F2749" s="143">
        <v>3</v>
      </c>
      <c r="G2749" s="143">
        <v>3</v>
      </c>
      <c r="H2749" s="89">
        <v>3</v>
      </c>
      <c r="I2749" s="143">
        <v>5</v>
      </c>
      <c r="J2749" s="710">
        <f>(VLOOKUP($C2749,[2]Sheet1!$A$2:$P$18,$M2749+1)/12)*12*D2749</f>
        <v>2763425.268600001</v>
      </c>
      <c r="K2749" s="711"/>
      <c r="M2749" s="62">
        <f t="shared" si="225"/>
        <v>3</v>
      </c>
    </row>
    <row r="2750" spans="1:13">
      <c r="A2750" s="88">
        <f t="shared" si="226"/>
        <v>89</v>
      </c>
      <c r="B2750" s="69" t="s">
        <v>1287</v>
      </c>
      <c r="C2750" s="69">
        <v>10</v>
      </c>
      <c r="D2750" s="143">
        <v>2</v>
      </c>
      <c r="E2750" s="89">
        <v>3</v>
      </c>
      <c r="F2750" s="143">
        <v>3</v>
      </c>
      <c r="G2750" s="143">
        <v>3</v>
      </c>
      <c r="H2750" s="89">
        <v>3</v>
      </c>
      <c r="I2750" s="143">
        <v>2</v>
      </c>
      <c r="J2750" s="710">
        <f>(VLOOKUP($C2750,[2]Sheet1!$A$2:$P$18,$M2750+1)/12)*12*D2750</f>
        <v>967949.1374400002</v>
      </c>
      <c r="K2750" s="711"/>
      <c r="M2750" s="62">
        <f t="shared" si="225"/>
        <v>3</v>
      </c>
    </row>
    <row r="2751" spans="1:13">
      <c r="A2751" s="88">
        <f t="shared" si="226"/>
        <v>90</v>
      </c>
      <c r="B2751" s="69" t="s">
        <v>1292</v>
      </c>
      <c r="C2751" s="69">
        <v>10</v>
      </c>
      <c r="D2751" s="143">
        <v>3</v>
      </c>
      <c r="E2751" s="89">
        <v>0</v>
      </c>
      <c r="F2751" s="143">
        <v>0</v>
      </c>
      <c r="G2751" s="143">
        <v>0</v>
      </c>
      <c r="H2751" s="89">
        <v>0</v>
      </c>
      <c r="I2751" s="143">
        <v>3</v>
      </c>
      <c r="J2751" s="710">
        <f>(VLOOKUP($C2751,[2]Sheet1!$A$2:$P$18,$M2751+1)/12)*12*D2751</f>
        <v>1451923.7061600003</v>
      </c>
      <c r="K2751" s="711"/>
      <c r="M2751" s="62">
        <f t="shared" si="225"/>
        <v>3</v>
      </c>
    </row>
    <row r="2752" spans="1:13">
      <c r="A2752" s="88">
        <f t="shared" si="226"/>
        <v>91</v>
      </c>
      <c r="B2752" s="69" t="s">
        <v>1293</v>
      </c>
      <c r="C2752" s="69">
        <v>9</v>
      </c>
      <c r="D2752" s="89">
        <v>3</v>
      </c>
      <c r="E2752" s="89">
        <v>0</v>
      </c>
      <c r="F2752" s="89">
        <v>0</v>
      </c>
      <c r="G2752" s="89">
        <v>0</v>
      </c>
      <c r="H2752" s="89">
        <v>0</v>
      </c>
      <c r="I2752" s="89">
        <v>3</v>
      </c>
      <c r="J2752" s="710">
        <f>(VLOOKUP($C2752,[2]Sheet1!$A$2:$P$18,$M2752+1)/12)*12*D2752</f>
        <v>1229045.7185999998</v>
      </c>
      <c r="K2752" s="711"/>
      <c r="M2752" s="62">
        <f t="shared" si="225"/>
        <v>3</v>
      </c>
    </row>
    <row r="2753" spans="1:13">
      <c r="A2753" s="88">
        <f>+A2752+1</f>
        <v>92</v>
      </c>
      <c r="B2753" s="69" t="s">
        <v>494</v>
      </c>
      <c r="C2753" s="69">
        <v>9</v>
      </c>
      <c r="D2753" s="89">
        <v>3</v>
      </c>
      <c r="E2753" s="89">
        <v>0</v>
      </c>
      <c r="F2753" s="89">
        <v>0</v>
      </c>
      <c r="G2753" s="89">
        <v>0</v>
      </c>
      <c r="H2753" s="89">
        <v>0</v>
      </c>
      <c r="I2753" s="89">
        <v>3</v>
      </c>
      <c r="J2753" s="710">
        <f>(VLOOKUP($C2753,[2]Sheet1!$A$2:$P$18,$M2753+1)/12)*12*D2753</f>
        <v>1229045.7185999998</v>
      </c>
      <c r="K2753" s="711"/>
      <c r="M2753" s="62">
        <f t="shared" si="225"/>
        <v>3</v>
      </c>
    </row>
    <row r="2754" spans="1:13">
      <c r="A2754" s="88">
        <f t="shared" si="226"/>
        <v>93</v>
      </c>
      <c r="B2754" s="69" t="s">
        <v>495</v>
      </c>
      <c r="C2754" s="69">
        <v>8</v>
      </c>
      <c r="D2754" s="89">
        <v>2</v>
      </c>
      <c r="E2754" s="89">
        <v>0</v>
      </c>
      <c r="F2754" s="89">
        <v>0</v>
      </c>
      <c r="G2754" s="89">
        <v>0</v>
      </c>
      <c r="H2754" s="89">
        <v>0</v>
      </c>
      <c r="I2754" s="89">
        <v>2</v>
      </c>
      <c r="J2754" s="710">
        <f>(VLOOKUP($C2754,[2]Sheet1!$A$2:$P$18,$M2754+1)/12)*12*D2754</f>
        <v>684282.54816000001</v>
      </c>
      <c r="K2754" s="711"/>
      <c r="M2754" s="62">
        <f t="shared" si="225"/>
        <v>3</v>
      </c>
    </row>
    <row r="2755" spans="1:13">
      <c r="A2755" s="88">
        <f t="shared" si="226"/>
        <v>94</v>
      </c>
      <c r="B2755" s="69" t="s">
        <v>496</v>
      </c>
      <c r="C2755" s="69">
        <v>8</v>
      </c>
      <c r="D2755" s="143">
        <v>5</v>
      </c>
      <c r="E2755" s="89">
        <v>0</v>
      </c>
      <c r="F2755" s="143">
        <v>0</v>
      </c>
      <c r="G2755" s="143">
        <v>0</v>
      </c>
      <c r="H2755" s="89">
        <v>0</v>
      </c>
      <c r="I2755" s="143">
        <v>5</v>
      </c>
      <c r="J2755" s="710">
        <f>(VLOOKUP($C2755,[2]Sheet1!$A$2:$P$18,$M2755+1)/12)*12*D2755</f>
        <v>1710706.3703999999</v>
      </c>
      <c r="K2755" s="711"/>
      <c r="M2755" s="62">
        <f t="shared" si="225"/>
        <v>3</v>
      </c>
    </row>
    <row r="2756" spans="1:13">
      <c r="A2756" s="88">
        <f t="shared" si="226"/>
        <v>95</v>
      </c>
      <c r="B2756" s="69" t="s">
        <v>3504</v>
      </c>
      <c r="C2756" s="69">
        <v>9</v>
      </c>
      <c r="D2756" s="143">
        <v>2</v>
      </c>
      <c r="E2756" s="89">
        <v>0</v>
      </c>
      <c r="F2756" s="143">
        <v>0</v>
      </c>
      <c r="G2756" s="143">
        <v>0</v>
      </c>
      <c r="H2756" s="89">
        <v>0</v>
      </c>
      <c r="I2756" s="143">
        <v>2</v>
      </c>
      <c r="J2756" s="710">
        <f>(VLOOKUP($C2756,[2]Sheet1!$A$2:$P$18,$M2756+1)/12)*12*D2756</f>
        <v>819363.81239999994</v>
      </c>
      <c r="K2756" s="711"/>
      <c r="M2756" s="62">
        <f t="shared" si="225"/>
        <v>3</v>
      </c>
    </row>
    <row r="2757" spans="1:13">
      <c r="A2757" s="88">
        <f t="shared" si="226"/>
        <v>96</v>
      </c>
      <c r="B2757" s="69" t="s">
        <v>1295</v>
      </c>
      <c r="C2757" s="69">
        <v>8</v>
      </c>
      <c r="D2757" s="89">
        <v>2</v>
      </c>
      <c r="E2757" s="89">
        <v>0</v>
      </c>
      <c r="F2757" s="89">
        <v>0</v>
      </c>
      <c r="G2757" s="89">
        <v>0</v>
      </c>
      <c r="H2757" s="89">
        <v>0</v>
      </c>
      <c r="I2757" s="89">
        <v>2</v>
      </c>
      <c r="J2757" s="710">
        <f>(VLOOKUP($C2757,[2]Sheet1!$A$2:$P$18,$M2757+1)/12)*12*D2757</f>
        <v>684282.54816000001</v>
      </c>
      <c r="K2757" s="711"/>
      <c r="M2757" s="62">
        <f t="shared" si="225"/>
        <v>3</v>
      </c>
    </row>
    <row r="2758" spans="1:13">
      <c r="A2758" s="88">
        <f t="shared" si="226"/>
        <v>97</v>
      </c>
      <c r="B2758" s="69" t="s">
        <v>1481</v>
      </c>
      <c r="C2758" s="69">
        <v>7</v>
      </c>
      <c r="D2758" s="143">
        <v>1</v>
      </c>
      <c r="E2758" s="89">
        <v>3</v>
      </c>
      <c r="F2758" s="143">
        <v>3</v>
      </c>
      <c r="G2758" s="143">
        <v>3</v>
      </c>
      <c r="H2758" s="89">
        <v>3</v>
      </c>
      <c r="I2758" s="143">
        <v>1</v>
      </c>
      <c r="J2758" s="710">
        <f>(VLOOKUP($C2758,[2]Sheet1!$A$2:$P$18,$M2758+1)/12)*12*D2758</f>
        <v>307706.70240000007</v>
      </c>
      <c r="K2758" s="711"/>
      <c r="M2758" s="62">
        <f t="shared" si="225"/>
        <v>3</v>
      </c>
    </row>
    <row r="2759" spans="1:13">
      <c r="A2759" s="88">
        <f t="shared" si="226"/>
        <v>98</v>
      </c>
      <c r="B2759" s="69" t="s">
        <v>1482</v>
      </c>
      <c r="C2759" s="69">
        <v>7</v>
      </c>
      <c r="D2759" s="143">
        <v>2</v>
      </c>
      <c r="E2759" s="89">
        <v>1</v>
      </c>
      <c r="F2759" s="143">
        <v>1</v>
      </c>
      <c r="G2759" s="143">
        <v>1</v>
      </c>
      <c r="H2759" s="89">
        <v>1</v>
      </c>
      <c r="I2759" s="143">
        <v>2</v>
      </c>
      <c r="J2759" s="710">
        <f>(VLOOKUP($C2759,[2]Sheet1!$A$2:$P$18,$M2759+1)/12)*12*D2759</f>
        <v>615413.40480000013</v>
      </c>
      <c r="K2759" s="711"/>
      <c r="M2759" s="62">
        <f t="shared" si="225"/>
        <v>3</v>
      </c>
    </row>
    <row r="2760" spans="1:13">
      <c r="A2760" s="88">
        <f t="shared" si="226"/>
        <v>99</v>
      </c>
      <c r="B2760" s="69" t="s">
        <v>1483</v>
      </c>
      <c r="C2760" s="69">
        <v>6</v>
      </c>
      <c r="D2760" s="89">
        <v>1</v>
      </c>
      <c r="E2760" s="89">
        <v>0</v>
      </c>
      <c r="F2760" s="89">
        <v>0</v>
      </c>
      <c r="G2760" s="89">
        <v>0</v>
      </c>
      <c r="H2760" s="89">
        <v>0</v>
      </c>
      <c r="I2760" s="89">
        <v>1</v>
      </c>
      <c r="J2760" s="710">
        <f>(VLOOKUP($C2760,[2]Sheet1!$A$2:$P$18,$M2760+1)/12)*12*D2760</f>
        <v>238099.37893036497</v>
      </c>
      <c r="K2760" s="711"/>
      <c r="M2760" s="62">
        <f t="shared" si="225"/>
        <v>5</v>
      </c>
    </row>
    <row r="2761" spans="1:13">
      <c r="A2761" s="88">
        <f t="shared" si="226"/>
        <v>100</v>
      </c>
      <c r="B2761" s="69" t="s">
        <v>1484</v>
      </c>
      <c r="C2761" s="69">
        <v>3</v>
      </c>
      <c r="D2761" s="143">
        <v>3</v>
      </c>
      <c r="E2761" s="89">
        <v>0</v>
      </c>
      <c r="F2761" s="143">
        <v>0</v>
      </c>
      <c r="G2761" s="143">
        <v>0</v>
      </c>
      <c r="H2761" s="89">
        <v>0</v>
      </c>
      <c r="I2761" s="143">
        <v>3</v>
      </c>
      <c r="J2761" s="710">
        <f>(VLOOKUP($C2761,[2]Sheet1!$A$2:$P$18,$M2761+1)/12)*12*D2761</f>
        <v>658008.53679109493</v>
      </c>
      <c r="K2761" s="711"/>
      <c r="M2761" s="62">
        <f t="shared" si="225"/>
        <v>5</v>
      </c>
    </row>
    <row r="2762" spans="1:13">
      <c r="A2762" s="88">
        <f t="shared" si="226"/>
        <v>101</v>
      </c>
      <c r="B2762" s="69" t="s">
        <v>1485</v>
      </c>
      <c r="C2762" s="69">
        <v>5</v>
      </c>
      <c r="D2762" s="143">
        <v>5</v>
      </c>
      <c r="E2762" s="89">
        <v>5</v>
      </c>
      <c r="F2762" s="143">
        <v>5</v>
      </c>
      <c r="G2762" s="143">
        <v>5</v>
      </c>
      <c r="H2762" s="89">
        <v>5</v>
      </c>
      <c r="I2762" s="143">
        <v>5</v>
      </c>
      <c r="J2762" s="710">
        <f>(VLOOKUP($C2762,[2]Sheet1!$A$2:$P$18,$M2762+1)/12)*12*D2762</f>
        <v>1147848.8946518251</v>
      </c>
      <c r="K2762" s="711"/>
      <c r="M2762" s="62">
        <f t="shared" si="225"/>
        <v>5</v>
      </c>
    </row>
    <row r="2763" spans="1:13">
      <c r="A2763" s="88">
        <f>+A2762+1</f>
        <v>102</v>
      </c>
      <c r="B2763" s="69" t="s">
        <v>3692</v>
      </c>
      <c r="C2763" s="69">
        <v>3</v>
      </c>
      <c r="D2763" s="89">
        <v>4</v>
      </c>
      <c r="E2763" s="89">
        <v>3</v>
      </c>
      <c r="F2763" s="89">
        <v>3</v>
      </c>
      <c r="G2763" s="89">
        <v>3</v>
      </c>
      <c r="H2763" s="89">
        <v>3</v>
      </c>
      <c r="I2763" s="89">
        <v>4</v>
      </c>
      <c r="J2763" s="710">
        <f>(VLOOKUP($C2763,[2]Sheet1!$A$2:$P$18,$M2763+1)/12)*12*D2763</f>
        <v>877344.71572145994</v>
      </c>
      <c r="K2763" s="711"/>
      <c r="M2763" s="62">
        <f t="shared" si="225"/>
        <v>5</v>
      </c>
    </row>
    <row r="2764" spans="1:13">
      <c r="A2764" s="88">
        <f>+A2763+1</f>
        <v>103</v>
      </c>
      <c r="B2764" s="69" t="s">
        <v>3693</v>
      </c>
      <c r="C2764" s="69">
        <v>2</v>
      </c>
      <c r="D2764" s="89">
        <v>7</v>
      </c>
      <c r="E2764" s="89">
        <v>2</v>
      </c>
      <c r="F2764" s="89">
        <v>2</v>
      </c>
      <c r="G2764" s="89">
        <v>2</v>
      </c>
      <c r="H2764" s="89">
        <v>2</v>
      </c>
      <c r="I2764" s="89">
        <v>7</v>
      </c>
      <c r="J2764" s="710">
        <f>(VLOOKUP($C2764,[2]Sheet1!$A$2:$P$18,$M2764+1)/12)*12*D2764</f>
        <v>1502601.6525125552</v>
      </c>
      <c r="K2764" s="711"/>
      <c r="M2764" s="62">
        <f t="shared" si="225"/>
        <v>5</v>
      </c>
    </row>
    <row r="2765" spans="1:13" ht="13.5" thickBot="1">
      <c r="A2765" s="88">
        <f>+A2764+1</f>
        <v>104</v>
      </c>
      <c r="B2765" s="69" t="s">
        <v>3694</v>
      </c>
      <c r="C2765" s="69">
        <v>2</v>
      </c>
      <c r="D2765" s="89">
        <v>3</v>
      </c>
      <c r="E2765" s="89">
        <v>1</v>
      </c>
      <c r="F2765" s="89">
        <v>1</v>
      </c>
      <c r="G2765" s="89">
        <v>1</v>
      </c>
      <c r="H2765" s="89">
        <v>1</v>
      </c>
      <c r="I2765" s="89">
        <v>3</v>
      </c>
      <c r="J2765" s="710">
        <f>(VLOOKUP($C2765,[2]Sheet1!$A$2:$P$18,$M2765+1)/12)*12*D2765</f>
        <v>643972.13679109514</v>
      </c>
      <c r="K2765" s="711"/>
      <c r="M2765" s="62">
        <f t="shared" si="225"/>
        <v>5</v>
      </c>
    </row>
    <row r="2766" spans="1:13" ht="15.75" thickTop="1">
      <c r="A2766" s="1047" t="s">
        <v>2791</v>
      </c>
      <c r="B2766" s="1049" t="s">
        <v>4126</v>
      </c>
      <c r="C2766" s="1049" t="s">
        <v>854</v>
      </c>
      <c r="D2766" s="1040" t="s">
        <v>4127</v>
      </c>
      <c r="E2766" s="1041"/>
      <c r="F2766" s="1041"/>
      <c r="G2766" s="1040" t="s">
        <v>904</v>
      </c>
      <c r="H2766" s="1041"/>
      <c r="I2766" s="1042"/>
      <c r="J2766" s="1035" t="s">
        <v>855</v>
      </c>
      <c r="K2766" s="389"/>
    </row>
    <row r="2767" spans="1:13" ht="26.25" thickBot="1">
      <c r="A2767" s="1048"/>
      <c r="B2767" s="1050"/>
      <c r="C2767" s="1050"/>
      <c r="D2767" s="285" t="s">
        <v>5505</v>
      </c>
      <c r="E2767" s="285" t="s">
        <v>4485</v>
      </c>
      <c r="F2767" s="285" t="s">
        <v>4486</v>
      </c>
      <c r="G2767" s="287" t="s">
        <v>4487</v>
      </c>
      <c r="H2767" s="285" t="s">
        <v>4488</v>
      </c>
      <c r="I2767" s="287" t="s">
        <v>4489</v>
      </c>
      <c r="J2767" s="1036"/>
      <c r="K2767" s="712"/>
    </row>
    <row r="2768" spans="1:13" ht="13.5" thickTop="1">
      <c r="A2768" s="88">
        <f>+A2765+1</f>
        <v>105</v>
      </c>
      <c r="B2768" s="69" t="s">
        <v>2172</v>
      </c>
      <c r="C2768" s="69">
        <v>2</v>
      </c>
      <c r="D2768" s="89">
        <v>3</v>
      </c>
      <c r="E2768" s="89">
        <v>1</v>
      </c>
      <c r="F2768" s="89"/>
      <c r="G2768" s="89">
        <v>0</v>
      </c>
      <c r="H2768" s="89">
        <v>1</v>
      </c>
      <c r="I2768" s="89">
        <v>3</v>
      </c>
      <c r="J2768" s="710">
        <f>(VLOOKUP($C2768,[2]Sheet1!$A$2:$P$18,$M2768+1)/12)*12*D2768</f>
        <v>643972.13679109514</v>
      </c>
      <c r="K2768" s="711"/>
      <c r="M2768" s="62">
        <f t="shared" si="225"/>
        <v>5</v>
      </c>
    </row>
    <row r="2769" spans="1:13">
      <c r="A2769" s="88"/>
      <c r="B2769" s="90" t="s">
        <v>3739</v>
      </c>
      <c r="C2769" s="69"/>
      <c r="D2769" s="89"/>
      <c r="E2769" s="89"/>
      <c r="F2769" s="89"/>
      <c r="G2769" s="89"/>
      <c r="H2769" s="89"/>
      <c r="I2769" s="89"/>
      <c r="J2769" s="713"/>
      <c r="K2769" s="711"/>
      <c r="M2769" s="62">
        <f t="shared" si="225"/>
        <v>5</v>
      </c>
    </row>
    <row r="2770" spans="1:13">
      <c r="A2770" s="88">
        <f>+A2768+1</f>
        <v>106</v>
      </c>
      <c r="B2770" s="69" t="s">
        <v>1256</v>
      </c>
      <c r="C2770" s="69">
        <v>15</v>
      </c>
      <c r="D2770" s="119">
        <v>0</v>
      </c>
      <c r="E2770" s="89">
        <v>0</v>
      </c>
      <c r="F2770" s="119">
        <v>0</v>
      </c>
      <c r="G2770" s="119">
        <v>0</v>
      </c>
      <c r="H2770" s="89">
        <v>0</v>
      </c>
      <c r="I2770" s="119">
        <v>0</v>
      </c>
      <c r="J2770" s="710">
        <f>(VLOOKUP($C2770,[2]Sheet1!$A$2:$P$18,$M2770+1)/12)*12*D2770</f>
        <v>0</v>
      </c>
      <c r="K2770" s="711"/>
      <c r="M2770" s="62">
        <f t="shared" si="225"/>
        <v>3</v>
      </c>
    </row>
    <row r="2771" spans="1:13">
      <c r="A2771" s="88">
        <f t="shared" ref="A2771:A2787" si="227">+A2770+1</f>
        <v>107</v>
      </c>
      <c r="B2771" s="69" t="s">
        <v>3533</v>
      </c>
      <c r="C2771" s="69">
        <v>14</v>
      </c>
      <c r="D2771" s="89">
        <v>1</v>
      </c>
      <c r="E2771" s="89">
        <v>0</v>
      </c>
      <c r="F2771" s="89">
        <v>0</v>
      </c>
      <c r="G2771" s="89">
        <v>0</v>
      </c>
      <c r="H2771" s="89">
        <v>0</v>
      </c>
      <c r="I2771" s="89">
        <v>1</v>
      </c>
      <c r="J2771" s="710">
        <f>(VLOOKUP($C2771,[2]Sheet1!$A$2:$P$18,$M2771+1)/12)*12*D2771</f>
        <v>669099.40824000002</v>
      </c>
      <c r="K2771" s="711"/>
      <c r="M2771" s="62">
        <f t="shared" si="225"/>
        <v>3</v>
      </c>
    </row>
    <row r="2772" spans="1:13">
      <c r="A2772" s="88">
        <f t="shared" si="227"/>
        <v>108</v>
      </c>
      <c r="B2772" s="69" t="s">
        <v>3588</v>
      </c>
      <c r="C2772" s="69">
        <v>14</v>
      </c>
      <c r="D2772" s="119">
        <v>8</v>
      </c>
      <c r="E2772" s="89">
        <v>1</v>
      </c>
      <c r="F2772" s="119">
        <v>0</v>
      </c>
      <c r="G2772" s="119">
        <v>0</v>
      </c>
      <c r="H2772" s="89">
        <v>1</v>
      </c>
      <c r="I2772" s="119">
        <v>8</v>
      </c>
      <c r="J2772" s="710">
        <f>(VLOOKUP($C2772,[2]Sheet1!$A$2:$P$18,$M2772+1)/12)*12*D2772</f>
        <v>5352795.2659200002</v>
      </c>
      <c r="K2772" s="711"/>
      <c r="M2772" s="62">
        <f t="shared" si="225"/>
        <v>3</v>
      </c>
    </row>
    <row r="2773" spans="1:13">
      <c r="A2773" s="88">
        <f t="shared" si="227"/>
        <v>109</v>
      </c>
      <c r="B2773" s="69" t="s">
        <v>3589</v>
      </c>
      <c r="C2773" s="69">
        <v>13</v>
      </c>
      <c r="D2773" s="119">
        <v>8</v>
      </c>
      <c r="E2773" s="89">
        <v>1</v>
      </c>
      <c r="F2773" s="119">
        <v>1</v>
      </c>
      <c r="G2773" s="119">
        <v>1</v>
      </c>
      <c r="H2773" s="89">
        <v>1</v>
      </c>
      <c r="I2773" s="119">
        <v>8</v>
      </c>
      <c r="J2773" s="710">
        <f>(VLOOKUP($C2773,[2]Sheet1!$A$2:$P$18,$M2773+1)/12)*12*D2773</f>
        <v>5030076.3043200001</v>
      </c>
      <c r="K2773" s="711"/>
      <c r="M2773" s="62">
        <f t="shared" si="225"/>
        <v>3</v>
      </c>
    </row>
    <row r="2774" spans="1:13">
      <c r="A2774" s="88">
        <f>+A2773+1</f>
        <v>110</v>
      </c>
      <c r="B2774" s="69" t="s">
        <v>1492</v>
      </c>
      <c r="C2774" s="69">
        <v>13</v>
      </c>
      <c r="D2774" s="119">
        <v>6</v>
      </c>
      <c r="E2774" s="89">
        <v>1</v>
      </c>
      <c r="F2774" s="119">
        <v>1</v>
      </c>
      <c r="G2774" s="119">
        <v>1</v>
      </c>
      <c r="H2774" s="89">
        <v>1</v>
      </c>
      <c r="I2774" s="119">
        <v>6</v>
      </c>
      <c r="J2774" s="710">
        <f>(VLOOKUP($C2774,[2]Sheet1!$A$2:$P$18,$M2774+1)/12)*12*D2774</f>
        <v>3772557.2282400001</v>
      </c>
      <c r="K2774" s="711"/>
      <c r="M2774" s="62">
        <f t="shared" si="225"/>
        <v>3</v>
      </c>
    </row>
    <row r="2775" spans="1:13">
      <c r="A2775" s="88">
        <f>+A2774+1</f>
        <v>111</v>
      </c>
      <c r="B2775" s="69" t="s">
        <v>241</v>
      </c>
      <c r="C2775" s="69">
        <v>12</v>
      </c>
      <c r="D2775" s="89">
        <v>7</v>
      </c>
      <c r="E2775" s="89">
        <v>1</v>
      </c>
      <c r="F2775" s="89">
        <v>1</v>
      </c>
      <c r="G2775" s="89">
        <v>1</v>
      </c>
      <c r="H2775" s="89">
        <v>1</v>
      </c>
      <c r="I2775" s="89">
        <v>7</v>
      </c>
      <c r="J2775" s="710">
        <f>(VLOOKUP($C2775,[2]Sheet1!$A$2:$P$18,$M2775+1)/12)*12*D2775</f>
        <v>3868795.3760400014</v>
      </c>
      <c r="K2775" s="711"/>
      <c r="M2775" s="62">
        <f t="shared" si="225"/>
        <v>3</v>
      </c>
    </row>
    <row r="2776" spans="1:13">
      <c r="A2776" s="88">
        <f t="shared" si="227"/>
        <v>112</v>
      </c>
      <c r="B2776" s="69" t="s">
        <v>3426</v>
      </c>
      <c r="C2776" s="69">
        <v>10</v>
      </c>
      <c r="D2776" s="89">
        <v>7</v>
      </c>
      <c r="E2776" s="89">
        <v>1</v>
      </c>
      <c r="F2776" s="89">
        <v>0</v>
      </c>
      <c r="G2776" s="89">
        <v>0</v>
      </c>
      <c r="H2776" s="89">
        <v>1</v>
      </c>
      <c r="I2776" s="89">
        <v>7</v>
      </c>
      <c r="J2776" s="710">
        <f>(VLOOKUP($C2776,[2]Sheet1!$A$2:$P$18,$M2776+1)/12)*12*D2776</f>
        <v>3387821.9810400009</v>
      </c>
      <c r="K2776" s="711"/>
      <c r="M2776" s="62">
        <f t="shared" si="225"/>
        <v>3</v>
      </c>
    </row>
    <row r="2777" spans="1:13">
      <c r="A2777" s="88">
        <f t="shared" si="227"/>
        <v>113</v>
      </c>
      <c r="B2777" s="69" t="s">
        <v>3504</v>
      </c>
      <c r="C2777" s="69">
        <v>9</v>
      </c>
      <c r="D2777" s="89">
        <v>9</v>
      </c>
      <c r="E2777" s="89">
        <v>1</v>
      </c>
      <c r="F2777" s="89">
        <v>1</v>
      </c>
      <c r="G2777" s="89">
        <v>1</v>
      </c>
      <c r="H2777" s="89">
        <v>1</v>
      </c>
      <c r="I2777" s="89">
        <v>9</v>
      </c>
      <c r="J2777" s="710">
        <f>(VLOOKUP($C2777,[2]Sheet1!$A$2:$P$18,$M2777+1)/12)*12*D2777</f>
        <v>3687137.1557999998</v>
      </c>
      <c r="K2777" s="711"/>
      <c r="M2777" s="62">
        <f t="shared" si="225"/>
        <v>3</v>
      </c>
    </row>
    <row r="2778" spans="1:13">
      <c r="A2778" s="88">
        <f t="shared" si="227"/>
        <v>114</v>
      </c>
      <c r="B2778" s="69" t="s">
        <v>4069</v>
      </c>
      <c r="C2778" s="69">
        <v>8</v>
      </c>
      <c r="D2778" s="89">
        <v>8</v>
      </c>
      <c r="E2778" s="89">
        <v>1</v>
      </c>
      <c r="F2778" s="89">
        <v>0</v>
      </c>
      <c r="G2778" s="89">
        <v>0</v>
      </c>
      <c r="H2778" s="89">
        <v>0</v>
      </c>
      <c r="I2778" s="89">
        <v>8</v>
      </c>
      <c r="J2778" s="710">
        <f>(VLOOKUP($C2778,[2]Sheet1!$A$2:$P$18,$M2778+1)/12)*12*D2778</f>
        <v>2737130.19264</v>
      </c>
      <c r="K2778" s="711"/>
      <c r="M2778" s="62">
        <f t="shared" si="225"/>
        <v>3</v>
      </c>
    </row>
    <row r="2779" spans="1:13">
      <c r="A2779" s="88">
        <f t="shared" si="227"/>
        <v>115</v>
      </c>
      <c r="B2779" s="69" t="s">
        <v>1481</v>
      </c>
      <c r="C2779" s="69">
        <v>7</v>
      </c>
      <c r="D2779" s="89">
        <v>9</v>
      </c>
      <c r="E2779" s="89">
        <v>1</v>
      </c>
      <c r="F2779" s="89">
        <v>0</v>
      </c>
      <c r="G2779" s="89">
        <v>0</v>
      </c>
      <c r="H2779" s="89">
        <v>0</v>
      </c>
      <c r="I2779" s="89">
        <v>9</v>
      </c>
      <c r="J2779" s="710">
        <f>(VLOOKUP($C2779,[2]Sheet1!$A$2:$P$18,$M2779+1)/12)*12*D2779</f>
        <v>2769360.3216000004</v>
      </c>
      <c r="K2779" s="711"/>
      <c r="M2779" s="62">
        <f t="shared" si="225"/>
        <v>3</v>
      </c>
    </row>
    <row r="2780" spans="1:13">
      <c r="A2780" s="88">
        <f>+A2779+1</f>
        <v>116</v>
      </c>
      <c r="B2780" s="69" t="s">
        <v>3427</v>
      </c>
      <c r="C2780" s="69">
        <v>6</v>
      </c>
      <c r="D2780" s="89">
        <v>8</v>
      </c>
      <c r="E2780" s="89">
        <v>1</v>
      </c>
      <c r="F2780" s="89">
        <v>0</v>
      </c>
      <c r="G2780" s="89">
        <v>0</v>
      </c>
      <c r="H2780" s="89">
        <v>0</v>
      </c>
      <c r="I2780" s="89">
        <v>8</v>
      </c>
      <c r="J2780" s="710">
        <f>(VLOOKUP($C2780,[2]Sheet1!$A$2:$P$18,$M2780+1)/12)*12*D2780</f>
        <v>1904795.0314429197</v>
      </c>
      <c r="K2780" s="711"/>
      <c r="M2780" s="62">
        <f t="shared" si="225"/>
        <v>5</v>
      </c>
    </row>
    <row r="2781" spans="1:13">
      <c r="A2781" s="88">
        <f t="shared" si="227"/>
        <v>117</v>
      </c>
      <c r="B2781" s="69" t="s">
        <v>3428</v>
      </c>
      <c r="C2781" s="69">
        <v>3</v>
      </c>
      <c r="D2781" s="89">
        <v>10</v>
      </c>
      <c r="E2781" s="89">
        <v>6</v>
      </c>
      <c r="F2781" s="89">
        <v>6</v>
      </c>
      <c r="G2781" s="89">
        <v>6</v>
      </c>
      <c r="H2781" s="89">
        <v>6</v>
      </c>
      <c r="I2781" s="89">
        <v>10</v>
      </c>
      <c r="J2781" s="710">
        <f>(VLOOKUP($C2781,[2]Sheet1!$A$2:$P$18,$M2781+1)/12)*12*D2781</f>
        <v>2193361.7893036497</v>
      </c>
      <c r="K2781" s="711"/>
      <c r="M2781" s="62">
        <f t="shared" si="225"/>
        <v>5</v>
      </c>
    </row>
    <row r="2782" spans="1:13">
      <c r="A2782" s="88">
        <f t="shared" si="227"/>
        <v>118</v>
      </c>
      <c r="B2782" s="69" t="s">
        <v>383</v>
      </c>
      <c r="C2782" s="69">
        <v>7</v>
      </c>
      <c r="D2782" s="89">
        <v>1</v>
      </c>
      <c r="E2782" s="89">
        <v>0</v>
      </c>
      <c r="F2782" s="89">
        <v>0</v>
      </c>
      <c r="G2782" s="89">
        <v>0</v>
      </c>
      <c r="H2782" s="89">
        <v>0</v>
      </c>
      <c r="I2782" s="89">
        <v>1</v>
      </c>
      <c r="J2782" s="710">
        <f>(VLOOKUP($C2782,[2]Sheet1!$A$2:$P$18,$M2782+1)/12)*12*D2782</f>
        <v>307706.70240000007</v>
      </c>
      <c r="K2782" s="711"/>
      <c r="M2782" s="62">
        <f t="shared" si="225"/>
        <v>3</v>
      </c>
    </row>
    <row r="2783" spans="1:13">
      <c r="A2783" s="88">
        <f t="shared" si="227"/>
        <v>119</v>
      </c>
      <c r="B2783" s="69" t="s">
        <v>385</v>
      </c>
      <c r="C2783" s="69">
        <v>5</v>
      </c>
      <c r="D2783" s="119">
        <v>1</v>
      </c>
      <c r="E2783" s="89">
        <v>0</v>
      </c>
      <c r="F2783" s="119">
        <v>0</v>
      </c>
      <c r="G2783" s="119">
        <v>0</v>
      </c>
      <c r="H2783" s="89">
        <v>0</v>
      </c>
      <c r="I2783" s="119">
        <v>1</v>
      </c>
      <c r="J2783" s="710">
        <f>(VLOOKUP($C2783,[2]Sheet1!$A$2:$P$18,$M2783+1)/12)*12*D2783</f>
        <v>229569.77893036499</v>
      </c>
      <c r="K2783" s="711"/>
      <c r="M2783" s="62">
        <f t="shared" si="225"/>
        <v>5</v>
      </c>
    </row>
    <row r="2784" spans="1:13">
      <c r="A2784" s="88">
        <f t="shared" si="227"/>
        <v>120</v>
      </c>
      <c r="B2784" s="69" t="s">
        <v>2750</v>
      </c>
      <c r="C2784" s="69">
        <v>4</v>
      </c>
      <c r="D2784" s="89">
        <v>1</v>
      </c>
      <c r="E2784" s="89">
        <v>0</v>
      </c>
      <c r="F2784" s="89">
        <v>0</v>
      </c>
      <c r="G2784" s="89">
        <v>0</v>
      </c>
      <c r="H2784" s="89">
        <v>0</v>
      </c>
      <c r="I2784" s="89">
        <v>1</v>
      </c>
      <c r="J2784" s="710">
        <f>(VLOOKUP($C2784,[2]Sheet1!$A$2:$P$18,$M2784+1)/12)*12*D2784</f>
        <v>224542.978930365</v>
      </c>
      <c r="K2784" s="711"/>
      <c r="M2784" s="62">
        <f t="shared" si="225"/>
        <v>5</v>
      </c>
    </row>
    <row r="2785" spans="1:13">
      <c r="A2785" s="88">
        <f>+A2784+1</f>
        <v>121</v>
      </c>
      <c r="B2785" s="69" t="s">
        <v>1045</v>
      </c>
      <c r="C2785" s="69">
        <v>3</v>
      </c>
      <c r="D2785" s="89">
        <v>1</v>
      </c>
      <c r="E2785" s="89">
        <v>0</v>
      </c>
      <c r="F2785" s="89">
        <v>0</v>
      </c>
      <c r="G2785" s="89">
        <v>0</v>
      </c>
      <c r="H2785" s="89">
        <v>0</v>
      </c>
      <c r="I2785" s="89">
        <v>1</v>
      </c>
      <c r="J2785" s="710">
        <f>(VLOOKUP($C2785,[2]Sheet1!$A$2:$P$18,$M2785+1)/12)*12*D2785</f>
        <v>219336.17893036499</v>
      </c>
      <c r="K2785" s="711"/>
      <c r="M2785" s="62">
        <f t="shared" si="225"/>
        <v>5</v>
      </c>
    </row>
    <row r="2786" spans="1:13">
      <c r="A2786" s="88">
        <f t="shared" si="227"/>
        <v>122</v>
      </c>
      <c r="B2786" s="69" t="s">
        <v>1688</v>
      </c>
      <c r="C2786" s="69">
        <v>7</v>
      </c>
      <c r="D2786" s="119">
        <v>1</v>
      </c>
      <c r="E2786" s="89">
        <v>0</v>
      </c>
      <c r="F2786" s="119">
        <v>0</v>
      </c>
      <c r="G2786" s="119">
        <v>0</v>
      </c>
      <c r="H2786" s="89">
        <v>0</v>
      </c>
      <c r="I2786" s="119">
        <v>1</v>
      </c>
      <c r="J2786" s="710">
        <f>(VLOOKUP($C2786,[2]Sheet1!$A$2:$P$18,$M2786+1)/12)*12*D2786</f>
        <v>307706.70240000007</v>
      </c>
      <c r="K2786" s="711"/>
      <c r="M2786" s="62">
        <f t="shared" ref="M2786:M2846" si="228">IF(C2786&gt;6,3,5)</f>
        <v>3</v>
      </c>
    </row>
    <row r="2787" spans="1:13">
      <c r="A2787" s="88">
        <f t="shared" si="227"/>
        <v>123</v>
      </c>
      <c r="B2787" s="69" t="s">
        <v>2172</v>
      </c>
      <c r="C2787" s="69">
        <v>2</v>
      </c>
      <c r="D2787" s="89">
        <v>1</v>
      </c>
      <c r="E2787" s="89">
        <v>0</v>
      </c>
      <c r="F2787" s="89">
        <v>0</v>
      </c>
      <c r="G2787" s="89">
        <v>0</v>
      </c>
      <c r="H2787" s="89">
        <v>0</v>
      </c>
      <c r="I2787" s="89">
        <v>1</v>
      </c>
      <c r="J2787" s="710">
        <f>(VLOOKUP($C2787,[2]Sheet1!$A$2:$P$18,$M2787+1)/12)*12*D2787</f>
        <v>214657.37893036503</v>
      </c>
      <c r="K2787" s="711"/>
      <c r="M2787" s="62">
        <f t="shared" si="228"/>
        <v>5</v>
      </c>
    </row>
    <row r="2788" spans="1:13">
      <c r="A2788" s="88"/>
      <c r="B2788" s="90" t="s">
        <v>384</v>
      </c>
      <c r="C2788" s="69"/>
      <c r="D2788" s="89"/>
      <c r="E2788" s="89"/>
      <c r="F2788" s="89"/>
      <c r="G2788" s="89"/>
      <c r="H2788" s="89"/>
      <c r="I2788" s="89"/>
      <c r="J2788" s="710"/>
      <c r="K2788" s="711"/>
      <c r="M2788" s="62">
        <f t="shared" si="228"/>
        <v>5</v>
      </c>
    </row>
    <row r="2789" spans="1:13">
      <c r="A2789" s="88">
        <f>+A2787+1</f>
        <v>124</v>
      </c>
      <c r="B2789" s="69" t="s">
        <v>3532</v>
      </c>
      <c r="C2789" s="69">
        <v>16</v>
      </c>
      <c r="D2789" s="89">
        <v>1</v>
      </c>
      <c r="E2789" s="89">
        <v>1</v>
      </c>
      <c r="F2789" s="89">
        <v>1</v>
      </c>
      <c r="G2789" s="89">
        <v>1</v>
      </c>
      <c r="H2789" s="89">
        <v>1</v>
      </c>
      <c r="I2789" s="89">
        <v>1</v>
      </c>
      <c r="J2789" s="710">
        <f>(VLOOKUP($C2789,[2]Sheet1!$A$2:$P$18,$M2789+1)/12)*12*D2789</f>
        <v>677281.26084</v>
      </c>
      <c r="K2789" s="711"/>
      <c r="M2789" s="62">
        <f t="shared" si="228"/>
        <v>3</v>
      </c>
    </row>
    <row r="2790" spans="1:13">
      <c r="A2790" s="88">
        <f t="shared" ref="A2790:A2807" si="229">+A2789+1</f>
        <v>125</v>
      </c>
      <c r="B2790" s="69" t="s">
        <v>1256</v>
      </c>
      <c r="C2790" s="69">
        <v>15</v>
      </c>
      <c r="D2790" s="89">
        <v>2</v>
      </c>
      <c r="E2790" s="89">
        <v>2</v>
      </c>
      <c r="F2790" s="89">
        <v>1</v>
      </c>
      <c r="G2790" s="89">
        <v>1</v>
      </c>
      <c r="H2790" s="89">
        <v>2</v>
      </c>
      <c r="I2790" s="89">
        <v>2</v>
      </c>
      <c r="J2790" s="710">
        <f>(VLOOKUP($C2790,[2]Sheet1!$A$2:$P$18,$M2790+1)/12)*12*D2790</f>
        <v>1316663.79984</v>
      </c>
      <c r="K2790" s="711"/>
      <c r="M2790" s="62">
        <f t="shared" si="228"/>
        <v>3</v>
      </c>
    </row>
    <row r="2791" spans="1:13">
      <c r="A2791" s="88">
        <f t="shared" si="229"/>
        <v>126</v>
      </c>
      <c r="B2791" s="69" t="s">
        <v>3533</v>
      </c>
      <c r="C2791" s="69">
        <v>14</v>
      </c>
      <c r="D2791" s="89">
        <v>2</v>
      </c>
      <c r="E2791" s="89">
        <v>2</v>
      </c>
      <c r="F2791" s="89">
        <v>2</v>
      </c>
      <c r="G2791" s="89">
        <v>2</v>
      </c>
      <c r="H2791" s="89">
        <v>2</v>
      </c>
      <c r="I2791" s="89">
        <v>2</v>
      </c>
      <c r="J2791" s="710">
        <f>(VLOOKUP($C2791,[2]Sheet1!$A$2:$P$18,$M2791+1)/12)*12*D2791</f>
        <v>1338198.81648</v>
      </c>
      <c r="K2791" s="711"/>
      <c r="M2791" s="62">
        <f t="shared" si="228"/>
        <v>3</v>
      </c>
    </row>
    <row r="2792" spans="1:13">
      <c r="A2792" s="88">
        <f t="shared" si="229"/>
        <v>127</v>
      </c>
      <c r="B2792" s="69" t="s">
        <v>1686</v>
      </c>
      <c r="C2792" s="69">
        <v>13</v>
      </c>
      <c r="D2792" s="89">
        <v>1</v>
      </c>
      <c r="E2792" s="89">
        <v>0</v>
      </c>
      <c r="F2792" s="89">
        <v>0</v>
      </c>
      <c r="G2792" s="89">
        <v>0</v>
      </c>
      <c r="H2792" s="89">
        <v>0</v>
      </c>
      <c r="I2792" s="89">
        <v>1</v>
      </c>
      <c r="J2792" s="710">
        <f>(VLOOKUP($C2792,[2]Sheet1!$A$2:$P$18,$M2792+1)/12)*12*D2792</f>
        <v>628759.53804000001</v>
      </c>
      <c r="K2792" s="711"/>
      <c r="M2792" s="62">
        <f t="shared" si="228"/>
        <v>3</v>
      </c>
    </row>
    <row r="2793" spans="1:13">
      <c r="A2793" s="88">
        <f t="shared" si="229"/>
        <v>128</v>
      </c>
      <c r="B2793" s="69" t="s">
        <v>3005</v>
      </c>
      <c r="C2793" s="69">
        <v>12</v>
      </c>
      <c r="D2793" s="89">
        <v>1</v>
      </c>
      <c r="E2793" s="89">
        <v>0</v>
      </c>
      <c r="F2793" s="89">
        <v>0</v>
      </c>
      <c r="G2793" s="89">
        <v>0</v>
      </c>
      <c r="H2793" s="89">
        <v>0</v>
      </c>
      <c r="I2793" s="89">
        <v>1</v>
      </c>
      <c r="J2793" s="710">
        <f>(VLOOKUP($C2793,[2]Sheet1!$A$2:$P$18,$M2793+1)/12)*12*D2793</f>
        <v>552685.0537200002</v>
      </c>
      <c r="K2793" s="711"/>
      <c r="M2793" s="62">
        <f t="shared" si="228"/>
        <v>3</v>
      </c>
    </row>
    <row r="2794" spans="1:13">
      <c r="A2794" s="88">
        <f t="shared" si="229"/>
        <v>129</v>
      </c>
      <c r="B2794" s="69" t="s">
        <v>871</v>
      </c>
      <c r="C2794" s="69">
        <v>10</v>
      </c>
      <c r="D2794" s="89">
        <v>2</v>
      </c>
      <c r="E2794" s="89">
        <v>0</v>
      </c>
      <c r="F2794" s="89">
        <v>0</v>
      </c>
      <c r="G2794" s="89">
        <v>0</v>
      </c>
      <c r="H2794" s="89">
        <v>0</v>
      </c>
      <c r="I2794" s="89">
        <v>2</v>
      </c>
      <c r="J2794" s="710">
        <f>(VLOOKUP($C2794,[2]Sheet1!$A$2:$P$18,$M2794+1)/12)*12*D2794</f>
        <v>967949.1374400002</v>
      </c>
      <c r="K2794" s="711"/>
      <c r="M2794" s="62">
        <f t="shared" si="228"/>
        <v>3</v>
      </c>
    </row>
    <row r="2795" spans="1:13">
      <c r="A2795" s="88">
        <f t="shared" si="229"/>
        <v>130</v>
      </c>
      <c r="B2795" s="69" t="s">
        <v>872</v>
      </c>
      <c r="C2795" s="69">
        <v>14</v>
      </c>
      <c r="D2795" s="89">
        <v>2</v>
      </c>
      <c r="E2795" s="89">
        <v>2</v>
      </c>
      <c r="F2795" s="89">
        <v>2</v>
      </c>
      <c r="G2795" s="89">
        <v>2</v>
      </c>
      <c r="H2795" s="89">
        <v>2</v>
      </c>
      <c r="I2795" s="89">
        <v>2</v>
      </c>
      <c r="J2795" s="710">
        <f>(VLOOKUP($C2795,[2]Sheet1!$A$2:$P$18,$M2795+1)/12)*12*D2795</f>
        <v>1338198.81648</v>
      </c>
      <c r="K2795" s="711"/>
      <c r="M2795" s="62">
        <f t="shared" si="228"/>
        <v>3</v>
      </c>
    </row>
    <row r="2796" spans="1:13">
      <c r="A2796" s="88">
        <f t="shared" si="229"/>
        <v>131</v>
      </c>
      <c r="B2796" s="69" t="s">
        <v>4055</v>
      </c>
      <c r="C2796" s="69">
        <v>13</v>
      </c>
      <c r="D2796" s="89">
        <v>2</v>
      </c>
      <c r="E2796" s="89">
        <v>2</v>
      </c>
      <c r="F2796" s="89">
        <v>2</v>
      </c>
      <c r="G2796" s="89">
        <v>2</v>
      </c>
      <c r="H2796" s="89">
        <v>2</v>
      </c>
      <c r="I2796" s="89">
        <v>2</v>
      </c>
      <c r="J2796" s="710">
        <f>(VLOOKUP($C2796,[2]Sheet1!$A$2:$P$18,$M2796+1)/12)*12*D2796</f>
        <v>1257519.07608</v>
      </c>
      <c r="K2796" s="711"/>
      <c r="M2796" s="62">
        <f t="shared" si="228"/>
        <v>3</v>
      </c>
    </row>
    <row r="2797" spans="1:13">
      <c r="A2797" s="88">
        <f t="shared" si="229"/>
        <v>132</v>
      </c>
      <c r="B2797" s="69" t="s">
        <v>3786</v>
      </c>
      <c r="C2797" s="69">
        <v>12</v>
      </c>
      <c r="D2797" s="89">
        <v>3</v>
      </c>
      <c r="E2797" s="89">
        <v>3</v>
      </c>
      <c r="F2797" s="89">
        <v>2</v>
      </c>
      <c r="G2797" s="89">
        <v>2</v>
      </c>
      <c r="H2797" s="89">
        <v>3</v>
      </c>
      <c r="I2797" s="89">
        <v>3</v>
      </c>
      <c r="J2797" s="710">
        <f>(VLOOKUP($C2797,[2]Sheet1!$A$2:$P$18,$M2797+1)/12)*12*D2797</f>
        <v>1658055.1611600006</v>
      </c>
      <c r="K2797" s="711"/>
      <c r="M2797" s="62">
        <f t="shared" si="228"/>
        <v>3</v>
      </c>
    </row>
    <row r="2798" spans="1:13">
      <c r="A2798" s="88">
        <f t="shared" si="229"/>
        <v>133</v>
      </c>
      <c r="B2798" s="69" t="s">
        <v>3787</v>
      </c>
      <c r="C2798" s="69">
        <v>10</v>
      </c>
      <c r="D2798" s="89">
        <v>5</v>
      </c>
      <c r="E2798" s="89">
        <v>4</v>
      </c>
      <c r="F2798" s="89">
        <v>4</v>
      </c>
      <c r="G2798" s="89">
        <v>4</v>
      </c>
      <c r="H2798" s="89">
        <v>4</v>
      </c>
      <c r="I2798" s="89">
        <v>5</v>
      </c>
      <c r="J2798" s="710">
        <f>(VLOOKUP($C2798,[2]Sheet1!$A$2:$P$18,$M2798+1)/12)*12*D2798</f>
        <v>2419872.8436000003</v>
      </c>
      <c r="K2798" s="711"/>
      <c r="M2798" s="62">
        <f t="shared" si="228"/>
        <v>3</v>
      </c>
    </row>
    <row r="2799" spans="1:13">
      <c r="A2799" s="88">
        <f t="shared" si="229"/>
        <v>134</v>
      </c>
      <c r="B2799" s="69" t="s">
        <v>3789</v>
      </c>
      <c r="C2799" s="69">
        <v>9</v>
      </c>
      <c r="D2799" s="89">
        <v>4</v>
      </c>
      <c r="E2799" s="89">
        <v>3</v>
      </c>
      <c r="F2799" s="89">
        <v>2</v>
      </c>
      <c r="G2799" s="89">
        <v>2</v>
      </c>
      <c r="H2799" s="89">
        <v>3</v>
      </c>
      <c r="I2799" s="89">
        <v>4</v>
      </c>
      <c r="J2799" s="710">
        <f>(VLOOKUP($C2799,[2]Sheet1!$A$2:$P$18,$M2799+1)/12)*12*D2799</f>
        <v>1638727.6247999999</v>
      </c>
      <c r="K2799" s="711"/>
      <c r="M2799" s="62">
        <f t="shared" si="228"/>
        <v>3</v>
      </c>
    </row>
    <row r="2800" spans="1:13">
      <c r="A2800" s="88">
        <f t="shared" si="229"/>
        <v>135</v>
      </c>
      <c r="B2800" s="69" t="s">
        <v>3790</v>
      </c>
      <c r="C2800" s="69">
        <v>8</v>
      </c>
      <c r="D2800" s="89">
        <v>1</v>
      </c>
      <c r="E2800" s="89">
        <v>2</v>
      </c>
      <c r="F2800" s="89">
        <v>2</v>
      </c>
      <c r="G2800" s="89">
        <v>2</v>
      </c>
      <c r="H2800" s="89">
        <v>2</v>
      </c>
      <c r="I2800" s="89">
        <v>1</v>
      </c>
      <c r="J2800" s="710">
        <f>(VLOOKUP($C2800,[2]Sheet1!$A$2:$P$18,$M2800+1)/12)*12*D2800</f>
        <v>342141.27408</v>
      </c>
      <c r="K2800" s="711"/>
      <c r="M2800" s="62">
        <f t="shared" si="228"/>
        <v>3</v>
      </c>
    </row>
    <row r="2801" spans="1:13">
      <c r="A2801" s="88">
        <f t="shared" si="229"/>
        <v>136</v>
      </c>
      <c r="B2801" s="69" t="s">
        <v>967</v>
      </c>
      <c r="C2801" s="69">
        <v>7</v>
      </c>
      <c r="D2801" s="89">
        <v>1</v>
      </c>
      <c r="E2801" s="89">
        <v>0</v>
      </c>
      <c r="F2801" s="89">
        <v>0</v>
      </c>
      <c r="G2801" s="89">
        <v>0</v>
      </c>
      <c r="H2801" s="89">
        <v>0</v>
      </c>
      <c r="I2801" s="89">
        <v>1</v>
      </c>
      <c r="J2801" s="710">
        <f>(VLOOKUP($C2801,[2]Sheet1!$A$2:$P$18,$M2801+1)/12)*12*D2801</f>
        <v>307706.70240000007</v>
      </c>
      <c r="K2801" s="711"/>
      <c r="M2801" s="62">
        <f t="shared" si="228"/>
        <v>3</v>
      </c>
    </row>
    <row r="2802" spans="1:13">
      <c r="A2802" s="88">
        <f t="shared" si="229"/>
        <v>137</v>
      </c>
      <c r="B2802" s="69" t="s">
        <v>1075</v>
      </c>
      <c r="C2802" s="69">
        <v>6</v>
      </c>
      <c r="D2802" s="89">
        <v>1</v>
      </c>
      <c r="E2802" s="89">
        <v>0</v>
      </c>
      <c r="F2802" s="89">
        <v>0</v>
      </c>
      <c r="G2802" s="89">
        <v>0</v>
      </c>
      <c r="H2802" s="89">
        <v>0</v>
      </c>
      <c r="I2802" s="89">
        <v>1</v>
      </c>
      <c r="J2802" s="710">
        <f>(VLOOKUP($C2802,[2]Sheet1!$A$2:$P$18,$M2802+1)/12)*12*D2802</f>
        <v>238099.37893036497</v>
      </c>
      <c r="K2802" s="711"/>
      <c r="M2802" s="62">
        <f t="shared" si="228"/>
        <v>5</v>
      </c>
    </row>
    <row r="2803" spans="1:13">
      <c r="A2803" s="88">
        <f t="shared" si="229"/>
        <v>138</v>
      </c>
      <c r="B2803" s="69" t="s">
        <v>3806</v>
      </c>
      <c r="C2803" s="69">
        <v>3</v>
      </c>
      <c r="D2803" s="89">
        <v>1</v>
      </c>
      <c r="E2803" s="89">
        <v>0</v>
      </c>
      <c r="F2803" s="89">
        <v>0</v>
      </c>
      <c r="G2803" s="89">
        <v>0</v>
      </c>
      <c r="H2803" s="89">
        <v>0</v>
      </c>
      <c r="I2803" s="89">
        <v>1</v>
      </c>
      <c r="J2803" s="710">
        <f>(VLOOKUP($C2803,[2]Sheet1!$A$2:$P$18,$M2803+1)/12)*12*D2803</f>
        <v>219336.17893036499</v>
      </c>
      <c r="K2803" s="711"/>
      <c r="M2803" s="62">
        <f t="shared" si="228"/>
        <v>5</v>
      </c>
    </row>
    <row r="2804" spans="1:13">
      <c r="A2804" s="88">
        <f t="shared" si="229"/>
        <v>139</v>
      </c>
      <c r="B2804" s="69" t="s">
        <v>3807</v>
      </c>
      <c r="C2804" s="69">
        <v>10</v>
      </c>
      <c r="D2804" s="89">
        <v>1</v>
      </c>
      <c r="E2804" s="89">
        <v>0</v>
      </c>
      <c r="F2804" s="89">
        <v>0</v>
      </c>
      <c r="G2804" s="89">
        <v>0</v>
      </c>
      <c r="H2804" s="89">
        <v>0</v>
      </c>
      <c r="I2804" s="89">
        <v>1</v>
      </c>
      <c r="J2804" s="710">
        <f>(VLOOKUP($C2804,[2]Sheet1!$A$2:$P$18,$M2804+1)/12)*12*D2804</f>
        <v>483974.5687200001</v>
      </c>
      <c r="K2804" s="711"/>
      <c r="M2804" s="62">
        <f t="shared" si="228"/>
        <v>3</v>
      </c>
    </row>
    <row r="2805" spans="1:13">
      <c r="A2805" s="88">
        <f t="shared" si="229"/>
        <v>140</v>
      </c>
      <c r="B2805" s="69" t="s">
        <v>3808</v>
      </c>
      <c r="C2805" s="69">
        <v>7</v>
      </c>
      <c r="D2805" s="89">
        <v>1</v>
      </c>
      <c r="E2805" s="89">
        <v>0</v>
      </c>
      <c r="F2805" s="89">
        <v>0</v>
      </c>
      <c r="G2805" s="89">
        <v>0</v>
      </c>
      <c r="H2805" s="89">
        <v>0</v>
      </c>
      <c r="I2805" s="89">
        <v>1</v>
      </c>
      <c r="J2805" s="710">
        <f>(VLOOKUP($C2805,[2]Sheet1!$A$2:$P$18,$M2805+1)/12)*12*D2805</f>
        <v>307706.70240000007</v>
      </c>
      <c r="K2805" s="711"/>
      <c r="M2805" s="62">
        <f t="shared" si="228"/>
        <v>3</v>
      </c>
    </row>
    <row r="2806" spans="1:13">
      <c r="A2806" s="88">
        <f>+A2805+1</f>
        <v>141</v>
      </c>
      <c r="B2806" s="69" t="s">
        <v>3809</v>
      </c>
      <c r="C2806" s="69">
        <v>7</v>
      </c>
      <c r="D2806" s="89">
        <v>1</v>
      </c>
      <c r="E2806" s="89">
        <v>0</v>
      </c>
      <c r="F2806" s="89">
        <v>0</v>
      </c>
      <c r="G2806" s="89">
        <v>0</v>
      </c>
      <c r="H2806" s="89">
        <v>0</v>
      </c>
      <c r="I2806" s="89">
        <v>1</v>
      </c>
      <c r="J2806" s="710">
        <f>(VLOOKUP($C2806,[2]Sheet1!$A$2:$P$18,$M2806+1)/12)*12*D2806</f>
        <v>307706.70240000007</v>
      </c>
      <c r="K2806" s="711"/>
      <c r="M2806" s="62">
        <f t="shared" si="228"/>
        <v>3</v>
      </c>
    </row>
    <row r="2807" spans="1:13">
      <c r="A2807" s="88">
        <f t="shared" si="229"/>
        <v>142</v>
      </c>
      <c r="B2807" s="69" t="s">
        <v>3810</v>
      </c>
      <c r="C2807" s="69">
        <v>6</v>
      </c>
      <c r="D2807" s="89">
        <v>2</v>
      </c>
      <c r="E2807" s="89">
        <v>0</v>
      </c>
      <c r="F2807" s="89">
        <v>0</v>
      </c>
      <c r="G2807" s="89">
        <v>0</v>
      </c>
      <c r="H2807" s="89">
        <v>0</v>
      </c>
      <c r="I2807" s="89">
        <v>2</v>
      </c>
      <c r="J2807" s="710">
        <f>(VLOOKUP($C2807,[2]Sheet1!$A$2:$P$18,$M2807+1)/12)*12*D2807</f>
        <v>476198.75786072994</v>
      </c>
      <c r="K2807" s="711"/>
      <c r="M2807" s="62">
        <f t="shared" si="228"/>
        <v>5</v>
      </c>
    </row>
    <row r="2808" spans="1:13">
      <c r="A2808" s="88">
        <f>+A2807+1</f>
        <v>143</v>
      </c>
      <c r="B2808" s="69" t="s">
        <v>1891</v>
      </c>
      <c r="C2808" s="69">
        <v>5</v>
      </c>
      <c r="D2808" s="89">
        <v>2</v>
      </c>
      <c r="E2808" s="89">
        <v>2</v>
      </c>
      <c r="F2808" s="89">
        <v>2</v>
      </c>
      <c r="G2808" s="89">
        <v>2</v>
      </c>
      <c r="H2808" s="89">
        <v>2</v>
      </c>
      <c r="I2808" s="89">
        <v>2</v>
      </c>
      <c r="J2808" s="710">
        <f>(VLOOKUP($C2808,[2]Sheet1!$A$2:$P$18,$M2808+1)/12)*12*D2808</f>
        <v>459139.55786072998</v>
      </c>
      <c r="K2808" s="711"/>
      <c r="M2808" s="62">
        <f t="shared" si="228"/>
        <v>5</v>
      </c>
    </row>
    <row r="2809" spans="1:13" ht="13.5" thickBot="1">
      <c r="A2809" s="88">
        <f t="shared" ref="A2809:A2825" si="230">+A2808+1</f>
        <v>144</v>
      </c>
      <c r="B2809" s="69" t="s">
        <v>1892</v>
      </c>
      <c r="C2809" s="69">
        <v>4</v>
      </c>
      <c r="D2809" s="89">
        <v>2</v>
      </c>
      <c r="E2809" s="89">
        <v>1</v>
      </c>
      <c r="F2809" s="89">
        <v>0</v>
      </c>
      <c r="G2809" s="89">
        <v>0</v>
      </c>
      <c r="H2809" s="89">
        <v>1</v>
      </c>
      <c r="I2809" s="89">
        <v>2</v>
      </c>
      <c r="J2809" s="710">
        <f>(VLOOKUP($C2809,[2]Sheet1!$A$2:$P$18,$M2809+1)/12)*12*D2809</f>
        <v>449085.95786073001</v>
      </c>
      <c r="K2809" s="711"/>
      <c r="M2809" s="62">
        <f t="shared" si="228"/>
        <v>5</v>
      </c>
    </row>
    <row r="2810" spans="1:13" ht="15.75" thickTop="1">
      <c r="A2810" s="1047" t="s">
        <v>2791</v>
      </c>
      <c r="B2810" s="1049" t="s">
        <v>4126</v>
      </c>
      <c r="C2810" s="1049" t="s">
        <v>854</v>
      </c>
      <c r="D2810" s="1040" t="s">
        <v>4127</v>
      </c>
      <c r="E2810" s="1041"/>
      <c r="F2810" s="1041"/>
      <c r="G2810" s="1040" t="s">
        <v>904</v>
      </c>
      <c r="H2810" s="1041"/>
      <c r="I2810" s="1042"/>
      <c r="J2810" s="1035" t="s">
        <v>855</v>
      </c>
      <c r="K2810" s="389"/>
    </row>
    <row r="2811" spans="1:13" ht="26.25" thickBot="1">
      <c r="A2811" s="1048"/>
      <c r="B2811" s="1050"/>
      <c r="C2811" s="1050"/>
      <c r="D2811" s="285" t="s">
        <v>5505</v>
      </c>
      <c r="E2811" s="285" t="s">
        <v>4485</v>
      </c>
      <c r="F2811" s="285" t="s">
        <v>4486</v>
      </c>
      <c r="G2811" s="287" t="s">
        <v>4487</v>
      </c>
      <c r="H2811" s="285" t="s">
        <v>4488</v>
      </c>
      <c r="I2811" s="287" t="s">
        <v>4489</v>
      </c>
      <c r="J2811" s="1036"/>
      <c r="K2811" s="712"/>
    </row>
    <row r="2812" spans="1:13" ht="13.5" thickTop="1">
      <c r="A2812" s="88">
        <f>+A2809+1</f>
        <v>145</v>
      </c>
      <c r="B2812" s="69" t="s">
        <v>1884</v>
      </c>
      <c r="C2812" s="69">
        <v>3</v>
      </c>
      <c r="D2812" s="89">
        <v>2</v>
      </c>
      <c r="E2812" s="89">
        <v>4</v>
      </c>
      <c r="F2812" s="89">
        <v>4</v>
      </c>
      <c r="G2812" s="89">
        <v>4</v>
      </c>
      <c r="H2812" s="89">
        <v>4</v>
      </c>
      <c r="I2812" s="89">
        <v>2</v>
      </c>
      <c r="J2812" s="710">
        <f>(VLOOKUP($C2812,[2]Sheet1!$A$2:$P$18,$M2812+1)/12)*12*D2812</f>
        <v>438672.35786072997</v>
      </c>
      <c r="K2812" s="711"/>
      <c r="M2812" s="62">
        <f t="shared" si="228"/>
        <v>5</v>
      </c>
    </row>
    <row r="2813" spans="1:13">
      <c r="A2813" s="88">
        <f>+A2812+1</f>
        <v>146</v>
      </c>
      <c r="B2813" s="69" t="s">
        <v>1885</v>
      </c>
      <c r="C2813" s="69">
        <v>5</v>
      </c>
      <c r="D2813" s="89">
        <v>1</v>
      </c>
      <c r="E2813" s="89">
        <v>0</v>
      </c>
      <c r="F2813" s="89">
        <v>0</v>
      </c>
      <c r="G2813" s="89">
        <v>0</v>
      </c>
      <c r="H2813" s="89">
        <v>0</v>
      </c>
      <c r="I2813" s="89">
        <v>1</v>
      </c>
      <c r="J2813" s="710">
        <f>(VLOOKUP($C2813,[2]Sheet1!$A$2:$P$18,$M2813+1)/12)*12*D2813</f>
        <v>229569.77893036499</v>
      </c>
      <c r="K2813" s="711"/>
      <c r="M2813" s="62">
        <f t="shared" si="228"/>
        <v>5</v>
      </c>
    </row>
    <row r="2814" spans="1:13">
      <c r="A2814" s="88">
        <f>+A2813+1</f>
        <v>147</v>
      </c>
      <c r="B2814" s="69" t="s">
        <v>1637</v>
      </c>
      <c r="C2814" s="69">
        <v>4</v>
      </c>
      <c r="D2814" s="89">
        <v>0</v>
      </c>
      <c r="E2814" s="89">
        <v>0</v>
      </c>
      <c r="F2814" s="89">
        <v>0</v>
      </c>
      <c r="G2814" s="89">
        <v>0</v>
      </c>
      <c r="H2814" s="89">
        <v>0</v>
      </c>
      <c r="I2814" s="89">
        <v>1</v>
      </c>
      <c r="J2814" s="710">
        <f>(VLOOKUP($C2814,[2]Sheet1!$A$2:$P$18,$M2814+1)/12)*12*D2814</f>
        <v>0</v>
      </c>
      <c r="K2814" s="711"/>
      <c r="M2814" s="62">
        <f t="shared" si="228"/>
        <v>5</v>
      </c>
    </row>
    <row r="2815" spans="1:13">
      <c r="A2815" s="88">
        <f t="shared" si="230"/>
        <v>148</v>
      </c>
      <c r="B2815" s="69" t="s">
        <v>1638</v>
      </c>
      <c r="C2815" s="69">
        <v>6</v>
      </c>
      <c r="D2815" s="89">
        <v>2</v>
      </c>
      <c r="E2815" s="89">
        <v>0</v>
      </c>
      <c r="F2815" s="89">
        <v>0</v>
      </c>
      <c r="G2815" s="89">
        <v>0</v>
      </c>
      <c r="H2815" s="89">
        <v>0</v>
      </c>
      <c r="I2815" s="89">
        <v>2</v>
      </c>
      <c r="J2815" s="710">
        <f>(VLOOKUP($C2815,[2]Sheet1!$A$2:$P$18,$M2815+1)/12)*12*D2815</f>
        <v>476198.75786072994</v>
      </c>
      <c r="K2815" s="711"/>
      <c r="M2815" s="62">
        <f t="shared" si="228"/>
        <v>5</v>
      </c>
    </row>
    <row r="2816" spans="1:13">
      <c r="A2816" s="88">
        <f t="shared" si="230"/>
        <v>149</v>
      </c>
      <c r="B2816" s="69" t="s">
        <v>1639</v>
      </c>
      <c r="C2816" s="69">
        <v>5</v>
      </c>
      <c r="D2816" s="89">
        <v>2</v>
      </c>
      <c r="E2816" s="89">
        <v>0</v>
      </c>
      <c r="F2816" s="89">
        <v>0</v>
      </c>
      <c r="G2816" s="89">
        <v>0</v>
      </c>
      <c r="H2816" s="89">
        <v>0</v>
      </c>
      <c r="I2816" s="89">
        <v>2</v>
      </c>
      <c r="J2816" s="710">
        <f>(VLOOKUP($C2816,[2]Sheet1!$A$2:$P$18,$M2816+1)/12)*12*D2816</f>
        <v>459139.55786072998</v>
      </c>
      <c r="K2816" s="711"/>
      <c r="M2816" s="62">
        <f t="shared" si="228"/>
        <v>5</v>
      </c>
    </row>
    <row r="2817" spans="1:13">
      <c r="A2817" s="88">
        <f t="shared" si="230"/>
        <v>150</v>
      </c>
      <c r="B2817" s="69" t="s">
        <v>1640</v>
      </c>
      <c r="C2817" s="69">
        <v>4</v>
      </c>
      <c r="D2817" s="89">
        <v>2</v>
      </c>
      <c r="E2817" s="89">
        <v>0</v>
      </c>
      <c r="F2817" s="89">
        <v>0</v>
      </c>
      <c r="G2817" s="89">
        <v>0</v>
      </c>
      <c r="H2817" s="89">
        <v>0</v>
      </c>
      <c r="I2817" s="89">
        <v>2</v>
      </c>
      <c r="J2817" s="710">
        <f>(VLOOKUP($C2817,[2]Sheet1!$A$2:$P$18,$M2817+1)/12)*12*D2817</f>
        <v>449085.95786073001</v>
      </c>
      <c r="K2817" s="711"/>
      <c r="M2817" s="62">
        <f t="shared" si="228"/>
        <v>5</v>
      </c>
    </row>
    <row r="2818" spans="1:13">
      <c r="A2818" s="88">
        <f t="shared" si="230"/>
        <v>151</v>
      </c>
      <c r="B2818" s="69" t="s">
        <v>1871</v>
      </c>
      <c r="C2818" s="69">
        <v>3</v>
      </c>
      <c r="D2818" s="89">
        <v>5</v>
      </c>
      <c r="E2818" s="89">
        <v>5</v>
      </c>
      <c r="F2818" s="89">
        <v>5</v>
      </c>
      <c r="G2818" s="89">
        <v>5</v>
      </c>
      <c r="H2818" s="89">
        <v>5</v>
      </c>
      <c r="I2818" s="89">
        <v>5</v>
      </c>
      <c r="J2818" s="710">
        <f>(VLOOKUP($C2818,[2]Sheet1!$A$2:$P$18,$M2818+1)/12)*12*D2818</f>
        <v>1096680.8946518248</v>
      </c>
      <c r="K2818" s="711"/>
      <c r="M2818" s="62">
        <f t="shared" si="228"/>
        <v>5</v>
      </c>
    </row>
    <row r="2819" spans="1:13">
      <c r="A2819" s="88">
        <f t="shared" si="230"/>
        <v>152</v>
      </c>
      <c r="B2819" s="69" t="s">
        <v>2872</v>
      </c>
      <c r="C2819" s="69">
        <v>4</v>
      </c>
      <c r="D2819" s="89">
        <v>3</v>
      </c>
      <c r="E2819" s="89">
        <v>3</v>
      </c>
      <c r="F2819" s="89">
        <v>3</v>
      </c>
      <c r="G2819" s="89">
        <v>3</v>
      </c>
      <c r="H2819" s="89">
        <v>3</v>
      </c>
      <c r="I2819" s="89">
        <v>3</v>
      </c>
      <c r="J2819" s="710">
        <f>(VLOOKUP($C2819,[2]Sheet1!$A$2:$P$18,$M2819+1)/12)*12*D2819</f>
        <v>673628.93679109495</v>
      </c>
      <c r="K2819" s="711"/>
      <c r="M2819" s="62">
        <f t="shared" si="228"/>
        <v>5</v>
      </c>
    </row>
    <row r="2820" spans="1:13">
      <c r="A2820" s="88">
        <f t="shared" si="230"/>
        <v>153</v>
      </c>
      <c r="B2820" s="69" t="s">
        <v>1318</v>
      </c>
      <c r="C2820" s="69">
        <v>3</v>
      </c>
      <c r="D2820" s="89">
        <v>4</v>
      </c>
      <c r="E2820" s="89">
        <v>4</v>
      </c>
      <c r="F2820" s="89">
        <v>4</v>
      </c>
      <c r="G2820" s="89">
        <v>4</v>
      </c>
      <c r="H2820" s="89">
        <v>6</v>
      </c>
      <c r="I2820" s="89">
        <v>4</v>
      </c>
      <c r="J2820" s="710">
        <f>(VLOOKUP($C2820,[2]Sheet1!$A$2:$P$18,$M2820+1)/12)*12*D2820</f>
        <v>877344.71572145994</v>
      </c>
      <c r="K2820" s="711"/>
      <c r="M2820" s="62">
        <f t="shared" si="228"/>
        <v>5</v>
      </c>
    </row>
    <row r="2821" spans="1:13">
      <c r="A2821" s="88">
        <f t="shared" si="230"/>
        <v>154</v>
      </c>
      <c r="B2821" s="69" t="s">
        <v>1319</v>
      </c>
      <c r="C2821" s="69">
        <v>2</v>
      </c>
      <c r="D2821" s="89">
        <v>8</v>
      </c>
      <c r="E2821" s="89">
        <v>8</v>
      </c>
      <c r="F2821" s="89">
        <v>8</v>
      </c>
      <c r="G2821" s="89">
        <v>8</v>
      </c>
      <c r="H2821" s="89">
        <v>6</v>
      </c>
      <c r="I2821" s="89">
        <v>8</v>
      </c>
      <c r="J2821" s="710">
        <f>(VLOOKUP($C2821,[2]Sheet1!$A$2:$P$18,$M2821+1)/12)*12*D2821</f>
        <v>1717259.0314429202</v>
      </c>
      <c r="K2821" s="711"/>
      <c r="M2821" s="62">
        <f t="shared" si="228"/>
        <v>5</v>
      </c>
    </row>
    <row r="2822" spans="1:13">
      <c r="A2822" s="88">
        <f t="shared" si="230"/>
        <v>155</v>
      </c>
      <c r="B2822" s="69" t="s">
        <v>3551</v>
      </c>
      <c r="C2822" s="69">
        <v>3</v>
      </c>
      <c r="D2822" s="89">
        <v>0</v>
      </c>
      <c r="E2822" s="89">
        <v>0</v>
      </c>
      <c r="F2822" s="89">
        <v>0</v>
      </c>
      <c r="G2822" s="89">
        <v>0</v>
      </c>
      <c r="H2822" s="89">
        <v>0</v>
      </c>
      <c r="I2822" s="89">
        <v>0</v>
      </c>
      <c r="J2822" s="710">
        <f>(VLOOKUP($C2822,[2]Sheet1!$A$2:$P$18,$M2822+1)/12)*12*D2822</f>
        <v>0</v>
      </c>
      <c r="K2822" s="711"/>
      <c r="M2822" s="62">
        <f t="shared" si="228"/>
        <v>5</v>
      </c>
    </row>
    <row r="2823" spans="1:13">
      <c r="A2823" s="88">
        <f t="shared" si="230"/>
        <v>156</v>
      </c>
      <c r="B2823" s="69" t="s">
        <v>3552</v>
      </c>
      <c r="C2823" s="69">
        <v>2</v>
      </c>
      <c r="D2823" s="89">
        <v>2</v>
      </c>
      <c r="E2823" s="89">
        <v>2</v>
      </c>
      <c r="F2823" s="89">
        <v>2</v>
      </c>
      <c r="G2823" s="89">
        <v>2</v>
      </c>
      <c r="H2823" s="89">
        <v>2</v>
      </c>
      <c r="I2823" s="89">
        <v>2</v>
      </c>
      <c r="J2823" s="710">
        <f>(VLOOKUP($C2823,[2]Sheet1!$A$2:$P$18,$M2823+1)/12)*12*D2823</f>
        <v>429314.75786073005</v>
      </c>
      <c r="K2823" s="711"/>
      <c r="M2823" s="62">
        <f t="shared" si="228"/>
        <v>5</v>
      </c>
    </row>
    <row r="2824" spans="1:13">
      <c r="A2824" s="88">
        <f t="shared" si="230"/>
        <v>157</v>
      </c>
      <c r="B2824" s="69" t="s">
        <v>3553</v>
      </c>
      <c r="C2824" s="69">
        <v>2</v>
      </c>
      <c r="D2824" s="89">
        <v>2</v>
      </c>
      <c r="E2824" s="89">
        <v>2</v>
      </c>
      <c r="F2824" s="89">
        <v>2</v>
      </c>
      <c r="G2824" s="89">
        <v>2</v>
      </c>
      <c r="H2824" s="89">
        <v>2</v>
      </c>
      <c r="I2824" s="89">
        <v>2</v>
      </c>
      <c r="J2824" s="710">
        <f>(VLOOKUP($C2824,[2]Sheet1!$A$2:$P$18,$M2824+1)/12)*12*D2824</f>
        <v>429314.75786073005</v>
      </c>
      <c r="K2824" s="711"/>
      <c r="M2824" s="62">
        <f t="shared" si="228"/>
        <v>5</v>
      </c>
    </row>
    <row r="2825" spans="1:13">
      <c r="A2825" s="88">
        <f t="shared" si="230"/>
        <v>158</v>
      </c>
      <c r="B2825" s="69" t="s">
        <v>237</v>
      </c>
      <c r="C2825" s="69">
        <v>5</v>
      </c>
      <c r="D2825" s="89">
        <v>1</v>
      </c>
      <c r="E2825" s="89">
        <v>1</v>
      </c>
      <c r="F2825" s="89">
        <v>0</v>
      </c>
      <c r="G2825" s="89">
        <v>0</v>
      </c>
      <c r="H2825" s="89">
        <v>1</v>
      </c>
      <c r="I2825" s="89">
        <v>1</v>
      </c>
      <c r="J2825" s="710">
        <f>(VLOOKUP($C2825,[2]Sheet1!$A$2:$P$18,$M2825+1)/12)*12*D2825</f>
        <v>229569.77893036499</v>
      </c>
      <c r="K2825" s="711"/>
      <c r="M2825" s="62">
        <f t="shared" si="228"/>
        <v>5</v>
      </c>
    </row>
    <row r="2826" spans="1:13">
      <c r="A2826" s="88"/>
      <c r="B2826" s="90" t="s">
        <v>2721</v>
      </c>
      <c r="C2826" s="69"/>
      <c r="D2826" s="89"/>
      <c r="E2826" s="89"/>
      <c r="F2826" s="89"/>
      <c r="G2826" s="89"/>
      <c r="H2826" s="89"/>
      <c r="I2826" s="89"/>
      <c r="J2826" s="710"/>
      <c r="K2826" s="711"/>
      <c r="M2826" s="62">
        <f t="shared" si="228"/>
        <v>5</v>
      </c>
    </row>
    <row r="2827" spans="1:13">
      <c r="A2827" s="88">
        <v>159</v>
      </c>
      <c r="B2827" s="69" t="s">
        <v>3532</v>
      </c>
      <c r="C2827" s="69">
        <v>16</v>
      </c>
      <c r="D2827" s="89">
        <v>1</v>
      </c>
      <c r="E2827" s="89">
        <v>1</v>
      </c>
      <c r="F2827" s="89">
        <v>1</v>
      </c>
      <c r="G2827" s="89">
        <v>1</v>
      </c>
      <c r="H2827" s="89">
        <v>1</v>
      </c>
      <c r="I2827" s="89">
        <v>1</v>
      </c>
      <c r="J2827" s="710">
        <f>(VLOOKUP($C2827,[2]Sheet1!$A$2:$P$18,$M2827+1)/12)*12*D2827</f>
        <v>677281.26084</v>
      </c>
      <c r="K2827" s="711"/>
      <c r="M2827" s="62">
        <f t="shared" si="228"/>
        <v>3</v>
      </c>
    </row>
    <row r="2828" spans="1:13">
      <c r="A2828" s="88">
        <f>A2827+1</f>
        <v>160</v>
      </c>
      <c r="B2828" s="69" t="s">
        <v>1256</v>
      </c>
      <c r="C2828" s="69">
        <v>15</v>
      </c>
      <c r="D2828" s="89">
        <v>2</v>
      </c>
      <c r="E2828" s="89">
        <v>2</v>
      </c>
      <c r="F2828" s="89">
        <v>2</v>
      </c>
      <c r="G2828" s="89">
        <v>2</v>
      </c>
      <c r="H2828" s="89">
        <v>2</v>
      </c>
      <c r="I2828" s="89">
        <v>2</v>
      </c>
      <c r="J2828" s="710">
        <f>(VLOOKUP($C2828,[2]Sheet1!$A$2:$P$18,$M2828+1)/12)*12*D2828</f>
        <v>1316663.79984</v>
      </c>
      <c r="K2828" s="711"/>
      <c r="M2828" s="62">
        <f t="shared" si="228"/>
        <v>3</v>
      </c>
    </row>
    <row r="2829" spans="1:13">
      <c r="A2829" s="88">
        <f t="shared" ref="A2829:A2842" si="231">+A2828+1</f>
        <v>161</v>
      </c>
      <c r="B2829" s="69" t="s">
        <v>791</v>
      </c>
      <c r="C2829" s="69">
        <v>14</v>
      </c>
      <c r="D2829" s="89">
        <v>2</v>
      </c>
      <c r="E2829" s="89">
        <v>2</v>
      </c>
      <c r="F2829" s="89">
        <v>2</v>
      </c>
      <c r="G2829" s="89">
        <v>2</v>
      </c>
      <c r="H2829" s="89">
        <v>1</v>
      </c>
      <c r="I2829" s="89">
        <v>2</v>
      </c>
      <c r="J2829" s="710">
        <f>(VLOOKUP($C2829,[2]Sheet1!$A$2:$P$18,$M2829+1)/12)*12*D2829</f>
        <v>1338198.81648</v>
      </c>
      <c r="K2829" s="711"/>
      <c r="M2829" s="62">
        <f t="shared" si="228"/>
        <v>3</v>
      </c>
    </row>
    <row r="2830" spans="1:13">
      <c r="A2830" s="88">
        <f>+A2829+1</f>
        <v>162</v>
      </c>
      <c r="B2830" s="69" t="s">
        <v>3197</v>
      </c>
      <c r="C2830" s="69">
        <v>13</v>
      </c>
      <c r="D2830" s="89">
        <v>1</v>
      </c>
      <c r="E2830" s="89">
        <v>1</v>
      </c>
      <c r="F2830" s="89">
        <v>1</v>
      </c>
      <c r="G2830" s="89">
        <v>1</v>
      </c>
      <c r="H2830" s="89">
        <v>1</v>
      </c>
      <c r="I2830" s="89">
        <v>1</v>
      </c>
      <c r="J2830" s="710">
        <f>(VLOOKUP($C2830,[2]Sheet1!$A$2:$P$18,$M2830+1)/12)*12*D2830</f>
        <v>628759.53804000001</v>
      </c>
      <c r="K2830" s="711"/>
      <c r="M2830" s="62">
        <f t="shared" si="228"/>
        <v>3</v>
      </c>
    </row>
    <row r="2831" spans="1:13">
      <c r="A2831" s="88">
        <f>+A2830+1</f>
        <v>163</v>
      </c>
      <c r="B2831" s="69" t="s">
        <v>240</v>
      </c>
      <c r="C2831" s="69">
        <v>12</v>
      </c>
      <c r="D2831" s="89">
        <v>1</v>
      </c>
      <c r="E2831" s="89">
        <v>1</v>
      </c>
      <c r="F2831" s="89">
        <v>0</v>
      </c>
      <c r="G2831" s="89">
        <v>0</v>
      </c>
      <c r="H2831" s="89">
        <v>1</v>
      </c>
      <c r="I2831" s="89">
        <v>1</v>
      </c>
      <c r="J2831" s="710">
        <f>(VLOOKUP($C2831,[2]Sheet1!$A$2:$P$18,$M2831+1)/12)*12*D2831</f>
        <v>552685.0537200002</v>
      </c>
      <c r="K2831" s="711"/>
      <c r="M2831" s="62">
        <f t="shared" si="228"/>
        <v>3</v>
      </c>
    </row>
    <row r="2832" spans="1:13">
      <c r="A2832" s="88">
        <f>+A2831+1</f>
        <v>164</v>
      </c>
      <c r="B2832" s="69" t="s">
        <v>1163</v>
      </c>
      <c r="C2832" s="69">
        <v>10</v>
      </c>
      <c r="D2832" s="89">
        <v>1</v>
      </c>
      <c r="E2832" s="89">
        <v>1</v>
      </c>
      <c r="F2832" s="89">
        <v>1</v>
      </c>
      <c r="G2832" s="89">
        <v>1</v>
      </c>
      <c r="H2832" s="89">
        <v>1</v>
      </c>
      <c r="I2832" s="89">
        <v>1</v>
      </c>
      <c r="J2832" s="710">
        <f>(VLOOKUP($C2832,[2]Sheet1!$A$2:$P$18,$M2832+1)/12)*12*D2832</f>
        <v>483974.5687200001</v>
      </c>
      <c r="K2832" s="711"/>
      <c r="M2832" s="62">
        <f t="shared" si="228"/>
        <v>3</v>
      </c>
    </row>
    <row r="2833" spans="1:13">
      <c r="A2833" s="88">
        <f t="shared" si="231"/>
        <v>165</v>
      </c>
      <c r="B2833" s="69" t="s">
        <v>3209</v>
      </c>
      <c r="C2833" s="69">
        <v>9</v>
      </c>
      <c r="D2833" s="89">
        <v>1</v>
      </c>
      <c r="E2833" s="89">
        <v>1</v>
      </c>
      <c r="F2833" s="89">
        <v>1</v>
      </c>
      <c r="G2833" s="89">
        <v>1</v>
      </c>
      <c r="H2833" s="89">
        <v>1</v>
      </c>
      <c r="I2833" s="89">
        <v>1</v>
      </c>
      <c r="J2833" s="710">
        <f>(VLOOKUP($C2833,[2]Sheet1!$A$2:$P$18,$M2833+1)/12)*12*D2833</f>
        <v>409681.90619999997</v>
      </c>
      <c r="K2833" s="711"/>
      <c r="M2833" s="62">
        <f t="shared" si="228"/>
        <v>3</v>
      </c>
    </row>
    <row r="2834" spans="1:13">
      <c r="A2834" s="88">
        <f t="shared" si="231"/>
        <v>166</v>
      </c>
      <c r="B2834" s="69" t="s">
        <v>1805</v>
      </c>
      <c r="C2834" s="69">
        <v>8</v>
      </c>
      <c r="D2834" s="89">
        <v>1</v>
      </c>
      <c r="E2834" s="89">
        <v>0</v>
      </c>
      <c r="F2834" s="89">
        <v>0</v>
      </c>
      <c r="G2834" s="89">
        <v>0</v>
      </c>
      <c r="H2834" s="89">
        <v>0</v>
      </c>
      <c r="I2834" s="89">
        <v>1</v>
      </c>
      <c r="J2834" s="710">
        <f>(VLOOKUP($C2834,[2]Sheet1!$A$2:$P$18,$M2834+1)/12)*12*D2834</f>
        <v>342141.27408</v>
      </c>
      <c r="K2834" s="711"/>
      <c r="M2834" s="62">
        <f t="shared" si="228"/>
        <v>3</v>
      </c>
    </row>
    <row r="2835" spans="1:13">
      <c r="A2835" s="88">
        <f t="shared" si="231"/>
        <v>167</v>
      </c>
      <c r="B2835" s="69" t="s">
        <v>3210</v>
      </c>
      <c r="C2835" s="69">
        <v>9</v>
      </c>
      <c r="D2835" s="89">
        <v>1</v>
      </c>
      <c r="E2835" s="89">
        <v>0</v>
      </c>
      <c r="F2835" s="89">
        <v>0</v>
      </c>
      <c r="G2835" s="89">
        <v>0</v>
      </c>
      <c r="H2835" s="89">
        <v>0</v>
      </c>
      <c r="I2835" s="89">
        <v>1</v>
      </c>
      <c r="J2835" s="710">
        <f>(VLOOKUP($C2835,[2]Sheet1!$A$2:$P$18,$M2835+1)/12)*12*D2835</f>
        <v>409681.90619999997</v>
      </c>
      <c r="K2835" s="711"/>
      <c r="M2835" s="62">
        <f t="shared" si="228"/>
        <v>3</v>
      </c>
    </row>
    <row r="2836" spans="1:13">
      <c r="A2836" s="88">
        <f t="shared" si="231"/>
        <v>168</v>
      </c>
      <c r="B2836" s="69" t="s">
        <v>4069</v>
      </c>
      <c r="C2836" s="69">
        <v>8</v>
      </c>
      <c r="D2836" s="89">
        <v>1</v>
      </c>
      <c r="E2836" s="89">
        <v>1</v>
      </c>
      <c r="F2836" s="89">
        <v>0</v>
      </c>
      <c r="G2836" s="89">
        <v>0</v>
      </c>
      <c r="H2836" s="89">
        <v>1</v>
      </c>
      <c r="I2836" s="89">
        <v>1</v>
      </c>
      <c r="J2836" s="710">
        <f>(VLOOKUP($C2836,[2]Sheet1!$A$2:$P$18,$M2836+1)/12)*12*D2836</f>
        <v>342141.27408</v>
      </c>
      <c r="K2836" s="711"/>
      <c r="M2836" s="62">
        <f t="shared" si="228"/>
        <v>3</v>
      </c>
    </row>
    <row r="2837" spans="1:13">
      <c r="A2837" s="88">
        <f t="shared" si="231"/>
        <v>169</v>
      </c>
      <c r="B2837" s="69" t="s">
        <v>3735</v>
      </c>
      <c r="C2837" s="69">
        <v>7</v>
      </c>
      <c r="D2837" s="89">
        <v>1</v>
      </c>
      <c r="E2837" s="89">
        <v>1</v>
      </c>
      <c r="F2837" s="89">
        <v>1</v>
      </c>
      <c r="G2837" s="89">
        <v>1</v>
      </c>
      <c r="H2837" s="89">
        <v>1</v>
      </c>
      <c r="I2837" s="89">
        <v>1</v>
      </c>
      <c r="J2837" s="710">
        <f>(VLOOKUP($C2837,[2]Sheet1!$A$2:$P$18,$M2837+1)/12)*12*D2837</f>
        <v>307706.70240000007</v>
      </c>
      <c r="K2837" s="711"/>
      <c r="M2837" s="62">
        <f t="shared" si="228"/>
        <v>3</v>
      </c>
    </row>
    <row r="2838" spans="1:13">
      <c r="A2838" s="88">
        <f t="shared" si="231"/>
        <v>170</v>
      </c>
      <c r="B2838" s="69" t="s">
        <v>1484</v>
      </c>
      <c r="C2838" s="69">
        <v>6</v>
      </c>
      <c r="D2838" s="89">
        <v>1</v>
      </c>
      <c r="E2838" s="89">
        <v>1</v>
      </c>
      <c r="F2838" s="89">
        <v>1</v>
      </c>
      <c r="G2838" s="89">
        <v>1</v>
      </c>
      <c r="H2838" s="89">
        <v>1</v>
      </c>
      <c r="I2838" s="89">
        <v>1</v>
      </c>
      <c r="J2838" s="710">
        <f>(VLOOKUP($C2838,[2]Sheet1!$A$2:$P$18,$M2838+1)/12)*12*D2838</f>
        <v>238099.37893036497</v>
      </c>
      <c r="K2838" s="711"/>
      <c r="M2838" s="62">
        <f t="shared" si="228"/>
        <v>5</v>
      </c>
    </row>
    <row r="2839" spans="1:13">
      <c r="A2839" s="88">
        <f t="shared" si="231"/>
        <v>171</v>
      </c>
      <c r="B2839" s="69" t="s">
        <v>2736</v>
      </c>
      <c r="C2839" s="69">
        <v>4</v>
      </c>
      <c r="D2839" s="89">
        <v>1</v>
      </c>
      <c r="E2839" s="89">
        <v>1</v>
      </c>
      <c r="F2839" s="89">
        <v>1</v>
      </c>
      <c r="G2839" s="89">
        <v>1</v>
      </c>
      <c r="H2839" s="89">
        <v>1</v>
      </c>
      <c r="I2839" s="89">
        <v>1</v>
      </c>
      <c r="J2839" s="710">
        <f>(VLOOKUP($C2839,[2]Sheet1!$A$2:$P$18,$M2839+1)/12)*12*D2839</f>
        <v>224542.978930365</v>
      </c>
      <c r="K2839" s="711"/>
      <c r="M2839" s="62">
        <f t="shared" si="228"/>
        <v>5</v>
      </c>
    </row>
    <row r="2840" spans="1:13">
      <c r="A2840" s="88">
        <f t="shared" si="231"/>
        <v>172</v>
      </c>
      <c r="B2840" s="69" t="s">
        <v>1026</v>
      </c>
      <c r="C2840" s="69">
        <v>3</v>
      </c>
      <c r="D2840" s="89">
        <v>1</v>
      </c>
      <c r="E2840" s="89">
        <v>1</v>
      </c>
      <c r="F2840" s="89">
        <v>1</v>
      </c>
      <c r="G2840" s="89">
        <v>1</v>
      </c>
      <c r="H2840" s="89">
        <v>1</v>
      </c>
      <c r="I2840" s="89">
        <v>1</v>
      </c>
      <c r="J2840" s="710">
        <f>(VLOOKUP($C2840,[2]Sheet1!$A$2:$P$18,$M2840+1)/12)*12*D2840</f>
        <v>219336.17893036499</v>
      </c>
      <c r="K2840" s="711"/>
      <c r="M2840" s="62">
        <f t="shared" si="228"/>
        <v>5</v>
      </c>
    </row>
    <row r="2841" spans="1:13">
      <c r="A2841" s="88">
        <f t="shared" si="231"/>
        <v>173</v>
      </c>
      <c r="B2841" s="69" t="s">
        <v>1027</v>
      </c>
      <c r="C2841" s="69">
        <v>2</v>
      </c>
      <c r="D2841" s="89">
        <v>1</v>
      </c>
      <c r="E2841" s="89">
        <v>1</v>
      </c>
      <c r="F2841" s="89">
        <v>1</v>
      </c>
      <c r="G2841" s="89">
        <v>1</v>
      </c>
      <c r="H2841" s="89">
        <v>1</v>
      </c>
      <c r="I2841" s="89">
        <v>1</v>
      </c>
      <c r="J2841" s="710">
        <f>(VLOOKUP($C2841,[2]Sheet1!$A$2:$P$18,$M2841+1)/12)*12*D2841</f>
        <v>214657.37893036503</v>
      </c>
      <c r="K2841" s="711"/>
      <c r="M2841" s="62">
        <f t="shared" si="228"/>
        <v>5</v>
      </c>
    </row>
    <row r="2842" spans="1:13">
      <c r="A2842" s="88">
        <f t="shared" si="231"/>
        <v>174</v>
      </c>
      <c r="B2842" s="69" t="s">
        <v>3036</v>
      </c>
      <c r="C2842" s="69">
        <v>3</v>
      </c>
      <c r="D2842" s="143">
        <v>1</v>
      </c>
      <c r="E2842" s="89">
        <v>1</v>
      </c>
      <c r="F2842" s="143">
        <v>1</v>
      </c>
      <c r="G2842" s="143">
        <v>1</v>
      </c>
      <c r="H2842" s="89">
        <v>1</v>
      </c>
      <c r="I2842" s="143">
        <v>1</v>
      </c>
      <c r="J2842" s="710">
        <f>(VLOOKUP($C2842,[2]Sheet1!$A$2:$P$18,$M2842+1)/12)*12*D2842</f>
        <v>219336.17893036499</v>
      </c>
      <c r="K2842" s="711"/>
      <c r="M2842" s="62">
        <f t="shared" si="228"/>
        <v>5</v>
      </c>
    </row>
    <row r="2843" spans="1:13">
      <c r="A2843" s="144"/>
      <c r="B2843" s="145" t="s">
        <v>1684</v>
      </c>
      <c r="C2843" s="146"/>
      <c r="D2843" s="147">
        <f t="shared" ref="D2843:J2843" si="232">SUM(D2651:D2842)</f>
        <v>428</v>
      </c>
      <c r="E2843" s="147">
        <f t="shared" si="232"/>
        <v>236</v>
      </c>
      <c r="F2843" s="147">
        <f t="shared" si="232"/>
        <v>199</v>
      </c>
      <c r="G2843" s="147">
        <f>SUM(G2651:G2842)</f>
        <v>199</v>
      </c>
      <c r="H2843" s="147">
        <f t="shared" si="232"/>
        <v>229</v>
      </c>
      <c r="I2843" s="147">
        <f t="shared" si="232"/>
        <v>429</v>
      </c>
      <c r="J2843" s="147">
        <f t="shared" si="232"/>
        <v>156874579.84667319</v>
      </c>
      <c r="K2843" s="380"/>
      <c r="M2843" s="62">
        <f t="shared" si="228"/>
        <v>5</v>
      </c>
    </row>
    <row r="2844" spans="1:13">
      <c r="A2844" s="88"/>
      <c r="B2844" s="69"/>
      <c r="C2844" s="69"/>
      <c r="D2844" s="89"/>
      <c r="E2844" s="89"/>
      <c r="F2844" s="89"/>
      <c r="G2844" s="89"/>
      <c r="H2844" s="89"/>
      <c r="I2844" s="89"/>
      <c r="J2844" s="89"/>
      <c r="K2844" s="114"/>
      <c r="M2844" s="62">
        <f t="shared" si="228"/>
        <v>5</v>
      </c>
    </row>
    <row r="2845" spans="1:13">
      <c r="A2845" s="88"/>
      <c r="B2845" s="90" t="s">
        <v>1199</v>
      </c>
      <c r="C2845" s="97"/>
      <c r="D2845" s="98"/>
      <c r="E2845" s="98"/>
      <c r="F2845" s="99"/>
      <c r="G2845" s="240" t="s">
        <v>243</v>
      </c>
      <c r="H2845" s="240" t="s">
        <v>4130</v>
      </c>
      <c r="I2845" s="240" t="s">
        <v>4202</v>
      </c>
      <c r="J2845" s="241" t="s">
        <v>4200</v>
      </c>
      <c r="K2845" s="375"/>
      <c r="M2845" s="62">
        <f t="shared" si="228"/>
        <v>5</v>
      </c>
    </row>
    <row r="2846" spans="1:13">
      <c r="A2846" s="88">
        <v>1</v>
      </c>
      <c r="B2846" s="69" t="s">
        <v>2786</v>
      </c>
      <c r="C2846" s="69"/>
      <c r="D2846" s="89"/>
      <c r="E2846" s="89"/>
      <c r="F2846" s="89"/>
      <c r="G2846" s="100">
        <f>J2843*0.2</f>
        <v>31374915.96933464</v>
      </c>
      <c r="H2846" s="100">
        <f>G2846*1.02</f>
        <v>32002414.288721334</v>
      </c>
      <c r="I2846" s="100">
        <f>H2846*1.02</f>
        <v>32642462.574495763</v>
      </c>
      <c r="J2846" s="100">
        <f>SUM(G2846:I2846)</f>
        <v>96019792.832551733</v>
      </c>
      <c r="K2846" s="114"/>
      <c r="M2846" s="62">
        <f t="shared" si="228"/>
        <v>5</v>
      </c>
    </row>
    <row r="2847" spans="1:13">
      <c r="A2847" s="92"/>
      <c r="B2847" s="93" t="s">
        <v>1933</v>
      </c>
      <c r="C2847" s="94"/>
      <c r="D2847" s="101"/>
      <c r="E2847" s="101"/>
      <c r="F2847" s="95"/>
      <c r="G2847" s="95">
        <f>SUM(G2846:G2846)</f>
        <v>31374915.96933464</v>
      </c>
      <c r="H2847" s="95">
        <f>SUM(H2846:H2846)</f>
        <v>32002414.288721334</v>
      </c>
      <c r="I2847" s="95">
        <f>SUM(I2846:I2846)</f>
        <v>32642462.574495763</v>
      </c>
      <c r="J2847" s="95">
        <f>SUM(J2846:J2846)</f>
        <v>96019792.832551733</v>
      </c>
      <c r="K2847" s="378"/>
      <c r="M2847" s="62">
        <f t="shared" ref="M2847:M2910" si="233">IF(C2847&gt;6,3,5)</f>
        <v>5</v>
      </c>
    </row>
    <row r="2848" spans="1:13">
      <c r="A2848" s="88"/>
      <c r="B2848" s="69"/>
      <c r="C2848" s="69"/>
      <c r="D2848" s="89"/>
      <c r="E2848" s="89"/>
      <c r="F2848" s="89"/>
      <c r="G2848" s="89"/>
      <c r="H2848" s="89"/>
      <c r="I2848" s="89"/>
      <c r="J2848" s="89"/>
      <c r="K2848" s="114"/>
      <c r="M2848" s="62">
        <f t="shared" si="233"/>
        <v>5</v>
      </c>
    </row>
    <row r="2849" spans="1:13">
      <c r="A2849" s="88">
        <v>1</v>
      </c>
      <c r="B2849" s="69" t="s">
        <v>1934</v>
      </c>
      <c r="C2849" s="69"/>
      <c r="D2849" s="89"/>
      <c r="E2849" s="89"/>
      <c r="F2849" s="89"/>
      <c r="G2849" s="100">
        <f>G2847+J2843</f>
        <v>188249495.81600782</v>
      </c>
      <c r="H2849" s="100">
        <f>G2849*1.02</f>
        <v>192014485.73232797</v>
      </c>
      <c r="I2849" s="100">
        <f>H2849*1.02</f>
        <v>195854775.44697452</v>
      </c>
      <c r="J2849" s="100">
        <f>SUM(G2849:I2849)</f>
        <v>576118756.99531031</v>
      </c>
      <c r="K2849" s="114"/>
      <c r="L2849" s="112"/>
      <c r="M2849" s="62">
        <f t="shared" si="233"/>
        <v>5</v>
      </c>
    </row>
    <row r="2850" spans="1:13">
      <c r="A2850" s="88">
        <f>+A2849+1</f>
        <v>2</v>
      </c>
      <c r="B2850" s="69" t="s">
        <v>129</v>
      </c>
      <c r="C2850" s="69"/>
      <c r="D2850" s="89"/>
      <c r="E2850" s="89"/>
      <c r="F2850" s="89"/>
      <c r="G2850" s="89">
        <f>C2885</f>
        <v>80450000</v>
      </c>
      <c r="H2850" s="89">
        <f>D2885</f>
        <v>150000000</v>
      </c>
      <c r="I2850" s="89">
        <f>E2885</f>
        <v>150000000</v>
      </c>
      <c r="J2850" s="100">
        <f>SUM(G2850:I2850)</f>
        <v>380450000</v>
      </c>
      <c r="K2850" s="114"/>
      <c r="M2850" s="62">
        <f t="shared" si="233"/>
        <v>5</v>
      </c>
    </row>
    <row r="2851" spans="1:13" ht="13.5" thickBot="1">
      <c r="A2851" s="144"/>
      <c r="B2851" s="148" t="s">
        <v>2241</v>
      </c>
      <c r="C2851" s="149"/>
      <c r="D2851" s="150"/>
      <c r="E2851" s="150"/>
      <c r="F2851" s="151"/>
      <c r="G2851" s="151">
        <f>SUM(G2849:G2850)</f>
        <v>268699495.81600785</v>
      </c>
      <c r="H2851" s="151">
        <f>SUM(H2849:H2850)</f>
        <v>342014485.73232794</v>
      </c>
      <c r="I2851" s="151">
        <f>SUM(I2849:I2850)</f>
        <v>345854775.44697452</v>
      </c>
      <c r="J2851" s="151">
        <f>SUM(J2849:J2850)</f>
        <v>956568756.99531031</v>
      </c>
      <c r="K2851" s="381"/>
      <c r="M2851" s="62">
        <f t="shared" si="233"/>
        <v>5</v>
      </c>
    </row>
    <row r="2852" spans="1:13" ht="15.75" thickTop="1">
      <c r="C2852" s="77"/>
      <c r="D2852" s="78" t="s">
        <v>5434</v>
      </c>
      <c r="J2852" s="584"/>
      <c r="K2852" s="584"/>
      <c r="M2852" s="62">
        <f t="shared" si="233"/>
        <v>5</v>
      </c>
    </row>
    <row r="2853" spans="1:13" ht="15">
      <c r="C2853" s="77"/>
      <c r="D2853" s="78" t="s">
        <v>716</v>
      </c>
      <c r="J2853" s="606"/>
      <c r="K2853" s="606"/>
      <c r="M2853" s="62">
        <f t="shared" si="233"/>
        <v>5</v>
      </c>
    </row>
    <row r="2854" spans="1:13" ht="15">
      <c r="C2854" s="79" t="s">
        <v>717</v>
      </c>
      <c r="D2854" s="78" t="s">
        <v>1773</v>
      </c>
      <c r="J2854" s="584"/>
      <c r="K2854" s="584"/>
      <c r="M2854" s="62">
        <f t="shared" si="233"/>
        <v>3</v>
      </c>
    </row>
    <row r="2855" spans="1:13" ht="15">
      <c r="C2855" s="79" t="s">
        <v>718</v>
      </c>
      <c r="D2855" s="78" t="s">
        <v>1623</v>
      </c>
      <c r="J2855" s="584"/>
      <c r="K2855" s="584"/>
      <c r="M2855" s="62">
        <f t="shared" si="233"/>
        <v>3</v>
      </c>
    </row>
    <row r="2856" spans="1:13" ht="15">
      <c r="A2856" s="634" t="s">
        <v>1839</v>
      </c>
      <c r="B2856" s="635" t="s">
        <v>903</v>
      </c>
      <c r="C2856" s="1037" t="s">
        <v>4127</v>
      </c>
      <c r="D2856" s="1038"/>
      <c r="E2856" s="1039"/>
      <c r="F2856" s="635" t="s">
        <v>1684</v>
      </c>
      <c r="G2856" s="1037" t="s">
        <v>4132</v>
      </c>
      <c r="H2856" s="1038"/>
      <c r="I2856" s="1039"/>
      <c r="J2856" s="726"/>
      <c r="K2856" s="727"/>
    </row>
    <row r="2857" spans="1:13">
      <c r="A2857" s="636" t="s">
        <v>1620</v>
      </c>
      <c r="B2857" s="637"/>
      <c r="C2857" s="635" t="s">
        <v>1841</v>
      </c>
      <c r="D2857" s="635" t="s">
        <v>4133</v>
      </c>
      <c r="E2857" s="635" t="s">
        <v>4133</v>
      </c>
      <c r="F2857" s="1056" t="s">
        <v>4200</v>
      </c>
      <c r="G2857" s="634" t="s">
        <v>4135</v>
      </c>
      <c r="H2857" s="1051" t="s">
        <v>4182</v>
      </c>
      <c r="I2857" s="634" t="s">
        <v>4135</v>
      </c>
      <c r="J2857" s="728" t="s">
        <v>4136</v>
      </c>
      <c r="K2857" s="727"/>
    </row>
    <row r="2858" spans="1:13" ht="12.75" customHeight="1">
      <c r="A2858" s="638" t="s">
        <v>387</v>
      </c>
      <c r="B2858" s="639"/>
      <c r="C2858" s="638">
        <v>2015</v>
      </c>
      <c r="D2858" s="638">
        <v>2016</v>
      </c>
      <c r="E2858" s="638">
        <v>2017</v>
      </c>
      <c r="F2858" s="1057"/>
      <c r="G2858" s="638" t="s">
        <v>4304</v>
      </c>
      <c r="H2858" s="1052"/>
      <c r="I2858" s="638" t="s">
        <v>4303</v>
      </c>
      <c r="J2858" s="639"/>
      <c r="K2858" s="729"/>
    </row>
    <row r="2859" spans="1:13">
      <c r="A2859" s="768"/>
      <c r="B2859" s="768"/>
      <c r="C2859" s="390"/>
      <c r="D2859" s="390"/>
      <c r="E2859" s="390"/>
      <c r="F2859" s="390"/>
      <c r="G2859" s="390"/>
      <c r="H2859" s="390"/>
      <c r="I2859" s="390"/>
      <c r="J2859" s="390"/>
      <c r="K2859" s="734"/>
      <c r="M2859" s="62" t="e">
        <f>IF(#REF!&gt;6,3,5)</f>
        <v>#REF!</v>
      </c>
    </row>
    <row r="2860" spans="1:13">
      <c r="A2860" s="768">
        <v>2</v>
      </c>
      <c r="B2860" s="768" t="s">
        <v>1695</v>
      </c>
      <c r="C2860" s="390">
        <v>1500000</v>
      </c>
      <c r="D2860" s="390">
        <v>1500000</v>
      </c>
      <c r="E2860" s="390">
        <v>1500000</v>
      </c>
      <c r="F2860" s="390">
        <f>SUM(C2860:E2860)</f>
        <v>4500000</v>
      </c>
      <c r="G2860" s="390">
        <v>1499000</v>
      </c>
      <c r="H2860" s="390">
        <v>1500000</v>
      </c>
      <c r="I2860" s="390">
        <v>801000</v>
      </c>
      <c r="J2860" s="390"/>
      <c r="K2860" s="734"/>
      <c r="M2860" s="62" t="e">
        <f>IF(#REF!&gt;6,3,5)</f>
        <v>#REF!</v>
      </c>
    </row>
    <row r="2861" spans="1:13">
      <c r="A2861" s="768">
        <f t="shared" ref="A2861:A2884" si="234">+A2860+1</f>
        <v>3</v>
      </c>
      <c r="B2861" s="768" t="s">
        <v>1696</v>
      </c>
      <c r="C2861" s="390" t="s">
        <v>1386</v>
      </c>
      <c r="D2861" s="390" t="s">
        <v>1386</v>
      </c>
      <c r="E2861" s="390" t="s">
        <v>1386</v>
      </c>
      <c r="F2861" s="390">
        <f t="shared" ref="F2861:F2884" si="235">SUM(C2861:E2861)</f>
        <v>0</v>
      </c>
      <c r="G2861" s="390"/>
      <c r="H2861" s="390" t="s">
        <v>1386</v>
      </c>
      <c r="I2861" s="390"/>
      <c r="J2861" s="390"/>
      <c r="K2861" s="734"/>
      <c r="M2861" s="62" t="e">
        <f>IF(#REF!&gt;6,3,5)</f>
        <v>#REF!</v>
      </c>
    </row>
    <row r="2862" spans="1:13">
      <c r="A2862" s="768">
        <f t="shared" si="234"/>
        <v>4</v>
      </c>
      <c r="B2862" s="768" t="s">
        <v>1701</v>
      </c>
      <c r="C2862" s="390" t="s">
        <v>1386</v>
      </c>
      <c r="D2862" s="390" t="s">
        <v>1386</v>
      </c>
      <c r="E2862" s="390" t="s">
        <v>1386</v>
      </c>
      <c r="F2862" s="390">
        <f t="shared" si="235"/>
        <v>0</v>
      </c>
      <c r="G2862" s="390"/>
      <c r="H2862" s="390" t="s">
        <v>1386</v>
      </c>
      <c r="I2862" s="390"/>
      <c r="J2862" s="390"/>
      <c r="K2862" s="734"/>
      <c r="M2862" s="62" t="e">
        <f>IF(#REF!&gt;6,3,5)</f>
        <v>#REF!</v>
      </c>
    </row>
    <row r="2863" spans="1:13">
      <c r="A2863" s="768">
        <f t="shared" si="234"/>
        <v>5</v>
      </c>
      <c r="B2863" s="768" t="s">
        <v>1778</v>
      </c>
      <c r="C2863" s="390">
        <v>1000000</v>
      </c>
      <c r="D2863" s="390">
        <v>2000000</v>
      </c>
      <c r="E2863" s="390">
        <v>2000000</v>
      </c>
      <c r="F2863" s="390">
        <f t="shared" si="235"/>
        <v>5000000</v>
      </c>
      <c r="G2863" s="390">
        <v>307200</v>
      </c>
      <c r="H2863" s="390">
        <v>1000000</v>
      </c>
      <c r="I2863" s="390">
        <v>24000</v>
      </c>
      <c r="J2863" s="390"/>
      <c r="K2863" s="734"/>
      <c r="M2863" s="62" t="e">
        <f>IF(#REF!&gt;6,3,5)</f>
        <v>#REF!</v>
      </c>
    </row>
    <row r="2864" spans="1:13">
      <c r="A2864" s="768">
        <f t="shared" si="234"/>
        <v>6</v>
      </c>
      <c r="B2864" s="768" t="s">
        <v>1718</v>
      </c>
      <c r="C2864" s="390">
        <v>500000</v>
      </c>
      <c r="D2864" s="390">
        <v>500000</v>
      </c>
      <c r="E2864" s="390">
        <v>500000</v>
      </c>
      <c r="F2864" s="390">
        <f t="shared" si="235"/>
        <v>1500000</v>
      </c>
      <c r="G2864" s="390">
        <v>279000</v>
      </c>
      <c r="H2864" s="390">
        <v>500000</v>
      </c>
      <c r="I2864" s="390">
        <v>475000</v>
      </c>
      <c r="J2864" s="390"/>
      <c r="K2864" s="734"/>
      <c r="M2864" s="62" t="e">
        <f>IF(#REF!&gt;6,3,5)</f>
        <v>#REF!</v>
      </c>
    </row>
    <row r="2865" spans="1:13">
      <c r="A2865" s="768">
        <f t="shared" si="234"/>
        <v>7</v>
      </c>
      <c r="B2865" s="768" t="s">
        <v>3680</v>
      </c>
      <c r="C2865" s="390">
        <v>1000000</v>
      </c>
      <c r="D2865" s="390">
        <v>1000000</v>
      </c>
      <c r="E2865" s="390">
        <v>1000000</v>
      </c>
      <c r="F2865" s="390">
        <f t="shared" si="235"/>
        <v>3000000</v>
      </c>
      <c r="G2865" s="390">
        <v>880300</v>
      </c>
      <c r="H2865" s="390">
        <v>1000000</v>
      </c>
      <c r="I2865" s="390">
        <v>445000</v>
      </c>
      <c r="J2865" s="390"/>
      <c r="K2865" s="734"/>
      <c r="M2865" s="62" t="e">
        <f>IF(#REF!&gt;6,3,5)</f>
        <v>#REF!</v>
      </c>
    </row>
    <row r="2866" spans="1:13">
      <c r="A2866" s="768">
        <f t="shared" si="234"/>
        <v>8</v>
      </c>
      <c r="B2866" s="768" t="s">
        <v>1719</v>
      </c>
      <c r="C2866" s="390" t="s">
        <v>1386</v>
      </c>
      <c r="D2866" s="390" t="s">
        <v>1386</v>
      </c>
      <c r="E2866" s="390" t="s">
        <v>1386</v>
      </c>
      <c r="F2866" s="390">
        <f t="shared" si="235"/>
        <v>0</v>
      </c>
      <c r="G2866" s="390"/>
      <c r="H2866" s="390" t="s">
        <v>1386</v>
      </c>
      <c r="I2866" s="390"/>
      <c r="J2866" s="390"/>
      <c r="K2866" s="734"/>
      <c r="M2866" s="62" t="e">
        <f>IF(#REF!&gt;6,3,5)</f>
        <v>#REF!</v>
      </c>
    </row>
    <row r="2867" spans="1:13">
      <c r="A2867" s="768">
        <f t="shared" si="234"/>
        <v>9</v>
      </c>
      <c r="B2867" s="768" t="s">
        <v>2061</v>
      </c>
      <c r="C2867" s="390" t="s">
        <v>1386</v>
      </c>
      <c r="D2867" s="390" t="s">
        <v>1386</v>
      </c>
      <c r="E2867" s="390" t="s">
        <v>1386</v>
      </c>
      <c r="F2867" s="390">
        <f t="shared" si="235"/>
        <v>0</v>
      </c>
      <c r="G2867" s="390"/>
      <c r="H2867" s="390" t="s">
        <v>1386</v>
      </c>
      <c r="I2867" s="390"/>
      <c r="J2867" s="390"/>
      <c r="K2867" s="734"/>
      <c r="M2867" s="62" t="e">
        <f>IF(#REF!&gt;6,3,5)</f>
        <v>#REF!</v>
      </c>
    </row>
    <row r="2868" spans="1:13">
      <c r="A2868" s="768">
        <f t="shared" si="234"/>
        <v>10</v>
      </c>
      <c r="B2868" s="768" t="s">
        <v>2685</v>
      </c>
      <c r="C2868" s="390">
        <v>1000000</v>
      </c>
      <c r="D2868" s="390">
        <v>1000000</v>
      </c>
      <c r="E2868" s="390">
        <v>1000000</v>
      </c>
      <c r="F2868" s="390">
        <f t="shared" si="235"/>
        <v>3000000</v>
      </c>
      <c r="G2868" s="390">
        <v>446000</v>
      </c>
      <c r="H2868" s="390">
        <v>1000000</v>
      </c>
      <c r="I2868" s="390">
        <v>0</v>
      </c>
      <c r="J2868" s="390"/>
      <c r="K2868" s="734"/>
      <c r="M2868" s="62" t="e">
        <f>IF(#REF!&gt;6,3,5)</f>
        <v>#REF!</v>
      </c>
    </row>
    <row r="2869" spans="1:13">
      <c r="A2869" s="768">
        <f t="shared" si="234"/>
        <v>11</v>
      </c>
      <c r="B2869" s="768" t="s">
        <v>764</v>
      </c>
      <c r="C2869" s="390">
        <v>250000</v>
      </c>
      <c r="D2869" s="390">
        <v>250000</v>
      </c>
      <c r="E2869" s="390">
        <v>250000</v>
      </c>
      <c r="F2869" s="390">
        <f t="shared" si="235"/>
        <v>750000</v>
      </c>
      <c r="G2869" s="390"/>
      <c r="H2869" s="390">
        <v>250000</v>
      </c>
      <c r="I2869" s="390"/>
      <c r="J2869" s="390"/>
      <c r="K2869" s="734"/>
      <c r="M2869" s="62" t="e">
        <f>IF(#REF!&gt;6,3,5)</f>
        <v>#REF!</v>
      </c>
    </row>
    <row r="2870" spans="1:13">
      <c r="A2870" s="768">
        <f t="shared" si="234"/>
        <v>12</v>
      </c>
      <c r="B2870" s="768" t="s">
        <v>2688</v>
      </c>
      <c r="C2870" s="390">
        <v>3000000</v>
      </c>
      <c r="D2870" s="390">
        <v>5000000</v>
      </c>
      <c r="E2870" s="390">
        <v>5000000</v>
      </c>
      <c r="F2870" s="390">
        <f t="shared" si="235"/>
        <v>13000000</v>
      </c>
      <c r="G2870" s="743">
        <v>2152423.9300000002</v>
      </c>
      <c r="H2870" s="390">
        <v>3000000</v>
      </c>
      <c r="I2870" s="743">
        <f>2973242.6+652400</f>
        <v>3625642.6</v>
      </c>
      <c r="J2870" s="390"/>
      <c r="K2870" s="734"/>
      <c r="M2870" s="62" t="e">
        <f>IF(#REF!&gt;6,3,5)</f>
        <v>#REF!</v>
      </c>
    </row>
    <row r="2871" spans="1:13">
      <c r="A2871" s="768">
        <f t="shared" si="234"/>
        <v>13</v>
      </c>
      <c r="B2871" s="768" t="s">
        <v>2249</v>
      </c>
      <c r="C2871" s="390">
        <v>200000</v>
      </c>
      <c r="D2871" s="390">
        <v>100000</v>
      </c>
      <c r="E2871" s="390">
        <v>100000</v>
      </c>
      <c r="F2871" s="390">
        <f t="shared" si="235"/>
        <v>400000</v>
      </c>
      <c r="G2871" s="390"/>
      <c r="H2871" s="390">
        <v>100000</v>
      </c>
      <c r="I2871" s="390"/>
      <c r="J2871" s="390"/>
      <c r="K2871" s="734"/>
      <c r="M2871" s="62" t="e">
        <f>IF(#REF!&gt;6,3,5)</f>
        <v>#REF!</v>
      </c>
    </row>
    <row r="2872" spans="1:13">
      <c r="A2872" s="768">
        <f t="shared" si="234"/>
        <v>14</v>
      </c>
      <c r="B2872" s="768" t="s">
        <v>1336</v>
      </c>
      <c r="C2872" s="390">
        <v>1000000</v>
      </c>
      <c r="D2872" s="390">
        <v>2500000</v>
      </c>
      <c r="E2872" s="390">
        <v>2500000</v>
      </c>
      <c r="F2872" s="390">
        <f t="shared" si="235"/>
        <v>6000000</v>
      </c>
      <c r="G2872" s="390">
        <v>795000</v>
      </c>
      <c r="H2872" s="390">
        <v>1000000</v>
      </c>
      <c r="I2872" s="390">
        <v>30000</v>
      </c>
      <c r="J2872" s="390"/>
      <c r="K2872" s="734"/>
      <c r="M2872" s="62" t="e">
        <f>IF(#REF!&gt;6,3,5)</f>
        <v>#REF!</v>
      </c>
    </row>
    <row r="2873" spans="1:13">
      <c r="A2873" s="768">
        <f t="shared" si="234"/>
        <v>15</v>
      </c>
      <c r="B2873" s="768" t="s">
        <v>1720</v>
      </c>
      <c r="C2873" s="390">
        <v>2000000</v>
      </c>
      <c r="D2873" s="390">
        <v>2000000</v>
      </c>
      <c r="E2873" s="390">
        <v>2000000</v>
      </c>
      <c r="F2873" s="390">
        <f t="shared" si="235"/>
        <v>6000000</v>
      </c>
      <c r="G2873" s="390"/>
      <c r="H2873" s="390">
        <v>2000000</v>
      </c>
      <c r="I2873" s="390">
        <v>0</v>
      </c>
      <c r="J2873" s="390"/>
      <c r="K2873" s="734"/>
      <c r="M2873" s="62" t="e">
        <f>IF(#REF!&gt;6,3,5)</f>
        <v>#REF!</v>
      </c>
    </row>
    <row r="2874" spans="1:13">
      <c r="A2874" s="768">
        <f t="shared" si="234"/>
        <v>16</v>
      </c>
      <c r="B2874" s="768" t="s">
        <v>2560</v>
      </c>
      <c r="C2874" s="390">
        <v>10000000</v>
      </c>
      <c r="D2874" s="390">
        <v>25000000</v>
      </c>
      <c r="E2874" s="390">
        <v>25000000</v>
      </c>
      <c r="F2874" s="390">
        <f t="shared" si="235"/>
        <v>60000000</v>
      </c>
      <c r="G2874" s="390"/>
      <c r="H2874" s="390">
        <v>10000000</v>
      </c>
      <c r="I2874" s="390"/>
      <c r="J2874" s="390"/>
      <c r="K2874" s="734"/>
      <c r="M2874" s="62" t="e">
        <f>IF(#REF!&gt;6,3,5)</f>
        <v>#REF!</v>
      </c>
    </row>
    <row r="2875" spans="1:13">
      <c r="A2875" s="768">
        <f t="shared" si="234"/>
        <v>17</v>
      </c>
      <c r="B2875" s="768" t="s">
        <v>947</v>
      </c>
      <c r="C2875" s="390">
        <v>1000000</v>
      </c>
      <c r="D2875" s="390">
        <v>1000000</v>
      </c>
      <c r="E2875" s="390">
        <v>1000000</v>
      </c>
      <c r="F2875" s="390">
        <f t="shared" si="235"/>
        <v>3000000</v>
      </c>
      <c r="G2875" s="390"/>
      <c r="H2875" s="390">
        <v>1000000</v>
      </c>
      <c r="I2875" s="390"/>
      <c r="J2875" s="390"/>
      <c r="K2875" s="734"/>
      <c r="M2875" s="62" t="e">
        <f>IF(#REF!&gt;6,3,5)</f>
        <v>#REF!</v>
      </c>
    </row>
    <row r="2876" spans="1:13">
      <c r="A2876" s="768">
        <f t="shared" si="234"/>
        <v>18</v>
      </c>
      <c r="B2876" s="768" t="s">
        <v>2519</v>
      </c>
      <c r="C2876" s="390" t="s">
        <v>1386</v>
      </c>
      <c r="D2876" s="390" t="s">
        <v>1386</v>
      </c>
      <c r="E2876" s="390" t="s">
        <v>1386</v>
      </c>
      <c r="F2876" s="390">
        <f t="shared" si="235"/>
        <v>0</v>
      </c>
      <c r="G2876" s="390"/>
      <c r="H2876" s="390" t="s">
        <v>1386</v>
      </c>
      <c r="I2876" s="390"/>
      <c r="J2876" s="390"/>
      <c r="K2876" s="734"/>
      <c r="M2876" s="62" t="e">
        <f>IF(#REF!&gt;6,3,5)</f>
        <v>#REF!</v>
      </c>
    </row>
    <row r="2877" spans="1:13">
      <c r="A2877" s="768">
        <f t="shared" si="234"/>
        <v>19</v>
      </c>
      <c r="B2877" s="768" t="s">
        <v>2520</v>
      </c>
      <c r="C2877" s="390">
        <v>1000000</v>
      </c>
      <c r="D2877" s="390">
        <v>2000000</v>
      </c>
      <c r="E2877" s="390">
        <v>2000000</v>
      </c>
      <c r="F2877" s="390">
        <f t="shared" si="235"/>
        <v>5000000</v>
      </c>
      <c r="G2877" s="390"/>
      <c r="H2877" s="390">
        <v>800000</v>
      </c>
      <c r="I2877" s="390">
        <v>0</v>
      </c>
      <c r="J2877" s="390"/>
      <c r="K2877" s="734"/>
      <c r="M2877" s="62" t="e">
        <f>IF(#REF!&gt;6,3,5)</f>
        <v>#REF!</v>
      </c>
    </row>
    <row r="2878" spans="1:13">
      <c r="A2878" s="768">
        <f t="shared" si="234"/>
        <v>20</v>
      </c>
      <c r="B2878" s="768" t="s">
        <v>3650</v>
      </c>
      <c r="C2878" s="390">
        <v>1500000</v>
      </c>
      <c r="D2878" s="390">
        <v>1500000</v>
      </c>
      <c r="E2878" s="390">
        <v>1500000</v>
      </c>
      <c r="F2878" s="390">
        <f t="shared" si="235"/>
        <v>4500000</v>
      </c>
      <c r="G2878" s="390"/>
      <c r="H2878" s="390">
        <v>1500000</v>
      </c>
      <c r="I2878" s="390"/>
      <c r="J2878" s="390"/>
      <c r="K2878" s="734"/>
      <c r="M2878" s="62" t="e">
        <f>IF(#REF!&gt;6,3,5)</f>
        <v>#REF!</v>
      </c>
    </row>
    <row r="2879" spans="1:13">
      <c r="A2879" s="768">
        <f t="shared" si="234"/>
        <v>21</v>
      </c>
      <c r="B2879" s="768" t="s">
        <v>1888</v>
      </c>
      <c r="C2879" s="390">
        <v>3500000</v>
      </c>
      <c r="D2879" s="390">
        <v>3500000</v>
      </c>
      <c r="E2879" s="390">
        <v>3500000</v>
      </c>
      <c r="F2879" s="390">
        <f t="shared" si="235"/>
        <v>10500000</v>
      </c>
      <c r="G2879" s="390"/>
      <c r="H2879" s="390">
        <v>3500000</v>
      </c>
      <c r="I2879" s="390">
        <f>2060000</f>
        <v>2060000</v>
      </c>
      <c r="J2879" s="390"/>
      <c r="K2879" s="734"/>
      <c r="M2879" s="62" t="e">
        <f>IF(#REF!&gt;6,3,5)</f>
        <v>#REF!</v>
      </c>
    </row>
    <row r="2880" spans="1:13">
      <c r="A2880" s="768">
        <f t="shared" si="234"/>
        <v>22</v>
      </c>
      <c r="B2880" s="768" t="s">
        <v>1889</v>
      </c>
      <c r="C2880" s="390">
        <v>5000000</v>
      </c>
      <c r="D2880" s="390">
        <v>5000000</v>
      </c>
      <c r="E2880" s="390">
        <v>5000000</v>
      </c>
      <c r="F2880" s="390">
        <f t="shared" si="235"/>
        <v>15000000</v>
      </c>
      <c r="G2880" s="390"/>
      <c r="H2880" s="390">
        <v>5000000</v>
      </c>
      <c r="I2880" s="390"/>
      <c r="J2880" s="390"/>
      <c r="K2880" s="734"/>
      <c r="M2880" s="62" t="e">
        <f>IF(#REF!&gt;6,3,5)</f>
        <v>#REF!</v>
      </c>
    </row>
    <row r="2881" spans="1:13">
      <c r="A2881" s="768">
        <f t="shared" si="234"/>
        <v>23</v>
      </c>
      <c r="B2881" s="768" t="s">
        <v>2229</v>
      </c>
      <c r="C2881" s="390">
        <v>40000000</v>
      </c>
      <c r="D2881" s="390">
        <v>51150000</v>
      </c>
      <c r="E2881" s="390">
        <v>51150000</v>
      </c>
      <c r="F2881" s="390">
        <f t="shared" si="235"/>
        <v>142300000</v>
      </c>
      <c r="G2881" s="390"/>
      <c r="H2881" s="390">
        <v>40000000</v>
      </c>
      <c r="I2881" s="390">
        <f>5500000</f>
        <v>5500000</v>
      </c>
      <c r="J2881" s="390"/>
      <c r="K2881" s="734"/>
      <c r="M2881" s="62" t="e">
        <f>IF(#REF!&gt;6,3,5)</f>
        <v>#REF!</v>
      </c>
    </row>
    <row r="2882" spans="1:13">
      <c r="A2882" s="768">
        <f t="shared" si="234"/>
        <v>24</v>
      </c>
      <c r="B2882" s="768" t="s">
        <v>2504</v>
      </c>
      <c r="C2882" s="390" t="s">
        <v>1386</v>
      </c>
      <c r="D2882" s="390" t="s">
        <v>1386</v>
      </c>
      <c r="E2882" s="390" t="s">
        <v>1386</v>
      </c>
      <c r="F2882" s="390">
        <f t="shared" si="235"/>
        <v>0</v>
      </c>
      <c r="G2882" s="390"/>
      <c r="H2882" s="390" t="s">
        <v>1386</v>
      </c>
      <c r="I2882" s="390"/>
      <c r="J2882" s="390"/>
      <c r="K2882" s="734"/>
      <c r="M2882" s="62" t="e">
        <f>IF(#REF!&gt;6,3,5)</f>
        <v>#REF!</v>
      </c>
    </row>
    <row r="2883" spans="1:13">
      <c r="A2883" s="768">
        <f t="shared" si="234"/>
        <v>25</v>
      </c>
      <c r="B2883" s="768" t="s">
        <v>1031</v>
      </c>
      <c r="C2883" s="390">
        <v>2000000</v>
      </c>
      <c r="D2883" s="390">
        <v>10000000</v>
      </c>
      <c r="E2883" s="390">
        <v>10000000</v>
      </c>
      <c r="F2883" s="390">
        <f t="shared" si="235"/>
        <v>22000000</v>
      </c>
      <c r="G2883" s="390">
        <v>1685000</v>
      </c>
      <c r="H2883" s="390">
        <v>5000000</v>
      </c>
      <c r="I2883" s="390">
        <f>500000</f>
        <v>500000</v>
      </c>
      <c r="J2883" s="390"/>
      <c r="K2883" s="734"/>
    </row>
    <row r="2884" spans="1:13">
      <c r="A2884" s="768">
        <f t="shared" si="234"/>
        <v>26</v>
      </c>
      <c r="B2884" s="768" t="s">
        <v>753</v>
      </c>
      <c r="C2884" s="390">
        <v>5000000</v>
      </c>
      <c r="D2884" s="390">
        <v>35000000</v>
      </c>
      <c r="E2884" s="390">
        <v>35000000</v>
      </c>
      <c r="F2884" s="390">
        <f t="shared" si="235"/>
        <v>75000000</v>
      </c>
      <c r="G2884" s="390"/>
      <c r="H2884" s="390">
        <v>35000000</v>
      </c>
      <c r="I2884" s="390"/>
      <c r="J2884" s="390"/>
      <c r="K2884" s="734"/>
    </row>
    <row r="2885" spans="1:13">
      <c r="A2885" s="770"/>
      <c r="B2885" s="770" t="s">
        <v>1684</v>
      </c>
      <c r="C2885" s="771">
        <f t="shared" ref="C2885:I2885" si="236">SUM(C2859:C2884)</f>
        <v>80450000</v>
      </c>
      <c r="D2885" s="771">
        <f t="shared" si="236"/>
        <v>150000000</v>
      </c>
      <c r="E2885" s="771">
        <f t="shared" si="236"/>
        <v>150000000</v>
      </c>
      <c r="F2885" s="771">
        <f t="shared" si="236"/>
        <v>380450000</v>
      </c>
      <c r="G2885" s="771">
        <f>SUM(G2859:G2884)</f>
        <v>8043923.9299999997</v>
      </c>
      <c r="H2885" s="771">
        <f t="shared" si="236"/>
        <v>113150000</v>
      </c>
      <c r="I2885" s="771">
        <f t="shared" si="236"/>
        <v>13460642.6</v>
      </c>
      <c r="J2885" s="771"/>
      <c r="K2885" s="772"/>
      <c r="M2885" s="62" t="e">
        <f>IF(#REF!&gt;6,3,5)</f>
        <v>#REF!</v>
      </c>
    </row>
    <row r="2886" spans="1:13" ht="15">
      <c r="C2886" s="77"/>
      <c r="D2886" s="78" t="s">
        <v>5434</v>
      </c>
      <c r="J2886" s="584"/>
      <c r="K2886" s="584"/>
      <c r="M2886" s="62">
        <f t="shared" si="233"/>
        <v>5</v>
      </c>
    </row>
    <row r="2887" spans="1:13" ht="15">
      <c r="B2887" s="112"/>
      <c r="C2887" s="77"/>
      <c r="D2887" s="78" t="s">
        <v>1693</v>
      </c>
      <c r="J2887" s="584"/>
      <c r="K2887" s="584"/>
      <c r="M2887" s="62">
        <f t="shared" si="233"/>
        <v>5</v>
      </c>
    </row>
    <row r="2888" spans="1:13" ht="15">
      <c r="C2888" s="79" t="s">
        <v>717</v>
      </c>
      <c r="D2888" s="78" t="s">
        <v>3590</v>
      </c>
      <c r="J2888" s="584"/>
      <c r="K2888" s="584"/>
      <c r="M2888" s="62">
        <f t="shared" si="233"/>
        <v>3</v>
      </c>
    </row>
    <row r="2889" spans="1:13" ht="15.75" thickBot="1">
      <c r="C2889" s="79" t="s">
        <v>718</v>
      </c>
      <c r="D2889" s="78" t="s">
        <v>1890</v>
      </c>
      <c r="J2889" s="584"/>
      <c r="K2889" s="584"/>
      <c r="M2889" s="62">
        <f t="shared" si="233"/>
        <v>3</v>
      </c>
    </row>
    <row r="2890" spans="1:13" ht="15.75" thickTop="1">
      <c r="A2890" s="1047" t="s">
        <v>2791</v>
      </c>
      <c r="B2890" s="1049" t="s">
        <v>4126</v>
      </c>
      <c r="C2890" s="1049" t="s">
        <v>854</v>
      </c>
      <c r="D2890" s="1040" t="s">
        <v>4127</v>
      </c>
      <c r="E2890" s="1041"/>
      <c r="F2890" s="1041"/>
      <c r="G2890" s="1040" t="s">
        <v>904</v>
      </c>
      <c r="H2890" s="1041"/>
      <c r="I2890" s="1042"/>
      <c r="J2890" s="1035" t="s">
        <v>855</v>
      </c>
      <c r="K2890" s="389"/>
    </row>
    <row r="2891" spans="1:13" ht="26.25" thickBot="1">
      <c r="A2891" s="1048"/>
      <c r="B2891" s="1050"/>
      <c r="C2891" s="1050"/>
      <c r="D2891" s="285" t="s">
        <v>5505</v>
      </c>
      <c r="E2891" s="285" t="s">
        <v>4485</v>
      </c>
      <c r="F2891" s="285" t="s">
        <v>4486</v>
      </c>
      <c r="G2891" s="287" t="s">
        <v>4487</v>
      </c>
      <c r="H2891" s="285" t="s">
        <v>4488</v>
      </c>
      <c r="I2891" s="287" t="s">
        <v>4489</v>
      </c>
      <c r="J2891" s="1036"/>
      <c r="K2891" s="712"/>
    </row>
    <row r="2892" spans="1:13" ht="13.5" thickTop="1">
      <c r="A2892" s="88"/>
      <c r="B2892" s="90" t="s">
        <v>2051</v>
      </c>
      <c r="C2892" s="69"/>
      <c r="D2892" s="89"/>
      <c r="E2892" s="89"/>
      <c r="F2892" s="89"/>
      <c r="G2892" s="89"/>
      <c r="H2892" s="89"/>
      <c r="I2892" s="89"/>
      <c r="J2892" s="713"/>
      <c r="K2892" s="711"/>
      <c r="M2892" s="62">
        <f t="shared" si="233"/>
        <v>5</v>
      </c>
    </row>
    <row r="2893" spans="1:13">
      <c r="A2893" s="88">
        <v>1</v>
      </c>
      <c r="B2893" s="69" t="s">
        <v>3845</v>
      </c>
      <c r="C2893" s="69">
        <v>7</v>
      </c>
      <c r="D2893" s="89">
        <v>0</v>
      </c>
      <c r="E2893" s="89">
        <v>0</v>
      </c>
      <c r="F2893" s="89">
        <v>0</v>
      </c>
      <c r="G2893" s="89">
        <v>0</v>
      </c>
      <c r="H2893" s="89">
        <v>0</v>
      </c>
      <c r="I2893" s="89">
        <v>0</v>
      </c>
      <c r="J2893" s="710">
        <f>(VLOOKUP($C2893,[2]Sheet1!$A$2:$P$18,$M2893+1)/12)*12*D2893</f>
        <v>0</v>
      </c>
      <c r="K2893" s="711"/>
      <c r="M2893" s="62">
        <f t="shared" si="233"/>
        <v>3</v>
      </c>
    </row>
    <row r="2894" spans="1:13">
      <c r="A2894" s="88">
        <f t="shared" ref="A2894:A2919" si="237">+A2893+1</f>
        <v>2</v>
      </c>
      <c r="B2894" s="69" t="s">
        <v>3846</v>
      </c>
      <c r="C2894" s="69">
        <v>6</v>
      </c>
      <c r="D2894" s="89">
        <v>0</v>
      </c>
      <c r="E2894" s="89">
        <v>0</v>
      </c>
      <c r="F2894" s="89">
        <v>0</v>
      </c>
      <c r="G2894" s="89">
        <v>0</v>
      </c>
      <c r="H2894" s="89">
        <v>0</v>
      </c>
      <c r="I2894" s="89">
        <v>0</v>
      </c>
      <c r="J2894" s="710">
        <f>(VLOOKUP($C2894,[2]Sheet1!$A$2:$P$18,$M2894+1)/12)*12*D2894</f>
        <v>0</v>
      </c>
      <c r="K2894" s="711"/>
      <c r="M2894" s="62">
        <f t="shared" si="233"/>
        <v>5</v>
      </c>
    </row>
    <row r="2895" spans="1:13">
      <c r="A2895" s="88">
        <f t="shared" si="237"/>
        <v>3</v>
      </c>
      <c r="B2895" s="69" t="s">
        <v>3847</v>
      </c>
      <c r="C2895" s="69">
        <v>5</v>
      </c>
      <c r="D2895" s="89">
        <v>0</v>
      </c>
      <c r="E2895" s="89">
        <v>0</v>
      </c>
      <c r="F2895" s="89">
        <v>0</v>
      </c>
      <c r="G2895" s="89">
        <v>0</v>
      </c>
      <c r="H2895" s="89">
        <v>0</v>
      </c>
      <c r="I2895" s="89">
        <v>0</v>
      </c>
      <c r="J2895" s="710">
        <f>(VLOOKUP($C2895,[2]Sheet1!$A$2:$P$18,$M2895+1)/12)*12*D2895</f>
        <v>0</v>
      </c>
      <c r="K2895" s="711"/>
      <c r="M2895" s="62">
        <f t="shared" si="233"/>
        <v>5</v>
      </c>
    </row>
    <row r="2896" spans="1:13">
      <c r="A2896" s="88">
        <f t="shared" si="237"/>
        <v>4</v>
      </c>
      <c r="B2896" s="69" t="s">
        <v>2336</v>
      </c>
      <c r="C2896" s="69">
        <v>4</v>
      </c>
      <c r="D2896" s="89">
        <v>0</v>
      </c>
      <c r="E2896" s="89">
        <v>0</v>
      </c>
      <c r="F2896" s="89">
        <v>0</v>
      </c>
      <c r="G2896" s="89">
        <v>0</v>
      </c>
      <c r="H2896" s="89">
        <v>0</v>
      </c>
      <c r="I2896" s="89">
        <v>0</v>
      </c>
      <c r="J2896" s="710">
        <f>(VLOOKUP($C2896,[2]Sheet1!$A$2:$P$18,$M2896+1)/12)*12*D2896</f>
        <v>0</v>
      </c>
      <c r="K2896" s="711"/>
      <c r="M2896" s="62">
        <f t="shared" si="233"/>
        <v>5</v>
      </c>
    </row>
    <row r="2897" spans="1:13">
      <c r="A2897" s="88">
        <f t="shared" si="237"/>
        <v>5</v>
      </c>
      <c r="B2897" s="69" t="s">
        <v>1069</v>
      </c>
      <c r="C2897" s="69">
        <v>3</v>
      </c>
      <c r="D2897" s="89">
        <v>1</v>
      </c>
      <c r="E2897" s="89">
        <v>0</v>
      </c>
      <c r="F2897" s="89">
        <v>0</v>
      </c>
      <c r="G2897" s="89">
        <v>0</v>
      </c>
      <c r="H2897" s="89">
        <v>0</v>
      </c>
      <c r="I2897" s="89">
        <v>1</v>
      </c>
      <c r="J2897" s="710">
        <f>(VLOOKUP($C2897,[2]Sheet1!$A$2:$P$18,$M2897+1)/12)*12*D2897</f>
        <v>219336.17893036499</v>
      </c>
      <c r="K2897" s="711"/>
      <c r="M2897" s="62">
        <f t="shared" si="233"/>
        <v>5</v>
      </c>
    </row>
    <row r="2898" spans="1:13">
      <c r="A2898" s="88">
        <f t="shared" si="237"/>
        <v>6</v>
      </c>
      <c r="B2898" s="69" t="s">
        <v>2207</v>
      </c>
      <c r="C2898" s="69">
        <v>9</v>
      </c>
      <c r="D2898" s="89">
        <v>0</v>
      </c>
      <c r="E2898" s="89">
        <v>0</v>
      </c>
      <c r="F2898" s="89">
        <v>0</v>
      </c>
      <c r="G2898" s="89">
        <v>0</v>
      </c>
      <c r="H2898" s="89">
        <v>0</v>
      </c>
      <c r="I2898" s="89">
        <v>0</v>
      </c>
      <c r="J2898" s="710">
        <f>(VLOOKUP($C2898,[2]Sheet1!$A$2:$P$18,$M2898+1)/12)*12*D2898</f>
        <v>0</v>
      </c>
      <c r="K2898" s="711"/>
      <c r="M2898" s="62">
        <f t="shared" si="233"/>
        <v>3</v>
      </c>
    </row>
    <row r="2899" spans="1:13">
      <c r="A2899" s="88">
        <f t="shared" si="237"/>
        <v>7</v>
      </c>
      <c r="B2899" s="69" t="s">
        <v>2208</v>
      </c>
      <c r="C2899" s="69">
        <v>8</v>
      </c>
      <c r="D2899" s="89">
        <v>0</v>
      </c>
      <c r="E2899" s="89">
        <v>0</v>
      </c>
      <c r="F2899" s="89">
        <v>0</v>
      </c>
      <c r="G2899" s="89">
        <v>0</v>
      </c>
      <c r="H2899" s="89">
        <v>0</v>
      </c>
      <c r="I2899" s="89">
        <v>0</v>
      </c>
      <c r="J2899" s="710">
        <f>(VLOOKUP($C2899,[2]Sheet1!$A$2:$P$18,$M2899+1)/12)*12*D2899</f>
        <v>0</v>
      </c>
      <c r="K2899" s="711"/>
      <c r="M2899" s="62">
        <f t="shared" si="233"/>
        <v>3</v>
      </c>
    </row>
    <row r="2900" spans="1:13">
      <c r="A2900" s="88">
        <f t="shared" si="237"/>
        <v>8</v>
      </c>
      <c r="B2900" s="69" t="s">
        <v>4066</v>
      </c>
      <c r="C2900" s="69">
        <v>7</v>
      </c>
      <c r="D2900" s="89">
        <v>0</v>
      </c>
      <c r="E2900" s="89">
        <v>0</v>
      </c>
      <c r="F2900" s="89">
        <v>0</v>
      </c>
      <c r="G2900" s="89">
        <v>0</v>
      </c>
      <c r="H2900" s="89">
        <v>0</v>
      </c>
      <c r="I2900" s="89">
        <v>0</v>
      </c>
      <c r="J2900" s="710">
        <f>(VLOOKUP($C2900,[2]Sheet1!$A$2:$P$18,$M2900+1)/12)*12*D2900</f>
        <v>0</v>
      </c>
      <c r="K2900" s="711"/>
      <c r="M2900" s="62">
        <f t="shared" si="233"/>
        <v>3</v>
      </c>
    </row>
    <row r="2901" spans="1:13">
      <c r="A2901" s="88">
        <f t="shared" si="237"/>
        <v>9</v>
      </c>
      <c r="B2901" s="69" t="s">
        <v>3764</v>
      </c>
      <c r="C2901" s="69">
        <v>6</v>
      </c>
      <c r="D2901" s="89">
        <v>0</v>
      </c>
      <c r="E2901" s="89">
        <v>0</v>
      </c>
      <c r="F2901" s="89">
        <v>0</v>
      </c>
      <c r="G2901" s="89">
        <v>0</v>
      </c>
      <c r="H2901" s="89">
        <v>0</v>
      </c>
      <c r="I2901" s="89">
        <v>0</v>
      </c>
      <c r="J2901" s="710">
        <f>(VLOOKUP($C2901,[2]Sheet1!$A$2:$P$18,$M2901+1)/12)*12*D2901</f>
        <v>0</v>
      </c>
      <c r="K2901" s="711"/>
      <c r="M2901" s="62">
        <f t="shared" si="233"/>
        <v>5</v>
      </c>
    </row>
    <row r="2902" spans="1:13">
      <c r="A2902" s="88">
        <f t="shared" si="237"/>
        <v>10</v>
      </c>
      <c r="B2902" s="69" t="s">
        <v>3765</v>
      </c>
      <c r="C2902" s="69">
        <v>5</v>
      </c>
      <c r="D2902" s="89">
        <v>0</v>
      </c>
      <c r="E2902" s="89">
        <v>0</v>
      </c>
      <c r="F2902" s="89">
        <v>0</v>
      </c>
      <c r="G2902" s="89">
        <v>0</v>
      </c>
      <c r="H2902" s="89">
        <v>0</v>
      </c>
      <c r="I2902" s="89">
        <v>0</v>
      </c>
      <c r="J2902" s="710">
        <f>(VLOOKUP($C2902,[2]Sheet1!$A$2:$P$18,$M2902+1)/12)*12*D2902</f>
        <v>0</v>
      </c>
      <c r="K2902" s="711"/>
      <c r="M2902" s="62">
        <f t="shared" si="233"/>
        <v>5</v>
      </c>
    </row>
    <row r="2903" spans="1:13">
      <c r="A2903" s="88">
        <f t="shared" si="237"/>
        <v>11</v>
      </c>
      <c r="B2903" s="69" t="s">
        <v>2572</v>
      </c>
      <c r="C2903" s="69">
        <v>7</v>
      </c>
      <c r="D2903" s="89">
        <v>0</v>
      </c>
      <c r="E2903" s="89">
        <v>0</v>
      </c>
      <c r="F2903" s="89">
        <v>0</v>
      </c>
      <c r="G2903" s="89">
        <v>0</v>
      </c>
      <c r="H2903" s="89">
        <v>0</v>
      </c>
      <c r="I2903" s="89">
        <v>0</v>
      </c>
      <c r="J2903" s="710">
        <f>(VLOOKUP($C2903,[2]Sheet1!$A$2:$P$18,$M2903+1)/12)*12*D2903</f>
        <v>0</v>
      </c>
      <c r="K2903" s="711"/>
      <c r="M2903" s="62">
        <f t="shared" si="233"/>
        <v>3</v>
      </c>
    </row>
    <row r="2904" spans="1:13">
      <c r="A2904" s="88">
        <f t="shared" si="237"/>
        <v>12</v>
      </c>
      <c r="B2904" s="69" t="s">
        <v>1749</v>
      </c>
      <c r="C2904" s="69">
        <v>6</v>
      </c>
      <c r="D2904" s="89">
        <v>1</v>
      </c>
      <c r="E2904" s="89">
        <v>0</v>
      </c>
      <c r="F2904" s="89">
        <v>0</v>
      </c>
      <c r="G2904" s="89">
        <v>0</v>
      </c>
      <c r="H2904" s="89">
        <v>0</v>
      </c>
      <c r="I2904" s="89">
        <v>1</v>
      </c>
      <c r="J2904" s="710">
        <f>(VLOOKUP($C2904,[2]Sheet1!$A$2:$P$18,$M2904+1)/12)*12*D2904</f>
        <v>238099.37893036497</v>
      </c>
      <c r="K2904" s="711"/>
      <c r="M2904" s="62">
        <f t="shared" si="233"/>
        <v>5</v>
      </c>
    </row>
    <row r="2905" spans="1:13">
      <c r="A2905" s="88">
        <f t="shared" si="237"/>
        <v>13</v>
      </c>
      <c r="B2905" s="69" t="s">
        <v>3796</v>
      </c>
      <c r="C2905" s="69">
        <v>5</v>
      </c>
      <c r="D2905" s="89">
        <v>1</v>
      </c>
      <c r="E2905" s="89">
        <v>0</v>
      </c>
      <c r="F2905" s="89">
        <v>0</v>
      </c>
      <c r="G2905" s="89">
        <v>0</v>
      </c>
      <c r="H2905" s="89">
        <v>0</v>
      </c>
      <c r="I2905" s="89">
        <v>1</v>
      </c>
      <c r="J2905" s="710">
        <f>(VLOOKUP($C2905,[2]Sheet1!$A$2:$P$18,$M2905+1)/12)*12*D2905</f>
        <v>229569.77893036499</v>
      </c>
      <c r="K2905" s="711"/>
      <c r="M2905" s="62">
        <f t="shared" si="233"/>
        <v>5</v>
      </c>
    </row>
    <row r="2906" spans="1:13">
      <c r="A2906" s="88">
        <f t="shared" si="237"/>
        <v>14</v>
      </c>
      <c r="B2906" s="69" t="s">
        <v>3797</v>
      </c>
      <c r="C2906" s="69">
        <v>4</v>
      </c>
      <c r="D2906" s="89">
        <v>0</v>
      </c>
      <c r="E2906" s="89">
        <v>0</v>
      </c>
      <c r="F2906" s="89">
        <v>0</v>
      </c>
      <c r="G2906" s="89">
        <v>0</v>
      </c>
      <c r="H2906" s="89">
        <v>0</v>
      </c>
      <c r="I2906" s="89">
        <v>0</v>
      </c>
      <c r="J2906" s="710">
        <f>(VLOOKUP($C2906,[2]Sheet1!$A$2:$P$18,$M2906+1)/12)*12*D2906</f>
        <v>0</v>
      </c>
      <c r="K2906" s="711"/>
      <c r="M2906" s="62">
        <f t="shared" si="233"/>
        <v>5</v>
      </c>
    </row>
    <row r="2907" spans="1:13">
      <c r="A2907" s="88">
        <f t="shared" si="237"/>
        <v>15</v>
      </c>
      <c r="B2907" s="69" t="s">
        <v>2556</v>
      </c>
      <c r="C2907" s="69">
        <v>3</v>
      </c>
      <c r="D2907" s="89">
        <v>0</v>
      </c>
      <c r="E2907" s="89">
        <v>0</v>
      </c>
      <c r="F2907" s="89">
        <v>0</v>
      </c>
      <c r="G2907" s="89">
        <v>0</v>
      </c>
      <c r="H2907" s="89">
        <v>0</v>
      </c>
      <c r="I2907" s="89">
        <v>0</v>
      </c>
      <c r="J2907" s="710">
        <f>(VLOOKUP($C2907,[2]Sheet1!$A$2:$P$18,$M2907+1)/12)*12*D2907</f>
        <v>0</v>
      </c>
      <c r="K2907" s="711"/>
      <c r="M2907" s="62">
        <f t="shared" si="233"/>
        <v>5</v>
      </c>
    </row>
    <row r="2908" spans="1:13">
      <c r="A2908" s="88">
        <f t="shared" si="237"/>
        <v>16</v>
      </c>
      <c r="B2908" s="69" t="s">
        <v>2179</v>
      </c>
      <c r="C2908" s="69">
        <v>4</v>
      </c>
      <c r="D2908" s="89">
        <v>1</v>
      </c>
      <c r="E2908" s="89">
        <v>1</v>
      </c>
      <c r="F2908" s="89">
        <v>1</v>
      </c>
      <c r="G2908" s="89">
        <v>1</v>
      </c>
      <c r="H2908" s="89">
        <v>1</v>
      </c>
      <c r="I2908" s="89">
        <v>1</v>
      </c>
      <c r="J2908" s="710">
        <f>(VLOOKUP($C2908,[2]Sheet1!$A$2:$P$18,$M2908+1)/12)*12*D2908</f>
        <v>224542.978930365</v>
      </c>
      <c r="K2908" s="711"/>
      <c r="M2908" s="62">
        <f t="shared" si="233"/>
        <v>5</v>
      </c>
    </row>
    <row r="2909" spans="1:13">
      <c r="A2909" s="88">
        <f t="shared" si="237"/>
        <v>17</v>
      </c>
      <c r="B2909" s="69" t="s">
        <v>2542</v>
      </c>
      <c r="C2909" s="69">
        <v>3</v>
      </c>
      <c r="D2909" s="89">
        <v>0</v>
      </c>
      <c r="E2909" s="89">
        <v>0</v>
      </c>
      <c r="F2909" s="89">
        <v>0</v>
      </c>
      <c r="G2909" s="89">
        <v>0</v>
      </c>
      <c r="H2909" s="89">
        <v>0</v>
      </c>
      <c r="I2909" s="89">
        <v>0</v>
      </c>
      <c r="J2909" s="710">
        <f>(VLOOKUP($C2909,[2]Sheet1!$A$2:$P$18,$M2909+1)/12)*12*D2909</f>
        <v>0</v>
      </c>
      <c r="K2909" s="711"/>
      <c r="M2909" s="62">
        <f t="shared" si="233"/>
        <v>5</v>
      </c>
    </row>
    <row r="2910" spans="1:13">
      <c r="A2910" s="88">
        <f t="shared" si="237"/>
        <v>18</v>
      </c>
      <c r="B2910" s="69" t="s">
        <v>2543</v>
      </c>
      <c r="C2910" s="69">
        <v>2</v>
      </c>
      <c r="D2910" s="89">
        <v>1</v>
      </c>
      <c r="E2910" s="89">
        <v>3</v>
      </c>
      <c r="F2910" s="89">
        <v>3</v>
      </c>
      <c r="G2910" s="89">
        <v>3</v>
      </c>
      <c r="H2910" s="89">
        <v>3</v>
      </c>
      <c r="I2910" s="89">
        <v>1</v>
      </c>
      <c r="J2910" s="710">
        <f>(VLOOKUP($C2910,[2]Sheet1!$A$2:$P$18,$M2910+1)/12)*12*D2910</f>
        <v>214657.37893036503</v>
      </c>
      <c r="K2910" s="711"/>
      <c r="M2910" s="62">
        <f t="shared" si="233"/>
        <v>5</v>
      </c>
    </row>
    <row r="2911" spans="1:13">
      <c r="A2911" s="88">
        <f t="shared" si="237"/>
        <v>19</v>
      </c>
      <c r="B2911" s="69" t="s">
        <v>3766</v>
      </c>
      <c r="C2911" s="69">
        <v>3</v>
      </c>
      <c r="D2911" s="143">
        <v>0</v>
      </c>
      <c r="E2911" s="143">
        <v>0</v>
      </c>
      <c r="F2911" s="143">
        <v>0</v>
      </c>
      <c r="G2911" s="143">
        <v>0</v>
      </c>
      <c r="H2911" s="143">
        <v>0</v>
      </c>
      <c r="I2911" s="143">
        <v>0</v>
      </c>
      <c r="J2911" s="710">
        <f>(VLOOKUP($C2911,[2]Sheet1!$A$2:$P$18,$M2911+1)/12)*12*D2911</f>
        <v>0</v>
      </c>
      <c r="K2911" s="711"/>
      <c r="M2911" s="62">
        <f t="shared" ref="M2911:M2976" si="238">IF(C2911&gt;6,3,5)</f>
        <v>5</v>
      </c>
    </row>
    <row r="2912" spans="1:13">
      <c r="A2912" s="88">
        <f t="shared" si="237"/>
        <v>20</v>
      </c>
      <c r="B2912" s="69" t="s">
        <v>2054</v>
      </c>
      <c r="C2912" s="69">
        <v>2</v>
      </c>
      <c r="D2912" s="89">
        <v>11</v>
      </c>
      <c r="E2912" s="89">
        <v>25</v>
      </c>
      <c r="F2912" s="89">
        <v>12</v>
      </c>
      <c r="G2912" s="89">
        <v>12</v>
      </c>
      <c r="H2912" s="89">
        <v>16</v>
      </c>
      <c r="I2912" s="89">
        <v>11</v>
      </c>
      <c r="J2912" s="710">
        <f>(VLOOKUP($C2912,[2]Sheet1!$A$2:$P$18,$M2912+1)/12)*12*D2912</f>
        <v>2361231.1682340153</v>
      </c>
      <c r="K2912" s="711"/>
      <c r="M2912" s="62">
        <f t="shared" si="238"/>
        <v>5</v>
      </c>
    </row>
    <row r="2913" spans="1:13">
      <c r="A2913" s="88">
        <f t="shared" si="237"/>
        <v>21</v>
      </c>
      <c r="B2913" s="69" t="s">
        <v>2931</v>
      </c>
      <c r="C2913" s="69">
        <v>2</v>
      </c>
      <c r="D2913" s="89">
        <v>11</v>
      </c>
      <c r="E2913" s="89">
        <v>15</v>
      </c>
      <c r="F2913" s="89">
        <v>10</v>
      </c>
      <c r="G2913" s="89">
        <v>10</v>
      </c>
      <c r="H2913" s="89">
        <v>10</v>
      </c>
      <c r="I2913" s="89">
        <v>11</v>
      </c>
      <c r="J2913" s="710">
        <f>(VLOOKUP($C2913,[2]Sheet1!$A$2:$P$18,$M2913+1)/12)*12*D2913</f>
        <v>2361231.1682340153</v>
      </c>
      <c r="K2913" s="711"/>
      <c r="M2913" s="62">
        <f t="shared" si="238"/>
        <v>5</v>
      </c>
    </row>
    <row r="2914" spans="1:13">
      <c r="A2914" s="88">
        <f t="shared" si="237"/>
        <v>22</v>
      </c>
      <c r="B2914" s="69" t="s">
        <v>2563</v>
      </c>
      <c r="C2914" s="69">
        <v>7</v>
      </c>
      <c r="D2914" s="89">
        <v>2</v>
      </c>
      <c r="E2914" s="89">
        <v>4</v>
      </c>
      <c r="F2914" s="89">
        <v>4</v>
      </c>
      <c r="G2914" s="89">
        <v>4</v>
      </c>
      <c r="H2914" s="89">
        <v>4</v>
      </c>
      <c r="I2914" s="89">
        <v>2</v>
      </c>
      <c r="J2914" s="710">
        <f>(VLOOKUP($C2914,[2]Sheet1!$A$2:$P$18,$M2914+1)/12)*12*D2914</f>
        <v>615413.40480000013</v>
      </c>
      <c r="K2914" s="711"/>
      <c r="M2914" s="62">
        <f t="shared" si="238"/>
        <v>3</v>
      </c>
    </row>
    <row r="2915" spans="1:13">
      <c r="A2915" s="88">
        <f t="shared" si="237"/>
        <v>23</v>
      </c>
      <c r="B2915" s="69" t="s">
        <v>2972</v>
      </c>
      <c r="C2915" s="69">
        <v>6</v>
      </c>
      <c r="D2915" s="89">
        <v>0</v>
      </c>
      <c r="E2915" s="89">
        <v>0</v>
      </c>
      <c r="F2915" s="89">
        <v>0</v>
      </c>
      <c r="G2915" s="89">
        <v>0</v>
      </c>
      <c r="H2915" s="89">
        <v>0</v>
      </c>
      <c r="I2915" s="89">
        <v>0</v>
      </c>
      <c r="J2915" s="710">
        <f>(VLOOKUP($C2915,[2]Sheet1!$A$2:$P$18,$M2915+1)/12)*12*D2915</f>
        <v>0</v>
      </c>
      <c r="K2915" s="711"/>
      <c r="M2915" s="62">
        <f t="shared" si="238"/>
        <v>5</v>
      </c>
    </row>
    <row r="2916" spans="1:13">
      <c r="A2916" s="88">
        <f t="shared" si="237"/>
        <v>24</v>
      </c>
      <c r="B2916" s="69" t="s">
        <v>1794</v>
      </c>
      <c r="C2916" s="69">
        <v>5</v>
      </c>
      <c r="D2916" s="143">
        <v>0</v>
      </c>
      <c r="E2916" s="143">
        <v>0</v>
      </c>
      <c r="F2916" s="143">
        <v>0</v>
      </c>
      <c r="G2916" s="143">
        <v>0</v>
      </c>
      <c r="H2916" s="143">
        <v>0</v>
      </c>
      <c r="I2916" s="143">
        <v>0</v>
      </c>
      <c r="J2916" s="710">
        <f>(VLOOKUP($C2916,[2]Sheet1!$A$2:$P$18,$M2916+1)/12)*12*D2916</f>
        <v>0</v>
      </c>
      <c r="K2916" s="711"/>
      <c r="M2916" s="62">
        <f t="shared" si="238"/>
        <v>5</v>
      </c>
    </row>
    <row r="2917" spans="1:13">
      <c r="A2917" s="88">
        <f t="shared" si="237"/>
        <v>25</v>
      </c>
      <c r="B2917" s="69" t="s">
        <v>2231</v>
      </c>
      <c r="C2917" s="69">
        <v>4</v>
      </c>
      <c r="D2917" s="143">
        <v>0</v>
      </c>
      <c r="E2917" s="143">
        <v>0</v>
      </c>
      <c r="F2917" s="143">
        <v>0</v>
      </c>
      <c r="G2917" s="143">
        <v>0</v>
      </c>
      <c r="H2917" s="143">
        <v>0</v>
      </c>
      <c r="I2917" s="143">
        <v>0</v>
      </c>
      <c r="J2917" s="710">
        <f>(VLOOKUP($C2917,[2]Sheet1!$A$2:$P$18,$M2917+1)/12)*12*D2917</f>
        <v>0</v>
      </c>
      <c r="K2917" s="711"/>
      <c r="M2917" s="62">
        <f t="shared" si="238"/>
        <v>5</v>
      </c>
    </row>
    <row r="2918" spans="1:13">
      <c r="A2918" s="88">
        <f t="shared" si="237"/>
        <v>26</v>
      </c>
      <c r="B2918" s="69" t="s">
        <v>4028</v>
      </c>
      <c r="C2918" s="69">
        <v>3</v>
      </c>
      <c r="D2918" s="143">
        <v>4</v>
      </c>
      <c r="E2918" s="143">
        <v>5</v>
      </c>
      <c r="F2918" s="143">
        <v>5</v>
      </c>
      <c r="G2918" s="143">
        <v>5</v>
      </c>
      <c r="H2918" s="143">
        <v>5</v>
      </c>
      <c r="I2918" s="143">
        <v>4</v>
      </c>
      <c r="J2918" s="710">
        <f>(VLOOKUP($C2918,[2]Sheet1!$A$2:$P$18,$M2918+1)/12)*12*D2918</f>
        <v>877344.71572145994</v>
      </c>
      <c r="K2918" s="711"/>
      <c r="M2918" s="62">
        <f t="shared" si="238"/>
        <v>5</v>
      </c>
    </row>
    <row r="2919" spans="1:13">
      <c r="A2919" s="88">
        <f t="shared" si="237"/>
        <v>27</v>
      </c>
      <c r="B2919" s="69" t="s">
        <v>2232</v>
      </c>
      <c r="C2919" s="69">
        <v>2</v>
      </c>
      <c r="D2919" s="143">
        <v>0</v>
      </c>
      <c r="E2919" s="143">
        <v>0</v>
      </c>
      <c r="F2919" s="143">
        <v>0</v>
      </c>
      <c r="G2919" s="143">
        <v>0</v>
      </c>
      <c r="H2919" s="143">
        <v>0</v>
      </c>
      <c r="I2919" s="143">
        <v>0</v>
      </c>
      <c r="J2919" s="710">
        <f>(VLOOKUP($C2919,[2]Sheet1!$A$2:$P$18,$M2919+1)/12)*12*D2919</f>
        <v>0</v>
      </c>
      <c r="K2919" s="711"/>
      <c r="M2919" s="62">
        <f t="shared" si="238"/>
        <v>5</v>
      </c>
    </row>
    <row r="2920" spans="1:13">
      <c r="A2920" s="88"/>
      <c r="B2920" s="90" t="s">
        <v>3521</v>
      </c>
      <c r="C2920" s="69"/>
      <c r="D2920" s="89"/>
      <c r="E2920" s="89"/>
      <c r="F2920" s="89"/>
      <c r="G2920" s="89"/>
      <c r="H2920" s="89"/>
      <c r="I2920" s="89"/>
      <c r="J2920" s="710"/>
      <c r="K2920" s="711"/>
      <c r="M2920" s="62">
        <f t="shared" si="238"/>
        <v>5</v>
      </c>
    </row>
    <row r="2921" spans="1:13">
      <c r="A2921" s="88">
        <f>+A2919+1</f>
        <v>28</v>
      </c>
      <c r="B2921" s="69" t="s">
        <v>1317</v>
      </c>
      <c r="C2921" s="69">
        <v>6</v>
      </c>
      <c r="D2921" s="89">
        <v>2</v>
      </c>
      <c r="E2921" s="89">
        <v>2</v>
      </c>
      <c r="F2921" s="89">
        <v>2</v>
      </c>
      <c r="G2921" s="89">
        <v>2</v>
      </c>
      <c r="H2921" s="89">
        <v>2</v>
      </c>
      <c r="I2921" s="89">
        <v>2</v>
      </c>
      <c r="J2921" s="710">
        <f>(VLOOKUP($C2921,[2]Sheet1!$A$2:$P$18,$M2921+1)/12)*12*D2921</f>
        <v>476198.75786072994</v>
      </c>
      <c r="K2921" s="711"/>
      <c r="M2921" s="62">
        <f t="shared" si="238"/>
        <v>5</v>
      </c>
    </row>
    <row r="2922" spans="1:13">
      <c r="A2922" s="88">
        <f>+A2921+1</f>
        <v>29</v>
      </c>
      <c r="B2922" s="69" t="s">
        <v>602</v>
      </c>
      <c r="C2922" s="69">
        <v>5</v>
      </c>
      <c r="D2922" s="89">
        <v>0</v>
      </c>
      <c r="E2922" s="89">
        <v>0</v>
      </c>
      <c r="F2922" s="89">
        <v>0</v>
      </c>
      <c r="G2922" s="89">
        <v>0</v>
      </c>
      <c r="H2922" s="89">
        <v>0</v>
      </c>
      <c r="I2922" s="89">
        <v>0</v>
      </c>
      <c r="J2922" s="710">
        <f>(VLOOKUP($C2922,[2]Sheet1!$A$2:$P$18,$M2922+1)/12)*12*D2922</f>
        <v>0</v>
      </c>
      <c r="K2922" s="711"/>
      <c r="M2922" s="62">
        <f t="shared" si="238"/>
        <v>5</v>
      </c>
    </row>
    <row r="2923" spans="1:13">
      <c r="A2923" s="88">
        <f>+A2922+1</f>
        <v>30</v>
      </c>
      <c r="B2923" s="69" t="s">
        <v>603</v>
      </c>
      <c r="C2923" s="69">
        <v>4</v>
      </c>
      <c r="D2923" s="89">
        <v>0</v>
      </c>
      <c r="E2923" s="89">
        <v>0</v>
      </c>
      <c r="F2923" s="89">
        <v>0</v>
      </c>
      <c r="G2923" s="89">
        <v>0</v>
      </c>
      <c r="H2923" s="89">
        <v>0</v>
      </c>
      <c r="I2923" s="89">
        <v>0</v>
      </c>
      <c r="J2923" s="710">
        <f>(VLOOKUP($C2923,[2]Sheet1!$A$2:$P$18,$M2923+1)/12)*12*D2923</f>
        <v>0</v>
      </c>
      <c r="K2923" s="711"/>
      <c r="M2923" s="62">
        <f t="shared" si="238"/>
        <v>5</v>
      </c>
    </row>
    <row r="2924" spans="1:13">
      <c r="A2924" s="88"/>
      <c r="B2924" s="90" t="s">
        <v>3857</v>
      </c>
      <c r="C2924" s="69"/>
      <c r="D2924" s="89"/>
      <c r="E2924" s="89"/>
      <c r="F2924" s="89"/>
      <c r="G2924" s="89"/>
      <c r="H2924" s="89"/>
      <c r="I2924" s="89"/>
      <c r="J2924" s="710"/>
      <c r="K2924" s="711"/>
      <c r="M2924" s="62">
        <f t="shared" si="238"/>
        <v>5</v>
      </c>
    </row>
    <row r="2925" spans="1:13">
      <c r="A2925" s="88">
        <f>+A2923+1</f>
        <v>31</v>
      </c>
      <c r="B2925" s="69" t="s">
        <v>2784</v>
      </c>
      <c r="C2925" s="69">
        <v>7</v>
      </c>
      <c r="D2925" s="89">
        <v>1</v>
      </c>
      <c r="E2925" s="89">
        <v>1</v>
      </c>
      <c r="F2925" s="89">
        <v>1</v>
      </c>
      <c r="G2925" s="89">
        <v>1</v>
      </c>
      <c r="H2925" s="89">
        <v>1</v>
      </c>
      <c r="I2925" s="89">
        <v>1</v>
      </c>
      <c r="J2925" s="710">
        <f>(VLOOKUP($C2925,[2]Sheet1!$A$2:$P$18,$M2925+1)/12)*12*D2925</f>
        <v>307706.70240000007</v>
      </c>
      <c r="K2925" s="711"/>
      <c r="M2925" s="62">
        <f t="shared" si="238"/>
        <v>3</v>
      </c>
    </row>
    <row r="2926" spans="1:13">
      <c r="A2926" s="88">
        <f>+A2925+1</f>
        <v>32</v>
      </c>
      <c r="B2926" s="69" t="s">
        <v>2344</v>
      </c>
      <c r="C2926" s="69">
        <v>6</v>
      </c>
      <c r="D2926" s="89">
        <v>0</v>
      </c>
      <c r="E2926" s="89">
        <v>0</v>
      </c>
      <c r="F2926" s="89">
        <v>0</v>
      </c>
      <c r="G2926" s="89">
        <v>0</v>
      </c>
      <c r="H2926" s="89">
        <v>0</v>
      </c>
      <c r="I2926" s="89">
        <v>0</v>
      </c>
      <c r="J2926" s="710">
        <f>(VLOOKUP($C2926,[2]Sheet1!$A$2:$P$18,$M2926+1)/12)*12*D2926</f>
        <v>0</v>
      </c>
      <c r="K2926" s="711"/>
      <c r="M2926" s="62">
        <f t="shared" si="238"/>
        <v>5</v>
      </c>
    </row>
    <row r="2927" spans="1:13">
      <c r="A2927" s="88">
        <f>+A2926+1</f>
        <v>33</v>
      </c>
      <c r="B2927" s="69" t="s">
        <v>785</v>
      </c>
      <c r="C2927" s="69">
        <v>5</v>
      </c>
      <c r="D2927" s="89">
        <v>0</v>
      </c>
      <c r="E2927" s="89">
        <v>0</v>
      </c>
      <c r="F2927" s="89">
        <v>0</v>
      </c>
      <c r="G2927" s="89">
        <v>0</v>
      </c>
      <c r="H2927" s="89">
        <v>0</v>
      </c>
      <c r="I2927" s="89">
        <v>0</v>
      </c>
      <c r="J2927" s="710">
        <f>(VLOOKUP($C2927,[2]Sheet1!$A$2:$P$18,$M2927+1)/12)*12*D2927</f>
        <v>0</v>
      </c>
      <c r="K2927" s="711"/>
      <c r="M2927" s="62">
        <f t="shared" si="238"/>
        <v>5</v>
      </c>
    </row>
    <row r="2928" spans="1:13" ht="13.5" thickBot="1">
      <c r="A2928" s="88">
        <f>+A2927+1</f>
        <v>34</v>
      </c>
      <c r="B2928" s="69" t="s">
        <v>2874</v>
      </c>
      <c r="C2928" s="69">
        <v>4</v>
      </c>
      <c r="D2928" s="89">
        <v>0</v>
      </c>
      <c r="E2928" s="89">
        <v>0</v>
      </c>
      <c r="F2928" s="89">
        <v>0</v>
      </c>
      <c r="G2928" s="89">
        <v>0</v>
      </c>
      <c r="H2928" s="89">
        <v>0</v>
      </c>
      <c r="I2928" s="89">
        <v>0</v>
      </c>
      <c r="J2928" s="710">
        <f>(VLOOKUP($C2928,[2]Sheet1!$A$2:$P$18,$M2928+1)/12)*12*D2928</f>
        <v>0</v>
      </c>
      <c r="K2928" s="711"/>
      <c r="M2928" s="62">
        <f t="shared" si="238"/>
        <v>5</v>
      </c>
    </row>
    <row r="2929" spans="1:13" ht="15.75" thickTop="1">
      <c r="A2929" s="1047" t="s">
        <v>2791</v>
      </c>
      <c r="B2929" s="1049" t="s">
        <v>4126</v>
      </c>
      <c r="C2929" s="1049" t="s">
        <v>854</v>
      </c>
      <c r="D2929" s="1040" t="s">
        <v>4127</v>
      </c>
      <c r="E2929" s="1041"/>
      <c r="F2929" s="1041"/>
      <c r="G2929" s="1040" t="s">
        <v>904</v>
      </c>
      <c r="H2929" s="1041"/>
      <c r="I2929" s="1042"/>
      <c r="J2929" s="1035" t="s">
        <v>855</v>
      </c>
      <c r="K2929" s="389"/>
      <c r="M2929" s="62" t="e">
        <f>IF(#REF!&gt;6,3,5)</f>
        <v>#REF!</v>
      </c>
    </row>
    <row r="2930" spans="1:13" ht="26.25" thickBot="1">
      <c r="A2930" s="1048"/>
      <c r="B2930" s="1050"/>
      <c r="C2930" s="1050"/>
      <c r="D2930" s="285" t="s">
        <v>5505</v>
      </c>
      <c r="E2930" s="285" t="s">
        <v>4485</v>
      </c>
      <c r="F2930" s="285" t="s">
        <v>4486</v>
      </c>
      <c r="G2930" s="287" t="s">
        <v>4487</v>
      </c>
      <c r="H2930" s="285" t="s">
        <v>4488</v>
      </c>
      <c r="I2930" s="287" t="s">
        <v>4489</v>
      </c>
      <c r="J2930" s="1036"/>
      <c r="K2930" s="712"/>
    </row>
    <row r="2931" spans="1:13" ht="13.5" thickTop="1">
      <c r="A2931" s="88">
        <f>+A2928+1</f>
        <v>35</v>
      </c>
      <c r="B2931" s="69" t="s">
        <v>2416</v>
      </c>
      <c r="C2931" s="69">
        <v>3</v>
      </c>
      <c r="D2931" s="89">
        <v>0</v>
      </c>
      <c r="E2931" s="89">
        <v>0</v>
      </c>
      <c r="F2931" s="89">
        <v>0</v>
      </c>
      <c r="G2931" s="89">
        <v>0</v>
      </c>
      <c r="H2931" s="89">
        <v>0</v>
      </c>
      <c r="I2931" s="89">
        <v>0</v>
      </c>
      <c r="J2931" s="710">
        <f>(VLOOKUP($C2931,[2]Sheet1!$A$2:$P$18,$M2931+1)/12)*12*D2931</f>
        <v>0</v>
      </c>
      <c r="K2931" s="711"/>
      <c r="M2931" s="62">
        <f t="shared" si="238"/>
        <v>5</v>
      </c>
    </row>
    <row r="2932" spans="1:13">
      <c r="A2932" s="88"/>
      <c r="B2932" s="90" t="s">
        <v>3591</v>
      </c>
      <c r="C2932" s="69"/>
      <c r="D2932" s="89"/>
      <c r="E2932" s="89"/>
      <c r="F2932" s="89"/>
      <c r="G2932" s="89"/>
      <c r="H2932" s="89"/>
      <c r="I2932" s="89"/>
      <c r="J2932" s="713"/>
      <c r="K2932" s="711"/>
      <c r="M2932" s="62">
        <f t="shared" si="238"/>
        <v>5</v>
      </c>
    </row>
    <row r="2933" spans="1:13">
      <c r="A2933" s="88">
        <f>+A2931+1</f>
        <v>36</v>
      </c>
      <c r="B2933" s="69" t="s">
        <v>1256</v>
      </c>
      <c r="C2933" s="69">
        <v>15</v>
      </c>
      <c r="D2933" s="143">
        <v>0</v>
      </c>
      <c r="E2933" s="143">
        <v>0</v>
      </c>
      <c r="F2933" s="143">
        <v>0</v>
      </c>
      <c r="G2933" s="143">
        <v>0</v>
      </c>
      <c r="H2933" s="143">
        <v>0</v>
      </c>
      <c r="I2933" s="143">
        <v>0</v>
      </c>
      <c r="J2933" s="710">
        <f>(VLOOKUP($C2933,[2]Sheet1!$A$2:$P$18,$M2933+1)/12)*12*D2933</f>
        <v>0</v>
      </c>
      <c r="K2933" s="711"/>
      <c r="M2933" s="62">
        <f t="shared" si="238"/>
        <v>3</v>
      </c>
    </row>
    <row r="2934" spans="1:13">
      <c r="A2934" s="88">
        <f>+A2933+1</f>
        <v>37</v>
      </c>
      <c r="B2934" s="69" t="s">
        <v>490</v>
      </c>
      <c r="C2934" s="69">
        <v>14</v>
      </c>
      <c r="D2934" s="143">
        <v>5</v>
      </c>
      <c r="E2934" s="143">
        <v>5</v>
      </c>
      <c r="F2934" s="143">
        <v>5</v>
      </c>
      <c r="G2934" s="143">
        <v>5</v>
      </c>
      <c r="H2934" s="143">
        <v>5</v>
      </c>
      <c r="I2934" s="143">
        <v>5</v>
      </c>
      <c r="J2934" s="710">
        <f>(VLOOKUP($C2934,[2]Sheet1!$A$2:$P$18,$M2934+1)/12)*12*D2934</f>
        <v>3345497.0411999999</v>
      </c>
      <c r="K2934" s="711"/>
      <c r="M2934" s="62">
        <f t="shared" si="238"/>
        <v>3</v>
      </c>
    </row>
    <row r="2935" spans="1:13">
      <c r="A2935" s="88">
        <f>+A2934+1</f>
        <v>38</v>
      </c>
      <c r="B2935" s="69" t="s">
        <v>3461</v>
      </c>
      <c r="C2935" s="69">
        <v>13</v>
      </c>
      <c r="D2935" s="89">
        <v>1</v>
      </c>
      <c r="E2935" s="89">
        <v>1</v>
      </c>
      <c r="F2935" s="89">
        <v>1</v>
      </c>
      <c r="G2935" s="89">
        <v>1</v>
      </c>
      <c r="H2935" s="89">
        <v>1</v>
      </c>
      <c r="I2935" s="89">
        <v>1</v>
      </c>
      <c r="J2935" s="710">
        <f>(VLOOKUP($C2935,[2]Sheet1!$A$2:$P$18,$M2935+1)/12)*12*D2935</f>
        <v>628759.53804000001</v>
      </c>
      <c r="K2935" s="711"/>
      <c r="M2935" s="62">
        <f t="shared" si="238"/>
        <v>3</v>
      </c>
    </row>
    <row r="2936" spans="1:13">
      <c r="A2936" s="88">
        <f>+A2935+1</f>
        <v>39</v>
      </c>
      <c r="B2936" s="69" t="s">
        <v>1650</v>
      </c>
      <c r="C2936" s="69">
        <v>12</v>
      </c>
      <c r="D2936" s="89">
        <v>0</v>
      </c>
      <c r="E2936" s="89">
        <v>0</v>
      </c>
      <c r="F2936" s="89">
        <v>0</v>
      </c>
      <c r="G2936" s="89">
        <v>0</v>
      </c>
      <c r="H2936" s="89">
        <v>0</v>
      </c>
      <c r="I2936" s="89">
        <v>0</v>
      </c>
      <c r="J2936" s="710">
        <f>(VLOOKUP($C2936,[2]Sheet1!$A$2:$P$18,$M2936+1)/12)*12*D2936</f>
        <v>0</v>
      </c>
      <c r="K2936" s="711"/>
      <c r="M2936" s="62">
        <f t="shared" si="238"/>
        <v>3</v>
      </c>
    </row>
    <row r="2937" spans="1:13">
      <c r="A2937" s="88">
        <f>+A2936+1</f>
        <v>40</v>
      </c>
      <c r="B2937" s="69" t="s">
        <v>1651</v>
      </c>
      <c r="C2937" s="69">
        <v>10</v>
      </c>
      <c r="D2937" s="89">
        <v>1</v>
      </c>
      <c r="E2937" s="89">
        <v>1</v>
      </c>
      <c r="F2937" s="89">
        <v>1</v>
      </c>
      <c r="G2937" s="89">
        <v>1</v>
      </c>
      <c r="H2937" s="89">
        <v>1</v>
      </c>
      <c r="I2937" s="89">
        <v>1</v>
      </c>
      <c r="J2937" s="710">
        <f>(VLOOKUP($C2937,[2]Sheet1!$A$2:$P$18,$M2937+1)/12)*12*D2937</f>
        <v>483974.5687200001</v>
      </c>
      <c r="K2937" s="711"/>
      <c r="M2937" s="62">
        <f t="shared" si="238"/>
        <v>3</v>
      </c>
    </row>
    <row r="2938" spans="1:13">
      <c r="A2938" s="88">
        <f>A2937+1</f>
        <v>41</v>
      </c>
      <c r="B2938" s="69" t="s">
        <v>881</v>
      </c>
      <c r="C2938" s="69">
        <v>9</v>
      </c>
      <c r="D2938" s="89">
        <v>2</v>
      </c>
      <c r="E2938" s="89">
        <v>2</v>
      </c>
      <c r="F2938" s="89">
        <v>2</v>
      </c>
      <c r="G2938" s="89">
        <v>2</v>
      </c>
      <c r="H2938" s="89">
        <v>2</v>
      </c>
      <c r="I2938" s="89">
        <v>2</v>
      </c>
      <c r="J2938" s="710">
        <f>(VLOOKUP($C2938,[2]Sheet1!$A$2:$P$18,$M2938+1)/12)*12*D2938</f>
        <v>819363.81239999994</v>
      </c>
      <c r="K2938" s="711"/>
      <c r="M2938" s="62">
        <f t="shared" si="238"/>
        <v>3</v>
      </c>
    </row>
    <row r="2939" spans="1:13">
      <c r="A2939" s="88">
        <f t="shared" ref="A2939:A2949" si="239">A2938+1</f>
        <v>42</v>
      </c>
      <c r="B2939" s="69" t="s">
        <v>2079</v>
      </c>
      <c r="C2939" s="69">
        <v>9</v>
      </c>
      <c r="D2939" s="89">
        <v>4</v>
      </c>
      <c r="E2939" s="89">
        <v>4</v>
      </c>
      <c r="F2939" s="89">
        <v>4</v>
      </c>
      <c r="G2939" s="89">
        <v>4</v>
      </c>
      <c r="H2939" s="89">
        <v>4</v>
      </c>
      <c r="I2939" s="89">
        <v>4</v>
      </c>
      <c r="J2939" s="710">
        <f>(VLOOKUP($C2939,[2]Sheet1!$A$2:$P$18,$M2939+1)/12)*12*D2939</f>
        <v>1638727.6247999999</v>
      </c>
      <c r="K2939" s="711"/>
      <c r="M2939" s="62">
        <f t="shared" si="238"/>
        <v>3</v>
      </c>
    </row>
    <row r="2940" spans="1:13">
      <c r="A2940" s="88">
        <f t="shared" si="239"/>
        <v>43</v>
      </c>
      <c r="B2940" s="69" t="s">
        <v>1421</v>
      </c>
      <c r="C2940" s="69">
        <v>8</v>
      </c>
      <c r="D2940" s="89">
        <v>4</v>
      </c>
      <c r="E2940" s="89">
        <v>4</v>
      </c>
      <c r="F2940" s="89">
        <v>4</v>
      </c>
      <c r="G2940" s="89">
        <v>4</v>
      </c>
      <c r="H2940" s="89">
        <v>4</v>
      </c>
      <c r="I2940" s="89">
        <v>4</v>
      </c>
      <c r="J2940" s="710">
        <f>(VLOOKUP($C2940,[2]Sheet1!$A$2:$P$18,$M2940+1)/12)*12*D2940</f>
        <v>1368565.09632</v>
      </c>
      <c r="K2940" s="711"/>
      <c r="M2940" s="62">
        <f t="shared" si="238"/>
        <v>3</v>
      </c>
    </row>
    <row r="2941" spans="1:13">
      <c r="A2941" s="88">
        <f t="shared" si="239"/>
        <v>44</v>
      </c>
      <c r="B2941" s="69" t="s">
        <v>2427</v>
      </c>
      <c r="C2941" s="69">
        <v>7</v>
      </c>
      <c r="D2941" s="89">
        <v>1</v>
      </c>
      <c r="E2941" s="89">
        <v>1</v>
      </c>
      <c r="F2941" s="89">
        <v>1</v>
      </c>
      <c r="G2941" s="89">
        <v>1</v>
      </c>
      <c r="H2941" s="89">
        <v>1</v>
      </c>
      <c r="I2941" s="89">
        <v>1</v>
      </c>
      <c r="J2941" s="710">
        <f>(VLOOKUP($C2941,[2]Sheet1!$A$2:$P$18,$M2941+1)/12)*12*D2941</f>
        <v>307706.70240000007</v>
      </c>
      <c r="K2941" s="711"/>
      <c r="M2941" s="62">
        <f t="shared" si="238"/>
        <v>3</v>
      </c>
    </row>
    <row r="2942" spans="1:13">
      <c r="A2942" s="88">
        <f t="shared" si="239"/>
        <v>45</v>
      </c>
      <c r="B2942" s="69" t="s">
        <v>1488</v>
      </c>
      <c r="C2942" s="69">
        <v>6</v>
      </c>
      <c r="D2942" s="143">
        <v>0</v>
      </c>
      <c r="E2942" s="143">
        <v>0</v>
      </c>
      <c r="F2942" s="143">
        <v>0</v>
      </c>
      <c r="G2942" s="143">
        <v>0</v>
      </c>
      <c r="H2942" s="143">
        <v>0</v>
      </c>
      <c r="I2942" s="143">
        <v>0</v>
      </c>
      <c r="J2942" s="710">
        <f>(VLOOKUP($C2942,[2]Sheet1!$A$2:$P$18,$M2942+1)/12)*12*D2942</f>
        <v>0</v>
      </c>
      <c r="K2942" s="711"/>
      <c r="M2942" s="62">
        <f t="shared" si="238"/>
        <v>5</v>
      </c>
    </row>
    <row r="2943" spans="1:13">
      <c r="A2943" s="88">
        <f t="shared" si="239"/>
        <v>46</v>
      </c>
      <c r="B2943" s="69" t="s">
        <v>1489</v>
      </c>
      <c r="C2943" s="69">
        <v>3</v>
      </c>
      <c r="D2943" s="143">
        <v>2</v>
      </c>
      <c r="E2943" s="143">
        <v>2</v>
      </c>
      <c r="F2943" s="143">
        <v>2</v>
      </c>
      <c r="G2943" s="143">
        <v>2</v>
      </c>
      <c r="H2943" s="143">
        <v>2</v>
      </c>
      <c r="I2943" s="143">
        <v>2</v>
      </c>
      <c r="J2943" s="710">
        <f>(VLOOKUP($C2943,[2]Sheet1!$A$2:$P$18,$M2943+1)/12)*12*D2943</f>
        <v>438672.35786072997</v>
      </c>
      <c r="K2943" s="711"/>
      <c r="M2943" s="62">
        <f t="shared" si="238"/>
        <v>5</v>
      </c>
    </row>
    <row r="2944" spans="1:13">
      <c r="A2944" s="88">
        <f>A2943+1</f>
        <v>47</v>
      </c>
      <c r="B2944" s="69" t="s">
        <v>2573</v>
      </c>
      <c r="C2944" s="69">
        <v>4</v>
      </c>
      <c r="D2944" s="143">
        <v>0</v>
      </c>
      <c r="E2944" s="143">
        <v>0</v>
      </c>
      <c r="F2944" s="143">
        <v>0</v>
      </c>
      <c r="G2944" s="143">
        <v>0</v>
      </c>
      <c r="H2944" s="143">
        <v>0</v>
      </c>
      <c r="I2944" s="143">
        <v>0</v>
      </c>
      <c r="J2944" s="710">
        <f>(VLOOKUP($C2944,[2]Sheet1!$A$2:$P$18,$M2944+1)/12)*12*D2944</f>
        <v>0</v>
      </c>
      <c r="K2944" s="711"/>
      <c r="M2944" s="62">
        <f t="shared" si="238"/>
        <v>5</v>
      </c>
    </row>
    <row r="2945" spans="1:13">
      <c r="A2945" s="88">
        <f>A2944+1</f>
        <v>48</v>
      </c>
      <c r="B2945" s="69" t="s">
        <v>2574</v>
      </c>
      <c r="C2945" s="69">
        <v>2</v>
      </c>
      <c r="D2945" s="143">
        <v>4</v>
      </c>
      <c r="E2945" s="143">
        <v>20</v>
      </c>
      <c r="F2945" s="143">
        <v>4</v>
      </c>
      <c r="G2945" s="143">
        <v>4</v>
      </c>
      <c r="H2945" s="143">
        <v>8</v>
      </c>
      <c r="I2945" s="143">
        <v>4</v>
      </c>
      <c r="J2945" s="710">
        <f>(VLOOKUP($C2945,[2]Sheet1!$A$2:$P$18,$M2945+1)/12)*12*D2945</f>
        <v>858629.51572146011</v>
      </c>
      <c r="K2945" s="711"/>
      <c r="M2945" s="62">
        <f t="shared" si="238"/>
        <v>5</v>
      </c>
    </row>
    <row r="2946" spans="1:13">
      <c r="A2946" s="88">
        <f>A2945+1</f>
        <v>49</v>
      </c>
      <c r="B2946" s="69" t="s">
        <v>3647</v>
      </c>
      <c r="C2946" s="69">
        <v>5</v>
      </c>
      <c r="D2946" s="143">
        <v>1</v>
      </c>
      <c r="E2946" s="143">
        <v>1</v>
      </c>
      <c r="F2946" s="143">
        <v>1</v>
      </c>
      <c r="G2946" s="143">
        <v>1</v>
      </c>
      <c r="H2946" s="143">
        <v>1</v>
      </c>
      <c r="I2946" s="143">
        <v>1</v>
      </c>
      <c r="J2946" s="710">
        <f>(VLOOKUP($C2946,[2]Sheet1!$A$2:$P$18,$M2946+1)/12)*12*D2946</f>
        <v>229569.77893036499</v>
      </c>
      <c r="K2946" s="711"/>
      <c r="M2946" s="62">
        <f t="shared" si="238"/>
        <v>5</v>
      </c>
    </row>
    <row r="2947" spans="1:13">
      <c r="A2947" s="88">
        <f>A2946+1</f>
        <v>50</v>
      </c>
      <c r="B2947" s="69" t="s">
        <v>3648</v>
      </c>
      <c r="C2947" s="69">
        <v>4</v>
      </c>
      <c r="D2947" s="143">
        <v>35</v>
      </c>
      <c r="E2947" s="143">
        <v>50</v>
      </c>
      <c r="F2947" s="143">
        <v>35</v>
      </c>
      <c r="G2947" s="143">
        <v>35</v>
      </c>
      <c r="H2947" s="143">
        <v>35</v>
      </c>
      <c r="I2947" s="143">
        <v>35</v>
      </c>
      <c r="J2947" s="710">
        <f>(VLOOKUP($C2947,[2]Sheet1!$A$2:$P$18,$M2947+1)/12)*12*D2947</f>
        <v>7859004.2625627751</v>
      </c>
      <c r="K2947" s="711"/>
      <c r="M2947" s="62">
        <f t="shared" si="238"/>
        <v>5</v>
      </c>
    </row>
    <row r="2948" spans="1:13">
      <c r="A2948" s="88">
        <f>A2947+1</f>
        <v>51</v>
      </c>
      <c r="B2948" s="69" t="s">
        <v>3039</v>
      </c>
      <c r="C2948" s="69">
        <v>3</v>
      </c>
      <c r="D2948" s="143">
        <v>21</v>
      </c>
      <c r="E2948" s="143">
        <v>30</v>
      </c>
      <c r="F2948" s="143">
        <v>21</v>
      </c>
      <c r="G2948" s="143">
        <v>21</v>
      </c>
      <c r="H2948" s="143">
        <v>24</v>
      </c>
      <c r="I2948" s="143">
        <v>21</v>
      </c>
      <c r="J2948" s="710">
        <f>(VLOOKUP($C2948,[2]Sheet1!$A$2:$P$18,$M2948+1)/12)*12*D2948</f>
        <v>4606059.7575376648</v>
      </c>
      <c r="K2948" s="711"/>
      <c r="M2948" s="62">
        <f t="shared" si="238"/>
        <v>5</v>
      </c>
    </row>
    <row r="2949" spans="1:13">
      <c r="A2949" s="88">
        <f t="shared" si="239"/>
        <v>52</v>
      </c>
      <c r="B2949" s="69" t="s">
        <v>3040</v>
      </c>
      <c r="C2949" s="69">
        <v>2</v>
      </c>
      <c r="D2949" s="143">
        <v>9</v>
      </c>
      <c r="E2949" s="143">
        <v>20</v>
      </c>
      <c r="F2949" s="143">
        <v>9</v>
      </c>
      <c r="G2949" s="143">
        <v>9</v>
      </c>
      <c r="H2949" s="143">
        <v>10</v>
      </c>
      <c r="I2949" s="143">
        <v>9</v>
      </c>
      <c r="J2949" s="710">
        <f>(VLOOKUP($C2949,[2]Sheet1!$A$2:$P$18,$M2949+1)/12)*12*D2949</f>
        <v>1931916.4103732852</v>
      </c>
      <c r="K2949" s="711"/>
      <c r="M2949" s="62">
        <f t="shared" si="238"/>
        <v>5</v>
      </c>
    </row>
    <row r="2950" spans="1:13">
      <c r="A2950" s="88"/>
      <c r="B2950" s="90" t="s">
        <v>978</v>
      </c>
      <c r="C2950" s="69"/>
      <c r="D2950" s="89"/>
      <c r="E2950" s="89"/>
      <c r="F2950" s="89"/>
      <c r="G2950" s="89"/>
      <c r="H2950" s="89"/>
      <c r="I2950" s="89"/>
      <c r="J2950" s="710"/>
      <c r="K2950" s="711"/>
      <c r="M2950" s="62">
        <f t="shared" si="238"/>
        <v>5</v>
      </c>
    </row>
    <row r="2951" spans="1:13">
      <c r="A2951" s="88">
        <f>+A2949+1</f>
        <v>53</v>
      </c>
      <c r="B2951" s="69" t="s">
        <v>3532</v>
      </c>
      <c r="C2951" s="69">
        <v>16</v>
      </c>
      <c r="D2951" s="89">
        <v>2</v>
      </c>
      <c r="E2951" s="89">
        <v>2</v>
      </c>
      <c r="F2951" s="89">
        <v>2</v>
      </c>
      <c r="G2951" s="89">
        <v>2</v>
      </c>
      <c r="H2951" s="89">
        <v>2</v>
      </c>
      <c r="I2951" s="89">
        <v>2</v>
      </c>
      <c r="J2951" s="710">
        <f>(VLOOKUP($C2951,[2]Sheet1!$A$2:$P$18,$M2951+1)/12)*12*D2951</f>
        <v>1354562.52168</v>
      </c>
      <c r="K2951" s="711"/>
      <c r="M2951" s="62">
        <f t="shared" si="238"/>
        <v>3</v>
      </c>
    </row>
    <row r="2952" spans="1:13">
      <c r="A2952" s="88">
        <v>54</v>
      </c>
      <c r="B2952" s="69" t="s">
        <v>3041</v>
      </c>
      <c r="C2952" s="69">
        <v>15</v>
      </c>
      <c r="D2952" s="89">
        <v>2</v>
      </c>
      <c r="E2952" s="89">
        <v>3</v>
      </c>
      <c r="F2952" s="89">
        <v>3</v>
      </c>
      <c r="G2952" s="89">
        <v>3</v>
      </c>
      <c r="H2952" s="89">
        <v>3</v>
      </c>
      <c r="I2952" s="89">
        <v>2</v>
      </c>
      <c r="J2952" s="710">
        <f>(VLOOKUP($C2952,[2]Sheet1!$A$2:$P$18,$M2952+1)/12)*12*D2952</f>
        <v>1316663.79984</v>
      </c>
      <c r="K2952" s="711"/>
      <c r="M2952" s="62">
        <f t="shared" si="238"/>
        <v>3</v>
      </c>
    </row>
    <row r="2953" spans="1:13">
      <c r="A2953" s="88">
        <f>A2952+1</f>
        <v>55</v>
      </c>
      <c r="B2953" s="69" t="s">
        <v>1954</v>
      </c>
      <c r="C2953" s="69">
        <v>14</v>
      </c>
      <c r="D2953" s="89">
        <v>1</v>
      </c>
      <c r="E2953" s="89">
        <v>1</v>
      </c>
      <c r="F2953" s="89">
        <v>1</v>
      </c>
      <c r="G2953" s="89">
        <v>1</v>
      </c>
      <c r="H2953" s="89">
        <v>1</v>
      </c>
      <c r="I2953" s="89">
        <v>1</v>
      </c>
      <c r="J2953" s="710">
        <f>(VLOOKUP($C2953,[2]Sheet1!$A$2:$P$18,$M2953+1)/12)*12*D2953</f>
        <v>669099.40824000002</v>
      </c>
      <c r="K2953" s="711"/>
      <c r="M2953" s="62">
        <f t="shared" si="238"/>
        <v>3</v>
      </c>
    </row>
    <row r="2954" spans="1:13">
      <c r="A2954" s="88">
        <f>+A2951+1</f>
        <v>54</v>
      </c>
      <c r="B2954" s="69" t="s">
        <v>2576</v>
      </c>
      <c r="C2954" s="69">
        <v>13</v>
      </c>
      <c r="D2954" s="89">
        <v>1</v>
      </c>
      <c r="E2954" s="89">
        <v>7</v>
      </c>
      <c r="F2954" s="89">
        <v>7</v>
      </c>
      <c r="G2954" s="89">
        <v>7</v>
      </c>
      <c r="H2954" s="89">
        <v>7</v>
      </c>
      <c r="I2954" s="89">
        <v>1</v>
      </c>
      <c r="J2954" s="710">
        <f>(VLOOKUP($C2954,[2]Sheet1!$A$2:$P$18,$M2954+1)/12)*12*D2954</f>
        <v>628759.53804000001</v>
      </c>
      <c r="K2954" s="711"/>
      <c r="M2954" s="62">
        <f t="shared" si="238"/>
        <v>3</v>
      </c>
    </row>
    <row r="2955" spans="1:13">
      <c r="A2955" s="88">
        <f>+A2954+1</f>
        <v>55</v>
      </c>
      <c r="B2955" s="69" t="s">
        <v>1955</v>
      </c>
      <c r="C2955" s="69">
        <v>12</v>
      </c>
      <c r="D2955" s="89">
        <v>15</v>
      </c>
      <c r="E2955" s="89">
        <v>7</v>
      </c>
      <c r="F2955" s="89">
        <v>7</v>
      </c>
      <c r="G2955" s="89">
        <v>7</v>
      </c>
      <c r="H2955" s="89">
        <v>7</v>
      </c>
      <c r="I2955" s="89">
        <v>15</v>
      </c>
      <c r="J2955" s="710">
        <f>(VLOOKUP($C2955,[2]Sheet1!$A$2:$P$18,$M2955+1)/12)*12*D2955</f>
        <v>8290275.805800003</v>
      </c>
      <c r="K2955" s="711"/>
      <c r="M2955" s="62">
        <f t="shared" si="238"/>
        <v>3</v>
      </c>
    </row>
    <row r="2956" spans="1:13">
      <c r="A2956" s="88">
        <f>+A2955+1</f>
        <v>56</v>
      </c>
      <c r="B2956" s="69" t="s">
        <v>1956</v>
      </c>
      <c r="C2956" s="69">
        <v>10</v>
      </c>
      <c r="D2956" s="89">
        <v>5</v>
      </c>
      <c r="E2956" s="89">
        <v>10</v>
      </c>
      <c r="F2956" s="89">
        <v>10</v>
      </c>
      <c r="G2956" s="89">
        <v>10</v>
      </c>
      <c r="H2956" s="89">
        <v>10</v>
      </c>
      <c r="I2956" s="89">
        <v>5</v>
      </c>
      <c r="J2956" s="710">
        <f>(VLOOKUP($C2956,[2]Sheet1!$A$2:$P$18,$M2956+1)/12)*12*D2956</f>
        <v>2419872.8436000003</v>
      </c>
      <c r="K2956" s="711"/>
      <c r="M2956" s="62">
        <f t="shared" si="238"/>
        <v>3</v>
      </c>
    </row>
    <row r="2957" spans="1:13">
      <c r="A2957" s="88">
        <f>+A2954+1</f>
        <v>55</v>
      </c>
      <c r="B2957" s="69" t="s">
        <v>1957</v>
      </c>
      <c r="C2957" s="69">
        <v>14</v>
      </c>
      <c r="D2957" s="89">
        <v>5</v>
      </c>
      <c r="E2957" s="89">
        <v>5</v>
      </c>
      <c r="F2957" s="89">
        <v>5</v>
      </c>
      <c r="G2957" s="89">
        <v>5</v>
      </c>
      <c r="H2957" s="89">
        <v>5</v>
      </c>
      <c r="I2957" s="89">
        <v>5</v>
      </c>
      <c r="J2957" s="710">
        <f>(VLOOKUP($C2957,[2]Sheet1!$A$2:$P$18,$M2957+1)/12)*12*D2957</f>
        <v>3345497.0411999999</v>
      </c>
      <c r="K2957" s="711"/>
      <c r="M2957" s="62">
        <f t="shared" si="238"/>
        <v>3</v>
      </c>
    </row>
    <row r="2958" spans="1:13">
      <c r="A2958" s="88">
        <f t="shared" ref="A2958:A2969" si="240">+A2957+1</f>
        <v>56</v>
      </c>
      <c r="B2958" s="69" t="s">
        <v>2384</v>
      </c>
      <c r="C2958" s="69">
        <v>13</v>
      </c>
      <c r="D2958" s="143">
        <v>1</v>
      </c>
      <c r="E2958" s="143">
        <v>1</v>
      </c>
      <c r="F2958" s="143">
        <v>1</v>
      </c>
      <c r="G2958" s="143">
        <v>1</v>
      </c>
      <c r="H2958" s="143">
        <v>1</v>
      </c>
      <c r="I2958" s="143">
        <v>1</v>
      </c>
      <c r="J2958" s="710">
        <f>(VLOOKUP($C2958,[2]Sheet1!$A$2:$P$18,$M2958+1)/12)*12*D2958</f>
        <v>628759.53804000001</v>
      </c>
      <c r="K2958" s="711"/>
      <c r="M2958" s="62">
        <f t="shared" si="238"/>
        <v>3</v>
      </c>
    </row>
    <row r="2959" spans="1:13">
      <c r="A2959" s="88">
        <f t="shared" si="240"/>
        <v>57</v>
      </c>
      <c r="B2959" s="69" t="s">
        <v>2017</v>
      </c>
      <c r="C2959" s="69">
        <v>8</v>
      </c>
      <c r="D2959" s="89">
        <v>3</v>
      </c>
      <c r="E2959" s="89">
        <v>3</v>
      </c>
      <c r="F2959" s="89">
        <v>3</v>
      </c>
      <c r="G2959" s="89">
        <v>3</v>
      </c>
      <c r="H2959" s="89">
        <v>3</v>
      </c>
      <c r="I2959" s="89">
        <v>3</v>
      </c>
      <c r="J2959" s="710">
        <f>(VLOOKUP($C2959,[2]Sheet1!$A$2:$P$18,$M2959+1)/12)*12*D2959</f>
        <v>1026423.82224</v>
      </c>
      <c r="K2959" s="711"/>
      <c r="M2959" s="62">
        <f t="shared" si="238"/>
        <v>3</v>
      </c>
    </row>
    <row r="2960" spans="1:13">
      <c r="A2960" s="88">
        <f t="shared" si="240"/>
        <v>58</v>
      </c>
      <c r="B2960" s="69" t="s">
        <v>2020</v>
      </c>
      <c r="C2960" s="69">
        <v>7</v>
      </c>
      <c r="D2960" s="89">
        <v>31</v>
      </c>
      <c r="E2960" s="89">
        <v>25</v>
      </c>
      <c r="F2960" s="89">
        <v>19</v>
      </c>
      <c r="G2960" s="89">
        <v>19</v>
      </c>
      <c r="H2960" s="89">
        <v>20</v>
      </c>
      <c r="I2960" s="89">
        <v>31</v>
      </c>
      <c r="J2960" s="710">
        <f>(VLOOKUP($C2960,[2]Sheet1!$A$2:$P$18,$M2960+1)/12)*12*D2960</f>
        <v>9538907.7744000014</v>
      </c>
      <c r="K2960" s="711"/>
      <c r="M2960" s="62">
        <f t="shared" si="238"/>
        <v>3</v>
      </c>
    </row>
    <row r="2961" spans="1:13">
      <c r="A2961" s="88">
        <f t="shared" si="240"/>
        <v>59</v>
      </c>
      <c r="B2961" s="69" t="s">
        <v>2577</v>
      </c>
      <c r="C2961" s="69">
        <v>7</v>
      </c>
      <c r="D2961" s="89">
        <v>3</v>
      </c>
      <c r="E2961" s="89">
        <v>2</v>
      </c>
      <c r="F2961" s="89">
        <v>2</v>
      </c>
      <c r="G2961" s="89">
        <v>2</v>
      </c>
      <c r="H2961" s="89">
        <v>2</v>
      </c>
      <c r="I2961" s="89">
        <v>3</v>
      </c>
      <c r="J2961" s="710">
        <f>(VLOOKUP($C2961,[2]Sheet1!$A$2:$P$18,$M2961+1)/12)*12*D2961</f>
        <v>923120.1072000002</v>
      </c>
      <c r="K2961" s="711"/>
      <c r="M2961" s="62">
        <f t="shared" si="238"/>
        <v>3</v>
      </c>
    </row>
    <row r="2962" spans="1:13">
      <c r="A2962" s="88">
        <f t="shared" si="240"/>
        <v>60</v>
      </c>
      <c r="B2962" s="69" t="s">
        <v>1468</v>
      </c>
      <c r="C2962" s="69">
        <v>5</v>
      </c>
      <c r="D2962" s="89">
        <v>2</v>
      </c>
      <c r="E2962" s="89">
        <v>4</v>
      </c>
      <c r="F2962" s="89">
        <v>4</v>
      </c>
      <c r="G2962" s="89">
        <v>4</v>
      </c>
      <c r="H2962" s="89">
        <v>4</v>
      </c>
      <c r="I2962" s="89">
        <v>2</v>
      </c>
      <c r="J2962" s="710">
        <f>(VLOOKUP($C2962,[2]Sheet1!$A$2:$P$18,$M2962+1)/12)*12*D2962</f>
        <v>459139.55786072998</v>
      </c>
      <c r="K2962" s="711"/>
      <c r="M2962" s="62">
        <f t="shared" si="238"/>
        <v>5</v>
      </c>
    </row>
    <row r="2963" spans="1:13">
      <c r="A2963" s="88">
        <f t="shared" si="240"/>
        <v>61</v>
      </c>
      <c r="B2963" s="69" t="s">
        <v>1534</v>
      </c>
      <c r="C2963" s="69">
        <v>4</v>
      </c>
      <c r="D2963" s="89">
        <v>52</v>
      </c>
      <c r="E2963" s="89">
        <v>60</v>
      </c>
      <c r="F2963" s="89">
        <v>50</v>
      </c>
      <c r="G2963" s="89">
        <v>50</v>
      </c>
      <c r="H2963" s="89">
        <v>50</v>
      </c>
      <c r="I2963" s="89">
        <v>52</v>
      </c>
      <c r="J2963" s="710">
        <f>(VLOOKUP($C2963,[2]Sheet1!$A$2:$P$18,$M2963+1)/12)*12*D2963</f>
        <v>11676234.90437898</v>
      </c>
      <c r="K2963" s="711"/>
      <c r="M2963" s="62">
        <f t="shared" si="238"/>
        <v>5</v>
      </c>
    </row>
    <row r="2964" spans="1:13">
      <c r="A2964" s="88">
        <f t="shared" si="240"/>
        <v>62</v>
      </c>
      <c r="B2964" s="69" t="s">
        <v>2021</v>
      </c>
      <c r="C2964" s="69">
        <v>3</v>
      </c>
      <c r="D2964" s="89">
        <v>3</v>
      </c>
      <c r="E2964" s="89">
        <v>7</v>
      </c>
      <c r="F2964" s="89">
        <v>7</v>
      </c>
      <c r="G2964" s="89">
        <v>7</v>
      </c>
      <c r="H2964" s="89">
        <v>7</v>
      </c>
      <c r="I2964" s="89">
        <v>3</v>
      </c>
      <c r="J2964" s="710">
        <f>(VLOOKUP($C2964,[2]Sheet1!$A$2:$P$18,$M2964+1)/12)*12*D2964</f>
        <v>658008.53679109493</v>
      </c>
      <c r="K2964" s="711"/>
      <c r="M2964" s="62">
        <f t="shared" si="238"/>
        <v>5</v>
      </c>
    </row>
    <row r="2965" spans="1:13">
      <c r="A2965" s="88">
        <f t="shared" si="240"/>
        <v>63</v>
      </c>
      <c r="B2965" s="69" t="s">
        <v>79</v>
      </c>
      <c r="C2965" s="69">
        <v>3</v>
      </c>
      <c r="D2965" s="89">
        <v>20</v>
      </c>
      <c r="E2965" s="89">
        <v>30</v>
      </c>
      <c r="F2965" s="89">
        <v>20</v>
      </c>
      <c r="G2965" s="89">
        <v>20</v>
      </c>
      <c r="H2965" s="89">
        <v>25</v>
      </c>
      <c r="I2965" s="89">
        <v>20</v>
      </c>
      <c r="J2965" s="710">
        <f>(VLOOKUP($C2965,[2]Sheet1!$A$2:$P$18,$M2965+1)/12)*12*D2965</f>
        <v>4386723.5786072994</v>
      </c>
      <c r="K2965" s="711"/>
      <c r="M2965" s="62">
        <f t="shared" si="238"/>
        <v>5</v>
      </c>
    </row>
    <row r="2966" spans="1:13">
      <c r="A2966" s="88">
        <f t="shared" si="240"/>
        <v>64</v>
      </c>
      <c r="B2966" s="69" t="s">
        <v>80</v>
      </c>
      <c r="C2966" s="69">
        <v>2</v>
      </c>
      <c r="D2966" s="89">
        <v>10</v>
      </c>
      <c r="E2966" s="89">
        <v>20</v>
      </c>
      <c r="F2966" s="89">
        <v>10</v>
      </c>
      <c r="G2966" s="89">
        <v>10</v>
      </c>
      <c r="H2966" s="89">
        <v>10</v>
      </c>
      <c r="I2966" s="89">
        <v>10</v>
      </c>
      <c r="J2966" s="710">
        <f>(VLOOKUP($C2966,[2]Sheet1!$A$2:$P$18,$M2966+1)/12)*12*D2966</f>
        <v>2146573.7893036501</v>
      </c>
      <c r="K2966" s="711"/>
      <c r="M2966" s="62">
        <f t="shared" si="238"/>
        <v>5</v>
      </c>
    </row>
    <row r="2967" spans="1:13">
      <c r="A2967" s="88"/>
      <c r="B2967" s="90" t="s">
        <v>2578</v>
      </c>
      <c r="C2967" s="69"/>
      <c r="D2967" s="89"/>
      <c r="E2967" s="89"/>
      <c r="F2967" s="89"/>
      <c r="G2967" s="89"/>
      <c r="H2967" s="89"/>
      <c r="I2967" s="89"/>
      <c r="J2967" s="710"/>
      <c r="K2967" s="711"/>
      <c r="M2967" s="62">
        <f t="shared" si="238"/>
        <v>5</v>
      </c>
    </row>
    <row r="2968" spans="1:13">
      <c r="A2968" s="88">
        <v>65</v>
      </c>
      <c r="B2968" s="69" t="s">
        <v>61</v>
      </c>
      <c r="C2968" s="69">
        <v>10</v>
      </c>
      <c r="D2968" s="143">
        <v>0</v>
      </c>
      <c r="E2968" s="143">
        <v>0</v>
      </c>
      <c r="F2968" s="143">
        <v>0</v>
      </c>
      <c r="G2968" s="143">
        <v>0</v>
      </c>
      <c r="H2968" s="143">
        <v>0</v>
      </c>
      <c r="I2968" s="143">
        <v>0</v>
      </c>
      <c r="J2968" s="710">
        <f>(VLOOKUP($C2968,[2]Sheet1!$A$2:$P$18,$M2968+1)/12)*12*D2968</f>
        <v>0</v>
      </c>
      <c r="K2968" s="711"/>
      <c r="M2968" s="62">
        <f t="shared" si="238"/>
        <v>3</v>
      </c>
    </row>
    <row r="2969" spans="1:13">
      <c r="A2969" s="88">
        <f t="shared" si="240"/>
        <v>66</v>
      </c>
      <c r="B2969" s="69" t="s">
        <v>62</v>
      </c>
      <c r="C2969" s="69">
        <v>9</v>
      </c>
      <c r="D2969" s="89">
        <v>0</v>
      </c>
      <c r="E2969" s="89">
        <v>0</v>
      </c>
      <c r="F2969" s="89">
        <v>0</v>
      </c>
      <c r="G2969" s="89">
        <v>0</v>
      </c>
      <c r="H2969" s="89">
        <v>0</v>
      </c>
      <c r="I2969" s="89">
        <v>0</v>
      </c>
      <c r="J2969" s="710">
        <f>(VLOOKUP($C2969,[2]Sheet1!$A$2:$P$18,$M2969+1)/12)*12*D2969</f>
        <v>0</v>
      </c>
      <c r="K2969" s="711"/>
      <c r="M2969" s="62">
        <f t="shared" si="238"/>
        <v>3</v>
      </c>
    </row>
    <row r="2970" spans="1:13">
      <c r="A2970" s="88">
        <f t="shared" ref="A2970:A2980" si="241">+A2969+1</f>
        <v>67</v>
      </c>
      <c r="B2970" s="69" t="s">
        <v>63</v>
      </c>
      <c r="C2970" s="69">
        <v>8</v>
      </c>
      <c r="D2970" s="89">
        <v>0</v>
      </c>
      <c r="E2970" s="89">
        <v>0</v>
      </c>
      <c r="F2970" s="89">
        <v>0</v>
      </c>
      <c r="G2970" s="89">
        <v>0</v>
      </c>
      <c r="H2970" s="89">
        <v>0</v>
      </c>
      <c r="I2970" s="89">
        <v>0</v>
      </c>
      <c r="J2970" s="710">
        <f>(VLOOKUP($C2970,[2]Sheet1!$A$2:$P$18,$M2970+1)/12)*12*D2970</f>
        <v>0</v>
      </c>
      <c r="K2970" s="711"/>
      <c r="M2970" s="62">
        <f t="shared" si="238"/>
        <v>3</v>
      </c>
    </row>
    <row r="2971" spans="1:13" ht="13.5" thickBot="1">
      <c r="A2971" s="88">
        <f t="shared" si="241"/>
        <v>68</v>
      </c>
      <c r="B2971" s="69" t="s">
        <v>64</v>
      </c>
      <c r="C2971" s="69">
        <v>4</v>
      </c>
      <c r="D2971" s="89">
        <v>0</v>
      </c>
      <c r="E2971" s="89">
        <v>0</v>
      </c>
      <c r="F2971" s="89">
        <v>0</v>
      </c>
      <c r="G2971" s="89">
        <v>0</v>
      </c>
      <c r="H2971" s="89">
        <v>0</v>
      </c>
      <c r="I2971" s="89">
        <v>0</v>
      </c>
      <c r="J2971" s="710">
        <f>(VLOOKUP($C2971,[2]Sheet1!$A$2:$P$18,$M2971+1)/12)*12*D2971</f>
        <v>0</v>
      </c>
      <c r="K2971" s="711"/>
      <c r="M2971" s="62">
        <f t="shared" si="238"/>
        <v>5</v>
      </c>
    </row>
    <row r="2972" spans="1:13" ht="15.75" thickTop="1">
      <c r="A2972" s="1047" t="s">
        <v>2791</v>
      </c>
      <c r="B2972" s="1049" t="s">
        <v>4126</v>
      </c>
      <c r="C2972" s="1049" t="s">
        <v>854</v>
      </c>
      <c r="D2972" s="1040" t="s">
        <v>4127</v>
      </c>
      <c r="E2972" s="1041"/>
      <c r="F2972" s="1041"/>
      <c r="G2972" s="1040" t="s">
        <v>904</v>
      </c>
      <c r="H2972" s="1041"/>
      <c r="I2972" s="1042"/>
      <c r="J2972" s="1035" t="s">
        <v>855</v>
      </c>
      <c r="K2972" s="389"/>
    </row>
    <row r="2973" spans="1:13" ht="26.25" thickBot="1">
      <c r="A2973" s="1048"/>
      <c r="B2973" s="1050"/>
      <c r="C2973" s="1050"/>
      <c r="D2973" s="285" t="s">
        <v>5505</v>
      </c>
      <c r="E2973" s="285" t="s">
        <v>4485</v>
      </c>
      <c r="F2973" s="285" t="s">
        <v>4486</v>
      </c>
      <c r="G2973" s="287" t="s">
        <v>4487</v>
      </c>
      <c r="H2973" s="285" t="s">
        <v>4488</v>
      </c>
      <c r="I2973" s="287" t="s">
        <v>4489</v>
      </c>
      <c r="J2973" s="1036"/>
      <c r="K2973" s="712"/>
    </row>
    <row r="2974" spans="1:13" ht="13.5" thickTop="1">
      <c r="A2974" s="88">
        <f>+A2971+1</f>
        <v>69</v>
      </c>
      <c r="B2974" s="69" t="s">
        <v>67</v>
      </c>
      <c r="C2974" s="69">
        <v>6</v>
      </c>
      <c r="D2974" s="143">
        <v>0</v>
      </c>
      <c r="E2974" s="143">
        <v>0</v>
      </c>
      <c r="F2974" s="143">
        <v>0</v>
      </c>
      <c r="G2974" s="143">
        <v>0</v>
      </c>
      <c r="H2974" s="143">
        <v>0</v>
      </c>
      <c r="I2974" s="143">
        <v>0</v>
      </c>
      <c r="J2974" s="710">
        <f>(VLOOKUP($C2974,[2]Sheet1!$A$2:$P$18,$M2974+1)/12)*12*D2974</f>
        <v>0</v>
      </c>
      <c r="K2974" s="711"/>
      <c r="M2974" s="62">
        <f t="shared" si="238"/>
        <v>5</v>
      </c>
    </row>
    <row r="2975" spans="1:13">
      <c r="A2975" s="88">
        <f>+A2974+1</f>
        <v>70</v>
      </c>
      <c r="B2975" s="69" t="s">
        <v>1735</v>
      </c>
      <c r="C2975" s="69">
        <v>5</v>
      </c>
      <c r="D2975" s="89">
        <v>0</v>
      </c>
      <c r="E2975" s="89">
        <v>0</v>
      </c>
      <c r="F2975" s="89">
        <v>0</v>
      </c>
      <c r="G2975" s="89">
        <v>0</v>
      </c>
      <c r="H2975" s="89">
        <v>0</v>
      </c>
      <c r="I2975" s="89">
        <v>0</v>
      </c>
      <c r="J2975" s="710">
        <f>(VLOOKUP($C2975,[2]Sheet1!$A$2:$P$18,$M2975+1)/12)*12*D2975</f>
        <v>0</v>
      </c>
      <c r="K2975" s="711"/>
      <c r="M2975" s="62">
        <f t="shared" si="238"/>
        <v>5</v>
      </c>
    </row>
    <row r="2976" spans="1:13">
      <c r="A2976" s="88">
        <f t="shared" si="241"/>
        <v>71</v>
      </c>
      <c r="B2976" s="69" t="s">
        <v>2580</v>
      </c>
      <c r="C2976" s="69">
        <v>4</v>
      </c>
      <c r="D2976" s="89">
        <v>0</v>
      </c>
      <c r="E2976" s="89">
        <v>0</v>
      </c>
      <c r="F2976" s="89">
        <v>0</v>
      </c>
      <c r="G2976" s="89">
        <v>0</v>
      </c>
      <c r="H2976" s="89">
        <v>0</v>
      </c>
      <c r="I2976" s="89">
        <v>0</v>
      </c>
      <c r="J2976" s="710">
        <f>(VLOOKUP($C2976,[2]Sheet1!$A$2:$P$18,$M2976+1)/12)*12*D2976</f>
        <v>0</v>
      </c>
      <c r="K2976" s="711"/>
      <c r="M2976" s="62">
        <f t="shared" si="238"/>
        <v>5</v>
      </c>
    </row>
    <row r="2977" spans="1:13">
      <c r="A2977" s="88">
        <f>+A2976+1</f>
        <v>72</v>
      </c>
      <c r="B2977" s="69" t="s">
        <v>2581</v>
      </c>
      <c r="C2977" s="69">
        <v>3</v>
      </c>
      <c r="D2977" s="89">
        <v>0</v>
      </c>
      <c r="E2977" s="89">
        <v>0</v>
      </c>
      <c r="F2977" s="89">
        <v>0</v>
      </c>
      <c r="G2977" s="89">
        <v>0</v>
      </c>
      <c r="H2977" s="89">
        <v>0</v>
      </c>
      <c r="I2977" s="89">
        <v>0</v>
      </c>
      <c r="J2977" s="710">
        <f>(VLOOKUP($C2977,[2]Sheet1!$A$2:$P$18,$M2977+1)/12)*12*D2977</f>
        <v>0</v>
      </c>
      <c r="K2977" s="711"/>
      <c r="M2977" s="62">
        <f t="shared" ref="M2977:M3016" si="242">IF(C2977&gt;6,3,5)</f>
        <v>5</v>
      </c>
    </row>
    <row r="2978" spans="1:13">
      <c r="A2978" s="88">
        <f t="shared" si="241"/>
        <v>73</v>
      </c>
      <c r="B2978" s="69" t="s">
        <v>2582</v>
      </c>
      <c r="C2978" s="69">
        <v>3</v>
      </c>
      <c r="D2978" s="89">
        <v>3</v>
      </c>
      <c r="E2978" s="89">
        <v>3</v>
      </c>
      <c r="F2978" s="89">
        <v>3</v>
      </c>
      <c r="G2978" s="89">
        <v>3</v>
      </c>
      <c r="H2978" s="89">
        <v>3</v>
      </c>
      <c r="I2978" s="89">
        <v>3</v>
      </c>
      <c r="J2978" s="710">
        <f>(VLOOKUP($C2978,[2]Sheet1!$A$2:$P$18,$M2978+1)/12)*12*D2978</f>
        <v>658008.53679109493</v>
      </c>
      <c r="K2978" s="711"/>
      <c r="M2978" s="62">
        <f t="shared" si="242"/>
        <v>5</v>
      </c>
    </row>
    <row r="2979" spans="1:13">
      <c r="A2979" s="88">
        <f t="shared" si="241"/>
        <v>74</v>
      </c>
      <c r="B2979" s="69" t="s">
        <v>2583</v>
      </c>
      <c r="C2979" s="69">
        <v>2</v>
      </c>
      <c r="D2979" s="89">
        <v>0</v>
      </c>
      <c r="E2979" s="89">
        <v>0</v>
      </c>
      <c r="F2979" s="89">
        <v>0</v>
      </c>
      <c r="G2979" s="89">
        <v>0</v>
      </c>
      <c r="H2979" s="89">
        <v>0</v>
      </c>
      <c r="I2979" s="89">
        <v>0</v>
      </c>
      <c r="J2979" s="710">
        <f>(VLOOKUP($C2979,[2]Sheet1!$A$2:$P$18,$M2979+1)/12)*12*D2979</f>
        <v>0</v>
      </c>
      <c r="K2979" s="711"/>
      <c r="M2979" s="62">
        <f t="shared" si="242"/>
        <v>5</v>
      </c>
    </row>
    <row r="2980" spans="1:13">
      <c r="A2980" s="88">
        <f t="shared" si="241"/>
        <v>75</v>
      </c>
      <c r="B2980" s="69" t="s">
        <v>684</v>
      </c>
      <c r="C2980" s="69">
        <v>2</v>
      </c>
      <c r="D2980" s="143">
        <v>0</v>
      </c>
      <c r="E2980" s="143">
        <v>0</v>
      </c>
      <c r="F2980" s="143">
        <v>0</v>
      </c>
      <c r="G2980" s="143">
        <v>0</v>
      </c>
      <c r="H2980" s="143">
        <v>0</v>
      </c>
      <c r="I2980" s="143">
        <v>0</v>
      </c>
      <c r="J2980" s="710">
        <f>(VLOOKUP($C2980,[2]Sheet1!$A$2:$P$18,$M2980+1)/12)*12*D2980</f>
        <v>0</v>
      </c>
      <c r="K2980" s="711"/>
      <c r="M2980" s="62">
        <f t="shared" si="242"/>
        <v>5</v>
      </c>
    </row>
    <row r="2981" spans="1:13">
      <c r="A2981" s="88"/>
      <c r="B2981" s="90" t="s">
        <v>1782</v>
      </c>
      <c r="C2981" s="69"/>
      <c r="D2981" s="143"/>
      <c r="E2981" s="143"/>
      <c r="F2981" s="143"/>
      <c r="G2981" s="143"/>
      <c r="H2981" s="143"/>
      <c r="I2981" s="143"/>
      <c r="J2981" s="710"/>
      <c r="K2981" s="711"/>
      <c r="M2981" s="62">
        <f t="shared" si="242"/>
        <v>5</v>
      </c>
    </row>
    <row r="2982" spans="1:13">
      <c r="A2982" s="88">
        <f>+A2980+1</f>
        <v>76</v>
      </c>
      <c r="B2982" s="69" t="s">
        <v>3532</v>
      </c>
      <c r="C2982" s="69">
        <v>16</v>
      </c>
      <c r="D2982" s="143">
        <v>0</v>
      </c>
      <c r="E2982" s="143">
        <v>0</v>
      </c>
      <c r="F2982" s="143">
        <v>0</v>
      </c>
      <c r="G2982" s="143">
        <v>0</v>
      </c>
      <c r="H2982" s="143">
        <v>0</v>
      </c>
      <c r="I2982" s="143">
        <v>0</v>
      </c>
      <c r="J2982" s="710">
        <f>(VLOOKUP($C2982,[2]Sheet1!$A$2:$P$18,$M2982+1)/12)*12*D2982</f>
        <v>0</v>
      </c>
      <c r="K2982" s="711"/>
      <c r="M2982" s="62">
        <f t="shared" si="242"/>
        <v>3</v>
      </c>
    </row>
    <row r="2983" spans="1:13">
      <c r="A2983" s="88">
        <f>+A2982+1</f>
        <v>77</v>
      </c>
      <c r="B2983" s="69" t="s">
        <v>1256</v>
      </c>
      <c r="C2983" s="69">
        <v>15</v>
      </c>
      <c r="D2983" s="143">
        <v>0</v>
      </c>
      <c r="E2983" s="143">
        <v>0</v>
      </c>
      <c r="F2983" s="143">
        <v>0</v>
      </c>
      <c r="G2983" s="143">
        <v>0</v>
      </c>
      <c r="H2983" s="143">
        <v>0</v>
      </c>
      <c r="I2983" s="143">
        <v>0</v>
      </c>
      <c r="J2983" s="710">
        <f>(VLOOKUP($C2983,[2]Sheet1!$A$2:$P$18,$M2983+1)/12)*12*D2983</f>
        <v>0</v>
      </c>
      <c r="K2983" s="711"/>
      <c r="M2983" s="62">
        <f t="shared" si="242"/>
        <v>3</v>
      </c>
    </row>
    <row r="2984" spans="1:13">
      <c r="A2984" s="88">
        <f>+A2983+1</f>
        <v>78</v>
      </c>
      <c r="B2984" s="69" t="s">
        <v>92</v>
      </c>
      <c r="C2984" s="69">
        <v>14</v>
      </c>
      <c r="D2984" s="143">
        <v>3</v>
      </c>
      <c r="E2984" s="143">
        <v>3</v>
      </c>
      <c r="F2984" s="143">
        <v>3</v>
      </c>
      <c r="G2984" s="143">
        <v>3</v>
      </c>
      <c r="H2984" s="143">
        <v>3</v>
      </c>
      <c r="I2984" s="143">
        <v>3</v>
      </c>
      <c r="J2984" s="710">
        <f>(VLOOKUP($C2984,[2]Sheet1!$A$2:$P$18,$M2984+1)/12)*12*D2984</f>
        <v>2007298.2247200001</v>
      </c>
      <c r="K2984" s="711"/>
      <c r="M2984" s="62">
        <f t="shared" si="242"/>
        <v>3</v>
      </c>
    </row>
    <row r="2985" spans="1:13">
      <c r="A2985" s="88">
        <f>+A2983+1</f>
        <v>78</v>
      </c>
      <c r="B2985" s="69" t="s">
        <v>93</v>
      </c>
      <c r="C2985" s="69">
        <v>13</v>
      </c>
      <c r="D2985" s="143">
        <v>1</v>
      </c>
      <c r="E2985" s="143">
        <v>1</v>
      </c>
      <c r="F2985" s="143">
        <v>1</v>
      </c>
      <c r="G2985" s="143">
        <v>1</v>
      </c>
      <c r="H2985" s="143">
        <v>1</v>
      </c>
      <c r="I2985" s="143">
        <v>1</v>
      </c>
      <c r="J2985" s="710">
        <f>(VLOOKUP($C2985,[2]Sheet1!$A$2:$P$18,$M2985+1)/12)*12*D2985</f>
        <v>628759.53804000001</v>
      </c>
      <c r="K2985" s="711"/>
      <c r="M2985" s="62">
        <f t="shared" si="242"/>
        <v>3</v>
      </c>
    </row>
    <row r="2986" spans="1:13">
      <c r="A2986" s="88">
        <f>+A2985+1</f>
        <v>79</v>
      </c>
      <c r="B2986" s="69" t="s">
        <v>175</v>
      </c>
      <c r="C2986" s="69">
        <v>12</v>
      </c>
      <c r="D2986" s="143">
        <v>0</v>
      </c>
      <c r="E2986" s="143">
        <v>0</v>
      </c>
      <c r="F2986" s="143">
        <v>0</v>
      </c>
      <c r="G2986" s="143">
        <v>0</v>
      </c>
      <c r="H2986" s="143">
        <v>0</v>
      </c>
      <c r="I2986" s="143">
        <v>0</v>
      </c>
      <c r="J2986" s="710">
        <f>(VLOOKUP($C2986,[2]Sheet1!$A$2:$P$18,$M2986+1)/12)*12*D2986</f>
        <v>0</v>
      </c>
      <c r="K2986" s="711"/>
      <c r="M2986" s="62">
        <f t="shared" si="242"/>
        <v>3</v>
      </c>
    </row>
    <row r="2987" spans="1:13">
      <c r="A2987" s="88">
        <f>+A2986+1</f>
        <v>80</v>
      </c>
      <c r="B2987" s="69" t="s">
        <v>752</v>
      </c>
      <c r="C2987" s="69">
        <v>10</v>
      </c>
      <c r="D2987" s="143">
        <v>0</v>
      </c>
      <c r="E2987" s="143">
        <v>0</v>
      </c>
      <c r="F2987" s="143">
        <v>0</v>
      </c>
      <c r="G2987" s="143">
        <v>0</v>
      </c>
      <c r="H2987" s="143">
        <v>0</v>
      </c>
      <c r="I2987" s="143">
        <v>0</v>
      </c>
      <c r="J2987" s="710">
        <f>(VLOOKUP($C2987,[2]Sheet1!$A$2:$P$18,$M2987+1)/12)*12*D2987</f>
        <v>0</v>
      </c>
      <c r="K2987" s="711"/>
      <c r="M2987" s="62">
        <f t="shared" si="242"/>
        <v>3</v>
      </c>
    </row>
    <row r="2988" spans="1:13">
      <c r="A2988" s="88">
        <f>+A2986+1</f>
        <v>80</v>
      </c>
      <c r="B2988" s="69" t="s">
        <v>3465</v>
      </c>
      <c r="C2988" s="69">
        <v>4</v>
      </c>
      <c r="D2988" s="143">
        <v>8</v>
      </c>
      <c r="E2988" s="143">
        <v>8</v>
      </c>
      <c r="F2988" s="143">
        <v>8</v>
      </c>
      <c r="G2988" s="143">
        <v>8</v>
      </c>
      <c r="H2988" s="143">
        <v>8</v>
      </c>
      <c r="I2988" s="143">
        <v>8</v>
      </c>
      <c r="J2988" s="710">
        <f>(VLOOKUP($C2988,[2]Sheet1!$A$2:$P$18,$M2988+1)/12)*12*D2988</f>
        <v>1796343.83144292</v>
      </c>
      <c r="K2988" s="711"/>
      <c r="M2988" s="62">
        <f t="shared" si="242"/>
        <v>5</v>
      </c>
    </row>
    <row r="2989" spans="1:13">
      <c r="A2989" s="88">
        <f>+A2987+1</f>
        <v>81</v>
      </c>
      <c r="B2989" s="69" t="s">
        <v>2892</v>
      </c>
      <c r="C2989" s="69">
        <v>3</v>
      </c>
      <c r="D2989" s="155">
        <v>0</v>
      </c>
      <c r="E2989" s="155">
        <v>0</v>
      </c>
      <c r="F2989" s="155" t="s">
        <v>1840</v>
      </c>
      <c r="G2989" s="155" t="s">
        <v>1840</v>
      </c>
      <c r="H2989" s="155" t="s">
        <v>1840</v>
      </c>
      <c r="I2989" s="155" t="s">
        <v>1840</v>
      </c>
      <c r="J2989" s="710">
        <f>(VLOOKUP($C2989,[2]Sheet1!$A$2:$P$18,$M2989+1)/12)*12*D2989</f>
        <v>0</v>
      </c>
      <c r="K2989" s="711"/>
      <c r="M2989" s="62">
        <f t="shared" si="242"/>
        <v>5</v>
      </c>
    </row>
    <row r="2990" spans="1:13">
      <c r="A2990" s="88">
        <f>+A2988+1</f>
        <v>81</v>
      </c>
      <c r="B2990" s="69" t="s">
        <v>1469</v>
      </c>
      <c r="C2990" s="69">
        <v>7</v>
      </c>
      <c r="D2990" s="143">
        <v>2</v>
      </c>
      <c r="E2990" s="143">
        <v>2</v>
      </c>
      <c r="F2990" s="143">
        <v>2</v>
      </c>
      <c r="G2990" s="143">
        <v>2</v>
      </c>
      <c r="H2990" s="143">
        <v>2</v>
      </c>
      <c r="I2990" s="143">
        <v>2</v>
      </c>
      <c r="J2990" s="710">
        <f>(VLOOKUP($C2990,[2]Sheet1!$A$2:$P$18,$M2990+1)/12)*12*D2990</f>
        <v>615413.40480000013</v>
      </c>
      <c r="K2990" s="711"/>
      <c r="M2990" s="62">
        <f t="shared" si="242"/>
        <v>3</v>
      </c>
    </row>
    <row r="2991" spans="1:13">
      <c r="A2991" s="88">
        <f>+A2990+1</f>
        <v>82</v>
      </c>
      <c r="B2991" s="69" t="s">
        <v>570</v>
      </c>
      <c r="C2991" s="69">
        <v>3</v>
      </c>
      <c r="D2991" s="143">
        <v>0</v>
      </c>
      <c r="E2991" s="143">
        <v>0</v>
      </c>
      <c r="F2991" s="143">
        <v>0</v>
      </c>
      <c r="G2991" s="143">
        <v>0</v>
      </c>
      <c r="H2991" s="143">
        <v>0</v>
      </c>
      <c r="I2991" s="143">
        <v>0</v>
      </c>
      <c r="J2991" s="710">
        <f>(VLOOKUP($C2991,[2]Sheet1!$A$2:$P$18,$M2991+1)/12)*12*D2991</f>
        <v>0</v>
      </c>
      <c r="K2991" s="711"/>
      <c r="M2991" s="62">
        <f t="shared" si="242"/>
        <v>5</v>
      </c>
    </row>
    <row r="2992" spans="1:13">
      <c r="A2992" s="88">
        <f>+A2991+1</f>
        <v>83</v>
      </c>
      <c r="B2992" s="69" t="s">
        <v>945</v>
      </c>
      <c r="C2992" s="69">
        <v>3</v>
      </c>
      <c r="D2992" s="143">
        <v>0</v>
      </c>
      <c r="E2992" s="143">
        <v>0</v>
      </c>
      <c r="F2992" s="143">
        <v>0</v>
      </c>
      <c r="G2992" s="143">
        <v>0</v>
      </c>
      <c r="H2992" s="143">
        <v>0</v>
      </c>
      <c r="I2992" s="143">
        <v>0</v>
      </c>
      <c r="J2992" s="710">
        <f>(VLOOKUP($C2992,[2]Sheet1!$A$2:$P$18,$M2992+1)/12)*12*D2992</f>
        <v>0</v>
      </c>
      <c r="K2992" s="711"/>
      <c r="M2992" s="62">
        <f t="shared" si="242"/>
        <v>5</v>
      </c>
    </row>
    <row r="2993" spans="1:13">
      <c r="A2993" s="88"/>
      <c r="B2993" s="90" t="s">
        <v>750</v>
      </c>
      <c r="C2993" s="69"/>
      <c r="D2993" s="143"/>
      <c r="E2993" s="143"/>
      <c r="F2993" s="143"/>
      <c r="G2993" s="143"/>
      <c r="H2993" s="143"/>
      <c r="I2993" s="143"/>
      <c r="J2993" s="710"/>
      <c r="K2993" s="711"/>
      <c r="M2993" s="62">
        <f t="shared" si="242"/>
        <v>5</v>
      </c>
    </row>
    <row r="2994" spans="1:13">
      <c r="A2994" s="88">
        <f>+A2992+1</f>
        <v>84</v>
      </c>
      <c r="B2994" s="69" t="s">
        <v>1256</v>
      </c>
      <c r="C2994" s="69">
        <v>15</v>
      </c>
      <c r="D2994" s="143">
        <v>0</v>
      </c>
      <c r="E2994" s="143">
        <v>0</v>
      </c>
      <c r="F2994" s="143">
        <v>0</v>
      </c>
      <c r="G2994" s="143">
        <v>0</v>
      </c>
      <c r="H2994" s="143">
        <v>0</v>
      </c>
      <c r="I2994" s="143">
        <v>0</v>
      </c>
      <c r="J2994" s="710">
        <f>(VLOOKUP($C2994,[2]Sheet1!$A$2:$P$18,$M2994+1)/12)*12*D2994</f>
        <v>0</v>
      </c>
      <c r="K2994" s="711"/>
      <c r="M2994" s="62">
        <f t="shared" si="242"/>
        <v>3</v>
      </c>
    </row>
    <row r="2995" spans="1:13">
      <c r="A2995" s="88">
        <f>+A2994+1</f>
        <v>85</v>
      </c>
      <c r="B2995" s="69" t="s">
        <v>179</v>
      </c>
      <c r="C2995" s="69">
        <v>14</v>
      </c>
      <c r="D2995" s="143">
        <v>1</v>
      </c>
      <c r="E2995" s="143">
        <v>1</v>
      </c>
      <c r="F2995" s="143">
        <v>1</v>
      </c>
      <c r="G2995" s="143">
        <v>1</v>
      </c>
      <c r="H2995" s="143">
        <v>1</v>
      </c>
      <c r="I2995" s="143">
        <v>1</v>
      </c>
      <c r="J2995" s="710">
        <f>(VLOOKUP($C2995,[2]Sheet1!$A$2:$P$18,$M2995+1)/12)*12*D2995</f>
        <v>669099.40824000002</v>
      </c>
      <c r="K2995" s="711"/>
      <c r="M2995" s="62">
        <f t="shared" si="242"/>
        <v>3</v>
      </c>
    </row>
    <row r="2996" spans="1:13">
      <c r="A2996" s="88">
        <f>+A2994+1</f>
        <v>85</v>
      </c>
      <c r="B2996" s="69" t="s">
        <v>751</v>
      </c>
      <c r="C2996" s="69">
        <v>9</v>
      </c>
      <c r="D2996" s="143">
        <v>0</v>
      </c>
      <c r="E2996" s="143">
        <v>0</v>
      </c>
      <c r="F2996" s="143">
        <v>0</v>
      </c>
      <c r="G2996" s="143">
        <v>0</v>
      </c>
      <c r="H2996" s="143">
        <v>0</v>
      </c>
      <c r="I2996" s="143">
        <v>0</v>
      </c>
      <c r="J2996" s="710">
        <f>(VLOOKUP($C2996,[2]Sheet1!$A$2:$P$18,$M2996+1)/12)*12*D2996</f>
        <v>0</v>
      </c>
      <c r="K2996" s="711"/>
      <c r="M2996" s="62">
        <f t="shared" si="242"/>
        <v>3</v>
      </c>
    </row>
    <row r="2997" spans="1:13">
      <c r="A2997" s="88">
        <f t="shared" ref="A2997:A3002" si="243">+A2996+1</f>
        <v>86</v>
      </c>
      <c r="B2997" s="69" t="s">
        <v>56</v>
      </c>
      <c r="C2997" s="69">
        <v>8</v>
      </c>
      <c r="D2997" s="143">
        <v>0</v>
      </c>
      <c r="E2997" s="143">
        <v>0</v>
      </c>
      <c r="F2997" s="143">
        <v>0</v>
      </c>
      <c r="G2997" s="143">
        <v>0</v>
      </c>
      <c r="H2997" s="143">
        <v>0</v>
      </c>
      <c r="I2997" s="143">
        <v>0</v>
      </c>
      <c r="J2997" s="710">
        <f>(VLOOKUP($C2997,[2]Sheet1!$A$2:$P$18,$M2997+1)/12)*12*D2997</f>
        <v>0</v>
      </c>
      <c r="K2997" s="711"/>
      <c r="M2997" s="62">
        <f t="shared" si="242"/>
        <v>3</v>
      </c>
    </row>
    <row r="2998" spans="1:13">
      <c r="A2998" s="88">
        <f t="shared" si="243"/>
        <v>87</v>
      </c>
      <c r="B2998" s="69" t="s">
        <v>2900</v>
      </c>
      <c r="C2998" s="69">
        <v>7</v>
      </c>
      <c r="D2998" s="143">
        <v>1</v>
      </c>
      <c r="E2998" s="143">
        <v>1</v>
      </c>
      <c r="F2998" s="143">
        <v>1</v>
      </c>
      <c r="G2998" s="143">
        <v>1</v>
      </c>
      <c r="H2998" s="143">
        <v>1</v>
      </c>
      <c r="I2998" s="143">
        <v>1</v>
      </c>
      <c r="J2998" s="710">
        <f>(VLOOKUP($C2998,[2]Sheet1!$A$2:$P$18,$M2998+1)/12)*12*D2998</f>
        <v>307706.70240000007</v>
      </c>
      <c r="K2998" s="711"/>
      <c r="M2998" s="62">
        <f t="shared" si="242"/>
        <v>3</v>
      </c>
    </row>
    <row r="2999" spans="1:13">
      <c r="A2999" s="88">
        <f t="shared" si="243"/>
        <v>88</v>
      </c>
      <c r="B2999" s="69" t="s">
        <v>2640</v>
      </c>
      <c r="C2999" s="69">
        <v>6</v>
      </c>
      <c r="D2999" s="143">
        <v>0</v>
      </c>
      <c r="E2999" s="143">
        <v>0</v>
      </c>
      <c r="F2999" s="143">
        <v>0</v>
      </c>
      <c r="G2999" s="143">
        <v>0</v>
      </c>
      <c r="H2999" s="143">
        <v>0</v>
      </c>
      <c r="I2999" s="143">
        <v>0</v>
      </c>
      <c r="J2999" s="710">
        <f>(VLOOKUP($C2999,[2]Sheet1!$A$2:$P$18,$M2999+1)/12)*12*D2999</f>
        <v>0</v>
      </c>
      <c r="K2999" s="711"/>
      <c r="M2999" s="62">
        <f t="shared" si="242"/>
        <v>5</v>
      </c>
    </row>
    <row r="3000" spans="1:13">
      <c r="A3000" s="88">
        <f t="shared" si="243"/>
        <v>89</v>
      </c>
      <c r="B3000" s="69" t="s">
        <v>1433</v>
      </c>
      <c r="C3000" s="69">
        <v>5</v>
      </c>
      <c r="D3000" s="143">
        <v>0</v>
      </c>
      <c r="E3000" s="143">
        <v>0</v>
      </c>
      <c r="F3000" s="143">
        <v>0</v>
      </c>
      <c r="G3000" s="143">
        <v>0</v>
      </c>
      <c r="H3000" s="143">
        <v>0</v>
      </c>
      <c r="I3000" s="143">
        <v>0</v>
      </c>
      <c r="J3000" s="710">
        <f>(VLOOKUP($C3000,[2]Sheet1!$A$2:$P$18,$M3000+1)/12)*12*D3000</f>
        <v>0</v>
      </c>
      <c r="K3000" s="711"/>
      <c r="M3000" s="62">
        <f t="shared" si="242"/>
        <v>5</v>
      </c>
    </row>
    <row r="3001" spans="1:13">
      <c r="A3001" s="88">
        <f t="shared" si="243"/>
        <v>90</v>
      </c>
      <c r="B3001" s="69" t="s">
        <v>1442</v>
      </c>
      <c r="C3001" s="69">
        <v>4</v>
      </c>
      <c r="D3001" s="143">
        <v>15</v>
      </c>
      <c r="E3001" s="143">
        <v>15</v>
      </c>
      <c r="F3001" s="143">
        <v>15</v>
      </c>
      <c r="G3001" s="143">
        <v>15</v>
      </c>
      <c r="H3001" s="143">
        <v>15</v>
      </c>
      <c r="I3001" s="143">
        <v>15</v>
      </c>
      <c r="J3001" s="710">
        <f>(VLOOKUP($C3001,[2]Sheet1!$A$2:$P$18,$M3001+1)/12)*12*D3001</f>
        <v>3368144.6839554752</v>
      </c>
      <c r="K3001" s="711"/>
      <c r="M3001" s="62">
        <f t="shared" si="242"/>
        <v>5</v>
      </c>
    </row>
    <row r="3002" spans="1:13">
      <c r="A3002" s="88">
        <f t="shared" si="243"/>
        <v>91</v>
      </c>
      <c r="B3002" s="69" t="s">
        <v>1443</v>
      </c>
      <c r="C3002" s="69">
        <v>3</v>
      </c>
      <c r="D3002" s="143">
        <v>0</v>
      </c>
      <c r="E3002" s="143">
        <v>0</v>
      </c>
      <c r="F3002" s="143">
        <v>0</v>
      </c>
      <c r="G3002" s="143">
        <v>0</v>
      </c>
      <c r="H3002" s="143">
        <v>0</v>
      </c>
      <c r="I3002" s="143">
        <v>0</v>
      </c>
      <c r="J3002" s="710">
        <f>(VLOOKUP($C3002,[2]Sheet1!$A$2:$P$18,$M3002+1)/12)*12*D3002</f>
        <v>0</v>
      </c>
      <c r="K3002" s="711"/>
      <c r="M3002" s="62">
        <f t="shared" si="242"/>
        <v>5</v>
      </c>
    </row>
    <row r="3003" spans="1:13">
      <c r="A3003" s="92"/>
      <c r="B3003" s="93" t="s">
        <v>1684</v>
      </c>
      <c r="C3003" s="94"/>
      <c r="D3003" s="152">
        <f t="shared" ref="D3003:J3003" si="244">SUM(D2892:D3002)</f>
        <v>316</v>
      </c>
      <c r="E3003" s="152">
        <f t="shared" si="244"/>
        <v>418</v>
      </c>
      <c r="F3003" s="152">
        <f t="shared" si="244"/>
        <v>313</v>
      </c>
      <c r="G3003" s="152">
        <f>SUM(G2892:G3002)</f>
        <v>313</v>
      </c>
      <c r="H3003" s="152">
        <f t="shared" si="244"/>
        <v>331</v>
      </c>
      <c r="I3003" s="152">
        <f t="shared" si="244"/>
        <v>316</v>
      </c>
      <c r="J3003" s="152">
        <f t="shared" si="244"/>
        <v>92161174.976379588</v>
      </c>
      <c r="K3003" s="382"/>
      <c r="M3003" s="62">
        <f t="shared" si="242"/>
        <v>5</v>
      </c>
    </row>
    <row r="3004" spans="1:13">
      <c r="A3004" s="88"/>
      <c r="B3004" s="69"/>
      <c r="C3004" s="69"/>
      <c r="D3004" s="89"/>
      <c r="E3004" s="89"/>
      <c r="F3004" s="89"/>
      <c r="G3004" s="89"/>
      <c r="H3004" s="89"/>
      <c r="I3004" s="89"/>
      <c r="J3004" s="89"/>
      <c r="K3004" s="114"/>
      <c r="M3004" s="62">
        <f t="shared" si="242"/>
        <v>5</v>
      </c>
    </row>
    <row r="3005" spans="1:13">
      <c r="A3005" s="88"/>
      <c r="B3005" s="90" t="s">
        <v>1199</v>
      </c>
      <c r="C3005" s="97"/>
      <c r="D3005" s="98"/>
      <c r="E3005" s="98"/>
      <c r="F3005" s="99"/>
      <c r="G3005" s="240" t="s">
        <v>243</v>
      </c>
      <c r="H3005" s="240" t="s">
        <v>4130</v>
      </c>
      <c r="I3005" s="240" t="s">
        <v>4202</v>
      </c>
      <c r="J3005" s="241" t="s">
        <v>4200</v>
      </c>
      <c r="K3005" s="375"/>
      <c r="M3005" s="62">
        <f t="shared" si="242"/>
        <v>5</v>
      </c>
    </row>
    <row r="3006" spans="1:13">
      <c r="A3006" s="88">
        <v>1</v>
      </c>
      <c r="B3006" s="69" t="s">
        <v>2786</v>
      </c>
      <c r="C3006" s="69"/>
      <c r="D3006" s="89"/>
      <c r="E3006" s="89"/>
      <c r="F3006" s="89"/>
      <c r="G3006" s="100">
        <f>J3003*0.2</f>
        <v>18432234.995275918</v>
      </c>
      <c r="H3006" s="100">
        <f>G3006*1.02</f>
        <v>18800879.695181437</v>
      </c>
      <c r="I3006" s="100">
        <f>H3006*1.02</f>
        <v>19176897.289085064</v>
      </c>
      <c r="J3006" s="100">
        <f>SUM(G3006:I3006)</f>
        <v>56410011.979542419</v>
      </c>
      <c r="K3006" s="114"/>
      <c r="M3006" s="62">
        <f t="shared" si="242"/>
        <v>5</v>
      </c>
    </row>
    <row r="3007" spans="1:13">
      <c r="A3007" s="88">
        <f>+A3006+1</f>
        <v>2</v>
      </c>
      <c r="B3007" s="69" t="s">
        <v>3037</v>
      </c>
      <c r="C3007" s="69"/>
      <c r="D3007" s="89"/>
      <c r="E3007" s="89"/>
      <c r="F3007" s="89"/>
      <c r="G3007" s="100">
        <v>4359603.4476800002</v>
      </c>
      <c r="H3007" s="100">
        <v>4359603.4476800002</v>
      </c>
      <c r="I3007" s="100">
        <v>4359603.4476800002</v>
      </c>
      <c r="J3007" s="100">
        <f>SUM(G3007:I3007)</f>
        <v>13078810.343040001</v>
      </c>
      <c r="K3007" s="114"/>
      <c r="M3007" s="62">
        <f t="shared" si="242"/>
        <v>5</v>
      </c>
    </row>
    <row r="3008" spans="1:13">
      <c r="A3008" s="92"/>
      <c r="B3008" s="93" t="s">
        <v>1933</v>
      </c>
      <c r="C3008" s="94"/>
      <c r="D3008" s="101"/>
      <c r="E3008" s="101"/>
      <c r="F3008" s="95"/>
      <c r="G3008" s="95">
        <f>SUM(G3006:G3007)</f>
        <v>22791838.442955919</v>
      </c>
      <c r="H3008" s="95">
        <f>SUM(H3006:H3007)</f>
        <v>23160483.142861437</v>
      </c>
      <c r="I3008" s="95">
        <f>SUM(I3006:I3007)</f>
        <v>23536500.736765064</v>
      </c>
      <c r="J3008" s="95">
        <f>SUM(J3006:J3007)</f>
        <v>69488822.322582424</v>
      </c>
      <c r="K3008" s="378"/>
      <c r="M3008" s="62">
        <f t="shared" si="242"/>
        <v>5</v>
      </c>
    </row>
    <row r="3009" spans="1:13">
      <c r="A3009" s="88"/>
      <c r="B3009" s="69"/>
      <c r="C3009" s="69"/>
      <c r="D3009" s="89"/>
      <c r="E3009" s="89"/>
      <c r="F3009" s="89"/>
      <c r="G3009" s="89"/>
      <c r="H3009" s="89"/>
      <c r="I3009" s="89"/>
      <c r="J3009" s="89"/>
      <c r="K3009" s="114"/>
      <c r="M3009" s="62">
        <f t="shared" si="242"/>
        <v>5</v>
      </c>
    </row>
    <row r="3010" spans="1:13">
      <c r="A3010" s="88">
        <v>1</v>
      </c>
      <c r="B3010" s="69" t="s">
        <v>1934</v>
      </c>
      <c r="C3010" s="69"/>
      <c r="D3010" s="89"/>
      <c r="E3010" s="89"/>
      <c r="F3010" s="89"/>
      <c r="G3010" s="100">
        <f>G3008+J3003</f>
        <v>114953013.41933551</v>
      </c>
      <c r="H3010" s="100">
        <f>G3010*1.02</f>
        <v>117252073.68772222</v>
      </c>
      <c r="I3010" s="100">
        <f>H3010*1.02</f>
        <v>119597115.16147667</v>
      </c>
      <c r="J3010" s="100">
        <f>SUM(G3010:I3010)</f>
        <v>351802202.26853442</v>
      </c>
      <c r="K3010" s="114"/>
      <c r="L3010" s="112"/>
      <c r="M3010" s="62">
        <f t="shared" si="242"/>
        <v>5</v>
      </c>
    </row>
    <row r="3011" spans="1:13">
      <c r="A3011" s="88">
        <f>+A3010+1</f>
        <v>2</v>
      </c>
      <c r="B3011" s="69" t="s">
        <v>129</v>
      </c>
      <c r="C3011" s="69"/>
      <c r="D3011" s="89"/>
      <c r="E3011" s="89"/>
      <c r="F3011" s="89"/>
      <c r="G3011" s="89">
        <f>C3044</f>
        <v>21500000</v>
      </c>
      <c r="H3011" s="89">
        <f>D3044</f>
        <v>25800000</v>
      </c>
      <c r="I3011" s="89">
        <f>E3044</f>
        <v>25800000</v>
      </c>
      <c r="J3011" s="100">
        <f>SUM(G3011:I3011)</f>
        <v>73100000</v>
      </c>
      <c r="K3011" s="114"/>
      <c r="M3011" s="62">
        <f t="shared" si="242"/>
        <v>5</v>
      </c>
    </row>
    <row r="3012" spans="1:13" ht="13.5" thickBot="1">
      <c r="A3012" s="92"/>
      <c r="B3012" s="103" t="s">
        <v>2241</v>
      </c>
      <c r="C3012" s="104"/>
      <c r="D3012" s="105"/>
      <c r="E3012" s="105"/>
      <c r="F3012" s="129"/>
      <c r="G3012" s="129">
        <f>SUM(G3010:G3011)</f>
        <v>136453013.41933551</v>
      </c>
      <c r="H3012" s="129">
        <f>SUM(H3010:H3011)</f>
        <v>143052073.68772221</v>
      </c>
      <c r="I3012" s="129">
        <f>SUM(I3010:I3011)</f>
        <v>145397115.16147667</v>
      </c>
      <c r="J3012" s="129">
        <f>SUM(J3010:J3011)</f>
        <v>424902202.26853442</v>
      </c>
      <c r="K3012" s="378"/>
      <c r="M3012" s="62">
        <f t="shared" si="242"/>
        <v>5</v>
      </c>
    </row>
    <row r="3013" spans="1:13" ht="15.75" thickTop="1">
      <c r="C3013" s="77"/>
      <c r="D3013" s="78" t="s">
        <v>5434</v>
      </c>
      <c r="J3013" s="584"/>
      <c r="K3013" s="584"/>
      <c r="M3013" s="62">
        <f t="shared" si="242"/>
        <v>5</v>
      </c>
    </row>
    <row r="3014" spans="1:13" ht="15">
      <c r="C3014" s="77"/>
      <c r="D3014" s="78" t="s">
        <v>716</v>
      </c>
      <c r="J3014" s="584"/>
      <c r="K3014" s="584"/>
      <c r="M3014" s="62">
        <f t="shared" si="242"/>
        <v>5</v>
      </c>
    </row>
    <row r="3015" spans="1:13" ht="15">
      <c r="C3015" s="79" t="s">
        <v>717</v>
      </c>
      <c r="D3015" s="78" t="s">
        <v>3590</v>
      </c>
      <c r="J3015" s="584"/>
      <c r="K3015" s="584"/>
      <c r="M3015" s="62">
        <f t="shared" si="242"/>
        <v>3</v>
      </c>
    </row>
    <row r="3016" spans="1:13" ht="15">
      <c r="C3016" s="79" t="s">
        <v>718</v>
      </c>
      <c r="D3016" s="78" t="s">
        <v>1890</v>
      </c>
      <c r="J3016" s="584"/>
      <c r="K3016" s="584"/>
      <c r="M3016" s="62">
        <f t="shared" si="242"/>
        <v>3</v>
      </c>
    </row>
    <row r="3017" spans="1:13" ht="15">
      <c r="A3017" s="634" t="s">
        <v>1839</v>
      </c>
      <c r="B3017" s="635" t="s">
        <v>903</v>
      </c>
      <c r="C3017" s="1037" t="s">
        <v>4127</v>
      </c>
      <c r="D3017" s="1038"/>
      <c r="E3017" s="1039"/>
      <c r="F3017" s="635" t="s">
        <v>1684</v>
      </c>
      <c r="G3017" s="1037" t="s">
        <v>4132</v>
      </c>
      <c r="H3017" s="1038"/>
      <c r="I3017" s="1039"/>
      <c r="J3017" s="726"/>
      <c r="K3017" s="727"/>
    </row>
    <row r="3018" spans="1:13">
      <c r="A3018" s="636" t="s">
        <v>1620</v>
      </c>
      <c r="B3018" s="637"/>
      <c r="C3018" s="635" t="s">
        <v>1841</v>
      </c>
      <c r="D3018" s="635" t="s">
        <v>4133</v>
      </c>
      <c r="E3018" s="635" t="s">
        <v>4133</v>
      </c>
      <c r="F3018" s="1056" t="s">
        <v>4200</v>
      </c>
      <c r="G3018" s="634" t="s">
        <v>4135</v>
      </c>
      <c r="H3018" s="1051" t="s">
        <v>4182</v>
      </c>
      <c r="I3018" s="634" t="s">
        <v>4135</v>
      </c>
      <c r="J3018" s="728" t="s">
        <v>4136</v>
      </c>
      <c r="K3018" s="727"/>
    </row>
    <row r="3019" spans="1:13" ht="12.75" customHeight="1">
      <c r="A3019" s="638" t="s">
        <v>387</v>
      </c>
      <c r="B3019" s="639"/>
      <c r="C3019" s="638">
        <v>2015</v>
      </c>
      <c r="D3019" s="638">
        <v>2016</v>
      </c>
      <c r="E3019" s="638">
        <v>2017</v>
      </c>
      <c r="F3019" s="1057"/>
      <c r="G3019" s="638" t="s">
        <v>4304</v>
      </c>
      <c r="H3019" s="1052"/>
      <c r="I3019" s="638" t="s">
        <v>4303</v>
      </c>
      <c r="J3019" s="639"/>
      <c r="K3019" s="729"/>
    </row>
    <row r="3020" spans="1:13">
      <c r="A3020" s="768">
        <v>2</v>
      </c>
      <c r="B3020" s="773" t="s">
        <v>1695</v>
      </c>
      <c r="C3020" s="390">
        <v>2500000</v>
      </c>
      <c r="D3020" s="390">
        <v>2500000</v>
      </c>
      <c r="E3020" s="390">
        <v>2500000</v>
      </c>
      <c r="F3020" s="390">
        <f>SUM(C3020:E3020)</f>
        <v>7500000</v>
      </c>
      <c r="G3020" s="390">
        <v>1309500</v>
      </c>
      <c r="H3020" s="390">
        <v>2500000</v>
      </c>
      <c r="I3020" s="390">
        <v>1443000</v>
      </c>
      <c r="J3020" s="390"/>
      <c r="K3020" s="734"/>
      <c r="M3020" s="62" t="e">
        <f>IF(#REF!&gt;6,3,5)</f>
        <v>#REF!</v>
      </c>
    </row>
    <row r="3021" spans="1:13">
      <c r="A3021" s="768">
        <f t="shared" ref="A3021:A3043" si="245">+A3020+1</f>
        <v>3</v>
      </c>
      <c r="B3021" s="773" t="s">
        <v>1696</v>
      </c>
      <c r="C3021" s="390" t="s">
        <v>1386</v>
      </c>
      <c r="D3021" s="390" t="s">
        <v>1386</v>
      </c>
      <c r="E3021" s="390" t="s">
        <v>1386</v>
      </c>
      <c r="F3021" s="390">
        <f t="shared" ref="F3021:F3043" si="246">SUM(C3021:E3021)</f>
        <v>0</v>
      </c>
      <c r="G3021" s="390"/>
      <c r="H3021" s="390" t="s">
        <v>1386</v>
      </c>
      <c r="I3021" s="390"/>
      <c r="J3021" s="390"/>
      <c r="K3021" s="734"/>
      <c r="M3021" s="62" t="e">
        <f>IF(#REF!&gt;6,3,5)</f>
        <v>#REF!</v>
      </c>
    </row>
    <row r="3022" spans="1:13">
      <c r="A3022" s="768">
        <f t="shared" si="245"/>
        <v>4</v>
      </c>
      <c r="B3022" s="773" t="s">
        <v>1701</v>
      </c>
      <c r="C3022" s="390" t="s">
        <v>1386</v>
      </c>
      <c r="D3022" s="390" t="s">
        <v>1386</v>
      </c>
      <c r="E3022" s="390" t="s">
        <v>1386</v>
      </c>
      <c r="F3022" s="390">
        <f t="shared" si="246"/>
        <v>0</v>
      </c>
      <c r="G3022" s="390"/>
      <c r="H3022" s="390" t="s">
        <v>1386</v>
      </c>
      <c r="I3022" s="390"/>
      <c r="J3022" s="390"/>
      <c r="K3022" s="734"/>
      <c r="M3022" s="62" t="e">
        <f>IF(#REF!&gt;6,3,5)</f>
        <v>#REF!</v>
      </c>
    </row>
    <row r="3023" spans="1:13">
      <c r="A3023" s="768">
        <f t="shared" si="245"/>
        <v>5</v>
      </c>
      <c r="B3023" s="773" t="s">
        <v>1778</v>
      </c>
      <c r="C3023" s="390">
        <v>200000</v>
      </c>
      <c r="D3023" s="390">
        <v>300000</v>
      </c>
      <c r="E3023" s="390">
        <v>300000</v>
      </c>
      <c r="F3023" s="390">
        <f t="shared" si="246"/>
        <v>800000</v>
      </c>
      <c r="G3023" s="390"/>
      <c r="H3023" s="390">
        <v>200000</v>
      </c>
      <c r="I3023" s="390"/>
      <c r="J3023" s="390"/>
      <c r="K3023" s="734"/>
      <c r="M3023" s="62" t="e">
        <f>IF(#REF!&gt;6,3,5)</f>
        <v>#REF!</v>
      </c>
    </row>
    <row r="3024" spans="1:13">
      <c r="A3024" s="768">
        <f t="shared" si="245"/>
        <v>6</v>
      </c>
      <c r="B3024" s="773" t="s">
        <v>1718</v>
      </c>
      <c r="C3024" s="390">
        <v>600000</v>
      </c>
      <c r="D3024" s="390">
        <v>800000</v>
      </c>
      <c r="E3024" s="390">
        <v>800000</v>
      </c>
      <c r="F3024" s="390">
        <f t="shared" si="246"/>
        <v>2200000</v>
      </c>
      <c r="G3024" s="390">
        <v>60000</v>
      </c>
      <c r="H3024" s="390">
        <v>600000</v>
      </c>
      <c r="I3024" s="390">
        <v>0</v>
      </c>
      <c r="J3024" s="390"/>
      <c r="K3024" s="734"/>
      <c r="M3024" s="62" t="e">
        <f>IF(#REF!&gt;6,3,5)</f>
        <v>#REF!</v>
      </c>
    </row>
    <row r="3025" spans="1:13">
      <c r="A3025" s="768">
        <f t="shared" si="245"/>
        <v>7</v>
      </c>
      <c r="B3025" s="773" t="s">
        <v>3680</v>
      </c>
      <c r="C3025" s="731">
        <v>800000</v>
      </c>
      <c r="D3025" s="731">
        <v>800000</v>
      </c>
      <c r="E3025" s="731">
        <v>800000</v>
      </c>
      <c r="F3025" s="390">
        <f t="shared" si="246"/>
        <v>2400000</v>
      </c>
      <c r="G3025" s="731">
        <v>325500</v>
      </c>
      <c r="H3025" s="731">
        <v>800000</v>
      </c>
      <c r="I3025" s="731">
        <v>420000</v>
      </c>
      <c r="J3025" s="390"/>
      <c r="K3025" s="734"/>
      <c r="M3025" s="62" t="e">
        <f>IF(#REF!&gt;6,3,5)</f>
        <v>#REF!</v>
      </c>
    </row>
    <row r="3026" spans="1:13">
      <c r="A3026" s="768">
        <f t="shared" si="245"/>
        <v>8</v>
      </c>
      <c r="B3026" s="773" t="s">
        <v>1719</v>
      </c>
      <c r="C3026" s="390" t="s">
        <v>1386</v>
      </c>
      <c r="D3026" s="390" t="s">
        <v>1386</v>
      </c>
      <c r="E3026" s="390" t="s">
        <v>1386</v>
      </c>
      <c r="F3026" s="390">
        <f t="shared" si="246"/>
        <v>0</v>
      </c>
      <c r="G3026" s="390"/>
      <c r="H3026" s="390" t="s">
        <v>1386</v>
      </c>
      <c r="I3026" s="390"/>
      <c r="J3026" s="390"/>
      <c r="K3026" s="734"/>
      <c r="M3026" s="62" t="e">
        <f>IF(#REF!&gt;6,3,5)</f>
        <v>#REF!</v>
      </c>
    </row>
    <row r="3027" spans="1:13">
      <c r="A3027" s="768">
        <f t="shared" si="245"/>
        <v>9</v>
      </c>
      <c r="B3027" s="773" t="s">
        <v>2061</v>
      </c>
      <c r="C3027" s="390" t="s">
        <v>1386</v>
      </c>
      <c r="D3027" s="390" t="s">
        <v>1386</v>
      </c>
      <c r="E3027" s="390" t="s">
        <v>1386</v>
      </c>
      <c r="F3027" s="390">
        <f t="shared" si="246"/>
        <v>0</v>
      </c>
      <c r="G3027" s="390"/>
      <c r="H3027" s="390" t="s">
        <v>1386</v>
      </c>
      <c r="I3027" s="390"/>
      <c r="J3027" s="390"/>
      <c r="K3027" s="734"/>
      <c r="M3027" s="62" t="e">
        <f>IF(#REF!&gt;6,3,5)</f>
        <v>#REF!</v>
      </c>
    </row>
    <row r="3028" spans="1:13">
      <c r="A3028" s="768">
        <f t="shared" si="245"/>
        <v>10</v>
      </c>
      <c r="B3028" s="773" t="s">
        <v>2685</v>
      </c>
      <c r="C3028" s="731">
        <v>200000</v>
      </c>
      <c r="D3028" s="731">
        <v>500000</v>
      </c>
      <c r="E3028" s="731">
        <v>500000</v>
      </c>
      <c r="F3028" s="390">
        <f t="shared" si="246"/>
        <v>1200000</v>
      </c>
      <c r="G3028" s="731"/>
      <c r="H3028" s="731">
        <v>200000</v>
      </c>
      <c r="I3028" s="731"/>
      <c r="J3028" s="390"/>
      <c r="K3028" s="734"/>
      <c r="M3028" s="62" t="e">
        <f>IF(#REF!&gt;6,3,5)</f>
        <v>#REF!</v>
      </c>
    </row>
    <row r="3029" spans="1:13" ht="25.5">
      <c r="A3029" s="768">
        <f t="shared" si="245"/>
        <v>11</v>
      </c>
      <c r="B3029" s="773" t="s">
        <v>764</v>
      </c>
      <c r="C3029" s="731">
        <v>100000</v>
      </c>
      <c r="D3029" s="731">
        <v>100000</v>
      </c>
      <c r="E3029" s="731">
        <v>100000</v>
      </c>
      <c r="F3029" s="390">
        <f t="shared" si="246"/>
        <v>300000</v>
      </c>
      <c r="G3029" s="731"/>
      <c r="H3029" s="731">
        <v>100000</v>
      </c>
      <c r="I3029" s="731"/>
      <c r="J3029" s="390"/>
      <c r="K3029" s="734"/>
      <c r="M3029" s="62" t="e">
        <f>IF(#REF!&gt;6,3,5)</f>
        <v>#REF!</v>
      </c>
    </row>
    <row r="3030" spans="1:13">
      <c r="A3030" s="768">
        <f t="shared" si="245"/>
        <v>12</v>
      </c>
      <c r="B3030" s="773" t="s">
        <v>2688</v>
      </c>
      <c r="C3030" s="731">
        <v>2500000</v>
      </c>
      <c r="D3030" s="731">
        <v>3000000</v>
      </c>
      <c r="E3030" s="731">
        <v>3000000</v>
      </c>
      <c r="F3030" s="390">
        <f t="shared" si="246"/>
        <v>8500000</v>
      </c>
      <c r="G3030" s="731">
        <v>1820361</v>
      </c>
      <c r="H3030" s="731">
        <v>3500000</v>
      </c>
      <c r="I3030" s="731">
        <v>2008079</v>
      </c>
      <c r="J3030" s="390"/>
      <c r="K3030" s="734"/>
      <c r="M3030" s="62" t="e">
        <f>IF(#REF!&gt;6,3,5)</f>
        <v>#REF!</v>
      </c>
    </row>
    <row r="3031" spans="1:13">
      <c r="A3031" s="768">
        <f t="shared" si="245"/>
        <v>13</v>
      </c>
      <c r="B3031" s="773" t="s">
        <v>2249</v>
      </c>
      <c r="C3031" s="731">
        <v>100000</v>
      </c>
      <c r="D3031" s="731">
        <v>100000</v>
      </c>
      <c r="E3031" s="731">
        <v>100000</v>
      </c>
      <c r="F3031" s="390">
        <f t="shared" si="246"/>
        <v>300000</v>
      </c>
      <c r="G3031" s="731"/>
      <c r="H3031" s="731">
        <v>100000</v>
      </c>
      <c r="I3031" s="731"/>
      <c r="J3031" s="390"/>
      <c r="K3031" s="734"/>
      <c r="M3031" s="62" t="e">
        <f>IF(#REF!&gt;6,3,5)</f>
        <v>#REF!</v>
      </c>
    </row>
    <row r="3032" spans="1:13">
      <c r="A3032" s="768">
        <f t="shared" si="245"/>
        <v>14</v>
      </c>
      <c r="B3032" s="773" t="s">
        <v>1336</v>
      </c>
      <c r="C3032" s="731">
        <v>700000</v>
      </c>
      <c r="D3032" s="731">
        <v>1000000</v>
      </c>
      <c r="E3032" s="731">
        <v>1000000</v>
      </c>
      <c r="F3032" s="390">
        <f t="shared" si="246"/>
        <v>2700000</v>
      </c>
      <c r="G3032" s="731">
        <v>450000</v>
      </c>
      <c r="H3032" s="731">
        <v>700000</v>
      </c>
      <c r="I3032" s="731">
        <v>740000</v>
      </c>
      <c r="J3032" s="390"/>
      <c r="K3032" s="734"/>
      <c r="M3032" s="62" t="e">
        <f>IF(#REF!&gt;6,3,5)</f>
        <v>#REF!</v>
      </c>
    </row>
    <row r="3033" spans="1:13" ht="25.5">
      <c r="A3033" s="768">
        <f t="shared" si="245"/>
        <v>15</v>
      </c>
      <c r="B3033" s="773" t="s">
        <v>1400</v>
      </c>
      <c r="C3033" s="731">
        <v>600000</v>
      </c>
      <c r="D3033" s="731">
        <v>600000</v>
      </c>
      <c r="E3033" s="731">
        <v>600000</v>
      </c>
      <c r="F3033" s="390">
        <f t="shared" si="246"/>
        <v>1800000</v>
      </c>
      <c r="G3033" s="731">
        <v>259600</v>
      </c>
      <c r="H3033" s="731">
        <v>600000</v>
      </c>
      <c r="I3033" s="731">
        <v>0</v>
      </c>
      <c r="J3033" s="390"/>
      <c r="K3033" s="734"/>
      <c r="M3033" s="62" t="e">
        <f>IF(#REF!&gt;6,3,5)</f>
        <v>#REF!</v>
      </c>
    </row>
    <row r="3034" spans="1:13" ht="25.5">
      <c r="A3034" s="768">
        <f t="shared" si="245"/>
        <v>16</v>
      </c>
      <c r="B3034" s="773" t="s">
        <v>1401</v>
      </c>
      <c r="C3034" s="731">
        <v>1000000</v>
      </c>
      <c r="D3034" s="731">
        <v>2000000</v>
      </c>
      <c r="E3034" s="731">
        <v>2000000</v>
      </c>
      <c r="F3034" s="390">
        <f t="shared" si="246"/>
        <v>5000000</v>
      </c>
      <c r="G3034" s="731">
        <v>1153000</v>
      </c>
      <c r="H3034" s="731">
        <v>1000000</v>
      </c>
      <c r="I3034" s="731">
        <v>780000</v>
      </c>
      <c r="J3034" s="390"/>
      <c r="K3034" s="734"/>
      <c r="M3034" s="62" t="e">
        <f>IF(#REF!&gt;6,3,5)</f>
        <v>#REF!</v>
      </c>
    </row>
    <row r="3035" spans="1:13">
      <c r="A3035" s="768">
        <f t="shared" si="245"/>
        <v>17</v>
      </c>
      <c r="B3035" s="773" t="s">
        <v>3805</v>
      </c>
      <c r="C3035" s="731">
        <v>1500000</v>
      </c>
      <c r="D3035" s="731">
        <v>2500000</v>
      </c>
      <c r="E3035" s="731">
        <v>2500000</v>
      </c>
      <c r="F3035" s="390">
        <f t="shared" si="246"/>
        <v>6500000</v>
      </c>
      <c r="G3035" s="748">
        <v>858136.05</v>
      </c>
      <c r="H3035" s="731">
        <v>1500000</v>
      </c>
      <c r="I3035" s="748">
        <v>875588</v>
      </c>
      <c r="J3035" s="390"/>
      <c r="K3035" s="734"/>
      <c r="M3035" s="62" t="e">
        <f>IF(#REF!&gt;6,3,5)</f>
        <v>#REF!</v>
      </c>
    </row>
    <row r="3036" spans="1:13" ht="25.5">
      <c r="A3036" s="768">
        <f t="shared" si="245"/>
        <v>18</v>
      </c>
      <c r="B3036" s="773" t="s">
        <v>2506</v>
      </c>
      <c r="C3036" s="731">
        <v>500000</v>
      </c>
      <c r="D3036" s="731">
        <v>1000000</v>
      </c>
      <c r="E3036" s="731">
        <v>1000000</v>
      </c>
      <c r="F3036" s="390">
        <f t="shared" si="246"/>
        <v>2500000</v>
      </c>
      <c r="G3036" s="731">
        <v>300000</v>
      </c>
      <c r="H3036" s="731">
        <v>500000</v>
      </c>
      <c r="I3036" s="731">
        <v>0</v>
      </c>
      <c r="J3036" s="390"/>
      <c r="K3036" s="734"/>
      <c r="M3036" s="62" t="e">
        <f>IF(#REF!&gt;6,3,5)</f>
        <v>#REF!</v>
      </c>
    </row>
    <row r="3037" spans="1:13">
      <c r="A3037" s="768">
        <f t="shared" si="245"/>
        <v>19</v>
      </c>
      <c r="B3037" s="773" t="s">
        <v>1402</v>
      </c>
      <c r="C3037" s="731">
        <v>3600000</v>
      </c>
      <c r="D3037" s="731">
        <v>3600000</v>
      </c>
      <c r="E3037" s="731">
        <v>3600000</v>
      </c>
      <c r="F3037" s="390">
        <f t="shared" si="246"/>
        <v>10800000</v>
      </c>
      <c r="G3037" s="731">
        <v>1681071</v>
      </c>
      <c r="H3037" s="731">
        <v>3600000</v>
      </c>
      <c r="I3037" s="731">
        <v>1698000</v>
      </c>
      <c r="J3037" s="390"/>
      <c r="K3037" s="734"/>
      <c r="M3037" s="62" t="e">
        <f>IF(#REF!&gt;6,3,5)</f>
        <v>#REF!</v>
      </c>
    </row>
    <row r="3038" spans="1:13">
      <c r="A3038" s="768">
        <f t="shared" si="245"/>
        <v>20</v>
      </c>
      <c r="B3038" s="773" t="s">
        <v>1114</v>
      </c>
      <c r="C3038" s="731" t="s">
        <v>1386</v>
      </c>
      <c r="D3038" s="731" t="s">
        <v>1386</v>
      </c>
      <c r="E3038" s="731" t="s">
        <v>1386</v>
      </c>
      <c r="F3038" s="390">
        <f t="shared" si="246"/>
        <v>0</v>
      </c>
      <c r="G3038" s="731"/>
      <c r="H3038" s="731" t="s">
        <v>1386</v>
      </c>
      <c r="I3038" s="731"/>
      <c r="J3038" s="390"/>
      <c r="K3038" s="734"/>
      <c r="M3038" s="62" t="e">
        <f>IF(#REF!&gt;6,3,5)</f>
        <v>#REF!</v>
      </c>
    </row>
    <row r="3039" spans="1:13">
      <c r="A3039" s="768">
        <f t="shared" si="245"/>
        <v>21</v>
      </c>
      <c r="B3039" s="773" t="s">
        <v>1888</v>
      </c>
      <c r="C3039" s="731" t="s">
        <v>1386</v>
      </c>
      <c r="D3039" s="731" t="s">
        <v>1386</v>
      </c>
      <c r="E3039" s="731" t="s">
        <v>1386</v>
      </c>
      <c r="F3039" s="390">
        <f t="shared" si="246"/>
        <v>0</v>
      </c>
      <c r="G3039" s="731"/>
      <c r="H3039" s="731" t="s">
        <v>1386</v>
      </c>
      <c r="I3039" s="731"/>
      <c r="J3039" s="390"/>
      <c r="K3039" s="734"/>
      <c r="M3039" s="62" t="e">
        <f>IF(#REF!&gt;6,3,5)</f>
        <v>#REF!</v>
      </c>
    </row>
    <row r="3040" spans="1:13" ht="25.5">
      <c r="A3040" s="768">
        <f t="shared" si="245"/>
        <v>22</v>
      </c>
      <c r="B3040" s="773" t="s">
        <v>1889</v>
      </c>
      <c r="C3040" s="731" t="s">
        <v>1386</v>
      </c>
      <c r="D3040" s="731" t="s">
        <v>1386</v>
      </c>
      <c r="E3040" s="731" t="s">
        <v>1386</v>
      </c>
      <c r="F3040" s="390">
        <f t="shared" si="246"/>
        <v>0</v>
      </c>
      <c r="G3040" s="731"/>
      <c r="H3040" s="731" t="s">
        <v>1386</v>
      </c>
      <c r="I3040" s="731"/>
      <c r="J3040" s="390"/>
      <c r="K3040" s="734"/>
      <c r="M3040" s="62" t="e">
        <f>IF(#REF!&gt;6,3,5)</f>
        <v>#REF!</v>
      </c>
    </row>
    <row r="3041" spans="1:13">
      <c r="A3041" s="768">
        <f t="shared" si="245"/>
        <v>23</v>
      </c>
      <c r="B3041" s="773" t="s">
        <v>3547</v>
      </c>
      <c r="C3041" s="731">
        <v>500000</v>
      </c>
      <c r="D3041" s="731" t="s">
        <v>1386</v>
      </c>
      <c r="E3041" s="731" t="s">
        <v>1386</v>
      </c>
      <c r="F3041" s="390">
        <f t="shared" si="246"/>
        <v>500000</v>
      </c>
      <c r="G3041" s="731"/>
      <c r="H3041" s="731">
        <v>500000</v>
      </c>
      <c r="I3041" s="731">
        <v>310000</v>
      </c>
      <c r="J3041" s="390"/>
      <c r="K3041" s="734"/>
      <c r="M3041" s="62" t="e">
        <f>IF(#REF!&gt;6,3,5)</f>
        <v>#REF!</v>
      </c>
    </row>
    <row r="3042" spans="1:13">
      <c r="A3042" s="768">
        <f t="shared" si="245"/>
        <v>24</v>
      </c>
      <c r="B3042" s="773" t="s">
        <v>1306</v>
      </c>
      <c r="C3042" s="731" t="s">
        <v>1386</v>
      </c>
      <c r="D3042" s="731" t="s">
        <v>1386</v>
      </c>
      <c r="E3042" s="731" t="s">
        <v>1386</v>
      </c>
      <c r="F3042" s="390">
        <f t="shared" si="246"/>
        <v>0</v>
      </c>
      <c r="G3042" s="731"/>
      <c r="H3042" s="731" t="s">
        <v>1386</v>
      </c>
      <c r="I3042" s="731"/>
      <c r="J3042" s="390"/>
      <c r="K3042" s="734"/>
      <c r="M3042" s="62" t="e">
        <f>IF(#REF!&gt;6,3,5)</f>
        <v>#REF!</v>
      </c>
    </row>
    <row r="3043" spans="1:13">
      <c r="A3043" s="768">
        <f t="shared" si="245"/>
        <v>25</v>
      </c>
      <c r="B3043" s="773" t="s">
        <v>3548</v>
      </c>
      <c r="C3043" s="731">
        <v>6100000</v>
      </c>
      <c r="D3043" s="731">
        <v>7000000</v>
      </c>
      <c r="E3043" s="731">
        <v>7000000</v>
      </c>
      <c r="F3043" s="390">
        <f t="shared" si="246"/>
        <v>20100000</v>
      </c>
      <c r="G3043" s="731">
        <v>2985000</v>
      </c>
      <c r="H3043" s="731">
        <v>6100000</v>
      </c>
      <c r="I3043" s="731">
        <v>3000000</v>
      </c>
      <c r="J3043" s="390"/>
      <c r="K3043" s="734"/>
      <c r="M3043" s="62" t="e">
        <f>IF(#REF!&gt;6,3,5)</f>
        <v>#REF!</v>
      </c>
    </row>
    <row r="3044" spans="1:13" ht="20.100000000000001" customHeight="1">
      <c r="A3044" s="770"/>
      <c r="B3044" s="770" t="s">
        <v>1684</v>
      </c>
      <c r="C3044" s="771">
        <f t="shared" ref="C3044:I3044" si="247">SUM(C3020:C3043)</f>
        <v>21500000</v>
      </c>
      <c r="D3044" s="771">
        <f t="shared" si="247"/>
        <v>25800000</v>
      </c>
      <c r="E3044" s="771">
        <f t="shared" si="247"/>
        <v>25800000</v>
      </c>
      <c r="F3044" s="771">
        <f t="shared" si="247"/>
        <v>73100000</v>
      </c>
      <c r="G3044" s="771">
        <f>SUM(G3020:G3043)</f>
        <v>11202168.050000001</v>
      </c>
      <c r="H3044" s="771">
        <f>SUM(H3020:H3043)</f>
        <v>22500000</v>
      </c>
      <c r="I3044" s="771">
        <f t="shared" si="247"/>
        <v>11274667</v>
      </c>
      <c r="J3044" s="771"/>
      <c r="K3044" s="772"/>
      <c r="M3044" s="62" t="e">
        <f>IF(#REF!&gt;6,3,5)</f>
        <v>#REF!</v>
      </c>
    </row>
    <row r="3045" spans="1:13" ht="15">
      <c r="C3045" s="77"/>
      <c r="D3045" s="78" t="s">
        <v>5434</v>
      </c>
      <c r="J3045" s="584"/>
      <c r="K3045" s="584"/>
      <c r="M3045" s="62">
        <f t="shared" ref="M3045:M3098" si="248">IF(C3045&gt;6,3,5)</f>
        <v>5</v>
      </c>
    </row>
    <row r="3046" spans="1:13" ht="15">
      <c r="C3046" s="77"/>
      <c r="D3046" s="78" t="s">
        <v>1693</v>
      </c>
      <c r="J3046" s="584"/>
      <c r="K3046" s="584"/>
      <c r="M3046" s="62">
        <f t="shared" si="248"/>
        <v>5</v>
      </c>
    </row>
    <row r="3047" spans="1:13" ht="15">
      <c r="C3047" s="79" t="s">
        <v>717</v>
      </c>
      <c r="D3047" s="78" t="s">
        <v>2772</v>
      </c>
      <c r="J3047" s="584"/>
      <c r="K3047" s="584"/>
      <c r="M3047" s="62">
        <f t="shared" si="248"/>
        <v>3</v>
      </c>
    </row>
    <row r="3048" spans="1:13" ht="15.75" thickBot="1">
      <c r="C3048" s="79" t="s">
        <v>718</v>
      </c>
      <c r="D3048" s="78" t="s">
        <v>1115</v>
      </c>
      <c r="J3048" s="584"/>
      <c r="K3048" s="584"/>
      <c r="M3048" s="62">
        <f t="shared" si="248"/>
        <v>3</v>
      </c>
    </row>
    <row r="3049" spans="1:13" ht="15.75" thickTop="1">
      <c r="A3049" s="1047" t="s">
        <v>2791</v>
      </c>
      <c r="B3049" s="1049" t="s">
        <v>4126</v>
      </c>
      <c r="C3049" s="1049" t="s">
        <v>854</v>
      </c>
      <c r="D3049" s="1040" t="s">
        <v>4127</v>
      </c>
      <c r="E3049" s="1041"/>
      <c r="F3049" s="1041"/>
      <c r="G3049" s="1040" t="s">
        <v>904</v>
      </c>
      <c r="H3049" s="1041"/>
      <c r="I3049" s="1042"/>
      <c r="J3049" s="1035" t="s">
        <v>855</v>
      </c>
      <c r="K3049" s="389"/>
    </row>
    <row r="3050" spans="1:13" ht="26.25" thickBot="1">
      <c r="A3050" s="1048"/>
      <c r="B3050" s="1050"/>
      <c r="C3050" s="1050"/>
      <c r="D3050" s="285" t="s">
        <v>5505</v>
      </c>
      <c r="E3050" s="285" t="s">
        <v>4485</v>
      </c>
      <c r="F3050" s="285" t="s">
        <v>4486</v>
      </c>
      <c r="G3050" s="287" t="s">
        <v>4487</v>
      </c>
      <c r="H3050" s="285" t="s">
        <v>4488</v>
      </c>
      <c r="I3050" s="287" t="s">
        <v>4489</v>
      </c>
      <c r="J3050" s="1036"/>
      <c r="K3050" s="712"/>
    </row>
    <row r="3051" spans="1:13" ht="13.5" thickTop="1">
      <c r="A3051" s="88"/>
      <c r="B3051" s="90" t="s">
        <v>2051</v>
      </c>
      <c r="C3051" s="69"/>
      <c r="D3051" s="89"/>
      <c r="E3051" s="89"/>
      <c r="F3051" s="89"/>
      <c r="G3051" s="89"/>
      <c r="H3051" s="89"/>
      <c r="I3051" s="89"/>
      <c r="J3051" s="713"/>
      <c r="K3051" s="711"/>
      <c r="M3051" s="62">
        <f t="shared" si="248"/>
        <v>5</v>
      </c>
    </row>
    <row r="3052" spans="1:13">
      <c r="A3052" s="88">
        <v>1</v>
      </c>
      <c r="B3052" s="69" t="s">
        <v>3845</v>
      </c>
      <c r="C3052" s="69">
        <v>7</v>
      </c>
      <c r="D3052" s="89">
        <v>0</v>
      </c>
      <c r="E3052" s="89">
        <v>0</v>
      </c>
      <c r="F3052" s="89">
        <v>0</v>
      </c>
      <c r="G3052" s="89">
        <v>0</v>
      </c>
      <c r="H3052" s="89">
        <v>0</v>
      </c>
      <c r="I3052" s="89">
        <v>0</v>
      </c>
      <c r="J3052" s="710">
        <f>(VLOOKUP($C3052,[2]Sheet1!$A$2:$P$18,$M3052+1)/12)*12*D3052</f>
        <v>0</v>
      </c>
      <c r="K3052" s="711"/>
      <c r="M3052" s="62">
        <f t="shared" si="248"/>
        <v>3</v>
      </c>
    </row>
    <row r="3053" spans="1:13">
      <c r="A3053" s="88">
        <f t="shared" ref="A3053:A3072" si="249">+A3052+1</f>
        <v>2</v>
      </c>
      <c r="B3053" s="69" t="s">
        <v>3846</v>
      </c>
      <c r="C3053" s="69">
        <v>6</v>
      </c>
      <c r="D3053" s="89">
        <v>0</v>
      </c>
      <c r="E3053" s="89">
        <v>1</v>
      </c>
      <c r="F3053" s="89">
        <v>0</v>
      </c>
      <c r="G3053" s="89">
        <v>0</v>
      </c>
      <c r="H3053" s="89">
        <v>1</v>
      </c>
      <c r="I3053" s="89">
        <v>0</v>
      </c>
      <c r="J3053" s="710">
        <f>(VLOOKUP($C3053,[2]Sheet1!$A$2:$P$18,$M3053+1)/12)*12*D3053</f>
        <v>0</v>
      </c>
      <c r="K3053" s="711"/>
      <c r="M3053" s="62">
        <f t="shared" si="248"/>
        <v>5</v>
      </c>
    </row>
    <row r="3054" spans="1:13">
      <c r="A3054" s="88">
        <f t="shared" si="249"/>
        <v>3</v>
      </c>
      <c r="B3054" s="69" t="s">
        <v>3847</v>
      </c>
      <c r="C3054" s="69">
        <v>5</v>
      </c>
      <c r="D3054" s="89">
        <v>1</v>
      </c>
      <c r="E3054" s="89">
        <v>2</v>
      </c>
      <c r="F3054" s="89">
        <v>2</v>
      </c>
      <c r="G3054" s="89">
        <v>2</v>
      </c>
      <c r="H3054" s="89">
        <v>1</v>
      </c>
      <c r="I3054" s="89">
        <v>1</v>
      </c>
      <c r="J3054" s="710">
        <f>(VLOOKUP($C3054,[2]Sheet1!$A$2:$P$18,$M3054+1)/12)*12*D3054</f>
        <v>229569.77893036499</v>
      </c>
      <c r="K3054" s="711"/>
      <c r="M3054" s="62">
        <f t="shared" si="248"/>
        <v>5</v>
      </c>
    </row>
    <row r="3055" spans="1:13">
      <c r="A3055" s="88">
        <f t="shared" si="249"/>
        <v>4</v>
      </c>
      <c r="B3055" s="69" t="s">
        <v>2336</v>
      </c>
      <c r="C3055" s="69">
        <v>4</v>
      </c>
      <c r="D3055" s="89">
        <v>2</v>
      </c>
      <c r="E3055" s="89">
        <v>1</v>
      </c>
      <c r="F3055" s="89">
        <v>1</v>
      </c>
      <c r="G3055" s="89">
        <v>1</v>
      </c>
      <c r="H3055" s="89">
        <v>1</v>
      </c>
      <c r="I3055" s="89">
        <v>2</v>
      </c>
      <c r="J3055" s="710">
        <f>(VLOOKUP($C3055,[2]Sheet1!$A$2:$P$18,$M3055+1)/12)*12*D3055</f>
        <v>449085.95786073001</v>
      </c>
      <c r="K3055" s="711"/>
      <c r="M3055" s="62">
        <f t="shared" si="248"/>
        <v>5</v>
      </c>
    </row>
    <row r="3056" spans="1:13">
      <c r="A3056" s="88">
        <f t="shared" si="249"/>
        <v>5</v>
      </c>
      <c r="B3056" s="69" t="s">
        <v>1069</v>
      </c>
      <c r="C3056" s="69">
        <v>3</v>
      </c>
      <c r="D3056" s="89">
        <v>0</v>
      </c>
      <c r="E3056" s="89">
        <v>0</v>
      </c>
      <c r="F3056" s="89">
        <v>0</v>
      </c>
      <c r="G3056" s="89">
        <v>0</v>
      </c>
      <c r="H3056" s="89">
        <v>0</v>
      </c>
      <c r="I3056" s="89">
        <v>0</v>
      </c>
      <c r="J3056" s="710">
        <f>(VLOOKUP($C3056,[2]Sheet1!$A$2:$P$18,$M3056+1)/12)*12*D3056</f>
        <v>0</v>
      </c>
      <c r="K3056" s="711"/>
      <c r="M3056" s="62">
        <f t="shared" si="248"/>
        <v>5</v>
      </c>
    </row>
    <row r="3057" spans="1:13">
      <c r="A3057" s="88">
        <f t="shared" si="249"/>
        <v>6</v>
      </c>
      <c r="B3057" s="69" t="s">
        <v>2572</v>
      </c>
      <c r="C3057" s="69">
        <v>7</v>
      </c>
      <c r="D3057" s="89">
        <v>0</v>
      </c>
      <c r="E3057" s="89">
        <v>0</v>
      </c>
      <c r="F3057" s="89">
        <v>0</v>
      </c>
      <c r="G3057" s="89">
        <v>0</v>
      </c>
      <c r="H3057" s="89">
        <v>0</v>
      </c>
      <c r="I3057" s="89">
        <v>0</v>
      </c>
      <c r="J3057" s="710">
        <f>(VLOOKUP($C3057,[2]Sheet1!$A$2:$P$18,$M3057+1)/12)*12*D3057</f>
        <v>0</v>
      </c>
      <c r="K3057" s="711"/>
      <c r="M3057" s="62">
        <f t="shared" si="248"/>
        <v>3</v>
      </c>
    </row>
    <row r="3058" spans="1:13">
      <c r="A3058" s="88">
        <f t="shared" si="249"/>
        <v>7</v>
      </c>
      <c r="B3058" s="69" t="s">
        <v>1749</v>
      </c>
      <c r="C3058" s="69">
        <v>6</v>
      </c>
      <c r="D3058" s="89">
        <v>0</v>
      </c>
      <c r="E3058" s="89">
        <v>0</v>
      </c>
      <c r="F3058" s="89">
        <v>0</v>
      </c>
      <c r="G3058" s="89">
        <v>0</v>
      </c>
      <c r="H3058" s="89">
        <v>0</v>
      </c>
      <c r="I3058" s="89">
        <v>0</v>
      </c>
      <c r="J3058" s="710">
        <f>(VLOOKUP($C3058,[2]Sheet1!$A$2:$P$18,$M3058+1)/12)*12*D3058</f>
        <v>0</v>
      </c>
      <c r="K3058" s="711"/>
      <c r="M3058" s="62">
        <f t="shared" si="248"/>
        <v>5</v>
      </c>
    </row>
    <row r="3059" spans="1:13">
      <c r="A3059" s="88">
        <f t="shared" si="249"/>
        <v>8</v>
      </c>
      <c r="B3059" s="69" t="s">
        <v>3796</v>
      </c>
      <c r="C3059" s="69">
        <v>5</v>
      </c>
      <c r="D3059" s="89">
        <v>0</v>
      </c>
      <c r="E3059" s="89">
        <v>0</v>
      </c>
      <c r="F3059" s="89">
        <v>0</v>
      </c>
      <c r="G3059" s="89">
        <v>0</v>
      </c>
      <c r="H3059" s="89">
        <v>0</v>
      </c>
      <c r="I3059" s="89">
        <v>0</v>
      </c>
      <c r="J3059" s="710">
        <f>(VLOOKUP($C3059,[2]Sheet1!$A$2:$P$18,$M3059+1)/12)*12*D3059</f>
        <v>0</v>
      </c>
      <c r="K3059" s="711"/>
      <c r="M3059" s="62">
        <f t="shared" si="248"/>
        <v>5</v>
      </c>
    </row>
    <row r="3060" spans="1:13">
      <c r="A3060" s="88">
        <f t="shared" si="249"/>
        <v>9</v>
      </c>
      <c r="B3060" s="69" t="s">
        <v>3797</v>
      </c>
      <c r="C3060" s="69">
        <v>4</v>
      </c>
      <c r="D3060" s="89">
        <v>0</v>
      </c>
      <c r="E3060" s="89">
        <v>1</v>
      </c>
      <c r="F3060" s="89">
        <v>0</v>
      </c>
      <c r="G3060" s="89">
        <v>0</v>
      </c>
      <c r="H3060" s="89">
        <v>1</v>
      </c>
      <c r="I3060" s="89">
        <v>0</v>
      </c>
      <c r="J3060" s="710">
        <f>(VLOOKUP($C3060,[2]Sheet1!$A$2:$P$18,$M3060+1)/12)*12*D3060</f>
        <v>0</v>
      </c>
      <c r="K3060" s="711"/>
      <c r="M3060" s="62">
        <f t="shared" si="248"/>
        <v>5</v>
      </c>
    </row>
    <row r="3061" spans="1:13">
      <c r="A3061" s="88">
        <f t="shared" si="249"/>
        <v>10</v>
      </c>
      <c r="B3061" s="69" t="s">
        <v>2556</v>
      </c>
      <c r="C3061" s="69">
        <v>3</v>
      </c>
      <c r="D3061" s="89">
        <v>1</v>
      </c>
      <c r="E3061" s="89">
        <v>1</v>
      </c>
      <c r="F3061" s="89">
        <v>1</v>
      </c>
      <c r="G3061" s="89">
        <v>1</v>
      </c>
      <c r="H3061" s="89">
        <v>1</v>
      </c>
      <c r="I3061" s="89">
        <v>1</v>
      </c>
      <c r="J3061" s="710">
        <f>(VLOOKUP($C3061,[2]Sheet1!$A$2:$P$18,$M3061+1)/12)*12*D3061</f>
        <v>219336.17893036499</v>
      </c>
      <c r="K3061" s="711"/>
      <c r="M3061" s="62">
        <f t="shared" si="248"/>
        <v>5</v>
      </c>
    </row>
    <row r="3062" spans="1:13">
      <c r="A3062" s="88">
        <f t="shared" si="249"/>
        <v>11</v>
      </c>
      <c r="B3062" s="69" t="s">
        <v>2179</v>
      </c>
      <c r="C3062" s="69">
        <v>4</v>
      </c>
      <c r="D3062" s="89">
        <v>2</v>
      </c>
      <c r="E3062" s="89">
        <v>4</v>
      </c>
      <c r="F3062" s="89">
        <v>4</v>
      </c>
      <c r="G3062" s="89">
        <v>4</v>
      </c>
      <c r="H3062" s="89">
        <v>4</v>
      </c>
      <c r="I3062" s="89">
        <v>2</v>
      </c>
      <c r="J3062" s="710">
        <f>(VLOOKUP($C3062,[2]Sheet1!$A$2:$P$18,$M3062+1)/12)*12*D3062</f>
        <v>449085.95786073001</v>
      </c>
      <c r="K3062" s="711"/>
      <c r="M3062" s="62">
        <f t="shared" si="248"/>
        <v>5</v>
      </c>
    </row>
    <row r="3063" spans="1:13">
      <c r="A3063" s="88">
        <f t="shared" si="249"/>
        <v>12</v>
      </c>
      <c r="B3063" s="69" t="s">
        <v>2542</v>
      </c>
      <c r="C3063" s="69">
        <v>3</v>
      </c>
      <c r="D3063" s="89">
        <v>0</v>
      </c>
      <c r="E3063" s="89">
        <v>4</v>
      </c>
      <c r="F3063" s="89">
        <v>4</v>
      </c>
      <c r="G3063" s="89">
        <v>4</v>
      </c>
      <c r="H3063" s="89">
        <v>4</v>
      </c>
      <c r="I3063" s="89">
        <v>0</v>
      </c>
      <c r="J3063" s="710">
        <f>(VLOOKUP($C3063,[2]Sheet1!$A$2:$P$18,$M3063+1)/12)*12*D3063</f>
        <v>0</v>
      </c>
      <c r="K3063" s="711"/>
      <c r="M3063" s="62">
        <f t="shared" si="248"/>
        <v>5</v>
      </c>
    </row>
    <row r="3064" spans="1:13">
      <c r="A3064" s="88">
        <f t="shared" si="249"/>
        <v>13</v>
      </c>
      <c r="B3064" s="69" t="s">
        <v>2543</v>
      </c>
      <c r="C3064" s="69">
        <v>2</v>
      </c>
      <c r="D3064" s="89">
        <v>3</v>
      </c>
      <c r="E3064" s="89">
        <v>3</v>
      </c>
      <c r="F3064" s="89">
        <v>3</v>
      </c>
      <c r="G3064" s="89">
        <v>3</v>
      </c>
      <c r="H3064" s="89">
        <v>3</v>
      </c>
      <c r="I3064" s="89">
        <v>3</v>
      </c>
      <c r="J3064" s="710">
        <f>(VLOOKUP($C3064,[2]Sheet1!$A$2:$P$18,$M3064+1)/12)*12*D3064</f>
        <v>643972.13679109514</v>
      </c>
      <c r="K3064" s="711"/>
      <c r="M3064" s="62">
        <f t="shared" si="248"/>
        <v>5</v>
      </c>
    </row>
    <row r="3065" spans="1:13">
      <c r="A3065" s="88">
        <f t="shared" si="249"/>
        <v>14</v>
      </c>
      <c r="B3065" s="69" t="s">
        <v>2054</v>
      </c>
      <c r="C3065" s="69">
        <v>2</v>
      </c>
      <c r="D3065" s="89">
        <v>0</v>
      </c>
      <c r="E3065" s="89">
        <v>1</v>
      </c>
      <c r="F3065" s="89">
        <v>0</v>
      </c>
      <c r="G3065" s="89">
        <v>0</v>
      </c>
      <c r="H3065" s="89">
        <v>0</v>
      </c>
      <c r="I3065" s="89">
        <v>0</v>
      </c>
      <c r="J3065" s="710">
        <f>(VLOOKUP($C3065,[2]Sheet1!$A$2:$P$18,$M3065+1)/12)*12*D3065</f>
        <v>0</v>
      </c>
      <c r="K3065" s="711"/>
      <c r="M3065" s="62">
        <f t="shared" si="248"/>
        <v>5</v>
      </c>
    </row>
    <row r="3066" spans="1:13">
      <c r="A3066" s="88">
        <f t="shared" si="249"/>
        <v>15</v>
      </c>
      <c r="B3066" s="69" t="s">
        <v>2931</v>
      </c>
      <c r="C3066" s="69">
        <v>2</v>
      </c>
      <c r="D3066" s="89">
        <v>4</v>
      </c>
      <c r="E3066" s="89">
        <v>6</v>
      </c>
      <c r="F3066" s="89">
        <v>6</v>
      </c>
      <c r="G3066" s="89">
        <v>6</v>
      </c>
      <c r="H3066" s="89">
        <v>6</v>
      </c>
      <c r="I3066" s="89">
        <v>4</v>
      </c>
      <c r="J3066" s="710">
        <f>(VLOOKUP($C3066,[2]Sheet1!$A$2:$P$18,$M3066+1)/12)*12*D3066</f>
        <v>858629.51572146011</v>
      </c>
      <c r="K3066" s="711"/>
      <c r="M3066" s="62">
        <f t="shared" si="248"/>
        <v>5</v>
      </c>
    </row>
    <row r="3067" spans="1:13">
      <c r="A3067" s="88">
        <f t="shared" si="249"/>
        <v>16</v>
      </c>
      <c r="B3067" s="69" t="s">
        <v>2563</v>
      </c>
      <c r="C3067" s="69">
        <v>7</v>
      </c>
      <c r="D3067" s="89">
        <v>1</v>
      </c>
      <c r="E3067" s="89">
        <v>1</v>
      </c>
      <c r="F3067" s="89">
        <v>1</v>
      </c>
      <c r="G3067" s="89">
        <v>1</v>
      </c>
      <c r="H3067" s="89">
        <v>1</v>
      </c>
      <c r="I3067" s="89">
        <v>1</v>
      </c>
      <c r="J3067" s="710">
        <f>(VLOOKUP($C3067,[2]Sheet1!$A$2:$P$18,$M3067+1)/12)*12*D3067</f>
        <v>307706.70240000007</v>
      </c>
      <c r="K3067" s="711"/>
      <c r="M3067" s="62">
        <f t="shared" si="248"/>
        <v>3</v>
      </c>
    </row>
    <row r="3068" spans="1:13">
      <c r="A3068" s="88">
        <f t="shared" si="249"/>
        <v>17</v>
      </c>
      <c r="B3068" s="69" t="s">
        <v>2972</v>
      </c>
      <c r="C3068" s="69">
        <v>6</v>
      </c>
      <c r="D3068" s="89">
        <v>1</v>
      </c>
      <c r="E3068" s="89">
        <v>0</v>
      </c>
      <c r="F3068" s="89">
        <v>0</v>
      </c>
      <c r="G3068" s="89">
        <v>0</v>
      </c>
      <c r="H3068" s="89">
        <v>0</v>
      </c>
      <c r="I3068" s="89">
        <v>1</v>
      </c>
      <c r="J3068" s="710">
        <f>(VLOOKUP($C3068,[2]Sheet1!$A$2:$P$18,$M3068+1)/12)*12*D3068</f>
        <v>238099.37893036497</v>
      </c>
      <c r="K3068" s="711"/>
      <c r="M3068" s="62">
        <f t="shared" si="248"/>
        <v>5</v>
      </c>
    </row>
    <row r="3069" spans="1:13">
      <c r="A3069" s="88">
        <f t="shared" si="249"/>
        <v>18</v>
      </c>
      <c r="B3069" s="69" t="s">
        <v>1794</v>
      </c>
      <c r="C3069" s="69">
        <v>5</v>
      </c>
      <c r="D3069" s="143">
        <v>1</v>
      </c>
      <c r="E3069" s="143">
        <v>1</v>
      </c>
      <c r="F3069" s="143">
        <v>1</v>
      </c>
      <c r="G3069" s="143">
        <v>1</v>
      </c>
      <c r="H3069" s="143">
        <v>1</v>
      </c>
      <c r="I3069" s="143">
        <v>1</v>
      </c>
      <c r="J3069" s="710">
        <f>(VLOOKUP($C3069,[2]Sheet1!$A$2:$P$18,$M3069+1)/12)*12*D3069</f>
        <v>229569.77893036499</v>
      </c>
      <c r="K3069" s="711"/>
      <c r="M3069" s="62">
        <f t="shared" si="248"/>
        <v>5</v>
      </c>
    </row>
    <row r="3070" spans="1:13">
      <c r="A3070" s="88">
        <f t="shared" si="249"/>
        <v>19</v>
      </c>
      <c r="B3070" s="69" t="s">
        <v>2231</v>
      </c>
      <c r="C3070" s="69">
        <v>4</v>
      </c>
      <c r="D3070" s="143">
        <v>1</v>
      </c>
      <c r="E3070" s="143">
        <v>1</v>
      </c>
      <c r="F3070" s="143">
        <v>1</v>
      </c>
      <c r="G3070" s="143">
        <v>1</v>
      </c>
      <c r="H3070" s="143">
        <v>1</v>
      </c>
      <c r="I3070" s="143">
        <v>1</v>
      </c>
      <c r="J3070" s="710">
        <f>(VLOOKUP($C3070,[2]Sheet1!$A$2:$P$18,$M3070+1)/12)*12*D3070</f>
        <v>224542.978930365</v>
      </c>
      <c r="K3070" s="711"/>
      <c r="M3070" s="62">
        <f t="shared" si="248"/>
        <v>5</v>
      </c>
    </row>
    <row r="3071" spans="1:13">
      <c r="A3071" s="88">
        <f t="shared" si="249"/>
        <v>20</v>
      </c>
      <c r="B3071" s="69" t="s">
        <v>4028</v>
      </c>
      <c r="C3071" s="69">
        <v>3</v>
      </c>
      <c r="D3071" s="143">
        <v>1</v>
      </c>
      <c r="E3071" s="143">
        <v>1</v>
      </c>
      <c r="F3071" s="143">
        <v>1</v>
      </c>
      <c r="G3071" s="143">
        <v>1</v>
      </c>
      <c r="H3071" s="143">
        <v>1</v>
      </c>
      <c r="I3071" s="143">
        <v>1</v>
      </c>
      <c r="J3071" s="710">
        <f>(VLOOKUP($C3071,[2]Sheet1!$A$2:$P$18,$M3071+1)/12)*12*D3071</f>
        <v>219336.17893036499</v>
      </c>
      <c r="K3071" s="711"/>
      <c r="M3071" s="62">
        <f t="shared" si="248"/>
        <v>5</v>
      </c>
    </row>
    <row r="3072" spans="1:13">
      <c r="A3072" s="88">
        <f t="shared" si="249"/>
        <v>21</v>
      </c>
      <c r="B3072" s="69" t="s">
        <v>2232</v>
      </c>
      <c r="C3072" s="69">
        <v>2</v>
      </c>
      <c r="D3072" s="143">
        <v>0</v>
      </c>
      <c r="E3072" s="143">
        <v>0</v>
      </c>
      <c r="F3072" s="143">
        <v>0</v>
      </c>
      <c r="G3072" s="143">
        <v>0</v>
      </c>
      <c r="H3072" s="143">
        <v>0</v>
      </c>
      <c r="I3072" s="143">
        <v>0</v>
      </c>
      <c r="J3072" s="710">
        <f>(VLOOKUP($C3072,[2]Sheet1!$A$2:$P$18,$M3072+1)/12)*12*D3072</f>
        <v>0</v>
      </c>
      <c r="K3072" s="711"/>
      <c r="M3072" s="62">
        <f t="shared" si="248"/>
        <v>5</v>
      </c>
    </row>
    <row r="3073" spans="1:13">
      <c r="A3073" s="88"/>
      <c r="B3073" s="90" t="s">
        <v>3521</v>
      </c>
      <c r="C3073" s="69"/>
      <c r="D3073" s="89"/>
      <c r="E3073" s="89"/>
      <c r="F3073" s="89"/>
      <c r="G3073" s="89"/>
      <c r="H3073" s="89"/>
      <c r="I3073" s="89"/>
      <c r="J3073" s="710"/>
      <c r="K3073" s="711"/>
      <c r="M3073" s="62">
        <f t="shared" si="248"/>
        <v>5</v>
      </c>
    </row>
    <row r="3074" spans="1:13">
      <c r="A3074" s="88">
        <f>+A3072+1</f>
        <v>22</v>
      </c>
      <c r="B3074" s="69" t="s">
        <v>1317</v>
      </c>
      <c r="C3074" s="69">
        <v>6</v>
      </c>
      <c r="D3074" s="89">
        <v>0</v>
      </c>
      <c r="E3074" s="89">
        <v>0</v>
      </c>
      <c r="F3074" s="89">
        <v>0</v>
      </c>
      <c r="G3074" s="89">
        <v>0</v>
      </c>
      <c r="H3074" s="89">
        <v>0</v>
      </c>
      <c r="I3074" s="89">
        <v>0</v>
      </c>
      <c r="J3074" s="710">
        <f>(VLOOKUP($C3074,[2]Sheet1!$A$2:$P$18,$M3074+1)/12)*12*D3074</f>
        <v>0</v>
      </c>
      <c r="K3074" s="711"/>
      <c r="M3074" s="62">
        <f t="shared" si="248"/>
        <v>5</v>
      </c>
    </row>
    <row r="3075" spans="1:13">
      <c r="A3075" s="88">
        <f>+A3074+1</f>
        <v>23</v>
      </c>
      <c r="B3075" s="69" t="s">
        <v>602</v>
      </c>
      <c r="C3075" s="69">
        <v>5</v>
      </c>
      <c r="D3075" s="89">
        <v>0</v>
      </c>
      <c r="E3075" s="89">
        <v>0</v>
      </c>
      <c r="F3075" s="89">
        <v>0</v>
      </c>
      <c r="G3075" s="89">
        <v>0</v>
      </c>
      <c r="H3075" s="89">
        <v>0</v>
      </c>
      <c r="I3075" s="89">
        <v>0</v>
      </c>
      <c r="J3075" s="710">
        <f>(VLOOKUP($C3075,[2]Sheet1!$A$2:$P$18,$M3075+1)/12)*12*D3075</f>
        <v>0</v>
      </c>
      <c r="K3075" s="711"/>
      <c r="M3075" s="62">
        <f t="shared" si="248"/>
        <v>5</v>
      </c>
    </row>
    <row r="3076" spans="1:13">
      <c r="A3076" s="88">
        <f>+A3075+1</f>
        <v>24</v>
      </c>
      <c r="B3076" s="69" t="s">
        <v>603</v>
      </c>
      <c r="C3076" s="69">
        <v>4</v>
      </c>
      <c r="D3076" s="89">
        <v>0</v>
      </c>
      <c r="E3076" s="89">
        <v>0</v>
      </c>
      <c r="F3076" s="89">
        <v>0</v>
      </c>
      <c r="G3076" s="89">
        <v>0</v>
      </c>
      <c r="H3076" s="89">
        <v>0</v>
      </c>
      <c r="I3076" s="89">
        <v>0</v>
      </c>
      <c r="J3076" s="710">
        <f>(VLOOKUP($C3076,[2]Sheet1!$A$2:$P$18,$M3076+1)/12)*12*D3076</f>
        <v>0</v>
      </c>
      <c r="K3076" s="711"/>
      <c r="M3076" s="62">
        <f t="shared" si="248"/>
        <v>5</v>
      </c>
    </row>
    <row r="3077" spans="1:13">
      <c r="A3077" s="88"/>
      <c r="B3077" s="90" t="s">
        <v>3857</v>
      </c>
      <c r="C3077" s="69"/>
      <c r="D3077" s="89"/>
      <c r="E3077" s="89"/>
      <c r="F3077" s="89"/>
      <c r="G3077" s="89"/>
      <c r="H3077" s="89"/>
      <c r="I3077" s="89"/>
      <c r="J3077" s="710"/>
      <c r="K3077" s="711"/>
      <c r="M3077" s="62">
        <f t="shared" si="248"/>
        <v>5</v>
      </c>
    </row>
    <row r="3078" spans="1:13">
      <c r="A3078" s="88">
        <f>+A3076+1</f>
        <v>25</v>
      </c>
      <c r="B3078" s="69" t="s">
        <v>2784</v>
      </c>
      <c r="C3078" s="69">
        <v>7</v>
      </c>
      <c r="D3078" s="89">
        <v>0</v>
      </c>
      <c r="E3078" s="89">
        <v>0</v>
      </c>
      <c r="F3078" s="89">
        <v>0</v>
      </c>
      <c r="G3078" s="89">
        <v>0</v>
      </c>
      <c r="H3078" s="89">
        <v>0</v>
      </c>
      <c r="I3078" s="89">
        <v>0</v>
      </c>
      <c r="J3078" s="710">
        <f>(VLOOKUP($C3078,[2]Sheet1!$A$2:$P$18,$M3078+1)/12)*12*D3078</f>
        <v>0</v>
      </c>
      <c r="K3078" s="711"/>
      <c r="M3078" s="62">
        <f t="shared" si="248"/>
        <v>3</v>
      </c>
    </row>
    <row r="3079" spans="1:13">
      <c r="A3079" s="88">
        <f>+A3078+1</f>
        <v>26</v>
      </c>
      <c r="B3079" s="69" t="s">
        <v>2344</v>
      </c>
      <c r="C3079" s="69">
        <v>6</v>
      </c>
      <c r="D3079" s="89">
        <v>0</v>
      </c>
      <c r="E3079" s="89">
        <v>0</v>
      </c>
      <c r="F3079" s="89">
        <v>0</v>
      </c>
      <c r="G3079" s="89">
        <v>0</v>
      </c>
      <c r="H3079" s="89">
        <v>0</v>
      </c>
      <c r="I3079" s="89">
        <v>0</v>
      </c>
      <c r="J3079" s="710">
        <f>(VLOOKUP($C3079,[2]Sheet1!$A$2:$P$18,$M3079+1)/12)*12*D3079</f>
        <v>0</v>
      </c>
      <c r="K3079" s="711"/>
      <c r="M3079" s="62">
        <f t="shared" si="248"/>
        <v>5</v>
      </c>
    </row>
    <row r="3080" spans="1:13">
      <c r="A3080" s="88">
        <f>+A3079+1</f>
        <v>27</v>
      </c>
      <c r="B3080" s="69" t="s">
        <v>785</v>
      </c>
      <c r="C3080" s="69">
        <v>5</v>
      </c>
      <c r="D3080" s="89">
        <v>0</v>
      </c>
      <c r="E3080" s="89">
        <v>0</v>
      </c>
      <c r="F3080" s="89">
        <v>0</v>
      </c>
      <c r="G3080" s="89">
        <v>0</v>
      </c>
      <c r="H3080" s="89">
        <v>0</v>
      </c>
      <c r="I3080" s="89">
        <v>0</v>
      </c>
      <c r="J3080" s="710">
        <f>(VLOOKUP($C3080,[2]Sheet1!$A$2:$P$18,$M3080+1)/12)*12*D3080</f>
        <v>0</v>
      </c>
      <c r="K3080" s="711"/>
      <c r="M3080" s="62">
        <f t="shared" si="248"/>
        <v>5</v>
      </c>
    </row>
    <row r="3081" spans="1:13">
      <c r="A3081" s="88">
        <f>+A3080+1</f>
        <v>28</v>
      </c>
      <c r="B3081" s="69" t="s">
        <v>2874</v>
      </c>
      <c r="C3081" s="69">
        <v>4</v>
      </c>
      <c r="D3081" s="89">
        <v>0</v>
      </c>
      <c r="E3081" s="89">
        <v>0</v>
      </c>
      <c r="F3081" s="89">
        <v>0</v>
      </c>
      <c r="G3081" s="89">
        <v>0</v>
      </c>
      <c r="H3081" s="89">
        <v>0</v>
      </c>
      <c r="I3081" s="89">
        <v>0</v>
      </c>
      <c r="J3081" s="710">
        <f>(VLOOKUP($C3081,[2]Sheet1!$A$2:$P$18,$M3081+1)/12)*12*D3081</f>
        <v>0</v>
      </c>
      <c r="K3081" s="711"/>
      <c r="M3081" s="62">
        <f t="shared" si="248"/>
        <v>5</v>
      </c>
    </row>
    <row r="3082" spans="1:13">
      <c r="A3082" s="88">
        <f>+A3081+1</f>
        <v>29</v>
      </c>
      <c r="B3082" s="69" t="s">
        <v>2416</v>
      </c>
      <c r="C3082" s="69">
        <v>3</v>
      </c>
      <c r="D3082" s="89">
        <v>0</v>
      </c>
      <c r="E3082" s="89">
        <v>0</v>
      </c>
      <c r="F3082" s="89">
        <v>0</v>
      </c>
      <c r="G3082" s="89">
        <v>0</v>
      </c>
      <c r="H3082" s="89">
        <v>0</v>
      </c>
      <c r="I3082" s="89">
        <v>0</v>
      </c>
      <c r="J3082" s="710">
        <f>(VLOOKUP($C3082,[2]Sheet1!$A$2:$P$18,$M3082+1)/12)*12*D3082</f>
        <v>0</v>
      </c>
      <c r="K3082" s="711"/>
      <c r="M3082" s="62">
        <f t="shared" si="248"/>
        <v>5</v>
      </c>
    </row>
    <row r="3083" spans="1:13">
      <c r="A3083" s="88"/>
      <c r="B3083" s="90" t="s">
        <v>1444</v>
      </c>
      <c r="C3083" s="69"/>
      <c r="D3083" s="89"/>
      <c r="E3083" s="89"/>
      <c r="F3083" s="89"/>
      <c r="G3083" s="89"/>
      <c r="H3083" s="89"/>
      <c r="I3083" s="89"/>
      <c r="J3083" s="710"/>
      <c r="K3083" s="711"/>
      <c r="M3083" s="62">
        <f t="shared" si="248"/>
        <v>5</v>
      </c>
    </row>
    <row r="3084" spans="1:13">
      <c r="A3084" s="88">
        <f>+A3082+1</f>
        <v>30</v>
      </c>
      <c r="B3084" s="69" t="s">
        <v>3532</v>
      </c>
      <c r="C3084" s="69">
        <v>16</v>
      </c>
      <c r="D3084" s="143">
        <v>0</v>
      </c>
      <c r="E3084" s="143">
        <v>0</v>
      </c>
      <c r="F3084" s="143">
        <v>0</v>
      </c>
      <c r="G3084" s="143">
        <v>0</v>
      </c>
      <c r="H3084" s="143">
        <v>0</v>
      </c>
      <c r="I3084" s="143">
        <v>0</v>
      </c>
      <c r="J3084" s="710">
        <f>(VLOOKUP($C3084,[2]Sheet1!$A$2:$P$18,$M3084+1)/12)*12*D3084</f>
        <v>0</v>
      </c>
      <c r="K3084" s="711"/>
      <c r="M3084" s="62">
        <f t="shared" si="248"/>
        <v>3</v>
      </c>
    </row>
    <row r="3085" spans="1:13">
      <c r="A3085" s="88">
        <f t="shared" ref="A3085:A3113" si="250">+A3084+1</f>
        <v>31</v>
      </c>
      <c r="B3085" s="69" t="s">
        <v>1256</v>
      </c>
      <c r="C3085" s="69">
        <v>15</v>
      </c>
      <c r="D3085" s="143">
        <v>0</v>
      </c>
      <c r="E3085" s="143">
        <v>1</v>
      </c>
      <c r="F3085" s="143">
        <v>0</v>
      </c>
      <c r="G3085" s="143">
        <v>0</v>
      </c>
      <c r="H3085" s="143">
        <v>1</v>
      </c>
      <c r="I3085" s="143">
        <v>0</v>
      </c>
      <c r="J3085" s="710">
        <f>(VLOOKUP($C3085,[2]Sheet1!$A$2:$P$18,$M3085+1)/12)*12*D3085</f>
        <v>0</v>
      </c>
      <c r="K3085" s="711"/>
      <c r="M3085" s="62">
        <f t="shared" si="248"/>
        <v>3</v>
      </c>
    </row>
    <row r="3086" spans="1:13">
      <c r="A3086" s="88">
        <f t="shared" si="250"/>
        <v>32</v>
      </c>
      <c r="B3086" s="69" t="s">
        <v>3533</v>
      </c>
      <c r="C3086" s="69">
        <v>14</v>
      </c>
      <c r="D3086" s="89">
        <v>6</v>
      </c>
      <c r="E3086" s="89">
        <v>1</v>
      </c>
      <c r="F3086" s="89">
        <v>1</v>
      </c>
      <c r="G3086" s="89">
        <v>1</v>
      </c>
      <c r="H3086" s="89">
        <v>1</v>
      </c>
      <c r="I3086" s="89">
        <v>6</v>
      </c>
      <c r="J3086" s="710">
        <f>(VLOOKUP($C3086,[2]Sheet1!$A$2:$P$18,$M3086+1)/12)*12*D3086</f>
        <v>4014596.4494400001</v>
      </c>
      <c r="K3086" s="711"/>
      <c r="M3086" s="62">
        <f t="shared" si="248"/>
        <v>3</v>
      </c>
    </row>
    <row r="3087" spans="1:13" ht="13.5" thickBot="1">
      <c r="A3087" s="88">
        <f t="shared" si="250"/>
        <v>33</v>
      </c>
      <c r="B3087" s="69" t="s">
        <v>1445</v>
      </c>
      <c r="C3087" s="69">
        <v>13</v>
      </c>
      <c r="D3087" s="89">
        <v>5</v>
      </c>
      <c r="E3087" s="89">
        <v>7</v>
      </c>
      <c r="F3087" s="89">
        <v>7</v>
      </c>
      <c r="G3087" s="89">
        <v>7</v>
      </c>
      <c r="H3087" s="89">
        <v>7</v>
      </c>
      <c r="I3087" s="89">
        <v>5</v>
      </c>
      <c r="J3087" s="710">
        <f>(VLOOKUP($C3087,[2]Sheet1!$A$2:$P$18,$M3087+1)/12)*12*D3087</f>
        <v>3143797.6902000001</v>
      </c>
      <c r="K3087" s="711"/>
      <c r="M3087" s="62">
        <f t="shared" si="248"/>
        <v>3</v>
      </c>
    </row>
    <row r="3088" spans="1:13" ht="15.75" thickTop="1">
      <c r="A3088" s="1047" t="s">
        <v>2791</v>
      </c>
      <c r="B3088" s="1049" t="s">
        <v>4126</v>
      </c>
      <c r="C3088" s="1049" t="s">
        <v>854</v>
      </c>
      <c r="D3088" s="1040" t="s">
        <v>4127</v>
      </c>
      <c r="E3088" s="1041"/>
      <c r="F3088" s="1041"/>
      <c r="G3088" s="1040" t="s">
        <v>904</v>
      </c>
      <c r="H3088" s="1041"/>
      <c r="I3088" s="1042"/>
      <c r="J3088" s="1035" t="s">
        <v>855</v>
      </c>
      <c r="K3088" s="389"/>
    </row>
    <row r="3089" spans="1:13" ht="26.25" thickBot="1">
      <c r="A3089" s="1048"/>
      <c r="B3089" s="1050"/>
      <c r="C3089" s="1050"/>
      <c r="D3089" s="285" t="s">
        <v>5505</v>
      </c>
      <c r="E3089" s="285" t="s">
        <v>4485</v>
      </c>
      <c r="F3089" s="285" t="s">
        <v>4486</v>
      </c>
      <c r="G3089" s="287" t="s">
        <v>4487</v>
      </c>
      <c r="H3089" s="285" t="s">
        <v>4488</v>
      </c>
      <c r="I3089" s="287" t="s">
        <v>4489</v>
      </c>
      <c r="J3089" s="1036"/>
      <c r="K3089" s="712"/>
    </row>
    <row r="3090" spans="1:13" ht="13.5" thickTop="1">
      <c r="A3090" s="88">
        <f>+A3087+1</f>
        <v>34</v>
      </c>
      <c r="B3090" s="69" t="s">
        <v>1446</v>
      </c>
      <c r="C3090" s="69">
        <v>12</v>
      </c>
      <c r="D3090" s="143">
        <v>8</v>
      </c>
      <c r="E3090" s="143">
        <v>5</v>
      </c>
      <c r="F3090" s="143">
        <v>5</v>
      </c>
      <c r="G3090" s="143">
        <v>5</v>
      </c>
      <c r="H3090" s="143">
        <v>5</v>
      </c>
      <c r="I3090" s="143">
        <v>8</v>
      </c>
      <c r="J3090" s="710">
        <f>(VLOOKUP($C3090,[2]Sheet1!$A$2:$P$18,$M3090+1)/12)*12*D3090</f>
        <v>4421480.4297600016</v>
      </c>
      <c r="K3090" s="711"/>
      <c r="M3090" s="62">
        <f t="shared" si="248"/>
        <v>3</v>
      </c>
    </row>
    <row r="3091" spans="1:13">
      <c r="A3091" s="88">
        <f t="shared" si="250"/>
        <v>35</v>
      </c>
      <c r="B3091" s="69" t="s">
        <v>536</v>
      </c>
      <c r="C3091" s="69">
        <v>10</v>
      </c>
      <c r="D3091" s="143">
        <v>2</v>
      </c>
      <c r="E3091" s="143">
        <v>10</v>
      </c>
      <c r="F3091" s="143">
        <v>10</v>
      </c>
      <c r="G3091" s="143">
        <v>10</v>
      </c>
      <c r="H3091" s="143">
        <v>10</v>
      </c>
      <c r="I3091" s="143">
        <v>2</v>
      </c>
      <c r="J3091" s="710">
        <f>(VLOOKUP($C3091,[2]Sheet1!$A$2:$P$18,$M3091+1)/12)*12*D3091</f>
        <v>967949.1374400002</v>
      </c>
      <c r="K3091" s="711"/>
      <c r="M3091" s="62">
        <f t="shared" si="248"/>
        <v>3</v>
      </c>
    </row>
    <row r="3092" spans="1:13">
      <c r="A3092" s="88">
        <f t="shared" si="250"/>
        <v>36</v>
      </c>
      <c r="B3092" s="69" t="s">
        <v>2465</v>
      </c>
      <c r="C3092" s="69">
        <v>9</v>
      </c>
      <c r="D3092" s="143">
        <v>5</v>
      </c>
      <c r="E3092" s="143">
        <v>8</v>
      </c>
      <c r="F3092" s="143">
        <v>8</v>
      </c>
      <c r="G3092" s="143">
        <v>8</v>
      </c>
      <c r="H3092" s="143">
        <v>8</v>
      </c>
      <c r="I3092" s="143">
        <v>5</v>
      </c>
      <c r="J3092" s="710">
        <f>(VLOOKUP($C3092,[2]Sheet1!$A$2:$P$18,$M3092+1)/12)*12*D3092</f>
        <v>2048409.531</v>
      </c>
      <c r="K3092" s="711"/>
      <c r="M3092" s="62">
        <f t="shared" si="248"/>
        <v>3</v>
      </c>
    </row>
    <row r="3093" spans="1:13">
      <c r="A3093" s="88">
        <f t="shared" si="250"/>
        <v>37</v>
      </c>
      <c r="B3093" s="69" t="s">
        <v>2648</v>
      </c>
      <c r="C3093" s="69">
        <v>8</v>
      </c>
      <c r="D3093" s="143">
        <v>4</v>
      </c>
      <c r="E3093" s="143">
        <v>5</v>
      </c>
      <c r="F3093" s="143">
        <v>5</v>
      </c>
      <c r="G3093" s="143">
        <v>5</v>
      </c>
      <c r="H3093" s="143">
        <v>5</v>
      </c>
      <c r="I3093" s="143">
        <v>4</v>
      </c>
      <c r="J3093" s="710">
        <f>(VLOOKUP($C3093,[2]Sheet1!$A$2:$P$18,$M3093+1)/12)*12*D3093</f>
        <v>1368565.09632</v>
      </c>
      <c r="K3093" s="711"/>
      <c r="M3093" s="62">
        <f t="shared" si="248"/>
        <v>3</v>
      </c>
    </row>
    <row r="3094" spans="1:13">
      <c r="A3094" s="88">
        <f t="shared" si="250"/>
        <v>38</v>
      </c>
      <c r="B3094" s="69" t="s">
        <v>2649</v>
      </c>
      <c r="C3094" s="69">
        <v>7</v>
      </c>
      <c r="D3094" s="143">
        <v>5</v>
      </c>
      <c r="E3094" s="143">
        <v>7</v>
      </c>
      <c r="F3094" s="143">
        <v>7</v>
      </c>
      <c r="G3094" s="143">
        <v>7</v>
      </c>
      <c r="H3094" s="143">
        <v>7</v>
      </c>
      <c r="I3094" s="143">
        <v>5</v>
      </c>
      <c r="J3094" s="710">
        <f>(VLOOKUP($C3094,[2]Sheet1!$A$2:$P$18,$M3094+1)/12)*12*D3094</f>
        <v>1538533.5120000003</v>
      </c>
      <c r="K3094" s="711"/>
      <c r="M3094" s="62">
        <f t="shared" si="248"/>
        <v>3</v>
      </c>
    </row>
    <row r="3095" spans="1:13">
      <c r="A3095" s="88">
        <f t="shared" si="250"/>
        <v>39</v>
      </c>
      <c r="B3095" s="69" t="s">
        <v>2650</v>
      </c>
      <c r="C3095" s="69">
        <v>6</v>
      </c>
      <c r="D3095" s="89">
        <v>2</v>
      </c>
      <c r="E3095" s="89">
        <v>5</v>
      </c>
      <c r="F3095" s="89">
        <v>5</v>
      </c>
      <c r="G3095" s="89">
        <v>5</v>
      </c>
      <c r="H3095" s="89">
        <v>5</v>
      </c>
      <c r="I3095" s="89">
        <v>2</v>
      </c>
      <c r="J3095" s="710">
        <f>(VLOOKUP($C3095,[2]Sheet1!$A$2:$P$18,$M3095+1)/12)*12*D3095</f>
        <v>476198.75786072994</v>
      </c>
      <c r="K3095" s="711"/>
      <c r="M3095" s="62">
        <f t="shared" si="248"/>
        <v>5</v>
      </c>
    </row>
    <row r="3096" spans="1:13">
      <c r="A3096" s="88">
        <f t="shared" si="250"/>
        <v>40</v>
      </c>
      <c r="B3096" s="69" t="s">
        <v>2651</v>
      </c>
      <c r="C3096" s="69">
        <v>6</v>
      </c>
      <c r="D3096" s="89">
        <v>2</v>
      </c>
      <c r="E3096" s="89">
        <v>5</v>
      </c>
      <c r="F3096" s="89">
        <v>5</v>
      </c>
      <c r="G3096" s="89">
        <v>5</v>
      </c>
      <c r="H3096" s="89">
        <v>5</v>
      </c>
      <c r="I3096" s="89">
        <v>2</v>
      </c>
      <c r="J3096" s="710">
        <f>(VLOOKUP($C3096,[2]Sheet1!$A$2:$P$18,$M3096+1)/12)*12*D3096</f>
        <v>476198.75786072994</v>
      </c>
      <c r="K3096" s="711"/>
      <c r="M3096" s="62">
        <f t="shared" si="248"/>
        <v>5</v>
      </c>
    </row>
    <row r="3097" spans="1:13">
      <c r="A3097" s="88">
        <f t="shared" si="250"/>
        <v>41</v>
      </c>
      <c r="B3097" s="69" t="s">
        <v>2652</v>
      </c>
      <c r="C3097" s="69">
        <v>5</v>
      </c>
      <c r="D3097" s="89">
        <v>4</v>
      </c>
      <c r="E3097" s="89">
        <v>4</v>
      </c>
      <c r="F3097" s="89">
        <v>4</v>
      </c>
      <c r="G3097" s="89">
        <v>4</v>
      </c>
      <c r="H3097" s="89">
        <v>4</v>
      </c>
      <c r="I3097" s="89">
        <v>4</v>
      </c>
      <c r="J3097" s="710">
        <f>(VLOOKUP($C3097,[2]Sheet1!$A$2:$P$18,$M3097+1)/12)*12*D3097</f>
        <v>918279.11572145997</v>
      </c>
      <c r="K3097" s="711"/>
      <c r="M3097" s="62">
        <f t="shared" si="248"/>
        <v>5</v>
      </c>
    </row>
    <row r="3098" spans="1:13">
      <c r="A3098" s="88">
        <f>+A3097+1</f>
        <v>42</v>
      </c>
      <c r="B3098" s="69" t="s">
        <v>34</v>
      </c>
      <c r="C3098" s="69">
        <v>4</v>
      </c>
      <c r="D3098" s="89">
        <v>0</v>
      </c>
      <c r="E3098" s="89">
        <v>0</v>
      </c>
      <c r="F3098" s="89">
        <v>0</v>
      </c>
      <c r="G3098" s="89">
        <v>0</v>
      </c>
      <c r="H3098" s="89">
        <v>0</v>
      </c>
      <c r="I3098" s="89">
        <v>0</v>
      </c>
      <c r="J3098" s="710">
        <f>(VLOOKUP($C3098,[2]Sheet1!$A$2:$P$18,$M3098+1)/12)*12*D3098</f>
        <v>0</v>
      </c>
      <c r="K3098" s="711"/>
      <c r="M3098" s="62">
        <f t="shared" si="248"/>
        <v>5</v>
      </c>
    </row>
    <row r="3099" spans="1:13">
      <c r="A3099" s="88">
        <f t="shared" si="250"/>
        <v>43</v>
      </c>
      <c r="B3099" s="69" t="s">
        <v>3799</v>
      </c>
      <c r="C3099" s="69">
        <v>3</v>
      </c>
      <c r="D3099" s="89">
        <v>2</v>
      </c>
      <c r="E3099" s="89">
        <v>0</v>
      </c>
      <c r="F3099" s="89">
        <v>0</v>
      </c>
      <c r="G3099" s="89">
        <v>0</v>
      </c>
      <c r="H3099" s="89">
        <v>0</v>
      </c>
      <c r="I3099" s="89">
        <v>2</v>
      </c>
      <c r="J3099" s="710">
        <f>(VLOOKUP($C3099,[2]Sheet1!$A$2:$P$18,$M3099+1)/12)*12*D3099</f>
        <v>438672.35786072997</v>
      </c>
      <c r="K3099" s="711"/>
      <c r="M3099" s="62">
        <f t="shared" ref="M3099:M3156" si="251">IF(C3099&gt;6,3,5)</f>
        <v>5</v>
      </c>
    </row>
    <row r="3100" spans="1:13">
      <c r="A3100" s="88">
        <f t="shared" si="250"/>
        <v>44</v>
      </c>
      <c r="B3100" s="69" t="s">
        <v>2466</v>
      </c>
      <c r="C3100" s="69">
        <v>3</v>
      </c>
      <c r="D3100" s="89">
        <v>0</v>
      </c>
      <c r="E3100" s="89">
        <v>0</v>
      </c>
      <c r="F3100" s="89">
        <v>0</v>
      </c>
      <c r="G3100" s="89">
        <v>0</v>
      </c>
      <c r="H3100" s="89">
        <v>0</v>
      </c>
      <c r="I3100" s="89">
        <v>0</v>
      </c>
      <c r="J3100" s="710">
        <f>(VLOOKUP($C3100,[2]Sheet1!$A$2:$P$18,$M3100+1)/12)*12*D3100</f>
        <v>0</v>
      </c>
      <c r="K3100" s="711"/>
      <c r="M3100" s="62">
        <f t="shared" si="251"/>
        <v>5</v>
      </c>
    </row>
    <row r="3101" spans="1:13">
      <c r="A3101" s="88">
        <f>+A3100+1</f>
        <v>45</v>
      </c>
      <c r="B3101" s="69" t="s">
        <v>409</v>
      </c>
      <c r="C3101" s="69">
        <v>3</v>
      </c>
      <c r="D3101" s="89">
        <v>0</v>
      </c>
      <c r="E3101" s="89">
        <v>0</v>
      </c>
      <c r="F3101" s="89">
        <v>0</v>
      </c>
      <c r="G3101" s="89">
        <v>0</v>
      </c>
      <c r="H3101" s="89">
        <v>0</v>
      </c>
      <c r="I3101" s="89">
        <v>0</v>
      </c>
      <c r="J3101" s="710">
        <f>(VLOOKUP($C3101,[2]Sheet1!$A$2:$P$18,$M3101+1)/12)*12*D3101</f>
        <v>0</v>
      </c>
      <c r="K3101" s="711"/>
      <c r="M3101" s="62">
        <f t="shared" si="251"/>
        <v>5</v>
      </c>
    </row>
    <row r="3102" spans="1:13">
      <c r="A3102" s="88">
        <f t="shared" si="250"/>
        <v>46</v>
      </c>
      <c r="B3102" s="69" t="s">
        <v>410</v>
      </c>
      <c r="C3102" s="69">
        <v>3</v>
      </c>
      <c r="D3102" s="89">
        <v>0</v>
      </c>
      <c r="E3102" s="89">
        <v>1</v>
      </c>
      <c r="F3102" s="89">
        <v>1</v>
      </c>
      <c r="G3102" s="89">
        <v>1</v>
      </c>
      <c r="H3102" s="89">
        <v>1</v>
      </c>
      <c r="I3102" s="89">
        <v>0</v>
      </c>
      <c r="J3102" s="710">
        <f>(VLOOKUP($C3102,[2]Sheet1!$A$2:$P$18,$M3102+1)/12)*12*D3102</f>
        <v>0</v>
      </c>
      <c r="K3102" s="711"/>
      <c r="M3102" s="62">
        <f t="shared" si="251"/>
        <v>5</v>
      </c>
    </row>
    <row r="3103" spans="1:13">
      <c r="A3103" s="88">
        <f t="shared" si="250"/>
        <v>47</v>
      </c>
      <c r="B3103" s="69" t="s">
        <v>1746</v>
      </c>
      <c r="C3103" s="69">
        <v>2</v>
      </c>
      <c r="D3103" s="89">
        <v>0</v>
      </c>
      <c r="E3103" s="89">
        <v>7</v>
      </c>
      <c r="F3103" s="89">
        <v>7</v>
      </c>
      <c r="G3103" s="89">
        <v>7</v>
      </c>
      <c r="H3103" s="89">
        <v>7</v>
      </c>
      <c r="I3103" s="89">
        <v>0</v>
      </c>
      <c r="J3103" s="710">
        <f>(VLOOKUP($C3103,[2]Sheet1!$A$2:$P$18,$M3103+1)/12)*12*D3103</f>
        <v>0</v>
      </c>
      <c r="K3103" s="711"/>
      <c r="M3103" s="62">
        <f t="shared" si="251"/>
        <v>5</v>
      </c>
    </row>
    <row r="3104" spans="1:13">
      <c r="A3104" s="88"/>
      <c r="B3104" s="90" t="s">
        <v>1747</v>
      </c>
      <c r="C3104" s="69"/>
      <c r="D3104" s="89"/>
      <c r="E3104" s="89"/>
      <c r="F3104" s="89"/>
      <c r="G3104" s="89"/>
      <c r="H3104" s="89"/>
      <c r="I3104" s="89"/>
      <c r="J3104" s="710"/>
      <c r="K3104" s="711"/>
      <c r="M3104" s="62">
        <f t="shared" si="251"/>
        <v>5</v>
      </c>
    </row>
    <row r="3105" spans="1:13">
      <c r="A3105" s="88">
        <f>+A3103+1</f>
        <v>48</v>
      </c>
      <c r="B3105" s="69" t="s">
        <v>1748</v>
      </c>
      <c r="C3105" s="69">
        <v>13</v>
      </c>
      <c r="D3105" s="89">
        <v>1</v>
      </c>
      <c r="E3105" s="89">
        <v>1</v>
      </c>
      <c r="F3105" s="89">
        <v>1</v>
      </c>
      <c r="G3105" s="89">
        <v>1</v>
      </c>
      <c r="H3105" s="89">
        <v>1</v>
      </c>
      <c r="I3105" s="89">
        <v>1</v>
      </c>
      <c r="J3105" s="710">
        <f>(VLOOKUP($C3105,[2]Sheet1!$A$2:$P$18,$M3105+1)/12)*12*D3105</f>
        <v>628759.53804000001</v>
      </c>
      <c r="K3105" s="711"/>
      <c r="M3105" s="62">
        <f t="shared" si="251"/>
        <v>3</v>
      </c>
    </row>
    <row r="3106" spans="1:13">
      <c r="A3106" s="88">
        <f t="shared" si="250"/>
        <v>49</v>
      </c>
      <c r="B3106" s="69" t="s">
        <v>3398</v>
      </c>
      <c r="C3106" s="69">
        <v>12</v>
      </c>
      <c r="D3106" s="89">
        <v>0</v>
      </c>
      <c r="E3106" s="89">
        <v>1</v>
      </c>
      <c r="F3106" s="89">
        <v>1</v>
      </c>
      <c r="G3106" s="89">
        <v>1</v>
      </c>
      <c r="H3106" s="89">
        <v>1</v>
      </c>
      <c r="I3106" s="89">
        <v>0</v>
      </c>
      <c r="J3106" s="710">
        <f>(VLOOKUP($C3106,[2]Sheet1!$A$2:$P$18,$M3106+1)/12)*12*D3106</f>
        <v>0</v>
      </c>
      <c r="K3106" s="711"/>
      <c r="M3106" s="62">
        <f t="shared" si="251"/>
        <v>3</v>
      </c>
    </row>
    <row r="3107" spans="1:13">
      <c r="A3107" s="88">
        <f t="shared" si="250"/>
        <v>50</v>
      </c>
      <c r="B3107" s="69" t="s">
        <v>3247</v>
      </c>
      <c r="C3107" s="69">
        <v>10</v>
      </c>
      <c r="D3107" s="89">
        <v>0</v>
      </c>
      <c r="E3107" s="89">
        <v>2</v>
      </c>
      <c r="F3107" s="89">
        <v>2</v>
      </c>
      <c r="G3107" s="89">
        <v>2</v>
      </c>
      <c r="H3107" s="89">
        <v>2</v>
      </c>
      <c r="I3107" s="89">
        <v>0</v>
      </c>
      <c r="J3107" s="710">
        <f>(VLOOKUP($C3107,[2]Sheet1!$A$2:$P$18,$M3107+1)/12)*12*D3107</f>
        <v>0</v>
      </c>
      <c r="K3107" s="711"/>
      <c r="M3107" s="62">
        <f t="shared" si="251"/>
        <v>3</v>
      </c>
    </row>
    <row r="3108" spans="1:13">
      <c r="A3108" s="88">
        <f t="shared" si="250"/>
        <v>51</v>
      </c>
      <c r="B3108" s="69" t="s">
        <v>3248</v>
      </c>
      <c r="C3108" s="69">
        <v>9</v>
      </c>
      <c r="D3108" s="89">
        <v>0</v>
      </c>
      <c r="E3108" s="143">
        <v>1</v>
      </c>
      <c r="F3108" s="143">
        <v>1</v>
      </c>
      <c r="G3108" s="143">
        <v>1</v>
      </c>
      <c r="H3108" s="143">
        <v>1</v>
      </c>
      <c r="I3108" s="89">
        <v>0</v>
      </c>
      <c r="J3108" s="710">
        <f>(VLOOKUP($C3108,[2]Sheet1!$A$2:$P$18,$M3108+1)/12)*12*D3108</f>
        <v>0</v>
      </c>
      <c r="K3108" s="711"/>
      <c r="M3108" s="62">
        <f t="shared" si="251"/>
        <v>3</v>
      </c>
    </row>
    <row r="3109" spans="1:13">
      <c r="A3109" s="88">
        <f t="shared" si="250"/>
        <v>52</v>
      </c>
      <c r="B3109" s="69" t="s">
        <v>2083</v>
      </c>
      <c r="C3109" s="69">
        <v>8</v>
      </c>
      <c r="D3109" s="89">
        <v>0</v>
      </c>
      <c r="E3109" s="89">
        <v>4</v>
      </c>
      <c r="F3109" s="89">
        <v>2</v>
      </c>
      <c r="G3109" s="89">
        <v>2</v>
      </c>
      <c r="H3109" s="89">
        <v>3</v>
      </c>
      <c r="I3109" s="89">
        <v>0</v>
      </c>
      <c r="J3109" s="710">
        <f>(VLOOKUP($C3109,[2]Sheet1!$A$2:$P$18,$M3109+1)/12)*12*D3109</f>
        <v>0</v>
      </c>
      <c r="K3109" s="711"/>
      <c r="M3109" s="62">
        <f t="shared" si="251"/>
        <v>3</v>
      </c>
    </row>
    <row r="3110" spans="1:13">
      <c r="A3110" s="88">
        <f t="shared" si="250"/>
        <v>53</v>
      </c>
      <c r="B3110" s="69" t="s">
        <v>1095</v>
      </c>
      <c r="C3110" s="69">
        <v>7</v>
      </c>
      <c r="D3110" s="89">
        <v>0</v>
      </c>
      <c r="E3110" s="89">
        <v>4</v>
      </c>
      <c r="F3110" s="89">
        <v>4</v>
      </c>
      <c r="G3110" s="89">
        <v>4</v>
      </c>
      <c r="H3110" s="89">
        <v>4</v>
      </c>
      <c r="I3110" s="89">
        <v>0</v>
      </c>
      <c r="J3110" s="710">
        <f>(VLOOKUP($C3110,[2]Sheet1!$A$2:$P$18,$M3110+1)/12)*12*D3110</f>
        <v>0</v>
      </c>
      <c r="K3110" s="711"/>
      <c r="M3110" s="62">
        <f t="shared" si="251"/>
        <v>3</v>
      </c>
    </row>
    <row r="3111" spans="1:13">
      <c r="A3111" s="88">
        <f t="shared" si="250"/>
        <v>54</v>
      </c>
      <c r="B3111" s="69" t="s">
        <v>1096</v>
      </c>
      <c r="C3111" s="69">
        <v>6</v>
      </c>
      <c r="D3111" s="89">
        <v>0</v>
      </c>
      <c r="E3111" s="89">
        <v>6</v>
      </c>
      <c r="F3111" s="89">
        <v>6</v>
      </c>
      <c r="G3111" s="89">
        <v>6</v>
      </c>
      <c r="H3111" s="89">
        <v>4</v>
      </c>
      <c r="I3111" s="89">
        <v>0</v>
      </c>
      <c r="J3111" s="710">
        <f>(VLOOKUP($C3111,[2]Sheet1!$A$2:$P$18,$M3111+1)/12)*12*D3111</f>
        <v>0</v>
      </c>
      <c r="K3111" s="711"/>
      <c r="M3111" s="62">
        <f t="shared" si="251"/>
        <v>5</v>
      </c>
    </row>
    <row r="3112" spans="1:13">
      <c r="A3112" s="88">
        <f t="shared" si="250"/>
        <v>55</v>
      </c>
      <c r="B3112" s="69" t="s">
        <v>1938</v>
      </c>
      <c r="C3112" s="69">
        <v>3</v>
      </c>
      <c r="D3112" s="89">
        <v>0</v>
      </c>
      <c r="E3112" s="89">
        <v>6</v>
      </c>
      <c r="F3112" s="89">
        <v>6</v>
      </c>
      <c r="G3112" s="89">
        <v>6</v>
      </c>
      <c r="H3112" s="89">
        <v>6</v>
      </c>
      <c r="I3112" s="89">
        <v>0</v>
      </c>
      <c r="J3112" s="710">
        <f>(VLOOKUP($C3112,[2]Sheet1!$A$2:$P$18,$M3112+1)/12)*12*D3112</f>
        <v>0</v>
      </c>
      <c r="K3112" s="711"/>
      <c r="M3112" s="62">
        <f t="shared" si="251"/>
        <v>5</v>
      </c>
    </row>
    <row r="3113" spans="1:13">
      <c r="A3113" s="88">
        <f t="shared" si="250"/>
        <v>56</v>
      </c>
      <c r="B3113" s="69" t="s">
        <v>1939</v>
      </c>
      <c r="C3113" s="69">
        <v>3</v>
      </c>
      <c r="D3113" s="89">
        <v>0</v>
      </c>
      <c r="E3113" s="89">
        <v>6</v>
      </c>
      <c r="F3113" s="89">
        <v>6</v>
      </c>
      <c r="G3113" s="89">
        <v>6</v>
      </c>
      <c r="H3113" s="89">
        <v>6</v>
      </c>
      <c r="I3113" s="89">
        <v>0</v>
      </c>
      <c r="J3113" s="710">
        <f>(VLOOKUP($C3113,[2]Sheet1!$A$2:$P$18,$M3113+1)/12)*12*D3113</f>
        <v>0</v>
      </c>
      <c r="K3113" s="711"/>
      <c r="M3113" s="62">
        <f t="shared" si="251"/>
        <v>5</v>
      </c>
    </row>
    <row r="3114" spans="1:13">
      <c r="A3114" s="88"/>
      <c r="B3114" s="69"/>
      <c r="C3114" s="69"/>
      <c r="D3114" s="89"/>
      <c r="E3114" s="89"/>
      <c r="F3114" s="89"/>
      <c r="G3114" s="89"/>
      <c r="H3114" s="89"/>
      <c r="I3114" s="89"/>
      <c r="J3114" s="713"/>
      <c r="K3114" s="711"/>
      <c r="M3114" s="62">
        <f t="shared" si="251"/>
        <v>5</v>
      </c>
    </row>
    <row r="3115" spans="1:13">
      <c r="A3115" s="88"/>
      <c r="B3115" s="69"/>
      <c r="C3115" s="69"/>
      <c r="D3115" s="89"/>
      <c r="E3115" s="89"/>
      <c r="F3115" s="89"/>
      <c r="G3115" s="89"/>
      <c r="H3115" s="89"/>
      <c r="I3115" s="89"/>
      <c r="J3115" s="713"/>
      <c r="K3115" s="711"/>
      <c r="M3115" s="62">
        <f t="shared" si="251"/>
        <v>5</v>
      </c>
    </row>
    <row r="3116" spans="1:13">
      <c r="A3116" s="88"/>
      <c r="B3116" s="69"/>
      <c r="C3116" s="69"/>
      <c r="D3116" s="143"/>
      <c r="E3116" s="89"/>
      <c r="F3116" s="143"/>
      <c r="G3116" s="143"/>
      <c r="H3116" s="89"/>
      <c r="I3116" s="143"/>
      <c r="J3116" s="713"/>
      <c r="K3116" s="711"/>
      <c r="M3116" s="62">
        <f t="shared" si="251"/>
        <v>5</v>
      </c>
    </row>
    <row r="3117" spans="1:13">
      <c r="A3117" s="92"/>
      <c r="B3117" s="93" t="s">
        <v>1684</v>
      </c>
      <c r="C3117" s="94"/>
      <c r="D3117" s="152">
        <f t="shared" ref="D3117:J3117" si="252">SUM(D3051:D3116)</f>
        <v>64</v>
      </c>
      <c r="E3117" s="152">
        <f t="shared" si="252"/>
        <v>125</v>
      </c>
      <c r="F3117" s="152">
        <f t="shared" si="252"/>
        <v>119</v>
      </c>
      <c r="G3117" s="152">
        <f>SUM(G3051:G3116)</f>
        <v>119</v>
      </c>
      <c r="H3117" s="152">
        <f t="shared" si="252"/>
        <v>120</v>
      </c>
      <c r="I3117" s="152">
        <f t="shared" si="252"/>
        <v>64</v>
      </c>
      <c r="J3117" s="152">
        <f t="shared" si="252"/>
        <v>24510374.91771986</v>
      </c>
      <c r="K3117" s="382"/>
      <c r="M3117" s="62">
        <f t="shared" si="251"/>
        <v>5</v>
      </c>
    </row>
    <row r="3118" spans="1:13">
      <c r="A3118" s="88"/>
      <c r="B3118" s="69"/>
      <c r="C3118" s="69"/>
      <c r="D3118" s="89"/>
      <c r="E3118" s="89"/>
      <c r="F3118" s="89"/>
      <c r="G3118" s="89"/>
      <c r="H3118" s="89"/>
      <c r="I3118" s="89"/>
      <c r="J3118" s="89"/>
      <c r="K3118" s="114"/>
      <c r="M3118" s="62">
        <f t="shared" si="251"/>
        <v>5</v>
      </c>
    </row>
    <row r="3119" spans="1:13">
      <c r="A3119" s="88"/>
      <c r="B3119" s="90" t="s">
        <v>1199</v>
      </c>
      <c r="C3119" s="97"/>
      <c r="D3119" s="98"/>
      <c r="E3119" s="98"/>
      <c r="F3119" s="99"/>
      <c r="G3119" s="240" t="s">
        <v>243</v>
      </c>
      <c r="H3119" s="240" t="s">
        <v>4130</v>
      </c>
      <c r="I3119" s="240" t="s">
        <v>4202</v>
      </c>
      <c r="J3119" s="241" t="s">
        <v>4200</v>
      </c>
      <c r="K3119" s="375"/>
      <c r="M3119" s="62">
        <f t="shared" si="251"/>
        <v>5</v>
      </c>
    </row>
    <row r="3120" spans="1:13">
      <c r="A3120" s="88">
        <v>1</v>
      </c>
      <c r="B3120" s="69" t="s">
        <v>2786</v>
      </c>
      <c r="C3120" s="69"/>
      <c r="D3120" s="89"/>
      <c r="E3120" s="89"/>
      <c r="F3120" s="89"/>
      <c r="G3120" s="100">
        <f>J3117*0.2</f>
        <v>4902074.9835439725</v>
      </c>
      <c r="H3120" s="100">
        <f>G3120*1.02</f>
        <v>5000116.4832148524</v>
      </c>
      <c r="I3120" s="100">
        <f>H3120*1.02</f>
        <v>5100118.8128791498</v>
      </c>
      <c r="J3120" s="100">
        <f>SUM(G3120:I3120)</f>
        <v>15002310.279637974</v>
      </c>
      <c r="K3120" s="114"/>
      <c r="M3120" s="62">
        <f t="shared" si="251"/>
        <v>5</v>
      </c>
    </row>
    <row r="3121" spans="1:13">
      <c r="A3121" s="92"/>
      <c r="B3121" s="93" t="s">
        <v>1933</v>
      </c>
      <c r="C3121" s="94"/>
      <c r="D3121" s="101"/>
      <c r="E3121" s="101"/>
      <c r="F3121" s="95"/>
      <c r="G3121" s="95">
        <f>SUM(G3120:G3120)</f>
        <v>4902074.9835439725</v>
      </c>
      <c r="H3121" s="95">
        <f>SUM(H3120:H3120)</f>
        <v>5000116.4832148524</v>
      </c>
      <c r="I3121" s="95">
        <f>SUM(I3120:I3120)</f>
        <v>5100118.8128791498</v>
      </c>
      <c r="J3121" s="95">
        <f>SUM(J3120:J3120)</f>
        <v>15002310.279637974</v>
      </c>
      <c r="K3121" s="378"/>
      <c r="M3121" s="62">
        <f t="shared" si="251"/>
        <v>5</v>
      </c>
    </row>
    <row r="3122" spans="1:13">
      <c r="A3122" s="88"/>
      <c r="B3122" s="69"/>
      <c r="C3122" s="69"/>
      <c r="D3122" s="89"/>
      <c r="E3122" s="89"/>
      <c r="F3122" s="89"/>
      <c r="G3122" s="89"/>
      <c r="H3122" s="89"/>
      <c r="I3122" s="89"/>
      <c r="J3122" s="89"/>
      <c r="K3122" s="114"/>
      <c r="M3122" s="62">
        <f t="shared" si="251"/>
        <v>5</v>
      </c>
    </row>
    <row r="3123" spans="1:13">
      <c r="A3123" s="88">
        <v>1</v>
      </c>
      <c r="B3123" s="69" t="s">
        <v>1934</v>
      </c>
      <c r="C3123" s="69"/>
      <c r="D3123" s="89"/>
      <c r="E3123" s="89"/>
      <c r="F3123" s="89"/>
      <c r="G3123" s="100">
        <f>G3121+J3117</f>
        <v>29412449.901263833</v>
      </c>
      <c r="H3123" s="100">
        <f>G3123*1.02</f>
        <v>30000698.899289109</v>
      </c>
      <c r="I3123" s="100">
        <f>H3123*1.02</f>
        <v>30600712.877274893</v>
      </c>
      <c r="J3123" s="100">
        <f>SUM(G3123:I3123)</f>
        <v>90013861.677827835</v>
      </c>
      <c r="K3123" s="114"/>
      <c r="L3123" s="112"/>
      <c r="M3123" s="62">
        <f t="shared" si="251"/>
        <v>5</v>
      </c>
    </row>
    <row r="3124" spans="1:13">
      <c r="A3124" s="88">
        <f>+A3123+1</f>
        <v>2</v>
      </c>
      <c r="B3124" s="69" t="s">
        <v>129</v>
      </c>
      <c r="C3124" s="69"/>
      <c r="D3124" s="89"/>
      <c r="E3124" s="89"/>
      <c r="F3124" s="89"/>
      <c r="G3124" s="89">
        <f>C3151</f>
        <v>7000000</v>
      </c>
      <c r="H3124" s="89">
        <f>D3151</f>
        <v>8700000</v>
      </c>
      <c r="I3124" s="89">
        <f>E3151</f>
        <v>8700000</v>
      </c>
      <c r="J3124" s="100">
        <f>SUM(G3124:I3124)</f>
        <v>24400000</v>
      </c>
      <c r="K3124" s="114"/>
      <c r="M3124" s="62">
        <f t="shared" si="251"/>
        <v>5</v>
      </c>
    </row>
    <row r="3125" spans="1:13" ht="13.5" thickBot="1">
      <c r="A3125" s="92"/>
      <c r="B3125" s="103" t="s">
        <v>2241</v>
      </c>
      <c r="C3125" s="104"/>
      <c r="D3125" s="105"/>
      <c r="E3125" s="105"/>
      <c r="F3125" s="129"/>
      <c r="G3125" s="129">
        <f>SUM(G3123:G3124)</f>
        <v>36412449.901263833</v>
      </c>
      <c r="H3125" s="129">
        <f>SUM(H3123:H3124)</f>
        <v>38700698.899289109</v>
      </c>
      <c r="I3125" s="129">
        <f>SUM(I3123:I3124)</f>
        <v>39300712.877274893</v>
      </c>
      <c r="J3125" s="129">
        <f>SUM(J3123:J3124)</f>
        <v>114413861.67782784</v>
      </c>
      <c r="K3125" s="378"/>
      <c r="M3125" s="62">
        <f t="shared" si="251"/>
        <v>5</v>
      </c>
    </row>
    <row r="3126" spans="1:13" ht="15.75" thickTop="1">
      <c r="C3126" s="77"/>
      <c r="D3126" s="78" t="s">
        <v>5434</v>
      </c>
      <c r="J3126" s="584"/>
      <c r="K3126" s="584"/>
      <c r="M3126" s="62">
        <f t="shared" si="251"/>
        <v>5</v>
      </c>
    </row>
    <row r="3127" spans="1:13" ht="15">
      <c r="C3127" s="77"/>
      <c r="D3127" s="78" t="s">
        <v>716</v>
      </c>
      <c r="J3127" s="584"/>
      <c r="K3127" s="584"/>
      <c r="M3127" s="62">
        <f t="shared" si="251"/>
        <v>5</v>
      </c>
    </row>
    <row r="3128" spans="1:13" ht="15">
      <c r="C3128" s="79" t="s">
        <v>717</v>
      </c>
      <c r="D3128" s="78" t="s">
        <v>2772</v>
      </c>
      <c r="J3128" s="584"/>
      <c r="K3128" s="584"/>
      <c r="M3128" s="62">
        <f t="shared" si="251"/>
        <v>3</v>
      </c>
    </row>
    <row r="3129" spans="1:13" ht="15">
      <c r="C3129" s="79" t="s">
        <v>718</v>
      </c>
      <c r="D3129" s="78" t="s">
        <v>1115</v>
      </c>
      <c r="J3129" s="584"/>
      <c r="K3129" s="584"/>
      <c r="M3129" s="62">
        <f t="shared" si="251"/>
        <v>3</v>
      </c>
    </row>
    <row r="3130" spans="1:13" ht="15">
      <c r="A3130" s="634" t="s">
        <v>1839</v>
      </c>
      <c r="B3130" s="635" t="s">
        <v>903</v>
      </c>
      <c r="C3130" s="1037" t="s">
        <v>4127</v>
      </c>
      <c r="D3130" s="1038"/>
      <c r="E3130" s="1039"/>
      <c r="F3130" s="635" t="s">
        <v>1684</v>
      </c>
      <c r="G3130" s="1037" t="s">
        <v>4132</v>
      </c>
      <c r="H3130" s="1038"/>
      <c r="I3130" s="1039"/>
      <c r="J3130" s="726"/>
      <c r="K3130" s="727"/>
    </row>
    <row r="3131" spans="1:13">
      <c r="A3131" s="636" t="s">
        <v>1620</v>
      </c>
      <c r="B3131" s="637"/>
      <c r="C3131" s="635" t="s">
        <v>1841</v>
      </c>
      <c r="D3131" s="635" t="s">
        <v>4133</v>
      </c>
      <c r="E3131" s="635" t="s">
        <v>4133</v>
      </c>
      <c r="F3131" s="1056" t="s">
        <v>4200</v>
      </c>
      <c r="G3131" s="634" t="s">
        <v>4135</v>
      </c>
      <c r="H3131" s="1051" t="s">
        <v>4182</v>
      </c>
      <c r="I3131" s="634" t="s">
        <v>4135</v>
      </c>
      <c r="J3131" s="728" t="s">
        <v>4136</v>
      </c>
      <c r="K3131" s="727"/>
    </row>
    <row r="3132" spans="1:13" ht="12.75" customHeight="1">
      <c r="A3132" s="638" t="s">
        <v>387</v>
      </c>
      <c r="B3132" s="639"/>
      <c r="C3132" s="638">
        <v>2015</v>
      </c>
      <c r="D3132" s="638">
        <v>2016</v>
      </c>
      <c r="E3132" s="638">
        <v>2017</v>
      </c>
      <c r="F3132" s="1057"/>
      <c r="G3132" s="638" t="s">
        <v>4304</v>
      </c>
      <c r="H3132" s="1052"/>
      <c r="I3132" s="638" t="s">
        <v>4303</v>
      </c>
      <c r="J3132" s="639"/>
      <c r="K3132" s="729"/>
    </row>
    <row r="3133" spans="1:13">
      <c r="A3133" s="788"/>
      <c r="B3133" s="788"/>
      <c r="C3133" s="731"/>
      <c r="D3133" s="731"/>
      <c r="E3133" s="731"/>
      <c r="F3133" s="731"/>
      <c r="G3133" s="731"/>
      <c r="H3133" s="731"/>
      <c r="I3133" s="731"/>
      <c r="J3133" s="731"/>
      <c r="K3133" s="732"/>
      <c r="M3133" s="62" t="e">
        <f>IF(#REF!&gt;6,3,5)</f>
        <v>#REF!</v>
      </c>
    </row>
    <row r="3134" spans="1:13">
      <c r="A3134" s="788">
        <v>2</v>
      </c>
      <c r="B3134" s="775" t="s">
        <v>1695</v>
      </c>
      <c r="C3134" s="731">
        <v>1000000</v>
      </c>
      <c r="D3134" s="731">
        <v>1000000</v>
      </c>
      <c r="E3134" s="731">
        <v>1000000</v>
      </c>
      <c r="F3134" s="731">
        <f>SUM(C3134:E3134)</f>
        <v>3000000</v>
      </c>
      <c r="G3134" s="731">
        <v>320000</v>
      </c>
      <c r="H3134" s="731">
        <v>1000000</v>
      </c>
      <c r="I3134" s="731">
        <v>120000</v>
      </c>
      <c r="J3134" s="731"/>
      <c r="K3134" s="732"/>
      <c r="M3134" s="62" t="e">
        <f>IF(#REF!&gt;6,3,5)</f>
        <v>#REF!</v>
      </c>
    </row>
    <row r="3135" spans="1:13">
      <c r="A3135" s="788">
        <f t="shared" ref="A3135:A3147" si="253">1+A3134</f>
        <v>3</v>
      </c>
      <c r="B3135" s="775" t="s">
        <v>1696</v>
      </c>
      <c r="C3135" s="731" t="s">
        <v>3007</v>
      </c>
      <c r="D3135" s="731" t="s">
        <v>3007</v>
      </c>
      <c r="E3135" s="731" t="s">
        <v>3007</v>
      </c>
      <c r="F3135" s="731">
        <f t="shared" ref="F3135:F3147" si="254">SUM(C3135:E3135)</f>
        <v>0</v>
      </c>
      <c r="G3135" s="731"/>
      <c r="H3135" s="731" t="s">
        <v>3007</v>
      </c>
      <c r="I3135" s="731"/>
      <c r="J3135" s="731"/>
      <c r="K3135" s="732"/>
      <c r="M3135" s="62" t="e">
        <f>IF(#REF!&gt;6,3,5)</f>
        <v>#REF!</v>
      </c>
    </row>
    <row r="3136" spans="1:13">
      <c r="A3136" s="788">
        <f t="shared" si="253"/>
        <v>4</v>
      </c>
      <c r="B3136" s="775" t="s">
        <v>1701</v>
      </c>
      <c r="C3136" s="731" t="s">
        <v>3007</v>
      </c>
      <c r="D3136" s="731" t="s">
        <v>3007</v>
      </c>
      <c r="E3136" s="731" t="s">
        <v>3007</v>
      </c>
      <c r="F3136" s="731">
        <f t="shared" si="254"/>
        <v>0</v>
      </c>
      <c r="G3136" s="731"/>
      <c r="H3136" s="731" t="s">
        <v>3007</v>
      </c>
      <c r="I3136" s="731"/>
      <c r="J3136" s="731"/>
      <c r="K3136" s="732"/>
      <c r="M3136" s="62" t="e">
        <f>IF(#REF!&gt;6,3,5)</f>
        <v>#REF!</v>
      </c>
    </row>
    <row r="3137" spans="1:13">
      <c r="A3137" s="788">
        <f t="shared" si="253"/>
        <v>5</v>
      </c>
      <c r="B3137" s="775" t="s">
        <v>1778</v>
      </c>
      <c r="C3137" s="731">
        <v>500000</v>
      </c>
      <c r="D3137" s="731">
        <v>800000</v>
      </c>
      <c r="E3137" s="731">
        <v>800000</v>
      </c>
      <c r="F3137" s="731">
        <f t="shared" si="254"/>
        <v>2100000</v>
      </c>
      <c r="G3137" s="731">
        <v>120000</v>
      </c>
      <c r="H3137" s="731">
        <v>800000</v>
      </c>
      <c r="I3137" s="731">
        <v>52300</v>
      </c>
      <c r="J3137" s="731"/>
      <c r="K3137" s="732"/>
      <c r="M3137" s="62" t="e">
        <f>IF(#REF!&gt;6,3,5)</f>
        <v>#REF!</v>
      </c>
    </row>
    <row r="3138" spans="1:13">
      <c r="A3138" s="788">
        <f t="shared" si="253"/>
        <v>6</v>
      </c>
      <c r="B3138" s="775" t="s">
        <v>1718</v>
      </c>
      <c r="C3138" s="731">
        <v>800000</v>
      </c>
      <c r="D3138" s="731">
        <v>1200000</v>
      </c>
      <c r="E3138" s="731">
        <v>1200000</v>
      </c>
      <c r="F3138" s="731">
        <f t="shared" si="254"/>
        <v>3200000</v>
      </c>
      <c r="G3138" s="731">
        <v>300000</v>
      </c>
      <c r="H3138" s="731">
        <v>1200000</v>
      </c>
      <c r="I3138" s="731">
        <v>0</v>
      </c>
      <c r="J3138" s="731"/>
      <c r="K3138" s="732"/>
      <c r="M3138" s="62" t="e">
        <f>IF(#REF!&gt;6,3,5)</f>
        <v>#REF!</v>
      </c>
    </row>
    <row r="3139" spans="1:13">
      <c r="A3139" s="788">
        <f t="shared" si="253"/>
        <v>7</v>
      </c>
      <c r="B3139" s="775" t="s">
        <v>3680</v>
      </c>
      <c r="C3139" s="731">
        <v>500000</v>
      </c>
      <c r="D3139" s="731">
        <v>500000</v>
      </c>
      <c r="E3139" s="731">
        <v>500000</v>
      </c>
      <c r="F3139" s="731">
        <f t="shared" si="254"/>
        <v>1500000</v>
      </c>
      <c r="G3139" s="731">
        <v>140000</v>
      </c>
      <c r="H3139" s="731">
        <v>500000</v>
      </c>
      <c r="I3139" s="731">
        <v>30000</v>
      </c>
      <c r="J3139" s="731"/>
      <c r="K3139" s="732"/>
      <c r="M3139" s="62" t="e">
        <f>IF(#REF!&gt;6,3,5)</f>
        <v>#REF!</v>
      </c>
    </row>
    <row r="3140" spans="1:13">
      <c r="A3140" s="788">
        <f t="shared" si="253"/>
        <v>8</v>
      </c>
      <c r="B3140" s="775" t="s">
        <v>1719</v>
      </c>
      <c r="C3140" s="731" t="s">
        <v>3007</v>
      </c>
      <c r="D3140" s="731" t="s">
        <v>3007</v>
      </c>
      <c r="E3140" s="731" t="s">
        <v>3007</v>
      </c>
      <c r="F3140" s="731">
        <f t="shared" si="254"/>
        <v>0</v>
      </c>
      <c r="G3140" s="731"/>
      <c r="H3140" s="731" t="s">
        <v>3007</v>
      </c>
      <c r="I3140" s="731"/>
      <c r="J3140" s="731"/>
      <c r="K3140" s="732"/>
      <c r="M3140" s="62" t="e">
        <f>IF(#REF!&gt;6,3,5)</f>
        <v>#REF!</v>
      </c>
    </row>
    <row r="3141" spans="1:13">
      <c r="A3141" s="788">
        <f t="shared" si="253"/>
        <v>9</v>
      </c>
      <c r="B3141" s="775" t="s">
        <v>2061</v>
      </c>
      <c r="C3141" s="731" t="s">
        <v>3007</v>
      </c>
      <c r="D3141" s="731" t="s">
        <v>3007</v>
      </c>
      <c r="E3141" s="731" t="s">
        <v>3007</v>
      </c>
      <c r="F3141" s="731">
        <f t="shared" si="254"/>
        <v>0</v>
      </c>
      <c r="G3141" s="731"/>
      <c r="H3141" s="731" t="s">
        <v>3007</v>
      </c>
      <c r="I3141" s="731"/>
      <c r="J3141" s="731"/>
      <c r="K3141" s="732"/>
      <c r="M3141" s="62" t="e">
        <f>IF(#REF!&gt;6,3,5)</f>
        <v>#REF!</v>
      </c>
    </row>
    <row r="3142" spans="1:13">
      <c r="A3142" s="788">
        <f t="shared" si="253"/>
        <v>10</v>
      </c>
      <c r="B3142" s="775" t="s">
        <v>2685</v>
      </c>
      <c r="C3142" s="731">
        <v>300000</v>
      </c>
      <c r="D3142" s="731">
        <v>1000000</v>
      </c>
      <c r="E3142" s="731">
        <v>1000000</v>
      </c>
      <c r="F3142" s="731">
        <f t="shared" si="254"/>
        <v>2300000</v>
      </c>
      <c r="G3142" s="731"/>
      <c r="H3142" s="731">
        <v>1000000</v>
      </c>
      <c r="I3142" s="731">
        <v>0</v>
      </c>
      <c r="J3142" s="731"/>
      <c r="K3142" s="732"/>
      <c r="M3142" s="62" t="e">
        <f>IF(#REF!&gt;6,3,5)</f>
        <v>#REF!</v>
      </c>
    </row>
    <row r="3143" spans="1:13" ht="25.5">
      <c r="A3143" s="788">
        <f t="shared" si="253"/>
        <v>11</v>
      </c>
      <c r="B3143" s="775" t="s">
        <v>764</v>
      </c>
      <c r="C3143" s="731">
        <v>100000</v>
      </c>
      <c r="D3143" s="731">
        <v>100000</v>
      </c>
      <c r="E3143" s="731">
        <v>100000</v>
      </c>
      <c r="F3143" s="731">
        <f t="shared" si="254"/>
        <v>300000</v>
      </c>
      <c r="G3143" s="731">
        <v>44000</v>
      </c>
      <c r="H3143" s="731">
        <v>100000</v>
      </c>
      <c r="I3143" s="731">
        <v>100000</v>
      </c>
      <c r="J3143" s="731"/>
      <c r="K3143" s="732"/>
      <c r="M3143" s="62" t="e">
        <f>IF(#REF!&gt;6,3,5)</f>
        <v>#REF!</v>
      </c>
    </row>
    <row r="3144" spans="1:13">
      <c r="A3144" s="788">
        <f t="shared" si="253"/>
        <v>12</v>
      </c>
      <c r="B3144" s="775" t="s">
        <v>2688</v>
      </c>
      <c r="C3144" s="731">
        <v>2500000</v>
      </c>
      <c r="D3144" s="731">
        <v>2500000</v>
      </c>
      <c r="E3144" s="731">
        <v>2500000</v>
      </c>
      <c r="F3144" s="731">
        <f t="shared" si="254"/>
        <v>7500000</v>
      </c>
      <c r="G3144" s="731">
        <v>924000</v>
      </c>
      <c r="H3144" s="731">
        <v>2500000</v>
      </c>
      <c r="I3144" s="731">
        <v>1150541.98</v>
      </c>
      <c r="J3144" s="731"/>
      <c r="K3144" s="732"/>
      <c r="M3144" s="62" t="e">
        <f>IF(#REF!&gt;6,3,5)</f>
        <v>#REF!</v>
      </c>
    </row>
    <row r="3145" spans="1:13">
      <c r="A3145" s="788">
        <f t="shared" si="253"/>
        <v>13</v>
      </c>
      <c r="B3145" s="773" t="s">
        <v>2249</v>
      </c>
      <c r="C3145" s="731">
        <v>100000</v>
      </c>
      <c r="D3145" s="731">
        <v>100000</v>
      </c>
      <c r="E3145" s="731">
        <v>100000</v>
      </c>
      <c r="F3145" s="731">
        <f t="shared" si="254"/>
        <v>300000</v>
      </c>
      <c r="G3145" s="731"/>
      <c r="H3145" s="731">
        <v>100000</v>
      </c>
      <c r="I3145" s="731"/>
      <c r="J3145" s="731"/>
      <c r="K3145" s="732"/>
      <c r="M3145" s="62" t="e">
        <f>IF(#REF!&gt;6,3,5)</f>
        <v>#REF!</v>
      </c>
    </row>
    <row r="3146" spans="1:13">
      <c r="A3146" s="788">
        <f t="shared" si="253"/>
        <v>14</v>
      </c>
      <c r="B3146" s="773" t="s">
        <v>1683</v>
      </c>
      <c r="C3146" s="731">
        <v>700000</v>
      </c>
      <c r="D3146" s="731">
        <v>1000000</v>
      </c>
      <c r="E3146" s="731">
        <v>1000000</v>
      </c>
      <c r="F3146" s="731">
        <f t="shared" si="254"/>
        <v>2700000</v>
      </c>
      <c r="G3146" s="731"/>
      <c r="H3146" s="731">
        <v>1000000</v>
      </c>
      <c r="I3146" s="731"/>
      <c r="J3146" s="731"/>
      <c r="K3146" s="732"/>
      <c r="M3146" s="62" t="e">
        <f>IF(#REF!&gt;6,3,5)</f>
        <v>#REF!</v>
      </c>
    </row>
    <row r="3147" spans="1:13" ht="25.5">
      <c r="A3147" s="788">
        <f t="shared" si="253"/>
        <v>15</v>
      </c>
      <c r="B3147" s="775" t="s">
        <v>1772</v>
      </c>
      <c r="C3147" s="731">
        <v>500000</v>
      </c>
      <c r="D3147" s="731">
        <v>500000</v>
      </c>
      <c r="E3147" s="731">
        <v>500000</v>
      </c>
      <c r="F3147" s="731">
        <f t="shared" si="254"/>
        <v>1500000</v>
      </c>
      <c r="G3147" s="731"/>
      <c r="H3147" s="731">
        <v>500000</v>
      </c>
      <c r="I3147" s="731"/>
      <c r="J3147" s="731"/>
      <c r="K3147" s="732"/>
      <c r="M3147" s="62" t="e">
        <f>IF(#REF!&gt;6,3,5)</f>
        <v>#REF!</v>
      </c>
    </row>
    <row r="3148" spans="1:13">
      <c r="A3148" s="768">
        <v>16</v>
      </c>
      <c r="B3148" s="773" t="s">
        <v>5370</v>
      </c>
      <c r="C3148" s="731" t="s">
        <v>1386</v>
      </c>
      <c r="D3148" s="731" t="s">
        <v>1386</v>
      </c>
      <c r="E3148" s="731" t="s">
        <v>1386</v>
      </c>
      <c r="F3148" s="731" t="s">
        <v>1386</v>
      </c>
      <c r="G3148" s="731">
        <v>400000</v>
      </c>
      <c r="H3148" s="731" t="s">
        <v>1386</v>
      </c>
      <c r="I3148" s="731">
        <v>1116700</v>
      </c>
      <c r="J3148" s="731"/>
      <c r="K3148" s="732"/>
      <c r="M3148" s="62" t="e">
        <f>IF(#REF!&gt;6,3,5)</f>
        <v>#REF!</v>
      </c>
    </row>
    <row r="3149" spans="1:13">
      <c r="A3149" s="768"/>
      <c r="B3149" s="768"/>
      <c r="C3149" s="390"/>
      <c r="D3149" s="390"/>
      <c r="E3149" s="390"/>
      <c r="F3149" s="390"/>
      <c r="G3149" s="390"/>
      <c r="H3149" s="390"/>
      <c r="I3149" s="390"/>
      <c r="J3149" s="390"/>
      <c r="K3149" s="734"/>
      <c r="M3149" s="62" t="e">
        <f>IF(#REF!&gt;6,3,5)</f>
        <v>#REF!</v>
      </c>
    </row>
    <row r="3150" spans="1:13">
      <c r="A3150" s="768"/>
      <c r="B3150" s="768"/>
      <c r="C3150" s="390"/>
      <c r="D3150" s="390"/>
      <c r="E3150" s="390"/>
      <c r="F3150" s="390"/>
      <c r="G3150" s="390"/>
      <c r="H3150" s="390"/>
      <c r="I3150" s="390"/>
      <c r="J3150" s="390"/>
      <c r="K3150" s="734"/>
      <c r="M3150" s="62" t="e">
        <f>IF(#REF!&gt;6,3,5)</f>
        <v>#REF!</v>
      </c>
    </row>
    <row r="3151" spans="1:13">
      <c r="A3151" s="770"/>
      <c r="B3151" s="770" t="s">
        <v>1684</v>
      </c>
      <c r="C3151" s="771">
        <f t="shared" ref="C3151:I3151" si="255">SUM(C3133:C3150)</f>
        <v>7000000</v>
      </c>
      <c r="D3151" s="771">
        <f t="shared" si="255"/>
        <v>8700000</v>
      </c>
      <c r="E3151" s="771">
        <f t="shared" si="255"/>
        <v>8700000</v>
      </c>
      <c r="F3151" s="771">
        <f t="shared" si="255"/>
        <v>24400000</v>
      </c>
      <c r="G3151" s="771">
        <f>SUM(G3133:G3150)</f>
        <v>2248000</v>
      </c>
      <c r="H3151" s="771">
        <f t="shared" si="255"/>
        <v>8700000</v>
      </c>
      <c r="I3151" s="771">
        <f t="shared" si="255"/>
        <v>2569541.98</v>
      </c>
      <c r="J3151" s="771"/>
      <c r="K3151" s="772"/>
      <c r="M3151" s="62" t="e">
        <f>IF(#REF!&gt;6,3,5)</f>
        <v>#REF!</v>
      </c>
    </row>
    <row r="3152" spans="1:13" ht="15">
      <c r="J3152" s="584"/>
      <c r="K3152" s="584"/>
      <c r="M3152" s="62">
        <f t="shared" si="251"/>
        <v>5</v>
      </c>
    </row>
    <row r="3153" spans="1:13" ht="15">
      <c r="C3153" s="77"/>
      <c r="D3153" s="78" t="s">
        <v>5434</v>
      </c>
      <c r="J3153" s="584"/>
      <c r="K3153" s="584"/>
      <c r="M3153" s="62">
        <f t="shared" si="251"/>
        <v>5</v>
      </c>
    </row>
    <row r="3154" spans="1:13" ht="15">
      <c r="C3154" s="77"/>
      <c r="D3154" s="78" t="s">
        <v>1693</v>
      </c>
      <c r="J3154" s="584"/>
      <c r="K3154" s="584"/>
      <c r="M3154" s="62">
        <f t="shared" si="251"/>
        <v>5</v>
      </c>
    </row>
    <row r="3155" spans="1:13" ht="15">
      <c r="C3155" s="79" t="s">
        <v>717</v>
      </c>
      <c r="D3155" s="78" t="s">
        <v>1768</v>
      </c>
      <c r="J3155" s="584"/>
      <c r="K3155" s="584"/>
      <c r="M3155" s="62">
        <f t="shared" si="251"/>
        <v>3</v>
      </c>
    </row>
    <row r="3156" spans="1:13" ht="15.75" thickBot="1">
      <c r="C3156" s="79" t="s">
        <v>718</v>
      </c>
      <c r="D3156" s="78" t="s">
        <v>1769</v>
      </c>
      <c r="J3156" s="584"/>
      <c r="K3156" s="584"/>
      <c r="M3156" s="62">
        <f t="shared" si="251"/>
        <v>3</v>
      </c>
    </row>
    <row r="3157" spans="1:13" ht="15.75" thickTop="1">
      <c r="A3157" s="1047" t="s">
        <v>2791</v>
      </c>
      <c r="B3157" s="1049" t="s">
        <v>4126</v>
      </c>
      <c r="C3157" s="1049" t="s">
        <v>854</v>
      </c>
      <c r="D3157" s="1040" t="s">
        <v>4127</v>
      </c>
      <c r="E3157" s="1041"/>
      <c r="F3157" s="1041"/>
      <c r="G3157" s="1040" t="s">
        <v>904</v>
      </c>
      <c r="H3157" s="1041"/>
      <c r="I3157" s="1042"/>
      <c r="J3157" s="1035" t="s">
        <v>855</v>
      </c>
      <c r="K3157" s="389"/>
    </row>
    <row r="3158" spans="1:13" ht="26.25" thickBot="1">
      <c r="A3158" s="1048"/>
      <c r="B3158" s="1050"/>
      <c r="C3158" s="1050"/>
      <c r="D3158" s="285" t="s">
        <v>5505</v>
      </c>
      <c r="E3158" s="285" t="s">
        <v>4485</v>
      </c>
      <c r="F3158" s="285" t="s">
        <v>4486</v>
      </c>
      <c r="G3158" s="287" t="s">
        <v>4487</v>
      </c>
      <c r="H3158" s="285" t="s">
        <v>4488</v>
      </c>
      <c r="I3158" s="287" t="s">
        <v>4489</v>
      </c>
      <c r="J3158" s="1036"/>
      <c r="K3158" s="712"/>
    </row>
    <row r="3159" spans="1:13" ht="13.5" thickTop="1">
      <c r="A3159" s="88"/>
      <c r="B3159" s="90" t="s">
        <v>2051</v>
      </c>
      <c r="C3159" s="69"/>
      <c r="D3159" s="89"/>
      <c r="E3159" s="89"/>
      <c r="F3159" s="89"/>
      <c r="G3159" s="89"/>
      <c r="H3159" s="89"/>
      <c r="I3159" s="89"/>
      <c r="J3159" s="713"/>
      <c r="K3159" s="711"/>
      <c r="M3159" s="62">
        <f t="shared" ref="M3159:M3223" si="256">IF(C3159&gt;6,3,5)</f>
        <v>5</v>
      </c>
    </row>
    <row r="3160" spans="1:13">
      <c r="A3160" s="88">
        <v>1</v>
      </c>
      <c r="B3160" s="69" t="s">
        <v>3845</v>
      </c>
      <c r="C3160" s="69">
        <v>7</v>
      </c>
      <c r="D3160" s="89">
        <v>1</v>
      </c>
      <c r="E3160" s="89">
        <v>3</v>
      </c>
      <c r="F3160" s="89">
        <v>1</v>
      </c>
      <c r="G3160" s="89">
        <v>1</v>
      </c>
      <c r="H3160" s="89">
        <v>1</v>
      </c>
      <c r="I3160" s="89">
        <v>1</v>
      </c>
      <c r="J3160" s="710">
        <f>(VLOOKUP($C3160,[2]Sheet1!$A$2:$P$18,$M3160+1)/12)*12*D3160</f>
        <v>307706.70240000007</v>
      </c>
      <c r="K3160" s="711"/>
      <c r="M3160" s="62">
        <f t="shared" si="256"/>
        <v>3</v>
      </c>
    </row>
    <row r="3161" spans="1:13">
      <c r="A3161" s="88">
        <f t="shared" ref="A3161:A3210" si="257">+A3160+1</f>
        <v>2</v>
      </c>
      <c r="B3161" s="69" t="s">
        <v>405</v>
      </c>
      <c r="C3161" s="69">
        <v>6</v>
      </c>
      <c r="D3161" s="89">
        <v>3</v>
      </c>
      <c r="E3161" s="89">
        <v>2</v>
      </c>
      <c r="F3161" s="89">
        <v>3</v>
      </c>
      <c r="G3161" s="89">
        <v>3</v>
      </c>
      <c r="H3161" s="89">
        <v>3</v>
      </c>
      <c r="I3161" s="89">
        <v>3</v>
      </c>
      <c r="J3161" s="710">
        <f>(VLOOKUP($C3161,[2]Sheet1!$A$2:$P$18,$M3161+1)/12)*12*D3161</f>
        <v>714298.1367910949</v>
      </c>
      <c r="K3161" s="711"/>
      <c r="M3161" s="62">
        <f t="shared" si="256"/>
        <v>5</v>
      </c>
    </row>
    <row r="3162" spans="1:13">
      <c r="A3162" s="88">
        <f t="shared" si="257"/>
        <v>3</v>
      </c>
      <c r="B3162" s="69" t="s">
        <v>3770</v>
      </c>
      <c r="C3162" s="69">
        <v>5</v>
      </c>
      <c r="D3162" s="89">
        <v>2</v>
      </c>
      <c r="E3162" s="89">
        <v>3</v>
      </c>
      <c r="F3162" s="89">
        <v>2</v>
      </c>
      <c r="G3162" s="89">
        <v>2</v>
      </c>
      <c r="H3162" s="89">
        <v>2</v>
      </c>
      <c r="I3162" s="89">
        <v>2</v>
      </c>
      <c r="J3162" s="710">
        <f>(VLOOKUP($C3162,[2]Sheet1!$A$2:$P$18,$M3162+1)/12)*12*D3162</f>
        <v>459139.55786072998</v>
      </c>
      <c r="K3162" s="711"/>
      <c r="M3162" s="62">
        <f t="shared" si="256"/>
        <v>5</v>
      </c>
    </row>
    <row r="3163" spans="1:13">
      <c r="A3163" s="88">
        <f t="shared" si="257"/>
        <v>4</v>
      </c>
      <c r="B3163" s="69" t="s">
        <v>3662</v>
      </c>
      <c r="C3163" s="69">
        <v>4</v>
      </c>
      <c r="D3163" s="89">
        <v>5</v>
      </c>
      <c r="E3163" s="89">
        <v>3</v>
      </c>
      <c r="F3163" s="89">
        <v>5</v>
      </c>
      <c r="G3163" s="89">
        <v>5</v>
      </c>
      <c r="H3163" s="89">
        <v>5</v>
      </c>
      <c r="I3163" s="89">
        <v>5</v>
      </c>
      <c r="J3163" s="710">
        <f>(VLOOKUP($C3163,[2]Sheet1!$A$2:$P$18,$M3163+1)/12)*12*D3163</f>
        <v>1122714.8946518251</v>
      </c>
      <c r="K3163" s="711"/>
      <c r="M3163" s="62">
        <f t="shared" si="256"/>
        <v>5</v>
      </c>
    </row>
    <row r="3164" spans="1:13">
      <c r="A3164" s="88">
        <f t="shared" si="257"/>
        <v>5</v>
      </c>
      <c r="B3164" s="69" t="s">
        <v>957</v>
      </c>
      <c r="C3164" s="69">
        <v>3</v>
      </c>
      <c r="D3164" s="89">
        <v>0</v>
      </c>
      <c r="E3164" s="89">
        <v>5</v>
      </c>
      <c r="F3164" s="89">
        <v>0</v>
      </c>
      <c r="G3164" s="89">
        <v>0</v>
      </c>
      <c r="H3164" s="89">
        <v>0</v>
      </c>
      <c r="I3164" s="89">
        <v>0</v>
      </c>
      <c r="J3164" s="710">
        <f>(VLOOKUP($C3164,[2]Sheet1!$A$2:$P$18,$M3164+1)/12)*12*D3164</f>
        <v>0</v>
      </c>
      <c r="K3164" s="711"/>
      <c r="M3164" s="62">
        <f t="shared" si="256"/>
        <v>5</v>
      </c>
    </row>
    <row r="3165" spans="1:13">
      <c r="A3165" s="88">
        <f t="shared" si="257"/>
        <v>6</v>
      </c>
      <c r="B3165" s="69" t="s">
        <v>1229</v>
      </c>
      <c r="C3165" s="69">
        <v>7</v>
      </c>
      <c r="D3165" s="89">
        <v>0</v>
      </c>
      <c r="E3165" s="89">
        <v>0</v>
      </c>
      <c r="F3165" s="89">
        <v>0</v>
      </c>
      <c r="G3165" s="89">
        <v>0</v>
      </c>
      <c r="H3165" s="89">
        <v>0</v>
      </c>
      <c r="I3165" s="89">
        <v>0</v>
      </c>
      <c r="J3165" s="710">
        <f>(VLOOKUP($C3165,[2]Sheet1!$A$2:$P$18,$M3165+1)/12)*12*D3165</f>
        <v>0</v>
      </c>
      <c r="K3165" s="711"/>
      <c r="M3165" s="62">
        <f t="shared" si="256"/>
        <v>3</v>
      </c>
    </row>
    <row r="3166" spans="1:13">
      <c r="A3166" s="88">
        <f t="shared" si="257"/>
        <v>7</v>
      </c>
      <c r="B3166" s="69" t="s">
        <v>1793</v>
      </c>
      <c r="C3166" s="69">
        <v>6</v>
      </c>
      <c r="D3166" s="89">
        <v>2</v>
      </c>
      <c r="E3166" s="89">
        <v>1</v>
      </c>
      <c r="F3166" s="89">
        <v>0</v>
      </c>
      <c r="G3166" s="89">
        <v>0</v>
      </c>
      <c r="H3166" s="89">
        <v>0</v>
      </c>
      <c r="I3166" s="89">
        <v>0</v>
      </c>
      <c r="J3166" s="710">
        <f>(VLOOKUP($C3166,[2]Sheet1!$A$2:$P$18,$M3166+1)/12)*12*D3166</f>
        <v>476198.75786072994</v>
      </c>
      <c r="K3166" s="711"/>
      <c r="M3166" s="62">
        <f t="shared" si="256"/>
        <v>5</v>
      </c>
    </row>
    <row r="3167" spans="1:13">
      <c r="A3167" s="88">
        <f t="shared" si="257"/>
        <v>8</v>
      </c>
      <c r="B3167" s="69" t="s">
        <v>1940</v>
      </c>
      <c r="C3167" s="69">
        <v>5</v>
      </c>
      <c r="D3167" s="89">
        <v>0</v>
      </c>
      <c r="E3167" s="89">
        <v>0</v>
      </c>
      <c r="F3167" s="89">
        <v>0</v>
      </c>
      <c r="G3167" s="89">
        <v>0</v>
      </c>
      <c r="H3167" s="89">
        <v>0</v>
      </c>
      <c r="I3167" s="89">
        <v>0</v>
      </c>
      <c r="J3167" s="710">
        <f>(VLOOKUP($C3167,[2]Sheet1!$A$2:$P$18,$M3167+1)/12)*12*D3167</f>
        <v>0</v>
      </c>
      <c r="K3167" s="711"/>
      <c r="M3167" s="62">
        <f t="shared" si="256"/>
        <v>5</v>
      </c>
    </row>
    <row r="3168" spans="1:13">
      <c r="A3168" s="88">
        <f t="shared" si="257"/>
        <v>9</v>
      </c>
      <c r="B3168" s="69" t="s">
        <v>2572</v>
      </c>
      <c r="C3168" s="69">
        <v>7</v>
      </c>
      <c r="D3168" s="89">
        <v>0</v>
      </c>
      <c r="E3168" s="89">
        <v>0</v>
      </c>
      <c r="F3168" s="89">
        <v>0</v>
      </c>
      <c r="G3168" s="89">
        <v>0</v>
      </c>
      <c r="H3168" s="89">
        <v>0</v>
      </c>
      <c r="I3168" s="89">
        <v>0</v>
      </c>
      <c r="J3168" s="710">
        <f>(VLOOKUP($C3168,[2]Sheet1!$A$2:$P$18,$M3168+1)/12)*12*D3168</f>
        <v>0</v>
      </c>
      <c r="K3168" s="711"/>
      <c r="M3168" s="62">
        <f t="shared" si="256"/>
        <v>3</v>
      </c>
    </row>
    <row r="3169" spans="1:13">
      <c r="A3169" s="88">
        <f t="shared" si="257"/>
        <v>10</v>
      </c>
      <c r="B3169" s="69" t="s">
        <v>1749</v>
      </c>
      <c r="C3169" s="69">
        <v>6</v>
      </c>
      <c r="D3169" s="89">
        <v>0</v>
      </c>
      <c r="E3169" s="89">
        <v>1</v>
      </c>
      <c r="F3169" s="89">
        <v>0</v>
      </c>
      <c r="G3169" s="89">
        <v>0</v>
      </c>
      <c r="H3169" s="89">
        <v>0</v>
      </c>
      <c r="I3169" s="89">
        <v>0</v>
      </c>
      <c r="J3169" s="710">
        <f>(VLOOKUP($C3169,[2]Sheet1!$A$2:$P$18,$M3169+1)/12)*12*D3169</f>
        <v>0</v>
      </c>
      <c r="K3169" s="711"/>
      <c r="M3169" s="62">
        <f t="shared" si="256"/>
        <v>5</v>
      </c>
    </row>
    <row r="3170" spans="1:13">
      <c r="A3170" s="88">
        <f t="shared" si="257"/>
        <v>11</v>
      </c>
      <c r="B3170" s="69" t="s">
        <v>3796</v>
      </c>
      <c r="C3170" s="69">
        <v>5</v>
      </c>
      <c r="D3170" s="89">
        <v>0</v>
      </c>
      <c r="E3170" s="89">
        <v>0</v>
      </c>
      <c r="F3170" s="89">
        <v>0</v>
      </c>
      <c r="G3170" s="89">
        <v>0</v>
      </c>
      <c r="H3170" s="89">
        <v>0</v>
      </c>
      <c r="I3170" s="89">
        <v>0</v>
      </c>
      <c r="J3170" s="710">
        <f>(VLOOKUP($C3170,[2]Sheet1!$A$2:$P$18,$M3170+1)/12)*12*D3170</f>
        <v>0</v>
      </c>
      <c r="K3170" s="711"/>
      <c r="M3170" s="62">
        <f t="shared" si="256"/>
        <v>5</v>
      </c>
    </row>
    <row r="3171" spans="1:13">
      <c r="A3171" s="88">
        <f t="shared" si="257"/>
        <v>12</v>
      </c>
      <c r="B3171" s="69" t="s">
        <v>3797</v>
      </c>
      <c r="C3171" s="69">
        <v>4</v>
      </c>
      <c r="D3171" s="89">
        <v>0</v>
      </c>
      <c r="E3171" s="89">
        <v>1</v>
      </c>
      <c r="F3171" s="89">
        <v>0</v>
      </c>
      <c r="G3171" s="89">
        <v>0</v>
      </c>
      <c r="H3171" s="89">
        <v>0</v>
      </c>
      <c r="I3171" s="89">
        <v>0</v>
      </c>
      <c r="J3171" s="710">
        <f>(VLOOKUP($C3171,[2]Sheet1!$A$2:$P$18,$M3171+1)/12)*12*D3171</f>
        <v>0</v>
      </c>
      <c r="K3171" s="711"/>
      <c r="M3171" s="62">
        <f t="shared" si="256"/>
        <v>5</v>
      </c>
    </row>
    <row r="3172" spans="1:13">
      <c r="A3172" s="88">
        <f t="shared" si="257"/>
        <v>13</v>
      </c>
      <c r="B3172" s="69" t="s">
        <v>3798</v>
      </c>
      <c r="C3172" s="69">
        <v>3</v>
      </c>
      <c r="D3172" s="89">
        <v>0</v>
      </c>
      <c r="E3172" s="89">
        <v>2</v>
      </c>
      <c r="F3172" s="89">
        <v>0</v>
      </c>
      <c r="G3172" s="89">
        <v>0</v>
      </c>
      <c r="H3172" s="89">
        <v>0</v>
      </c>
      <c r="I3172" s="89">
        <v>0</v>
      </c>
      <c r="J3172" s="710">
        <f>(VLOOKUP($C3172,[2]Sheet1!$A$2:$P$18,$M3172+1)/12)*12*D3172</f>
        <v>0</v>
      </c>
      <c r="K3172" s="711"/>
      <c r="M3172" s="62">
        <f t="shared" si="256"/>
        <v>5</v>
      </c>
    </row>
    <row r="3173" spans="1:13">
      <c r="A3173" s="88">
        <f t="shared" si="257"/>
        <v>14</v>
      </c>
      <c r="B3173" s="69" t="s">
        <v>3250</v>
      </c>
      <c r="C3173" s="69">
        <v>7</v>
      </c>
      <c r="D3173" s="89">
        <v>0</v>
      </c>
      <c r="E3173" s="89">
        <v>0</v>
      </c>
      <c r="F3173" s="89">
        <v>0</v>
      </c>
      <c r="G3173" s="89">
        <v>0</v>
      </c>
      <c r="H3173" s="89">
        <v>0</v>
      </c>
      <c r="I3173" s="89">
        <v>0</v>
      </c>
      <c r="J3173" s="710">
        <f>(VLOOKUP($C3173,[2]Sheet1!$A$2:$P$18,$M3173+1)/12)*12*D3173</f>
        <v>0</v>
      </c>
      <c r="K3173" s="711"/>
      <c r="M3173" s="62">
        <f t="shared" si="256"/>
        <v>3</v>
      </c>
    </row>
    <row r="3174" spans="1:13">
      <c r="A3174" s="88">
        <f t="shared" si="257"/>
        <v>15</v>
      </c>
      <c r="B3174" s="69" t="s">
        <v>1260</v>
      </c>
      <c r="C3174" s="69">
        <v>6</v>
      </c>
      <c r="D3174" s="89">
        <v>0</v>
      </c>
      <c r="E3174" s="89">
        <v>1</v>
      </c>
      <c r="F3174" s="89">
        <v>0</v>
      </c>
      <c r="G3174" s="89">
        <v>0</v>
      </c>
      <c r="H3174" s="89">
        <v>0</v>
      </c>
      <c r="I3174" s="89">
        <v>0</v>
      </c>
      <c r="J3174" s="710">
        <f>(VLOOKUP($C3174,[2]Sheet1!$A$2:$P$18,$M3174+1)/12)*12*D3174</f>
        <v>0</v>
      </c>
      <c r="K3174" s="711"/>
      <c r="M3174" s="62">
        <f t="shared" si="256"/>
        <v>5</v>
      </c>
    </row>
    <row r="3175" spans="1:13">
      <c r="A3175" s="88">
        <f t="shared" si="257"/>
        <v>16</v>
      </c>
      <c r="B3175" s="69" t="s">
        <v>3850</v>
      </c>
      <c r="C3175" s="69">
        <v>5</v>
      </c>
      <c r="D3175" s="89">
        <v>0</v>
      </c>
      <c r="E3175" s="89">
        <v>1</v>
      </c>
      <c r="F3175" s="89">
        <v>0</v>
      </c>
      <c r="G3175" s="89">
        <v>0</v>
      </c>
      <c r="H3175" s="89">
        <v>3</v>
      </c>
      <c r="I3175" s="89">
        <v>3</v>
      </c>
      <c r="J3175" s="710">
        <f>(VLOOKUP($C3175,[2]Sheet1!$A$2:$P$18,$M3175+1)/12)*12*D3175</f>
        <v>0</v>
      </c>
      <c r="K3175" s="711"/>
      <c r="M3175" s="62">
        <f t="shared" si="256"/>
        <v>5</v>
      </c>
    </row>
    <row r="3176" spans="1:13">
      <c r="A3176" s="88">
        <f t="shared" si="257"/>
        <v>17</v>
      </c>
      <c r="B3176" s="69" t="s">
        <v>1387</v>
      </c>
      <c r="C3176" s="69">
        <v>4</v>
      </c>
      <c r="D3176" s="89">
        <v>0</v>
      </c>
      <c r="E3176" s="89">
        <v>0</v>
      </c>
      <c r="F3176" s="89">
        <v>0</v>
      </c>
      <c r="G3176" s="89">
        <v>0</v>
      </c>
      <c r="H3176" s="89">
        <v>0</v>
      </c>
      <c r="I3176" s="89">
        <v>0</v>
      </c>
      <c r="J3176" s="710">
        <f>(VLOOKUP($C3176,[2]Sheet1!$A$2:$P$18,$M3176+1)/12)*12*D3176</f>
        <v>0</v>
      </c>
      <c r="K3176" s="711"/>
      <c r="M3176" s="62">
        <f t="shared" si="256"/>
        <v>5</v>
      </c>
    </row>
    <row r="3177" spans="1:13">
      <c r="A3177" s="88">
        <f t="shared" si="257"/>
        <v>18</v>
      </c>
      <c r="B3177" s="69" t="s">
        <v>679</v>
      </c>
      <c r="C3177" s="69">
        <v>3</v>
      </c>
      <c r="D3177" s="89">
        <v>0</v>
      </c>
      <c r="E3177" s="89">
        <v>0</v>
      </c>
      <c r="F3177" s="89">
        <v>0</v>
      </c>
      <c r="G3177" s="89">
        <v>0</v>
      </c>
      <c r="H3177" s="89">
        <v>0</v>
      </c>
      <c r="I3177" s="89">
        <v>0</v>
      </c>
      <c r="J3177" s="710">
        <f>(VLOOKUP($C3177,[2]Sheet1!$A$2:$P$18,$M3177+1)/12)*12*D3177</f>
        <v>0</v>
      </c>
      <c r="K3177" s="711"/>
      <c r="M3177" s="62">
        <f t="shared" si="256"/>
        <v>5</v>
      </c>
    </row>
    <row r="3178" spans="1:13">
      <c r="A3178" s="88">
        <f t="shared" si="257"/>
        <v>19</v>
      </c>
      <c r="B3178" s="69" t="s">
        <v>3896</v>
      </c>
      <c r="C3178" s="69">
        <v>7</v>
      </c>
      <c r="D3178" s="89">
        <v>0</v>
      </c>
      <c r="E3178" s="89">
        <v>0</v>
      </c>
      <c r="F3178" s="89">
        <v>0</v>
      </c>
      <c r="G3178" s="89">
        <v>0</v>
      </c>
      <c r="H3178" s="89">
        <v>3</v>
      </c>
      <c r="I3178" s="89">
        <v>3</v>
      </c>
      <c r="J3178" s="710">
        <f>(VLOOKUP($C3178,[2]Sheet1!$A$2:$P$18,$M3178+1)/12)*12*D3178</f>
        <v>0</v>
      </c>
      <c r="K3178" s="711"/>
      <c r="M3178" s="62">
        <f t="shared" si="256"/>
        <v>3</v>
      </c>
    </row>
    <row r="3179" spans="1:13">
      <c r="A3179" s="88">
        <f t="shared" si="257"/>
        <v>20</v>
      </c>
      <c r="B3179" s="69" t="s">
        <v>2179</v>
      </c>
      <c r="C3179" s="69">
        <v>4</v>
      </c>
      <c r="D3179" s="89">
        <v>0</v>
      </c>
      <c r="E3179" s="89">
        <v>3</v>
      </c>
      <c r="F3179" s="89">
        <v>0</v>
      </c>
      <c r="G3179" s="89">
        <v>0</v>
      </c>
      <c r="H3179" s="89">
        <v>0</v>
      </c>
      <c r="I3179" s="89">
        <v>0</v>
      </c>
      <c r="J3179" s="710">
        <f>(VLOOKUP($C3179,[2]Sheet1!$A$2:$P$18,$M3179+1)/12)*12*D3179</f>
        <v>0</v>
      </c>
      <c r="K3179" s="711"/>
      <c r="M3179" s="62">
        <f t="shared" si="256"/>
        <v>5</v>
      </c>
    </row>
    <row r="3180" spans="1:13">
      <c r="A3180" s="88">
        <f t="shared" si="257"/>
        <v>21</v>
      </c>
      <c r="B3180" s="69" t="s">
        <v>2542</v>
      </c>
      <c r="C3180" s="69">
        <v>3</v>
      </c>
      <c r="D3180" s="89">
        <v>0</v>
      </c>
      <c r="E3180" s="89">
        <v>2</v>
      </c>
      <c r="F3180" s="89">
        <v>0</v>
      </c>
      <c r="G3180" s="89">
        <v>0</v>
      </c>
      <c r="H3180" s="89">
        <v>0</v>
      </c>
      <c r="I3180" s="89">
        <v>0</v>
      </c>
      <c r="J3180" s="710">
        <f>(VLOOKUP($C3180,[2]Sheet1!$A$2:$P$18,$M3180+1)/12)*12*D3180</f>
        <v>0</v>
      </c>
      <c r="K3180" s="711"/>
      <c r="M3180" s="62">
        <f t="shared" si="256"/>
        <v>5</v>
      </c>
    </row>
    <row r="3181" spans="1:13">
      <c r="A3181" s="88">
        <f t="shared" si="257"/>
        <v>22</v>
      </c>
      <c r="B3181" s="69" t="s">
        <v>2543</v>
      </c>
      <c r="C3181" s="69">
        <v>2</v>
      </c>
      <c r="D3181" s="89">
        <v>0</v>
      </c>
      <c r="E3181" s="89">
        <v>10</v>
      </c>
      <c r="F3181" s="89">
        <v>0</v>
      </c>
      <c r="G3181" s="89">
        <v>0</v>
      </c>
      <c r="H3181" s="89">
        <v>0</v>
      </c>
      <c r="I3181" s="89">
        <v>0</v>
      </c>
      <c r="J3181" s="710">
        <f>(VLOOKUP($C3181,[2]Sheet1!$A$2:$P$18,$M3181+1)/12)*12*D3181</f>
        <v>0</v>
      </c>
      <c r="K3181" s="711"/>
      <c r="M3181" s="62">
        <f t="shared" si="256"/>
        <v>5</v>
      </c>
    </row>
    <row r="3182" spans="1:13">
      <c r="A3182" s="88">
        <f t="shared" si="257"/>
        <v>23</v>
      </c>
      <c r="B3182" s="69" t="s">
        <v>2242</v>
      </c>
      <c r="C3182" s="69">
        <v>3</v>
      </c>
      <c r="D3182" s="89">
        <v>0</v>
      </c>
      <c r="E3182" s="89">
        <v>1</v>
      </c>
      <c r="F3182" s="89">
        <v>0</v>
      </c>
      <c r="G3182" s="89">
        <v>0</v>
      </c>
      <c r="H3182" s="89">
        <v>0</v>
      </c>
      <c r="I3182" s="89">
        <v>0</v>
      </c>
      <c r="J3182" s="710">
        <f>(VLOOKUP($C3182,[2]Sheet1!$A$2:$P$18,$M3182+1)/12)*12*D3182</f>
        <v>0</v>
      </c>
      <c r="K3182" s="711"/>
      <c r="M3182" s="62">
        <f t="shared" si="256"/>
        <v>5</v>
      </c>
    </row>
    <row r="3183" spans="1:13">
      <c r="A3183" s="88">
        <f t="shared" si="257"/>
        <v>24</v>
      </c>
      <c r="B3183" s="69" t="s">
        <v>2172</v>
      </c>
      <c r="C3183" s="69">
        <v>2</v>
      </c>
      <c r="D3183" s="89">
        <v>0</v>
      </c>
      <c r="E3183" s="89">
        <v>2</v>
      </c>
      <c r="F3183" s="89">
        <v>0</v>
      </c>
      <c r="G3183" s="89">
        <v>0</v>
      </c>
      <c r="H3183" s="89">
        <v>0</v>
      </c>
      <c r="I3183" s="89">
        <v>0</v>
      </c>
      <c r="J3183" s="710">
        <f>(VLOOKUP($C3183,[2]Sheet1!$A$2:$P$18,$M3183+1)/12)*12*D3183</f>
        <v>0</v>
      </c>
      <c r="K3183" s="711"/>
      <c r="M3183" s="62">
        <f t="shared" si="256"/>
        <v>5</v>
      </c>
    </row>
    <row r="3184" spans="1:13">
      <c r="A3184" s="88">
        <f t="shared" si="257"/>
        <v>25</v>
      </c>
      <c r="B3184" s="69" t="s">
        <v>2172</v>
      </c>
      <c r="C3184" s="69">
        <v>1</v>
      </c>
      <c r="D3184" s="89">
        <v>0</v>
      </c>
      <c r="E3184" s="89">
        <v>6</v>
      </c>
      <c r="F3184" s="89">
        <v>0</v>
      </c>
      <c r="G3184" s="89">
        <v>0</v>
      </c>
      <c r="H3184" s="89">
        <v>0</v>
      </c>
      <c r="I3184" s="89">
        <v>0</v>
      </c>
      <c r="J3184" s="710">
        <f>(VLOOKUP($C3184,[2]Sheet1!$A$2:$P$18,$M3184+1)/12)*12*D3184</f>
        <v>0</v>
      </c>
      <c r="K3184" s="711"/>
      <c r="M3184" s="62">
        <f t="shared" si="256"/>
        <v>5</v>
      </c>
    </row>
    <row r="3185" spans="1:13">
      <c r="A3185" s="88">
        <f t="shared" si="257"/>
        <v>26</v>
      </c>
      <c r="B3185" s="69" t="s">
        <v>1311</v>
      </c>
      <c r="C3185" s="69">
        <v>5</v>
      </c>
      <c r="D3185" s="89">
        <v>0</v>
      </c>
      <c r="E3185" s="89">
        <v>0</v>
      </c>
      <c r="F3185" s="89">
        <v>0</v>
      </c>
      <c r="G3185" s="89">
        <v>0</v>
      </c>
      <c r="H3185" s="89">
        <v>0</v>
      </c>
      <c r="I3185" s="89">
        <v>0</v>
      </c>
      <c r="J3185" s="710">
        <f>(VLOOKUP($C3185,[2]Sheet1!$A$2:$P$18,$M3185+1)/12)*12*D3185</f>
        <v>0</v>
      </c>
      <c r="K3185" s="711"/>
      <c r="M3185" s="62">
        <f t="shared" si="256"/>
        <v>5</v>
      </c>
    </row>
    <row r="3186" spans="1:13">
      <c r="A3186" s="88">
        <f t="shared" si="257"/>
        <v>27</v>
      </c>
      <c r="B3186" s="69" t="s">
        <v>1312</v>
      </c>
      <c r="C3186" s="69">
        <v>4</v>
      </c>
      <c r="D3186" s="89">
        <v>0</v>
      </c>
      <c r="E3186" s="89">
        <v>0</v>
      </c>
      <c r="F3186" s="89">
        <v>0</v>
      </c>
      <c r="G3186" s="89">
        <v>0</v>
      </c>
      <c r="H3186" s="89">
        <v>0</v>
      </c>
      <c r="I3186" s="89">
        <v>0</v>
      </c>
      <c r="J3186" s="710">
        <f>(VLOOKUP($C3186,[2]Sheet1!$A$2:$P$18,$M3186+1)/12)*12*D3186</f>
        <v>0</v>
      </c>
      <c r="K3186" s="711"/>
      <c r="M3186" s="62">
        <f t="shared" si="256"/>
        <v>5</v>
      </c>
    </row>
    <row r="3187" spans="1:13">
      <c r="A3187" s="88">
        <f t="shared" si="257"/>
        <v>28</v>
      </c>
      <c r="B3187" s="69" t="s">
        <v>3674</v>
      </c>
      <c r="C3187" s="69">
        <v>2</v>
      </c>
      <c r="D3187" s="89">
        <v>6</v>
      </c>
      <c r="E3187" s="89">
        <v>1</v>
      </c>
      <c r="F3187" s="89">
        <v>6</v>
      </c>
      <c r="G3187" s="89">
        <v>6</v>
      </c>
      <c r="H3187" s="89">
        <v>6</v>
      </c>
      <c r="I3187" s="89">
        <v>6</v>
      </c>
      <c r="J3187" s="710">
        <f>(VLOOKUP($C3187,[2]Sheet1!$A$2:$P$18,$M3187+1)/12)*12*D3187</f>
        <v>1287944.2735821903</v>
      </c>
      <c r="K3187" s="711"/>
      <c r="M3187" s="62">
        <f t="shared" si="256"/>
        <v>5</v>
      </c>
    </row>
    <row r="3188" spans="1:13">
      <c r="A3188" s="88">
        <f t="shared" si="257"/>
        <v>29</v>
      </c>
      <c r="B3188" s="69" t="s">
        <v>2081</v>
      </c>
      <c r="C3188" s="69">
        <v>3</v>
      </c>
      <c r="D3188" s="89">
        <v>0</v>
      </c>
      <c r="E3188" s="89">
        <v>2</v>
      </c>
      <c r="F3188" s="89">
        <v>0</v>
      </c>
      <c r="G3188" s="89">
        <v>0</v>
      </c>
      <c r="H3188" s="89">
        <v>0</v>
      </c>
      <c r="I3188" s="89">
        <v>0</v>
      </c>
      <c r="J3188" s="710">
        <f>(VLOOKUP($C3188,[2]Sheet1!$A$2:$P$18,$M3188+1)/12)*12*D3188</f>
        <v>0</v>
      </c>
      <c r="K3188" s="711"/>
      <c r="M3188" s="62">
        <f t="shared" si="256"/>
        <v>5</v>
      </c>
    </row>
    <row r="3189" spans="1:13">
      <c r="A3189" s="88">
        <f t="shared" si="257"/>
        <v>30</v>
      </c>
      <c r="B3189" s="69" t="s">
        <v>2082</v>
      </c>
      <c r="C3189" s="69">
        <v>8</v>
      </c>
      <c r="D3189" s="89">
        <v>0</v>
      </c>
      <c r="E3189" s="89">
        <v>1</v>
      </c>
      <c r="F3189" s="89">
        <v>0</v>
      </c>
      <c r="G3189" s="89">
        <v>0</v>
      </c>
      <c r="H3189" s="89">
        <v>0</v>
      </c>
      <c r="I3189" s="89">
        <v>0</v>
      </c>
      <c r="J3189" s="710">
        <f>(VLOOKUP($C3189,[2]Sheet1!$A$2:$P$18,$M3189+1)/12)*12*D3189</f>
        <v>0</v>
      </c>
      <c r="K3189" s="711"/>
      <c r="M3189" s="62">
        <f t="shared" si="256"/>
        <v>3</v>
      </c>
    </row>
    <row r="3190" spans="1:13">
      <c r="A3190" s="88">
        <f t="shared" si="257"/>
        <v>31</v>
      </c>
      <c r="B3190" s="69" t="s">
        <v>1094</v>
      </c>
      <c r="C3190" s="69">
        <v>6</v>
      </c>
      <c r="D3190" s="89">
        <v>0</v>
      </c>
      <c r="E3190" s="89">
        <v>1</v>
      </c>
      <c r="F3190" s="89">
        <v>0</v>
      </c>
      <c r="G3190" s="89">
        <v>0</v>
      </c>
      <c r="H3190" s="89">
        <v>0</v>
      </c>
      <c r="I3190" s="89">
        <v>0</v>
      </c>
      <c r="J3190" s="710">
        <f>(VLOOKUP($C3190,[2]Sheet1!$A$2:$P$18,$M3190+1)/12)*12*D3190</f>
        <v>0</v>
      </c>
      <c r="K3190" s="711"/>
      <c r="M3190" s="62">
        <f t="shared" si="256"/>
        <v>5</v>
      </c>
    </row>
    <row r="3191" spans="1:13">
      <c r="A3191" s="88"/>
      <c r="B3191" s="90" t="s">
        <v>3521</v>
      </c>
      <c r="C3191" s="69"/>
      <c r="D3191" s="89"/>
      <c r="E3191" s="89"/>
      <c r="F3191" s="89"/>
      <c r="G3191" s="89"/>
      <c r="H3191" s="89"/>
      <c r="I3191" s="89"/>
      <c r="J3191" s="710"/>
      <c r="K3191" s="711"/>
      <c r="M3191" s="62">
        <f t="shared" si="256"/>
        <v>5</v>
      </c>
    </row>
    <row r="3192" spans="1:13">
      <c r="A3192" s="88">
        <v>32</v>
      </c>
      <c r="B3192" s="69" t="s">
        <v>3532</v>
      </c>
      <c r="C3192" s="69">
        <v>16</v>
      </c>
      <c r="D3192" s="89">
        <v>1</v>
      </c>
      <c r="E3192" s="89">
        <v>0</v>
      </c>
      <c r="F3192" s="89">
        <v>1</v>
      </c>
      <c r="G3192" s="89">
        <v>1</v>
      </c>
      <c r="H3192" s="89">
        <v>1</v>
      </c>
      <c r="I3192" s="89">
        <v>1</v>
      </c>
      <c r="J3192" s="710">
        <f>(VLOOKUP($C3192,[2]Sheet1!$A$2:$P$18,$M3192+1)/12)*12*D3192</f>
        <v>677281.26084</v>
      </c>
      <c r="K3192" s="711"/>
      <c r="M3192" s="62">
        <f t="shared" si="256"/>
        <v>3</v>
      </c>
    </row>
    <row r="3193" spans="1:13">
      <c r="A3193" s="88">
        <f t="shared" si="257"/>
        <v>33</v>
      </c>
      <c r="B3193" s="69" t="s">
        <v>1256</v>
      </c>
      <c r="C3193" s="69">
        <v>15</v>
      </c>
      <c r="D3193" s="89">
        <v>0</v>
      </c>
      <c r="E3193" s="89">
        <v>0</v>
      </c>
      <c r="F3193" s="89">
        <v>0</v>
      </c>
      <c r="G3193" s="89">
        <v>0</v>
      </c>
      <c r="H3193" s="89">
        <v>0</v>
      </c>
      <c r="I3193" s="89">
        <v>0</v>
      </c>
      <c r="J3193" s="710">
        <f>(VLOOKUP($C3193,[2]Sheet1!$A$2:$P$18,$M3193+1)/12)*12*D3193</f>
        <v>0</v>
      </c>
      <c r="K3193" s="711"/>
      <c r="M3193" s="62">
        <f t="shared" si="256"/>
        <v>3</v>
      </c>
    </row>
    <row r="3194" spans="1:13">
      <c r="A3194" s="88">
        <f t="shared" si="257"/>
        <v>34</v>
      </c>
      <c r="B3194" s="69" t="s">
        <v>3533</v>
      </c>
      <c r="C3194" s="69">
        <v>14</v>
      </c>
      <c r="D3194" s="89">
        <v>0</v>
      </c>
      <c r="E3194" s="89">
        <v>0</v>
      </c>
      <c r="F3194" s="89">
        <v>0</v>
      </c>
      <c r="G3194" s="89">
        <v>0</v>
      </c>
      <c r="H3194" s="89">
        <v>0</v>
      </c>
      <c r="I3194" s="89">
        <v>0</v>
      </c>
      <c r="J3194" s="710">
        <f>(VLOOKUP($C3194,[2]Sheet1!$A$2:$P$18,$M3194+1)/12)*12*D3194</f>
        <v>0</v>
      </c>
      <c r="K3194" s="711"/>
      <c r="M3194" s="62">
        <f t="shared" si="256"/>
        <v>3</v>
      </c>
    </row>
    <row r="3195" spans="1:13" ht="13.5" thickBot="1">
      <c r="A3195" s="88">
        <f t="shared" si="257"/>
        <v>35</v>
      </c>
      <c r="B3195" s="69" t="s">
        <v>1948</v>
      </c>
      <c r="C3195" s="69">
        <v>12</v>
      </c>
      <c r="D3195" s="89">
        <v>0</v>
      </c>
      <c r="E3195" s="89">
        <v>0</v>
      </c>
      <c r="F3195" s="89">
        <v>0</v>
      </c>
      <c r="G3195" s="89">
        <v>0</v>
      </c>
      <c r="H3195" s="89">
        <v>0</v>
      </c>
      <c r="I3195" s="89">
        <v>0</v>
      </c>
      <c r="J3195" s="710">
        <f>(VLOOKUP($C3195,[2]Sheet1!$A$2:$P$18,$M3195+1)/12)*12*D3195</f>
        <v>0</v>
      </c>
      <c r="K3195" s="711"/>
      <c r="M3195" s="62">
        <f t="shared" si="256"/>
        <v>3</v>
      </c>
    </row>
    <row r="3196" spans="1:13" ht="15.75" thickTop="1">
      <c r="A3196" s="1047" t="s">
        <v>2791</v>
      </c>
      <c r="B3196" s="1049" t="s">
        <v>4126</v>
      </c>
      <c r="C3196" s="1049" t="s">
        <v>854</v>
      </c>
      <c r="D3196" s="1040" t="s">
        <v>4127</v>
      </c>
      <c r="E3196" s="1041"/>
      <c r="F3196" s="1041"/>
      <c r="G3196" s="1040" t="s">
        <v>904</v>
      </c>
      <c r="H3196" s="1041"/>
      <c r="I3196" s="1042"/>
      <c r="J3196" s="1035" t="s">
        <v>855</v>
      </c>
      <c r="K3196" s="389"/>
    </row>
    <row r="3197" spans="1:13" ht="26.25" thickBot="1">
      <c r="A3197" s="1048"/>
      <c r="B3197" s="1050"/>
      <c r="C3197" s="1050"/>
      <c r="D3197" s="285" t="s">
        <v>5505</v>
      </c>
      <c r="E3197" s="285" t="s">
        <v>4485</v>
      </c>
      <c r="F3197" s="285" t="s">
        <v>4486</v>
      </c>
      <c r="G3197" s="287" t="s">
        <v>4487</v>
      </c>
      <c r="H3197" s="285" t="s">
        <v>4488</v>
      </c>
      <c r="I3197" s="287" t="s">
        <v>4489</v>
      </c>
      <c r="J3197" s="1036"/>
      <c r="K3197" s="712"/>
    </row>
    <row r="3198" spans="1:13" ht="13.5" thickTop="1">
      <c r="A3198" s="88">
        <f>+A3195+1</f>
        <v>36</v>
      </c>
      <c r="B3198" s="69" t="s">
        <v>1949</v>
      </c>
      <c r="C3198" s="69">
        <v>10</v>
      </c>
      <c r="D3198" s="89">
        <v>0</v>
      </c>
      <c r="E3198" s="89">
        <v>0</v>
      </c>
      <c r="F3198" s="89">
        <v>0</v>
      </c>
      <c r="G3198" s="89">
        <v>0</v>
      </c>
      <c r="H3198" s="89">
        <v>0</v>
      </c>
      <c r="I3198" s="89">
        <v>0</v>
      </c>
      <c r="J3198" s="710">
        <f>(VLOOKUP($C3198,[2]Sheet1!$A$2:$P$18,$M3198+1)/12)*12*D3198</f>
        <v>0</v>
      </c>
      <c r="K3198" s="711"/>
      <c r="M3198" s="62">
        <f t="shared" si="256"/>
        <v>3</v>
      </c>
    </row>
    <row r="3199" spans="1:13">
      <c r="A3199" s="88">
        <f>+A3198+1</f>
        <v>37</v>
      </c>
      <c r="B3199" s="69" t="s">
        <v>1950</v>
      </c>
      <c r="C3199" s="69">
        <v>9</v>
      </c>
      <c r="D3199" s="89">
        <v>2</v>
      </c>
      <c r="E3199" s="89">
        <v>0</v>
      </c>
      <c r="F3199" s="89">
        <v>2</v>
      </c>
      <c r="G3199" s="89">
        <v>2</v>
      </c>
      <c r="H3199" s="89">
        <v>2</v>
      </c>
      <c r="I3199" s="89">
        <v>2</v>
      </c>
      <c r="J3199" s="710">
        <f>(VLOOKUP($C3199,[2]Sheet1!$A$2:$P$18,$M3199+1)/12)*12*D3199</f>
        <v>819363.81239999994</v>
      </c>
      <c r="K3199" s="711"/>
      <c r="M3199" s="62">
        <f t="shared" si="256"/>
        <v>3</v>
      </c>
    </row>
    <row r="3200" spans="1:13">
      <c r="A3200" s="88">
        <f t="shared" si="257"/>
        <v>38</v>
      </c>
      <c r="B3200" s="69" t="s">
        <v>2425</v>
      </c>
      <c r="C3200" s="69">
        <v>8</v>
      </c>
      <c r="D3200" s="89">
        <v>0</v>
      </c>
      <c r="E3200" s="89">
        <v>0</v>
      </c>
      <c r="F3200" s="89">
        <v>0</v>
      </c>
      <c r="G3200" s="89">
        <v>0</v>
      </c>
      <c r="H3200" s="89">
        <v>0</v>
      </c>
      <c r="I3200" s="89">
        <v>0</v>
      </c>
      <c r="J3200" s="710">
        <f>(VLOOKUP($C3200,[2]Sheet1!$A$2:$P$18,$M3200+1)/12)*12*D3200</f>
        <v>0</v>
      </c>
      <c r="K3200" s="711"/>
      <c r="M3200" s="62">
        <f t="shared" si="256"/>
        <v>3</v>
      </c>
    </row>
    <row r="3201" spans="1:13">
      <c r="A3201" s="88">
        <f t="shared" si="257"/>
        <v>39</v>
      </c>
      <c r="B3201" s="69" t="s">
        <v>3541</v>
      </c>
      <c r="C3201" s="69">
        <v>10</v>
      </c>
      <c r="D3201" s="89">
        <v>1</v>
      </c>
      <c r="E3201" s="89">
        <v>1</v>
      </c>
      <c r="F3201" s="89">
        <v>1</v>
      </c>
      <c r="G3201" s="89">
        <v>1</v>
      </c>
      <c r="H3201" s="89">
        <v>1</v>
      </c>
      <c r="I3201" s="89">
        <v>1</v>
      </c>
      <c r="J3201" s="710">
        <f>(VLOOKUP($C3201,[2]Sheet1!$A$2:$P$18,$M3201+1)/12)*12*D3201</f>
        <v>483974.5687200001</v>
      </c>
      <c r="K3201" s="711"/>
      <c r="M3201" s="62">
        <f t="shared" si="256"/>
        <v>3</v>
      </c>
    </row>
    <row r="3202" spans="1:13">
      <c r="A3202" s="88">
        <f t="shared" si="257"/>
        <v>40</v>
      </c>
      <c r="B3202" s="69" t="s">
        <v>2784</v>
      </c>
      <c r="C3202" s="69">
        <v>7</v>
      </c>
      <c r="D3202" s="89">
        <v>1</v>
      </c>
      <c r="E3202" s="89">
        <v>1</v>
      </c>
      <c r="F3202" s="89">
        <v>1</v>
      </c>
      <c r="G3202" s="89">
        <v>1</v>
      </c>
      <c r="H3202" s="89">
        <v>1</v>
      </c>
      <c r="I3202" s="89">
        <v>1</v>
      </c>
      <c r="J3202" s="710">
        <f>(VLOOKUP($C3202,[2]Sheet1!$A$2:$P$18,$M3202+1)/12)*12*D3202</f>
        <v>307706.70240000007</v>
      </c>
      <c r="K3202" s="711"/>
      <c r="M3202" s="62">
        <f t="shared" si="256"/>
        <v>3</v>
      </c>
    </row>
    <row r="3203" spans="1:13">
      <c r="A3203" s="88">
        <f t="shared" si="257"/>
        <v>41</v>
      </c>
      <c r="B3203" s="69" t="s">
        <v>2874</v>
      </c>
      <c r="C3203" s="69">
        <v>4</v>
      </c>
      <c r="D3203" s="89">
        <v>0</v>
      </c>
      <c r="E3203" s="89">
        <v>1</v>
      </c>
      <c r="F3203" s="89">
        <v>0</v>
      </c>
      <c r="G3203" s="89">
        <v>0</v>
      </c>
      <c r="H3203" s="89">
        <v>0</v>
      </c>
      <c r="I3203" s="89">
        <v>0</v>
      </c>
      <c r="J3203" s="710">
        <f>(VLOOKUP($C3203,[2]Sheet1!$A$2:$P$18,$M3203+1)/12)*12*D3203</f>
        <v>0</v>
      </c>
      <c r="K3203" s="711"/>
      <c r="M3203" s="62">
        <f t="shared" si="256"/>
        <v>5</v>
      </c>
    </row>
    <row r="3204" spans="1:13">
      <c r="A3204" s="88">
        <f t="shared" si="257"/>
        <v>42</v>
      </c>
      <c r="B3204" s="69" t="s">
        <v>2416</v>
      </c>
      <c r="C3204" s="69">
        <v>3</v>
      </c>
      <c r="D3204" s="89">
        <v>3</v>
      </c>
      <c r="E3204" s="89">
        <v>1</v>
      </c>
      <c r="F3204" s="89">
        <v>3</v>
      </c>
      <c r="G3204" s="89">
        <v>3</v>
      </c>
      <c r="H3204" s="89">
        <v>3</v>
      </c>
      <c r="I3204" s="89">
        <v>3</v>
      </c>
      <c r="J3204" s="710">
        <f>(VLOOKUP($C3204,[2]Sheet1!$A$2:$P$18,$M3204+1)/12)*12*D3204</f>
        <v>658008.53679109493</v>
      </c>
      <c r="K3204" s="711"/>
      <c r="M3204" s="62">
        <f t="shared" si="256"/>
        <v>5</v>
      </c>
    </row>
    <row r="3205" spans="1:13">
      <c r="A3205" s="88">
        <f>+A3204+1</f>
        <v>43</v>
      </c>
      <c r="B3205" s="69" t="s">
        <v>2867</v>
      </c>
      <c r="C3205" s="69">
        <v>7</v>
      </c>
      <c r="D3205" s="89">
        <v>0</v>
      </c>
      <c r="E3205" s="89">
        <v>0</v>
      </c>
      <c r="F3205" s="89">
        <v>0</v>
      </c>
      <c r="G3205" s="89">
        <v>0</v>
      </c>
      <c r="H3205" s="89">
        <v>0</v>
      </c>
      <c r="I3205" s="89">
        <v>0</v>
      </c>
      <c r="J3205" s="710">
        <f>(VLOOKUP($C3205,[2]Sheet1!$A$2:$P$18,$M3205+1)/12)*12*D3205</f>
        <v>0</v>
      </c>
      <c r="K3205" s="711"/>
      <c r="M3205" s="62">
        <f t="shared" si="256"/>
        <v>3</v>
      </c>
    </row>
    <row r="3206" spans="1:13">
      <c r="A3206" s="88">
        <f t="shared" si="257"/>
        <v>44</v>
      </c>
      <c r="B3206" s="69" t="s">
        <v>1317</v>
      </c>
      <c r="C3206" s="69">
        <v>6</v>
      </c>
      <c r="D3206" s="89">
        <v>0</v>
      </c>
      <c r="E3206" s="89">
        <v>0</v>
      </c>
      <c r="F3206" s="89">
        <v>0</v>
      </c>
      <c r="G3206" s="89">
        <v>0</v>
      </c>
      <c r="H3206" s="89">
        <v>0</v>
      </c>
      <c r="I3206" s="89">
        <v>0</v>
      </c>
      <c r="J3206" s="710">
        <f>(VLOOKUP($C3206,[2]Sheet1!$A$2:$P$18,$M3206+1)/12)*12*D3206</f>
        <v>0</v>
      </c>
      <c r="K3206" s="711"/>
      <c r="M3206" s="62">
        <f t="shared" si="256"/>
        <v>5</v>
      </c>
    </row>
    <row r="3207" spans="1:13">
      <c r="A3207" s="88">
        <f>+A3206+1</f>
        <v>45</v>
      </c>
      <c r="B3207" s="69" t="s">
        <v>602</v>
      </c>
      <c r="C3207" s="69">
        <v>5</v>
      </c>
      <c r="D3207" s="89">
        <v>1</v>
      </c>
      <c r="E3207" s="89">
        <v>0</v>
      </c>
      <c r="F3207" s="89">
        <v>1</v>
      </c>
      <c r="G3207" s="89">
        <v>1</v>
      </c>
      <c r="H3207" s="89">
        <v>1</v>
      </c>
      <c r="I3207" s="89">
        <v>1</v>
      </c>
      <c r="J3207" s="710">
        <f>(VLOOKUP($C3207,[2]Sheet1!$A$2:$P$18,$M3207+1)/12)*12*D3207</f>
        <v>229569.77893036499</v>
      </c>
      <c r="K3207" s="711"/>
      <c r="M3207" s="62">
        <f t="shared" si="256"/>
        <v>5</v>
      </c>
    </row>
    <row r="3208" spans="1:13">
      <c r="A3208" s="88">
        <f t="shared" si="257"/>
        <v>46</v>
      </c>
      <c r="B3208" s="69" t="s">
        <v>603</v>
      </c>
      <c r="C3208" s="69">
        <v>4</v>
      </c>
      <c r="D3208" s="89">
        <v>0</v>
      </c>
      <c r="E3208" s="89">
        <v>0</v>
      </c>
      <c r="F3208" s="89">
        <v>0</v>
      </c>
      <c r="G3208" s="89">
        <v>0</v>
      </c>
      <c r="H3208" s="89">
        <v>0</v>
      </c>
      <c r="I3208" s="89">
        <v>0</v>
      </c>
      <c r="J3208" s="710">
        <f>(VLOOKUP($C3208,[2]Sheet1!$A$2:$P$18,$M3208+1)/12)*12*D3208</f>
        <v>0</v>
      </c>
      <c r="K3208" s="711"/>
      <c r="M3208" s="62">
        <f t="shared" si="256"/>
        <v>5</v>
      </c>
    </row>
    <row r="3209" spans="1:13">
      <c r="A3209" s="88">
        <f t="shared" si="257"/>
        <v>47</v>
      </c>
      <c r="B3209" s="69" t="s">
        <v>1699</v>
      </c>
      <c r="C3209" s="69">
        <v>9</v>
      </c>
      <c r="D3209" s="89">
        <v>0</v>
      </c>
      <c r="E3209" s="89">
        <v>0</v>
      </c>
      <c r="F3209" s="89">
        <v>0</v>
      </c>
      <c r="G3209" s="89">
        <v>0</v>
      </c>
      <c r="H3209" s="89">
        <v>0</v>
      </c>
      <c r="I3209" s="89">
        <v>0</v>
      </c>
      <c r="J3209" s="710">
        <f>(VLOOKUP($C3209,[2]Sheet1!$A$2:$P$18,$M3209+1)/12)*12*D3209</f>
        <v>0</v>
      </c>
      <c r="K3209" s="711"/>
      <c r="M3209" s="62">
        <f t="shared" si="256"/>
        <v>3</v>
      </c>
    </row>
    <row r="3210" spans="1:13">
      <c r="A3210" s="88">
        <f t="shared" si="257"/>
        <v>48</v>
      </c>
      <c r="B3210" s="69" t="s">
        <v>2066</v>
      </c>
      <c r="C3210" s="69">
        <v>8</v>
      </c>
      <c r="D3210" s="89">
        <v>0</v>
      </c>
      <c r="E3210" s="89">
        <v>0</v>
      </c>
      <c r="F3210" s="89">
        <v>0</v>
      </c>
      <c r="G3210" s="89">
        <v>0</v>
      </c>
      <c r="H3210" s="89">
        <v>0</v>
      </c>
      <c r="I3210" s="89">
        <v>0</v>
      </c>
      <c r="J3210" s="710">
        <f>(VLOOKUP($C3210,[2]Sheet1!$A$2:$P$18,$M3210+1)/12)*12*D3210</f>
        <v>0</v>
      </c>
      <c r="K3210" s="711"/>
      <c r="M3210" s="62">
        <f t="shared" si="256"/>
        <v>3</v>
      </c>
    </row>
    <row r="3211" spans="1:13">
      <c r="A3211" s="88"/>
      <c r="B3211" s="90" t="s">
        <v>1091</v>
      </c>
      <c r="C3211" s="69"/>
      <c r="D3211" s="89"/>
      <c r="E3211" s="89"/>
      <c r="F3211" s="89"/>
      <c r="G3211" s="89"/>
      <c r="H3211" s="89"/>
      <c r="I3211" s="89"/>
      <c r="J3211" s="710"/>
      <c r="K3211" s="711"/>
      <c r="M3211" s="62">
        <f t="shared" si="256"/>
        <v>5</v>
      </c>
    </row>
    <row r="3212" spans="1:13">
      <c r="A3212" s="88">
        <f>+A3210+1</f>
        <v>49</v>
      </c>
      <c r="B3212" s="69" t="s">
        <v>3532</v>
      </c>
      <c r="C3212" s="69">
        <v>16</v>
      </c>
      <c r="D3212" s="89">
        <v>1</v>
      </c>
      <c r="E3212" s="89">
        <v>1</v>
      </c>
      <c r="F3212" s="89">
        <v>1</v>
      </c>
      <c r="G3212" s="89">
        <v>1</v>
      </c>
      <c r="H3212" s="89">
        <v>1</v>
      </c>
      <c r="I3212" s="89">
        <v>1</v>
      </c>
      <c r="J3212" s="710">
        <f>(VLOOKUP($C3212,[2]Sheet1!$A$2:$P$18,$M3212+1)/12)*12*D3212</f>
        <v>677281.26084</v>
      </c>
      <c r="K3212" s="711"/>
      <c r="M3212" s="62">
        <f t="shared" si="256"/>
        <v>3</v>
      </c>
    </row>
    <row r="3213" spans="1:13">
      <c r="A3213" s="88">
        <f t="shared" ref="A3213:A3240" si="258">+A3212+1</f>
        <v>50</v>
      </c>
      <c r="B3213" s="69" t="s">
        <v>1256</v>
      </c>
      <c r="C3213" s="69">
        <v>15</v>
      </c>
      <c r="D3213" s="89">
        <v>1</v>
      </c>
      <c r="E3213" s="89">
        <v>1</v>
      </c>
      <c r="F3213" s="89">
        <v>1</v>
      </c>
      <c r="G3213" s="89">
        <v>1</v>
      </c>
      <c r="H3213" s="89">
        <v>1</v>
      </c>
      <c r="I3213" s="89">
        <v>1</v>
      </c>
      <c r="J3213" s="710">
        <f>(VLOOKUP($C3213,[2]Sheet1!$A$2:$P$18,$M3213+1)/12)*12*D3213</f>
        <v>658331.89992</v>
      </c>
      <c r="K3213" s="711"/>
      <c r="M3213" s="62">
        <f t="shared" si="256"/>
        <v>3</v>
      </c>
    </row>
    <row r="3214" spans="1:13">
      <c r="A3214" s="88">
        <f t="shared" si="258"/>
        <v>51</v>
      </c>
      <c r="B3214" s="69" t="s">
        <v>518</v>
      </c>
      <c r="C3214" s="69">
        <v>14</v>
      </c>
      <c r="D3214" s="89">
        <v>1</v>
      </c>
      <c r="E3214" s="89">
        <v>1</v>
      </c>
      <c r="F3214" s="89">
        <v>1</v>
      </c>
      <c r="G3214" s="89">
        <v>1</v>
      </c>
      <c r="H3214" s="89">
        <v>1</v>
      </c>
      <c r="I3214" s="89">
        <v>1</v>
      </c>
      <c r="J3214" s="710">
        <f>(VLOOKUP($C3214,[2]Sheet1!$A$2:$P$18,$M3214+1)/12)*12*D3214</f>
        <v>669099.40824000002</v>
      </c>
      <c r="K3214" s="711"/>
      <c r="M3214" s="62">
        <f t="shared" si="256"/>
        <v>3</v>
      </c>
    </row>
    <row r="3215" spans="1:13">
      <c r="A3215" s="88">
        <f t="shared" si="258"/>
        <v>52</v>
      </c>
      <c r="B3215" s="69" t="s">
        <v>2072</v>
      </c>
      <c r="C3215" s="69">
        <v>13</v>
      </c>
      <c r="D3215" s="89">
        <v>2</v>
      </c>
      <c r="E3215" s="89">
        <v>2</v>
      </c>
      <c r="F3215" s="89">
        <v>2</v>
      </c>
      <c r="G3215" s="89">
        <v>2</v>
      </c>
      <c r="H3215" s="89">
        <v>2</v>
      </c>
      <c r="I3215" s="89">
        <v>2</v>
      </c>
      <c r="J3215" s="710">
        <f>(VLOOKUP($C3215,[2]Sheet1!$A$2:$P$18,$M3215+1)/12)*12*D3215</f>
        <v>1257519.07608</v>
      </c>
      <c r="K3215" s="711"/>
      <c r="M3215" s="62">
        <f t="shared" si="256"/>
        <v>3</v>
      </c>
    </row>
    <row r="3216" spans="1:13">
      <c r="A3216" s="88">
        <f t="shared" si="258"/>
        <v>53</v>
      </c>
      <c r="B3216" s="69" t="s">
        <v>2279</v>
      </c>
      <c r="C3216" s="69">
        <v>12</v>
      </c>
      <c r="D3216" s="89">
        <v>1</v>
      </c>
      <c r="E3216" s="89">
        <v>2</v>
      </c>
      <c r="F3216" s="89">
        <v>1</v>
      </c>
      <c r="G3216" s="89">
        <v>1</v>
      </c>
      <c r="H3216" s="89">
        <v>1</v>
      </c>
      <c r="I3216" s="89">
        <v>1</v>
      </c>
      <c r="J3216" s="710">
        <f>(VLOOKUP($C3216,[2]Sheet1!$A$2:$P$18,$M3216+1)/12)*12*D3216</f>
        <v>552685.0537200002</v>
      </c>
      <c r="K3216" s="711"/>
      <c r="M3216" s="62">
        <f t="shared" si="256"/>
        <v>3</v>
      </c>
    </row>
    <row r="3217" spans="1:13">
      <c r="A3217" s="88">
        <f t="shared" si="258"/>
        <v>54</v>
      </c>
      <c r="B3217" s="69" t="s">
        <v>2280</v>
      </c>
      <c r="C3217" s="69">
        <v>10</v>
      </c>
      <c r="D3217" s="89">
        <v>1</v>
      </c>
      <c r="E3217" s="89">
        <v>2</v>
      </c>
      <c r="F3217" s="89">
        <v>1</v>
      </c>
      <c r="G3217" s="89">
        <v>1</v>
      </c>
      <c r="H3217" s="89">
        <v>1</v>
      </c>
      <c r="I3217" s="89">
        <v>1</v>
      </c>
      <c r="J3217" s="710">
        <f>(VLOOKUP($C3217,[2]Sheet1!$A$2:$P$18,$M3217+1)/12)*12*D3217</f>
        <v>483974.5687200001</v>
      </c>
      <c r="K3217" s="711"/>
      <c r="M3217" s="62">
        <f t="shared" si="256"/>
        <v>3</v>
      </c>
    </row>
    <row r="3218" spans="1:13">
      <c r="A3218" s="88">
        <f t="shared" si="258"/>
        <v>55</v>
      </c>
      <c r="B3218" s="69" t="s">
        <v>2281</v>
      </c>
      <c r="C3218" s="69">
        <v>9</v>
      </c>
      <c r="D3218" s="89">
        <v>4</v>
      </c>
      <c r="E3218" s="89">
        <v>5</v>
      </c>
      <c r="F3218" s="89">
        <v>4</v>
      </c>
      <c r="G3218" s="89">
        <v>4</v>
      </c>
      <c r="H3218" s="89">
        <v>4</v>
      </c>
      <c r="I3218" s="89">
        <v>4</v>
      </c>
      <c r="J3218" s="710">
        <f>(VLOOKUP($C3218,[2]Sheet1!$A$2:$P$18,$M3218+1)/12)*12*D3218</f>
        <v>1638727.6247999999</v>
      </c>
      <c r="K3218" s="711"/>
      <c r="M3218" s="62">
        <f t="shared" si="256"/>
        <v>3</v>
      </c>
    </row>
    <row r="3219" spans="1:13">
      <c r="A3219" s="88">
        <f t="shared" si="258"/>
        <v>56</v>
      </c>
      <c r="B3219" s="69" t="s">
        <v>2282</v>
      </c>
      <c r="C3219" s="69">
        <v>9</v>
      </c>
      <c r="D3219" s="89">
        <v>1</v>
      </c>
      <c r="E3219" s="89">
        <v>1</v>
      </c>
      <c r="F3219" s="89">
        <v>1</v>
      </c>
      <c r="G3219" s="89">
        <v>1</v>
      </c>
      <c r="H3219" s="89">
        <v>1</v>
      </c>
      <c r="I3219" s="89">
        <v>1</v>
      </c>
      <c r="J3219" s="710">
        <f>(VLOOKUP($C3219,[2]Sheet1!$A$2:$P$18,$M3219+1)/12)*12*D3219</f>
        <v>409681.90619999997</v>
      </c>
      <c r="K3219" s="711"/>
      <c r="M3219" s="62">
        <f t="shared" si="256"/>
        <v>3</v>
      </c>
    </row>
    <row r="3220" spans="1:13">
      <c r="A3220" s="88">
        <f t="shared" si="258"/>
        <v>57</v>
      </c>
      <c r="B3220" s="69" t="s">
        <v>2283</v>
      </c>
      <c r="C3220" s="69">
        <v>10</v>
      </c>
      <c r="D3220" s="89">
        <v>1</v>
      </c>
      <c r="E3220" s="89">
        <v>1</v>
      </c>
      <c r="F3220" s="89">
        <v>1</v>
      </c>
      <c r="G3220" s="89">
        <v>1</v>
      </c>
      <c r="H3220" s="89">
        <v>1</v>
      </c>
      <c r="I3220" s="89">
        <v>1</v>
      </c>
      <c r="J3220" s="710">
        <f>(VLOOKUP($C3220,[2]Sheet1!$A$2:$P$18,$M3220+1)/12)*12*D3220</f>
        <v>483974.5687200001</v>
      </c>
      <c r="K3220" s="711"/>
      <c r="M3220" s="62">
        <f t="shared" si="256"/>
        <v>3</v>
      </c>
    </row>
    <row r="3221" spans="1:13">
      <c r="A3221" s="88">
        <f t="shared" si="258"/>
        <v>58</v>
      </c>
      <c r="B3221" s="69" t="s">
        <v>2284</v>
      </c>
      <c r="C3221" s="69">
        <v>8</v>
      </c>
      <c r="D3221" s="89">
        <v>1</v>
      </c>
      <c r="E3221" s="89">
        <v>1</v>
      </c>
      <c r="F3221" s="89">
        <v>1</v>
      </c>
      <c r="G3221" s="89">
        <v>1</v>
      </c>
      <c r="H3221" s="89">
        <v>5</v>
      </c>
      <c r="I3221" s="89">
        <v>1</v>
      </c>
      <c r="J3221" s="710">
        <f>(VLOOKUP($C3221,[2]Sheet1!$A$2:$P$18,$M3221+1)/12)*12*D3221</f>
        <v>342141.27408</v>
      </c>
      <c r="K3221" s="711"/>
      <c r="M3221" s="62">
        <f t="shared" si="256"/>
        <v>3</v>
      </c>
    </row>
    <row r="3222" spans="1:13">
      <c r="A3222" s="88">
        <f t="shared" si="258"/>
        <v>59</v>
      </c>
      <c r="B3222" s="69" t="s">
        <v>2285</v>
      </c>
      <c r="C3222" s="69">
        <v>7</v>
      </c>
      <c r="D3222" s="89">
        <v>1</v>
      </c>
      <c r="E3222" s="89">
        <v>2</v>
      </c>
      <c r="F3222" s="89">
        <v>1</v>
      </c>
      <c r="G3222" s="89">
        <v>1</v>
      </c>
      <c r="H3222" s="89">
        <v>1</v>
      </c>
      <c r="I3222" s="89">
        <v>1</v>
      </c>
      <c r="J3222" s="710">
        <f>(VLOOKUP($C3222,[2]Sheet1!$A$2:$P$18,$M3222+1)/12)*12*D3222</f>
        <v>307706.70240000007</v>
      </c>
      <c r="K3222" s="711"/>
      <c r="M3222" s="62">
        <f t="shared" si="256"/>
        <v>3</v>
      </c>
    </row>
    <row r="3223" spans="1:13">
      <c r="A3223" s="88">
        <f t="shared" si="258"/>
        <v>60</v>
      </c>
      <c r="B3223" s="69" t="s">
        <v>2286</v>
      </c>
      <c r="C3223" s="69">
        <v>6</v>
      </c>
      <c r="D3223" s="89">
        <v>1</v>
      </c>
      <c r="E3223" s="89">
        <v>1</v>
      </c>
      <c r="F3223" s="89">
        <v>1</v>
      </c>
      <c r="G3223" s="89">
        <v>1</v>
      </c>
      <c r="H3223" s="89">
        <v>1</v>
      </c>
      <c r="I3223" s="89">
        <v>1</v>
      </c>
      <c r="J3223" s="710">
        <f>(VLOOKUP($C3223,[2]Sheet1!$A$2:$P$18,$M3223+1)/12)*12*D3223</f>
        <v>238099.37893036497</v>
      </c>
      <c r="K3223" s="711"/>
      <c r="M3223" s="62">
        <f t="shared" si="256"/>
        <v>5</v>
      </c>
    </row>
    <row r="3224" spans="1:13">
      <c r="A3224" s="88">
        <f t="shared" si="258"/>
        <v>61</v>
      </c>
      <c r="B3224" s="69" t="s">
        <v>2287</v>
      </c>
      <c r="C3224" s="69">
        <v>4</v>
      </c>
      <c r="D3224" s="89">
        <v>2</v>
      </c>
      <c r="E3224" s="89">
        <v>2</v>
      </c>
      <c r="F3224" s="89">
        <v>2</v>
      </c>
      <c r="G3224" s="89">
        <v>2</v>
      </c>
      <c r="H3224" s="89">
        <v>2</v>
      </c>
      <c r="I3224" s="89">
        <v>2</v>
      </c>
      <c r="J3224" s="710">
        <f>(VLOOKUP($C3224,[2]Sheet1!$A$2:$P$18,$M3224+1)/12)*12*D3224</f>
        <v>449085.95786073001</v>
      </c>
      <c r="K3224" s="711"/>
      <c r="M3224" s="62">
        <f t="shared" ref="M3224:M3256" si="259">IF(C3224&gt;6,3,5)</f>
        <v>5</v>
      </c>
    </row>
    <row r="3225" spans="1:13">
      <c r="A3225" s="88"/>
      <c r="B3225" s="90" t="s">
        <v>2349</v>
      </c>
      <c r="C3225" s="69"/>
      <c r="D3225" s="89"/>
      <c r="E3225" s="89"/>
      <c r="F3225" s="89"/>
      <c r="G3225" s="89"/>
      <c r="H3225" s="89"/>
      <c r="I3225" s="89"/>
      <c r="J3225" s="710"/>
      <c r="K3225" s="711"/>
      <c r="M3225" s="62">
        <f t="shared" si="259"/>
        <v>5</v>
      </c>
    </row>
    <row r="3226" spans="1:13">
      <c r="A3226" s="88">
        <v>62</v>
      </c>
      <c r="B3226" s="69" t="s">
        <v>3532</v>
      </c>
      <c r="C3226" s="69">
        <v>16</v>
      </c>
      <c r="D3226" s="89">
        <v>1</v>
      </c>
      <c r="E3226" s="89">
        <v>1</v>
      </c>
      <c r="F3226" s="89">
        <v>1</v>
      </c>
      <c r="G3226" s="89">
        <v>1</v>
      </c>
      <c r="H3226" s="89">
        <v>1</v>
      </c>
      <c r="I3226" s="89">
        <v>1</v>
      </c>
      <c r="J3226" s="710">
        <f>(VLOOKUP($C3226,[2]Sheet1!$A$2:$P$18,$M3226+1)/12)*12*D3226</f>
        <v>677281.26084</v>
      </c>
      <c r="K3226" s="711"/>
      <c r="M3226" s="62">
        <f t="shared" si="259"/>
        <v>3</v>
      </c>
    </row>
    <row r="3227" spans="1:13">
      <c r="A3227" s="88">
        <f t="shared" si="258"/>
        <v>63</v>
      </c>
      <c r="B3227" s="69" t="s">
        <v>1256</v>
      </c>
      <c r="C3227" s="69">
        <v>15</v>
      </c>
      <c r="D3227" s="89">
        <v>1</v>
      </c>
      <c r="E3227" s="89">
        <v>1</v>
      </c>
      <c r="F3227" s="89">
        <v>1</v>
      </c>
      <c r="G3227" s="89">
        <v>1</v>
      </c>
      <c r="H3227" s="89">
        <v>1</v>
      </c>
      <c r="I3227" s="89">
        <v>1</v>
      </c>
      <c r="J3227" s="710">
        <f>(VLOOKUP($C3227,[2]Sheet1!$A$2:$P$18,$M3227+1)/12)*12*D3227</f>
        <v>658331.89992</v>
      </c>
      <c r="K3227" s="711"/>
      <c r="M3227" s="62">
        <f t="shared" si="259"/>
        <v>3</v>
      </c>
    </row>
    <row r="3228" spans="1:13">
      <c r="A3228" s="88">
        <f t="shared" si="258"/>
        <v>64</v>
      </c>
      <c r="B3228" s="69" t="s">
        <v>2350</v>
      </c>
      <c r="C3228" s="69">
        <v>14</v>
      </c>
      <c r="D3228" s="89">
        <v>4</v>
      </c>
      <c r="E3228" s="89">
        <v>4</v>
      </c>
      <c r="F3228" s="89">
        <v>4</v>
      </c>
      <c r="G3228" s="89">
        <v>4</v>
      </c>
      <c r="H3228" s="89">
        <v>4</v>
      </c>
      <c r="I3228" s="89">
        <v>4</v>
      </c>
      <c r="J3228" s="710">
        <f>(VLOOKUP($C3228,[2]Sheet1!$A$2:$P$18,$M3228+1)/12)*12*D3228</f>
        <v>2676397.6329600001</v>
      </c>
      <c r="K3228" s="711"/>
      <c r="M3228" s="62">
        <f t="shared" si="259"/>
        <v>3</v>
      </c>
    </row>
    <row r="3229" spans="1:13">
      <c r="A3229" s="88">
        <f t="shared" si="258"/>
        <v>65</v>
      </c>
      <c r="B3229" s="69" t="s">
        <v>2507</v>
      </c>
      <c r="C3229" s="69">
        <v>13</v>
      </c>
      <c r="D3229" s="89">
        <v>3</v>
      </c>
      <c r="E3229" s="89">
        <v>3</v>
      </c>
      <c r="F3229" s="89">
        <v>3</v>
      </c>
      <c r="G3229" s="89">
        <v>3</v>
      </c>
      <c r="H3229" s="89">
        <v>3</v>
      </c>
      <c r="I3229" s="89">
        <v>3</v>
      </c>
      <c r="J3229" s="710">
        <f>(VLOOKUP($C3229,[2]Sheet1!$A$2:$P$18,$M3229+1)/12)*12*D3229</f>
        <v>1886278.61412</v>
      </c>
      <c r="K3229" s="711"/>
      <c r="M3229" s="62">
        <f t="shared" si="259"/>
        <v>3</v>
      </c>
    </row>
    <row r="3230" spans="1:13">
      <c r="A3230" s="88">
        <f t="shared" si="258"/>
        <v>66</v>
      </c>
      <c r="B3230" s="69" t="s">
        <v>2508</v>
      </c>
      <c r="C3230" s="69">
        <v>12</v>
      </c>
      <c r="D3230" s="89">
        <v>1</v>
      </c>
      <c r="E3230" s="89">
        <v>2</v>
      </c>
      <c r="F3230" s="89">
        <v>1</v>
      </c>
      <c r="G3230" s="89">
        <v>1</v>
      </c>
      <c r="H3230" s="89">
        <v>1</v>
      </c>
      <c r="I3230" s="89">
        <v>1</v>
      </c>
      <c r="J3230" s="710">
        <f>(VLOOKUP($C3230,[2]Sheet1!$A$2:$P$18,$M3230+1)/12)*12*D3230</f>
        <v>552685.0537200002</v>
      </c>
      <c r="K3230" s="711"/>
      <c r="M3230" s="62">
        <f t="shared" si="259"/>
        <v>3</v>
      </c>
    </row>
    <row r="3231" spans="1:13">
      <c r="A3231" s="88">
        <f t="shared" si="258"/>
        <v>67</v>
      </c>
      <c r="B3231" s="69" t="s">
        <v>2670</v>
      </c>
      <c r="C3231" s="69">
        <v>10</v>
      </c>
      <c r="D3231" s="89">
        <v>2</v>
      </c>
      <c r="E3231" s="89">
        <v>2</v>
      </c>
      <c r="F3231" s="89">
        <v>2</v>
      </c>
      <c r="G3231" s="89">
        <v>2</v>
      </c>
      <c r="H3231" s="89">
        <v>4</v>
      </c>
      <c r="I3231" s="89">
        <v>2</v>
      </c>
      <c r="J3231" s="710">
        <f>(VLOOKUP($C3231,[2]Sheet1!$A$2:$P$18,$M3231+1)/12)*12*D3231</f>
        <v>967949.1374400002</v>
      </c>
      <c r="K3231" s="711"/>
      <c r="M3231" s="62">
        <f t="shared" si="259"/>
        <v>3</v>
      </c>
    </row>
    <row r="3232" spans="1:13">
      <c r="A3232" s="88">
        <f t="shared" si="258"/>
        <v>68</v>
      </c>
      <c r="B3232" s="69" t="s">
        <v>2329</v>
      </c>
      <c r="C3232" s="69">
        <v>9</v>
      </c>
      <c r="D3232" s="89">
        <v>9</v>
      </c>
      <c r="E3232" s="89">
        <v>9</v>
      </c>
      <c r="F3232" s="89">
        <v>9</v>
      </c>
      <c r="G3232" s="89">
        <v>9</v>
      </c>
      <c r="H3232" s="89">
        <v>9</v>
      </c>
      <c r="I3232" s="89">
        <v>9</v>
      </c>
      <c r="J3232" s="710">
        <f>(VLOOKUP($C3232,[2]Sheet1!$A$2:$P$18,$M3232+1)/12)*12*D3232</f>
        <v>3687137.1557999998</v>
      </c>
      <c r="K3232" s="711"/>
      <c r="M3232" s="62">
        <f t="shared" si="259"/>
        <v>3</v>
      </c>
    </row>
    <row r="3233" spans="1:13">
      <c r="A3233" s="88">
        <f t="shared" si="258"/>
        <v>69</v>
      </c>
      <c r="B3233" s="69" t="s">
        <v>2015</v>
      </c>
      <c r="C3233" s="69">
        <v>8</v>
      </c>
      <c r="D3233" s="89">
        <v>9</v>
      </c>
      <c r="E3233" s="89">
        <v>6</v>
      </c>
      <c r="F3233" s="89">
        <v>9</v>
      </c>
      <c r="G3233" s="89">
        <v>9</v>
      </c>
      <c r="H3233" s="89">
        <v>9</v>
      </c>
      <c r="I3233" s="89">
        <v>9</v>
      </c>
      <c r="J3233" s="710">
        <f>(VLOOKUP($C3233,[2]Sheet1!$A$2:$P$18,$M3233+1)/12)*12*D3233</f>
        <v>3079271.4667199999</v>
      </c>
      <c r="K3233" s="711"/>
      <c r="M3233" s="62">
        <f t="shared" si="259"/>
        <v>3</v>
      </c>
    </row>
    <row r="3234" spans="1:13">
      <c r="A3234" s="88">
        <f t="shared" si="258"/>
        <v>70</v>
      </c>
      <c r="B3234" s="69" t="s">
        <v>2016</v>
      </c>
      <c r="C3234" s="69">
        <v>10</v>
      </c>
      <c r="D3234" s="89">
        <v>4</v>
      </c>
      <c r="E3234" s="89">
        <v>2</v>
      </c>
      <c r="F3234" s="89">
        <v>4</v>
      </c>
      <c r="G3234" s="89">
        <v>4</v>
      </c>
      <c r="H3234" s="89">
        <v>4</v>
      </c>
      <c r="I3234" s="89">
        <v>4</v>
      </c>
      <c r="J3234" s="710">
        <f>(VLOOKUP($C3234,[2]Sheet1!$A$2:$P$18,$M3234+1)/12)*12*D3234</f>
        <v>1935898.2748800004</v>
      </c>
      <c r="K3234" s="711"/>
      <c r="M3234" s="62">
        <f t="shared" si="259"/>
        <v>3</v>
      </c>
    </row>
    <row r="3235" spans="1:13">
      <c r="A3235" s="88">
        <f t="shared" si="258"/>
        <v>71</v>
      </c>
      <c r="B3235" s="69" t="s">
        <v>168</v>
      </c>
      <c r="C3235" s="69">
        <v>9</v>
      </c>
      <c r="D3235" s="89">
        <v>4</v>
      </c>
      <c r="E3235" s="89">
        <v>6</v>
      </c>
      <c r="F3235" s="89">
        <v>4</v>
      </c>
      <c r="G3235" s="89">
        <v>4</v>
      </c>
      <c r="H3235" s="89">
        <v>4</v>
      </c>
      <c r="I3235" s="89">
        <v>4</v>
      </c>
      <c r="J3235" s="710">
        <f>(VLOOKUP($C3235,[2]Sheet1!$A$2:$P$18,$M3235+1)/12)*12*D3235</f>
        <v>1638727.6247999999</v>
      </c>
      <c r="K3235" s="711"/>
      <c r="M3235" s="62">
        <f t="shared" si="259"/>
        <v>3</v>
      </c>
    </row>
    <row r="3236" spans="1:13">
      <c r="A3236" s="88">
        <f t="shared" si="258"/>
        <v>72</v>
      </c>
      <c r="B3236" s="69" t="s">
        <v>169</v>
      </c>
      <c r="C3236" s="69">
        <v>8</v>
      </c>
      <c r="D3236" s="89">
        <v>7</v>
      </c>
      <c r="E3236" s="89">
        <v>7</v>
      </c>
      <c r="F3236" s="89">
        <v>7</v>
      </c>
      <c r="G3236" s="89">
        <v>7</v>
      </c>
      <c r="H3236" s="89">
        <v>7</v>
      </c>
      <c r="I3236" s="89">
        <v>7</v>
      </c>
      <c r="J3236" s="710">
        <f>(VLOOKUP($C3236,[2]Sheet1!$A$2:$P$18,$M3236+1)/12)*12*D3236</f>
        <v>2394988.9185600001</v>
      </c>
      <c r="K3236" s="711"/>
      <c r="M3236" s="62">
        <f t="shared" si="259"/>
        <v>3</v>
      </c>
    </row>
    <row r="3237" spans="1:13">
      <c r="A3237" s="88">
        <f t="shared" si="258"/>
        <v>73</v>
      </c>
      <c r="B3237" s="69" t="s">
        <v>720</v>
      </c>
      <c r="C3237" s="69">
        <v>7</v>
      </c>
      <c r="D3237" s="89">
        <v>7</v>
      </c>
      <c r="E3237" s="89">
        <v>7</v>
      </c>
      <c r="F3237" s="89">
        <v>7</v>
      </c>
      <c r="G3237" s="89">
        <v>7</v>
      </c>
      <c r="H3237" s="89">
        <v>7</v>
      </c>
      <c r="I3237" s="89">
        <v>7</v>
      </c>
      <c r="J3237" s="710">
        <f>(VLOOKUP($C3237,[2]Sheet1!$A$2:$P$18,$M3237+1)/12)*12*D3237</f>
        <v>2153946.9168000007</v>
      </c>
      <c r="K3237" s="711"/>
      <c r="M3237" s="62">
        <f t="shared" si="259"/>
        <v>3</v>
      </c>
    </row>
    <row r="3238" spans="1:13">
      <c r="A3238" s="88">
        <f t="shared" si="258"/>
        <v>74</v>
      </c>
      <c r="B3238" s="69" t="s">
        <v>728</v>
      </c>
      <c r="C3238" s="69">
        <v>6</v>
      </c>
      <c r="D3238" s="89">
        <v>5</v>
      </c>
      <c r="E3238" s="89">
        <v>6</v>
      </c>
      <c r="F3238" s="89">
        <v>5</v>
      </c>
      <c r="G3238" s="89">
        <v>5</v>
      </c>
      <c r="H3238" s="89">
        <v>5</v>
      </c>
      <c r="I3238" s="89">
        <v>5</v>
      </c>
      <c r="J3238" s="710">
        <f>(VLOOKUP($C3238,[2]Sheet1!$A$2:$P$18,$M3238+1)/12)*12*D3238</f>
        <v>1190496.8946518248</v>
      </c>
      <c r="K3238" s="711"/>
      <c r="M3238" s="62">
        <f t="shared" si="259"/>
        <v>5</v>
      </c>
    </row>
    <row r="3239" spans="1:13">
      <c r="A3239" s="88">
        <f t="shared" si="258"/>
        <v>75</v>
      </c>
      <c r="B3239" s="69" t="s">
        <v>3578</v>
      </c>
      <c r="C3239" s="69">
        <v>5</v>
      </c>
      <c r="D3239" s="89">
        <v>5</v>
      </c>
      <c r="E3239" s="89">
        <v>5</v>
      </c>
      <c r="F3239" s="89">
        <v>5</v>
      </c>
      <c r="G3239" s="89">
        <v>5</v>
      </c>
      <c r="H3239" s="89">
        <v>5</v>
      </c>
      <c r="I3239" s="89">
        <v>5</v>
      </c>
      <c r="J3239" s="710">
        <f>(VLOOKUP($C3239,[2]Sheet1!$A$2:$P$18,$M3239+1)/12)*12*D3239</f>
        <v>1147848.8946518251</v>
      </c>
      <c r="K3239" s="711"/>
      <c r="M3239" s="62">
        <f t="shared" si="259"/>
        <v>5</v>
      </c>
    </row>
    <row r="3240" spans="1:13">
      <c r="A3240" s="88">
        <f t="shared" si="258"/>
        <v>76</v>
      </c>
      <c r="B3240" s="69" t="s">
        <v>887</v>
      </c>
      <c r="C3240" s="69">
        <v>4</v>
      </c>
      <c r="D3240" s="89">
        <v>0</v>
      </c>
      <c r="E3240" s="89">
        <v>0</v>
      </c>
      <c r="F3240" s="89">
        <v>0</v>
      </c>
      <c r="G3240" s="89">
        <v>0</v>
      </c>
      <c r="H3240" s="89">
        <v>0</v>
      </c>
      <c r="I3240" s="89">
        <v>0</v>
      </c>
      <c r="J3240" s="710">
        <f>(VLOOKUP($C3240,[2]Sheet1!$A$2:$P$18,$M3240+1)/12)*12*D3240</f>
        <v>0</v>
      </c>
      <c r="K3240" s="711"/>
      <c r="M3240" s="62">
        <f t="shared" si="259"/>
        <v>5</v>
      </c>
    </row>
    <row r="3241" spans="1:13">
      <c r="A3241" s="92"/>
      <c r="B3241" s="93" t="s">
        <v>1684</v>
      </c>
      <c r="C3241" s="94"/>
      <c r="D3241" s="123">
        <f t="shared" ref="D3241:J3241" si="260">SUM(D3159:D3240)</f>
        <v>108</v>
      </c>
      <c r="E3241" s="123">
        <f t="shared" si="260"/>
        <v>139</v>
      </c>
      <c r="F3241" s="123">
        <f t="shared" si="260"/>
        <v>106</v>
      </c>
      <c r="G3241" s="123">
        <f>SUM(G3159:G3240)</f>
        <v>106</v>
      </c>
      <c r="H3241" s="123">
        <f t="shared" si="260"/>
        <v>118</v>
      </c>
      <c r="I3241" s="123">
        <f t="shared" si="260"/>
        <v>112</v>
      </c>
      <c r="J3241" s="123">
        <f t="shared" si="260"/>
        <v>40359455.409602769</v>
      </c>
      <c r="K3241" s="378"/>
      <c r="M3241" s="62">
        <f t="shared" si="259"/>
        <v>5</v>
      </c>
    </row>
    <row r="3242" spans="1:13">
      <c r="A3242" s="88"/>
      <c r="B3242" s="69"/>
      <c r="C3242" s="69"/>
      <c r="D3242" s="89"/>
      <c r="E3242" s="89"/>
      <c r="F3242" s="89"/>
      <c r="G3242" s="89"/>
      <c r="H3242" s="89"/>
      <c r="I3242" s="89"/>
      <c r="J3242" s="89"/>
      <c r="K3242" s="114"/>
      <c r="M3242" s="62">
        <f t="shared" si="259"/>
        <v>5</v>
      </c>
    </row>
    <row r="3243" spans="1:13">
      <c r="A3243" s="88"/>
      <c r="B3243" s="90" t="s">
        <v>1199</v>
      </c>
      <c r="C3243" s="97"/>
      <c r="D3243" s="98"/>
      <c r="E3243" s="98"/>
      <c r="F3243" s="99"/>
      <c r="G3243" s="240" t="s">
        <v>243</v>
      </c>
      <c r="H3243" s="240" t="s">
        <v>4130</v>
      </c>
      <c r="I3243" s="240" t="s">
        <v>4202</v>
      </c>
      <c r="J3243" s="241" t="s">
        <v>4200</v>
      </c>
      <c r="K3243" s="375"/>
      <c r="M3243" s="62">
        <f t="shared" si="259"/>
        <v>5</v>
      </c>
    </row>
    <row r="3244" spans="1:13">
      <c r="A3244" s="88">
        <v>1</v>
      </c>
      <c r="B3244" s="69" t="s">
        <v>2786</v>
      </c>
      <c r="C3244" s="69"/>
      <c r="D3244" s="89"/>
      <c r="E3244" s="89"/>
      <c r="F3244" s="89"/>
      <c r="G3244" s="100">
        <f>J3241*0.2</f>
        <v>8071891.0819205539</v>
      </c>
      <c r="H3244" s="100">
        <f>G3244*1.02</f>
        <v>8233328.9035589648</v>
      </c>
      <c r="I3244" s="100">
        <f>H3244*1.02</f>
        <v>8397995.4816301446</v>
      </c>
      <c r="J3244" s="100">
        <f>SUM(G3244:I3244)</f>
        <v>24703215.467109665</v>
      </c>
      <c r="K3244" s="114"/>
      <c r="M3244" s="62">
        <f t="shared" si="259"/>
        <v>5</v>
      </c>
    </row>
    <row r="3245" spans="1:13">
      <c r="A3245" s="92"/>
      <c r="B3245" s="93" t="s">
        <v>1933</v>
      </c>
      <c r="C3245" s="94"/>
      <c r="D3245" s="101"/>
      <c r="E3245" s="101"/>
      <c r="F3245" s="95"/>
      <c r="G3245" s="95">
        <f>SUM(G3244:G3244)</f>
        <v>8071891.0819205539</v>
      </c>
      <c r="H3245" s="95">
        <f>SUM(H3244:H3244)</f>
        <v>8233328.9035589648</v>
      </c>
      <c r="I3245" s="95">
        <f>SUM(I3244:I3244)</f>
        <v>8397995.4816301446</v>
      </c>
      <c r="J3245" s="95">
        <f>SUM(J3244:J3244)</f>
        <v>24703215.467109665</v>
      </c>
      <c r="K3245" s="378"/>
      <c r="M3245" s="62">
        <f t="shared" si="259"/>
        <v>5</v>
      </c>
    </row>
    <row r="3246" spans="1:13">
      <c r="A3246" s="88"/>
      <c r="B3246" s="69"/>
      <c r="C3246" s="69"/>
      <c r="D3246" s="89"/>
      <c r="E3246" s="89"/>
      <c r="F3246" s="89"/>
      <c r="G3246" s="89"/>
      <c r="H3246" s="89"/>
      <c r="I3246" s="89"/>
      <c r="J3246" s="89"/>
      <c r="K3246" s="114"/>
      <c r="M3246" s="62">
        <f t="shared" si="259"/>
        <v>5</v>
      </c>
    </row>
    <row r="3247" spans="1:13">
      <c r="A3247" s="88"/>
      <c r="B3247" s="69"/>
      <c r="C3247" s="69"/>
      <c r="D3247" s="89"/>
      <c r="E3247" s="89"/>
      <c r="F3247" s="89"/>
      <c r="G3247" s="89"/>
      <c r="H3247" s="89"/>
      <c r="I3247" s="89"/>
      <c r="J3247" s="89"/>
      <c r="K3247" s="114"/>
      <c r="M3247" s="62">
        <f t="shared" si="259"/>
        <v>5</v>
      </c>
    </row>
    <row r="3248" spans="1:13">
      <c r="A3248" s="88">
        <f>+A3247+1</f>
        <v>1</v>
      </c>
      <c r="B3248" s="69" t="s">
        <v>1934</v>
      </c>
      <c r="C3248" s="69"/>
      <c r="D3248" s="89"/>
      <c r="E3248" s="89"/>
      <c r="F3248" s="89"/>
      <c r="G3248" s="100">
        <f>G3245+J3241</f>
        <v>48431346.491523325</v>
      </c>
      <c r="H3248" s="100">
        <f>G3248*1.02</f>
        <v>49399973.421353795</v>
      </c>
      <c r="I3248" s="100">
        <f>H3248*1.02</f>
        <v>50387972.889780872</v>
      </c>
      <c r="J3248" s="100">
        <f>SUM(G3248:I3248)</f>
        <v>148219292.80265799</v>
      </c>
      <c r="K3248" s="114"/>
      <c r="L3248" s="112"/>
      <c r="M3248" s="62">
        <f t="shared" si="259"/>
        <v>5</v>
      </c>
    </row>
    <row r="3249" spans="1:13">
      <c r="A3249" s="88">
        <f>+A3248+1</f>
        <v>2</v>
      </c>
      <c r="B3249" s="69" t="s">
        <v>129</v>
      </c>
      <c r="C3249" s="69"/>
      <c r="D3249" s="89"/>
      <c r="E3249" s="89"/>
      <c r="F3249" s="89"/>
      <c r="G3249" s="89">
        <f>C3282</f>
        <v>22600000</v>
      </c>
      <c r="H3249" s="89">
        <f>D3282</f>
        <v>27400000</v>
      </c>
      <c r="I3249" s="89">
        <f>E3282</f>
        <v>27400000</v>
      </c>
      <c r="J3249" s="100">
        <f>SUM(G3249:I3249)</f>
        <v>77400000</v>
      </c>
      <c r="K3249" s="114"/>
      <c r="M3249" s="62">
        <f t="shared" si="259"/>
        <v>5</v>
      </c>
    </row>
    <row r="3250" spans="1:13">
      <c r="A3250" s="88"/>
      <c r="B3250" s="69"/>
      <c r="C3250" s="69"/>
      <c r="D3250" s="89"/>
      <c r="E3250" s="89"/>
      <c r="F3250" s="89"/>
      <c r="G3250" s="89"/>
      <c r="H3250" s="89"/>
      <c r="I3250" s="89"/>
      <c r="J3250" s="89"/>
      <c r="K3250" s="114"/>
      <c r="M3250" s="62">
        <f t="shared" si="259"/>
        <v>5</v>
      </c>
    </row>
    <row r="3251" spans="1:13" ht="13.5" thickBot="1">
      <c r="A3251" s="92"/>
      <c r="B3251" s="103" t="s">
        <v>2241</v>
      </c>
      <c r="C3251" s="104"/>
      <c r="D3251" s="105"/>
      <c r="E3251" s="105"/>
      <c r="F3251" s="106"/>
      <c r="G3251" s="106">
        <f>+G3249+G3248</f>
        <v>71031346.491523325</v>
      </c>
      <c r="H3251" s="106">
        <f>+H3249+H3248</f>
        <v>76799973.421353787</v>
      </c>
      <c r="I3251" s="106">
        <f>+I3249+I3248</f>
        <v>77787972.889780879</v>
      </c>
      <c r="J3251" s="106">
        <f>+J3249+J3248</f>
        <v>225619292.80265799</v>
      </c>
      <c r="K3251" s="378"/>
      <c r="M3251" s="62">
        <f t="shared" si="259"/>
        <v>5</v>
      </c>
    </row>
    <row r="3252" spans="1:13" ht="15.75" thickTop="1">
      <c r="J3252" s="584"/>
      <c r="K3252" s="584"/>
      <c r="M3252" s="62">
        <f t="shared" si="259"/>
        <v>5</v>
      </c>
    </row>
    <row r="3253" spans="1:13" ht="15">
      <c r="C3253" s="77"/>
      <c r="D3253" s="78" t="s">
        <v>5434</v>
      </c>
      <c r="J3253" s="584"/>
      <c r="K3253" s="584"/>
      <c r="M3253" s="62">
        <f t="shared" si="259"/>
        <v>5</v>
      </c>
    </row>
    <row r="3254" spans="1:13" ht="15">
      <c r="C3254" s="77"/>
      <c r="D3254" s="78" t="s">
        <v>716</v>
      </c>
      <c r="J3254" s="584"/>
      <c r="K3254" s="584"/>
      <c r="M3254" s="62">
        <f t="shared" si="259"/>
        <v>5</v>
      </c>
    </row>
    <row r="3255" spans="1:13" ht="15">
      <c r="C3255" s="79" t="s">
        <v>717</v>
      </c>
      <c r="D3255" s="78" t="s">
        <v>1768</v>
      </c>
      <c r="J3255" s="584"/>
      <c r="K3255" s="584"/>
      <c r="M3255" s="62">
        <f t="shared" si="259"/>
        <v>3</v>
      </c>
    </row>
    <row r="3256" spans="1:13" ht="15">
      <c r="C3256" s="79" t="s">
        <v>718</v>
      </c>
      <c r="D3256" s="78" t="s">
        <v>1769</v>
      </c>
      <c r="J3256" s="584"/>
      <c r="K3256" s="584"/>
      <c r="M3256" s="62">
        <f t="shared" si="259"/>
        <v>3</v>
      </c>
    </row>
    <row r="3257" spans="1:13" ht="15">
      <c r="A3257" s="634" t="s">
        <v>1839</v>
      </c>
      <c r="B3257" s="635" t="s">
        <v>903</v>
      </c>
      <c r="C3257" s="1037" t="s">
        <v>4127</v>
      </c>
      <c r="D3257" s="1038"/>
      <c r="E3257" s="1039"/>
      <c r="F3257" s="635" t="s">
        <v>1684</v>
      </c>
      <c r="G3257" s="1037" t="s">
        <v>4132</v>
      </c>
      <c r="H3257" s="1038"/>
      <c r="I3257" s="1039"/>
      <c r="J3257" s="726"/>
      <c r="K3257" s="727"/>
    </row>
    <row r="3258" spans="1:13">
      <c r="A3258" s="636" t="s">
        <v>1620</v>
      </c>
      <c r="B3258" s="637"/>
      <c r="C3258" s="635" t="s">
        <v>1841</v>
      </c>
      <c r="D3258" s="635" t="s">
        <v>4133</v>
      </c>
      <c r="E3258" s="635" t="s">
        <v>4133</v>
      </c>
      <c r="F3258" s="1056" t="s">
        <v>4200</v>
      </c>
      <c r="G3258" s="634" t="s">
        <v>4135</v>
      </c>
      <c r="H3258" s="1051" t="s">
        <v>4182</v>
      </c>
      <c r="I3258" s="634" t="s">
        <v>4135</v>
      </c>
      <c r="J3258" s="728" t="s">
        <v>4136</v>
      </c>
      <c r="K3258" s="727"/>
    </row>
    <row r="3259" spans="1:13" ht="12.75" customHeight="1">
      <c r="A3259" s="638" t="s">
        <v>387</v>
      </c>
      <c r="B3259" s="639"/>
      <c r="C3259" s="638">
        <v>2015</v>
      </c>
      <c r="D3259" s="638">
        <v>2016</v>
      </c>
      <c r="E3259" s="638">
        <v>2017</v>
      </c>
      <c r="F3259" s="1057"/>
      <c r="G3259" s="638" t="s">
        <v>4304</v>
      </c>
      <c r="H3259" s="1052"/>
      <c r="I3259" s="638" t="s">
        <v>4303</v>
      </c>
      <c r="J3259" s="639"/>
      <c r="K3259" s="729"/>
    </row>
    <row r="3260" spans="1:13" ht="20.100000000000001" customHeight="1">
      <c r="A3260" s="768">
        <v>2</v>
      </c>
      <c r="B3260" s="773" t="s">
        <v>1695</v>
      </c>
      <c r="C3260" s="390">
        <v>2000000</v>
      </c>
      <c r="D3260" s="390">
        <v>2500000</v>
      </c>
      <c r="E3260" s="390">
        <v>2500000</v>
      </c>
      <c r="F3260" s="390">
        <f>SUM(C3260:E3260)</f>
        <v>7000000</v>
      </c>
      <c r="G3260" s="390">
        <v>1749000</v>
      </c>
      <c r="H3260" s="390">
        <v>2500000</v>
      </c>
      <c r="I3260" s="390">
        <v>160000</v>
      </c>
      <c r="J3260" s="390"/>
      <c r="K3260" s="734"/>
      <c r="M3260" s="62" t="e">
        <f>IF(#REF!&gt;6,3,5)</f>
        <v>#REF!</v>
      </c>
    </row>
    <row r="3261" spans="1:13" ht="20.100000000000001" customHeight="1">
      <c r="A3261" s="768">
        <f t="shared" ref="A3261:A3280" si="261">+A3260+1</f>
        <v>3</v>
      </c>
      <c r="B3261" s="773" t="s">
        <v>1696</v>
      </c>
      <c r="C3261" s="390" t="s">
        <v>1386</v>
      </c>
      <c r="D3261" s="390" t="s">
        <v>1386</v>
      </c>
      <c r="E3261" s="390" t="s">
        <v>1386</v>
      </c>
      <c r="F3261" s="390">
        <f t="shared" ref="F3261:F3280" si="262">SUM(C3261:E3261)</f>
        <v>0</v>
      </c>
      <c r="G3261" s="390"/>
      <c r="H3261" s="390" t="s">
        <v>1386</v>
      </c>
      <c r="I3261" s="390"/>
      <c r="J3261" s="390"/>
      <c r="K3261" s="734"/>
      <c r="M3261" s="62" t="e">
        <f>IF(#REF!&gt;6,3,5)</f>
        <v>#REF!</v>
      </c>
    </row>
    <row r="3262" spans="1:13" ht="20.100000000000001" customHeight="1">
      <c r="A3262" s="768">
        <f t="shared" si="261"/>
        <v>4</v>
      </c>
      <c r="B3262" s="773" t="s">
        <v>1701</v>
      </c>
      <c r="C3262" s="390" t="s">
        <v>1386</v>
      </c>
      <c r="D3262" s="390" t="s">
        <v>1386</v>
      </c>
      <c r="E3262" s="390" t="s">
        <v>1386</v>
      </c>
      <c r="F3262" s="390">
        <f t="shared" si="262"/>
        <v>0</v>
      </c>
      <c r="G3262" s="390"/>
      <c r="H3262" s="390" t="s">
        <v>1386</v>
      </c>
      <c r="I3262" s="390"/>
      <c r="J3262" s="390"/>
      <c r="K3262" s="734"/>
      <c r="M3262" s="62" t="e">
        <f>IF(#REF!&gt;6,3,5)</f>
        <v>#REF!</v>
      </c>
    </row>
    <row r="3263" spans="1:13" ht="20.100000000000001" customHeight="1">
      <c r="A3263" s="768">
        <f t="shared" si="261"/>
        <v>5</v>
      </c>
      <c r="B3263" s="773" t="s">
        <v>998</v>
      </c>
      <c r="C3263" s="390">
        <v>1000000</v>
      </c>
      <c r="D3263" s="390">
        <v>1000000</v>
      </c>
      <c r="E3263" s="390">
        <v>1000000</v>
      </c>
      <c r="F3263" s="390">
        <f t="shared" si="262"/>
        <v>3000000</v>
      </c>
      <c r="G3263" s="390">
        <v>148060</v>
      </c>
      <c r="H3263" s="390">
        <v>500000</v>
      </c>
      <c r="I3263" s="390">
        <v>29000</v>
      </c>
      <c r="J3263" s="390"/>
      <c r="K3263" s="734"/>
      <c r="M3263" s="62" t="e">
        <f>IF(#REF!&gt;6,3,5)</f>
        <v>#REF!</v>
      </c>
    </row>
    <row r="3264" spans="1:13" ht="20.100000000000001" customHeight="1">
      <c r="A3264" s="768">
        <f t="shared" si="261"/>
        <v>6</v>
      </c>
      <c r="B3264" s="773" t="s">
        <v>1789</v>
      </c>
      <c r="C3264" s="390">
        <v>1000000</v>
      </c>
      <c r="D3264" s="390">
        <v>1200000</v>
      </c>
      <c r="E3264" s="390">
        <v>1200000</v>
      </c>
      <c r="F3264" s="390">
        <f t="shared" si="262"/>
        <v>3400000</v>
      </c>
      <c r="G3264" s="390">
        <v>256190</v>
      </c>
      <c r="H3264" s="390">
        <v>500000</v>
      </c>
      <c r="I3264" s="390">
        <v>187000</v>
      </c>
      <c r="J3264" s="390"/>
      <c r="K3264" s="734"/>
      <c r="M3264" s="62" t="e">
        <f>IF(#REF!&gt;6,3,5)</f>
        <v>#REF!</v>
      </c>
    </row>
    <row r="3265" spans="1:13" ht="20.100000000000001" customHeight="1">
      <c r="A3265" s="768">
        <f t="shared" si="261"/>
        <v>7</v>
      </c>
      <c r="B3265" s="773" t="s">
        <v>897</v>
      </c>
      <c r="C3265" s="390">
        <v>1000000</v>
      </c>
      <c r="D3265" s="390">
        <v>2000000</v>
      </c>
      <c r="E3265" s="390">
        <v>2000000</v>
      </c>
      <c r="F3265" s="390">
        <f t="shared" si="262"/>
        <v>5000000</v>
      </c>
      <c r="G3265" s="390">
        <v>161000</v>
      </c>
      <c r="H3265" s="390">
        <v>1500000</v>
      </c>
      <c r="I3265" s="390">
        <v>171000</v>
      </c>
      <c r="J3265" s="390"/>
      <c r="K3265" s="734"/>
      <c r="M3265" s="62" t="e">
        <f>IF(#REF!&gt;6,3,5)</f>
        <v>#REF!</v>
      </c>
    </row>
    <row r="3266" spans="1:13" ht="20.100000000000001" customHeight="1">
      <c r="A3266" s="768">
        <f t="shared" si="261"/>
        <v>8</v>
      </c>
      <c r="B3266" s="773" t="s">
        <v>1001</v>
      </c>
      <c r="C3266" s="390" t="s">
        <v>3007</v>
      </c>
      <c r="D3266" s="390" t="s">
        <v>3007</v>
      </c>
      <c r="E3266" s="390" t="s">
        <v>3007</v>
      </c>
      <c r="F3266" s="390">
        <f t="shared" si="262"/>
        <v>0</v>
      </c>
      <c r="G3266" s="390"/>
      <c r="H3266" s="390" t="s">
        <v>3007</v>
      </c>
      <c r="I3266" s="390"/>
      <c r="J3266" s="390"/>
      <c r="K3266" s="734"/>
      <c r="M3266" s="62" t="e">
        <f>IF(#REF!&gt;6,3,5)</f>
        <v>#REF!</v>
      </c>
    </row>
    <row r="3267" spans="1:13" ht="20.100000000000001" customHeight="1">
      <c r="A3267" s="768">
        <f t="shared" si="261"/>
        <v>9</v>
      </c>
      <c r="B3267" s="773" t="s">
        <v>2061</v>
      </c>
      <c r="C3267" s="390" t="s">
        <v>3007</v>
      </c>
      <c r="D3267" s="390" t="s">
        <v>3007</v>
      </c>
      <c r="E3267" s="390" t="s">
        <v>3007</v>
      </c>
      <c r="F3267" s="390">
        <f t="shared" si="262"/>
        <v>0</v>
      </c>
      <c r="G3267" s="390"/>
      <c r="H3267" s="390" t="s">
        <v>3007</v>
      </c>
      <c r="I3267" s="390"/>
      <c r="J3267" s="390"/>
      <c r="K3267" s="734"/>
      <c r="M3267" s="62" t="e">
        <f>IF(#REF!&gt;6,3,5)</f>
        <v>#REF!</v>
      </c>
    </row>
    <row r="3268" spans="1:13" ht="20.100000000000001" customHeight="1">
      <c r="A3268" s="768">
        <f t="shared" si="261"/>
        <v>10</v>
      </c>
      <c r="B3268" s="773" t="s">
        <v>1790</v>
      </c>
      <c r="C3268" s="390">
        <v>500000</v>
      </c>
      <c r="D3268" s="390">
        <v>800000</v>
      </c>
      <c r="E3268" s="390">
        <v>800000</v>
      </c>
      <c r="F3268" s="390">
        <f t="shared" si="262"/>
        <v>2100000</v>
      </c>
      <c r="G3268" s="390">
        <v>85500</v>
      </c>
      <c r="H3268" s="390">
        <v>800000</v>
      </c>
      <c r="I3268" s="390">
        <v>0</v>
      </c>
      <c r="J3268" s="390"/>
      <c r="K3268" s="734"/>
      <c r="M3268" s="62" t="e">
        <f>IF(#REF!&gt;6,3,5)</f>
        <v>#REF!</v>
      </c>
    </row>
    <row r="3269" spans="1:13" ht="20.100000000000001" customHeight="1">
      <c r="A3269" s="768">
        <f t="shared" si="261"/>
        <v>11</v>
      </c>
      <c r="B3269" s="773" t="s">
        <v>1681</v>
      </c>
      <c r="C3269" s="390">
        <v>100000</v>
      </c>
      <c r="D3269" s="390">
        <v>100000</v>
      </c>
      <c r="E3269" s="390">
        <v>100000</v>
      </c>
      <c r="F3269" s="390">
        <f t="shared" si="262"/>
        <v>300000</v>
      </c>
      <c r="G3269" s="390">
        <v>2257000</v>
      </c>
      <c r="H3269" s="390">
        <v>100000</v>
      </c>
      <c r="I3269" s="390">
        <v>0</v>
      </c>
      <c r="J3269" s="390"/>
      <c r="K3269" s="734"/>
      <c r="M3269" s="62" t="e">
        <f>IF(#REF!&gt;6,3,5)</f>
        <v>#REF!</v>
      </c>
    </row>
    <row r="3270" spans="1:13" ht="20.100000000000001" customHeight="1">
      <c r="A3270" s="768">
        <f t="shared" si="261"/>
        <v>12</v>
      </c>
      <c r="B3270" s="773" t="s">
        <v>1682</v>
      </c>
      <c r="C3270" s="390">
        <v>2500000</v>
      </c>
      <c r="D3270" s="390">
        <v>5000000</v>
      </c>
      <c r="E3270" s="390">
        <v>5000000</v>
      </c>
      <c r="F3270" s="390">
        <f t="shared" si="262"/>
        <v>12500000</v>
      </c>
      <c r="G3270" s="390"/>
      <c r="H3270" s="390">
        <v>3000000</v>
      </c>
      <c r="I3270" s="390">
        <v>150000</v>
      </c>
      <c r="J3270" s="390"/>
      <c r="K3270" s="734"/>
      <c r="M3270" s="62" t="e">
        <f>IF(#REF!&gt;6,3,5)</f>
        <v>#REF!</v>
      </c>
    </row>
    <row r="3271" spans="1:13" ht="20.100000000000001" customHeight="1">
      <c r="A3271" s="768">
        <f t="shared" si="261"/>
        <v>13</v>
      </c>
      <c r="B3271" s="773" t="s">
        <v>2249</v>
      </c>
      <c r="C3271" s="390">
        <v>100000</v>
      </c>
      <c r="D3271" s="390">
        <v>100000</v>
      </c>
      <c r="E3271" s="390">
        <v>100000</v>
      </c>
      <c r="F3271" s="390">
        <f t="shared" si="262"/>
        <v>300000</v>
      </c>
      <c r="G3271" s="390">
        <v>80000</v>
      </c>
      <c r="H3271" s="390">
        <v>100000</v>
      </c>
      <c r="I3271" s="390">
        <v>0</v>
      </c>
      <c r="J3271" s="390"/>
      <c r="K3271" s="734"/>
      <c r="M3271" s="62" t="e">
        <f>IF(#REF!&gt;6,3,5)</f>
        <v>#REF!</v>
      </c>
    </row>
    <row r="3272" spans="1:13" ht="20.100000000000001" customHeight="1">
      <c r="A3272" s="768">
        <f t="shared" si="261"/>
        <v>14</v>
      </c>
      <c r="B3272" s="789" t="s">
        <v>1683</v>
      </c>
      <c r="C3272" s="390">
        <v>800000</v>
      </c>
      <c r="D3272" s="390">
        <v>700000</v>
      </c>
      <c r="E3272" s="390">
        <v>700000</v>
      </c>
      <c r="F3272" s="390">
        <f t="shared" si="262"/>
        <v>2200000</v>
      </c>
      <c r="G3272" s="390">
        <v>4218000</v>
      </c>
      <c r="H3272" s="390">
        <v>600000</v>
      </c>
      <c r="I3272" s="390">
        <v>36000</v>
      </c>
      <c r="J3272" s="390"/>
      <c r="K3272" s="734"/>
      <c r="M3272" s="62" t="e">
        <f>IF(#REF!&gt;6,3,5)</f>
        <v>#REF!</v>
      </c>
    </row>
    <row r="3273" spans="1:13" ht="20.100000000000001" customHeight="1">
      <c r="A3273" s="768">
        <f t="shared" si="261"/>
        <v>15</v>
      </c>
      <c r="B3273" s="773" t="s">
        <v>1116</v>
      </c>
      <c r="C3273" s="390">
        <v>12000000</v>
      </c>
      <c r="D3273" s="390">
        <v>6000000</v>
      </c>
      <c r="E3273" s="390">
        <v>6000000</v>
      </c>
      <c r="F3273" s="390">
        <f t="shared" si="262"/>
        <v>24000000</v>
      </c>
      <c r="G3273" s="390"/>
      <c r="H3273" s="390">
        <v>10000000</v>
      </c>
      <c r="I3273" s="390">
        <v>550000</v>
      </c>
      <c r="J3273" s="390"/>
      <c r="K3273" s="734"/>
      <c r="M3273" s="62" t="e">
        <f>IF(#REF!&gt;6,3,5)</f>
        <v>#REF!</v>
      </c>
    </row>
    <row r="3274" spans="1:13" ht="20.100000000000001" customHeight="1">
      <c r="A3274" s="768">
        <f t="shared" si="261"/>
        <v>16</v>
      </c>
      <c r="B3274" s="773" t="s">
        <v>521</v>
      </c>
      <c r="C3274" s="390" t="s">
        <v>3007</v>
      </c>
      <c r="D3274" s="390" t="s">
        <v>3007</v>
      </c>
      <c r="E3274" s="390" t="s">
        <v>3007</v>
      </c>
      <c r="F3274" s="390">
        <f t="shared" si="262"/>
        <v>0</v>
      </c>
      <c r="G3274" s="390"/>
      <c r="H3274" s="390" t="s">
        <v>3007</v>
      </c>
      <c r="I3274" s="390"/>
      <c r="J3274" s="390"/>
      <c r="K3274" s="734"/>
      <c r="M3274" s="62" t="e">
        <f>IF(#REF!&gt;6,3,5)</f>
        <v>#REF!</v>
      </c>
    </row>
    <row r="3275" spans="1:13" ht="25.5">
      <c r="A3275" s="768">
        <f t="shared" si="261"/>
        <v>17</v>
      </c>
      <c r="B3275" s="789" t="s">
        <v>138</v>
      </c>
      <c r="C3275" s="390" t="s">
        <v>3007</v>
      </c>
      <c r="D3275" s="390" t="s">
        <v>3007</v>
      </c>
      <c r="E3275" s="390" t="s">
        <v>3007</v>
      </c>
      <c r="F3275" s="390">
        <f t="shared" si="262"/>
        <v>0</v>
      </c>
      <c r="G3275" s="390"/>
      <c r="H3275" s="390" t="s">
        <v>3007</v>
      </c>
      <c r="I3275" s="390"/>
      <c r="J3275" s="390"/>
      <c r="K3275" s="734"/>
      <c r="M3275" s="62" t="e">
        <f>IF(#REF!&gt;6,3,5)</f>
        <v>#REF!</v>
      </c>
    </row>
    <row r="3276" spans="1:13" ht="20.100000000000001" customHeight="1">
      <c r="A3276" s="768">
        <f t="shared" si="261"/>
        <v>18</v>
      </c>
      <c r="B3276" s="789" t="s">
        <v>920</v>
      </c>
      <c r="C3276" s="390">
        <v>800000</v>
      </c>
      <c r="D3276" s="390">
        <v>1500000</v>
      </c>
      <c r="E3276" s="390">
        <v>1500000</v>
      </c>
      <c r="F3276" s="390">
        <f t="shared" si="262"/>
        <v>3800000</v>
      </c>
      <c r="G3276" s="390"/>
      <c r="H3276" s="390">
        <v>1200000</v>
      </c>
      <c r="I3276" s="390">
        <v>300000</v>
      </c>
      <c r="J3276" s="390"/>
      <c r="K3276" s="734"/>
      <c r="M3276" s="62" t="e">
        <f>IF(#REF!&gt;6,3,5)</f>
        <v>#REF!</v>
      </c>
    </row>
    <row r="3277" spans="1:13" ht="20.100000000000001" customHeight="1">
      <c r="A3277" s="768">
        <f t="shared" si="261"/>
        <v>19</v>
      </c>
      <c r="B3277" s="789" t="s">
        <v>1306</v>
      </c>
      <c r="C3277" s="390" t="s">
        <v>3007</v>
      </c>
      <c r="D3277" s="390" t="s">
        <v>3007</v>
      </c>
      <c r="E3277" s="390" t="s">
        <v>3007</v>
      </c>
      <c r="F3277" s="390">
        <f t="shared" si="262"/>
        <v>0</v>
      </c>
      <c r="G3277" s="390"/>
      <c r="H3277" s="390" t="s">
        <v>3007</v>
      </c>
      <c r="I3277" s="390"/>
      <c r="J3277" s="390"/>
      <c r="K3277" s="734"/>
      <c r="M3277" s="62" t="e">
        <f>IF(#REF!&gt;6,3,5)</f>
        <v>#REF!</v>
      </c>
    </row>
    <row r="3278" spans="1:13" ht="20.100000000000001" customHeight="1">
      <c r="A3278" s="768">
        <f t="shared" si="261"/>
        <v>20</v>
      </c>
      <c r="B3278" s="789" t="s">
        <v>921</v>
      </c>
      <c r="C3278" s="390" t="s">
        <v>3007</v>
      </c>
      <c r="D3278" s="390">
        <v>2000000</v>
      </c>
      <c r="E3278" s="390">
        <v>2000000</v>
      </c>
      <c r="F3278" s="390">
        <f t="shared" si="262"/>
        <v>4000000</v>
      </c>
      <c r="G3278" s="390"/>
      <c r="H3278" s="390" t="s">
        <v>3007</v>
      </c>
      <c r="I3278" s="390"/>
      <c r="J3278" s="390"/>
      <c r="K3278" s="734"/>
      <c r="M3278" s="62" t="e">
        <f>IF(#REF!&gt;6,3,5)</f>
        <v>#REF!</v>
      </c>
    </row>
    <row r="3279" spans="1:13" ht="20.100000000000001" customHeight="1">
      <c r="A3279" s="768">
        <f t="shared" si="261"/>
        <v>21</v>
      </c>
      <c r="B3279" s="789" t="s">
        <v>192</v>
      </c>
      <c r="C3279" s="390" t="s">
        <v>3007</v>
      </c>
      <c r="D3279" s="390" t="s">
        <v>3007</v>
      </c>
      <c r="E3279" s="390" t="s">
        <v>3007</v>
      </c>
      <c r="F3279" s="390">
        <f t="shared" si="262"/>
        <v>0</v>
      </c>
      <c r="G3279" s="390"/>
      <c r="H3279" s="390" t="s">
        <v>3007</v>
      </c>
      <c r="I3279" s="390"/>
      <c r="J3279" s="390"/>
      <c r="K3279" s="734"/>
      <c r="M3279" s="62" t="e">
        <f>IF(#REF!&gt;6,3,5)</f>
        <v>#REF!</v>
      </c>
    </row>
    <row r="3280" spans="1:13" ht="20.100000000000001" customHeight="1">
      <c r="A3280" s="768">
        <f t="shared" si="261"/>
        <v>22</v>
      </c>
      <c r="B3280" s="789" t="s">
        <v>3603</v>
      </c>
      <c r="C3280" s="390">
        <v>800000</v>
      </c>
      <c r="D3280" s="390">
        <v>4500000</v>
      </c>
      <c r="E3280" s="390">
        <v>4500000</v>
      </c>
      <c r="F3280" s="390">
        <f t="shared" si="262"/>
        <v>9800000</v>
      </c>
      <c r="G3280" s="390"/>
      <c r="H3280" s="390">
        <v>1500000</v>
      </c>
      <c r="I3280" s="390">
        <v>0</v>
      </c>
      <c r="J3280" s="390"/>
      <c r="K3280" s="734"/>
      <c r="M3280" s="62" t="e">
        <f>IF(#REF!&gt;6,3,5)</f>
        <v>#REF!</v>
      </c>
    </row>
    <row r="3281" spans="1:13" ht="20.100000000000001" customHeight="1">
      <c r="A3281" s="768"/>
      <c r="B3281" s="789"/>
      <c r="C3281" s="390"/>
      <c r="D3281" s="390"/>
      <c r="E3281" s="390"/>
      <c r="F3281" s="390"/>
      <c r="G3281" s="390"/>
      <c r="H3281" s="390"/>
      <c r="I3281" s="390"/>
      <c r="J3281" s="390"/>
      <c r="K3281" s="734"/>
      <c r="M3281" s="62" t="e">
        <f>IF(#REF!&gt;6,3,5)</f>
        <v>#REF!</v>
      </c>
    </row>
    <row r="3282" spans="1:13">
      <c r="A3282" s="770"/>
      <c r="B3282" s="770" t="s">
        <v>1684</v>
      </c>
      <c r="C3282" s="771">
        <f t="shared" ref="C3282:I3282" si="263">SUM(C3260:C3281)</f>
        <v>22600000</v>
      </c>
      <c r="D3282" s="771">
        <f t="shared" si="263"/>
        <v>27400000</v>
      </c>
      <c r="E3282" s="771">
        <f t="shared" si="263"/>
        <v>27400000</v>
      </c>
      <c r="F3282" s="771">
        <f t="shared" si="263"/>
        <v>77400000</v>
      </c>
      <c r="G3282" s="771">
        <f>SUM(G3260:G3281)</f>
        <v>8954750</v>
      </c>
      <c r="H3282" s="771">
        <f t="shared" si="263"/>
        <v>22300000</v>
      </c>
      <c r="I3282" s="771">
        <f t="shared" si="263"/>
        <v>1583000</v>
      </c>
      <c r="J3282" s="771"/>
      <c r="K3282" s="772"/>
      <c r="M3282" s="62" t="e">
        <f>IF(#REF!&gt;6,3,5)</f>
        <v>#REF!</v>
      </c>
    </row>
    <row r="3283" spans="1:13" ht="15">
      <c r="J3283" s="584"/>
      <c r="K3283" s="584"/>
      <c r="M3283" s="62">
        <f t="shared" ref="M3283:M3324" si="264">IF(C3283&gt;6,3,5)</f>
        <v>5</v>
      </c>
    </row>
    <row r="3284" spans="1:13" ht="15">
      <c r="C3284" s="77"/>
      <c r="D3284" s="78" t="s">
        <v>5434</v>
      </c>
      <c r="J3284" s="584"/>
      <c r="K3284" s="584"/>
      <c r="M3284" s="62">
        <f t="shared" si="264"/>
        <v>5</v>
      </c>
    </row>
    <row r="3285" spans="1:13" ht="15">
      <c r="C3285" s="77"/>
      <c r="D3285" s="78" t="s">
        <v>1693</v>
      </c>
      <c r="J3285" s="584"/>
      <c r="K3285" s="584"/>
      <c r="M3285" s="62">
        <f t="shared" si="264"/>
        <v>5</v>
      </c>
    </row>
    <row r="3286" spans="1:13" ht="15">
      <c r="C3286" s="79" t="s">
        <v>717</v>
      </c>
      <c r="D3286" s="78" t="s">
        <v>727</v>
      </c>
      <c r="J3286" s="584"/>
      <c r="K3286" s="584"/>
      <c r="M3286" s="62">
        <f t="shared" si="264"/>
        <v>3</v>
      </c>
    </row>
    <row r="3287" spans="1:13" ht="15.75" thickBot="1">
      <c r="C3287" s="79" t="s">
        <v>718</v>
      </c>
      <c r="D3287" s="78" t="s">
        <v>193</v>
      </c>
      <c r="J3287" s="584"/>
      <c r="K3287" s="584"/>
      <c r="M3287" s="62">
        <f t="shared" si="264"/>
        <v>3</v>
      </c>
    </row>
    <row r="3288" spans="1:13" ht="15.75" thickTop="1">
      <c r="A3288" s="1047" t="s">
        <v>2791</v>
      </c>
      <c r="B3288" s="1049" t="s">
        <v>4126</v>
      </c>
      <c r="C3288" s="1049" t="s">
        <v>854</v>
      </c>
      <c r="D3288" s="1040" t="s">
        <v>4127</v>
      </c>
      <c r="E3288" s="1041"/>
      <c r="F3288" s="1041"/>
      <c r="G3288" s="1040" t="s">
        <v>904</v>
      </c>
      <c r="H3288" s="1041"/>
      <c r="I3288" s="1042"/>
      <c r="J3288" s="1035" t="s">
        <v>855</v>
      </c>
      <c r="K3288" s="389"/>
    </row>
    <row r="3289" spans="1:13" ht="26.25" thickBot="1">
      <c r="A3289" s="1048"/>
      <c r="B3289" s="1050"/>
      <c r="C3289" s="1050"/>
      <c r="D3289" s="285" t="s">
        <v>5505</v>
      </c>
      <c r="E3289" s="285" t="s">
        <v>4485</v>
      </c>
      <c r="F3289" s="285" t="s">
        <v>4486</v>
      </c>
      <c r="G3289" s="287" t="s">
        <v>4487</v>
      </c>
      <c r="H3289" s="285" t="s">
        <v>4488</v>
      </c>
      <c r="I3289" s="287" t="s">
        <v>4489</v>
      </c>
      <c r="J3289" s="1036"/>
      <c r="K3289" s="712"/>
    </row>
    <row r="3290" spans="1:13" ht="13.5" thickTop="1">
      <c r="A3290" s="88"/>
      <c r="B3290" s="90" t="s">
        <v>2051</v>
      </c>
      <c r="C3290" s="69"/>
      <c r="D3290" s="89"/>
      <c r="E3290" s="89"/>
      <c r="F3290" s="89"/>
      <c r="G3290" s="89"/>
      <c r="H3290" s="89"/>
      <c r="I3290" s="89"/>
      <c r="J3290" s="713"/>
      <c r="K3290" s="711"/>
      <c r="M3290" s="62">
        <f t="shared" si="264"/>
        <v>5</v>
      </c>
    </row>
    <row r="3291" spans="1:13">
      <c r="A3291" s="88">
        <v>1</v>
      </c>
      <c r="B3291" s="69" t="s">
        <v>3532</v>
      </c>
      <c r="C3291" s="69">
        <v>16</v>
      </c>
      <c r="D3291" s="89">
        <v>0</v>
      </c>
      <c r="E3291" s="89">
        <v>0</v>
      </c>
      <c r="F3291" s="89">
        <v>0</v>
      </c>
      <c r="G3291" s="89">
        <v>0</v>
      </c>
      <c r="H3291" s="89">
        <v>0</v>
      </c>
      <c r="I3291" s="89">
        <v>0</v>
      </c>
      <c r="J3291" s="710">
        <f>(VLOOKUP($C3291,[2]Sheet1!$A$2:$P$18,$M3291+1)/12)*12*D3291</f>
        <v>0</v>
      </c>
      <c r="K3291" s="711"/>
      <c r="M3291" s="62">
        <f t="shared" si="264"/>
        <v>3</v>
      </c>
    </row>
    <row r="3292" spans="1:13">
      <c r="A3292" s="88">
        <f t="shared" ref="A3292:A3298" si="265">+A3291+1</f>
        <v>2</v>
      </c>
      <c r="B3292" s="69" t="s">
        <v>1256</v>
      </c>
      <c r="C3292" s="69">
        <v>15</v>
      </c>
      <c r="D3292" s="89">
        <v>0</v>
      </c>
      <c r="E3292" s="89">
        <v>0</v>
      </c>
      <c r="F3292" s="89">
        <v>0</v>
      </c>
      <c r="G3292" s="89">
        <v>0</v>
      </c>
      <c r="H3292" s="89">
        <v>0</v>
      </c>
      <c r="I3292" s="89">
        <v>0</v>
      </c>
      <c r="J3292" s="710">
        <f>(VLOOKUP($C3292,[2]Sheet1!$A$2:$P$18,$M3292+1)/12)*12*D3292</f>
        <v>0</v>
      </c>
      <c r="K3292" s="711"/>
      <c r="M3292" s="62">
        <f t="shared" si="264"/>
        <v>3</v>
      </c>
    </row>
    <row r="3293" spans="1:13">
      <c r="A3293" s="88">
        <f t="shared" si="265"/>
        <v>3</v>
      </c>
      <c r="B3293" s="69" t="s">
        <v>3533</v>
      </c>
      <c r="C3293" s="69">
        <v>14</v>
      </c>
      <c r="D3293" s="89">
        <v>0</v>
      </c>
      <c r="E3293" s="89">
        <v>0</v>
      </c>
      <c r="F3293" s="89">
        <v>0</v>
      </c>
      <c r="G3293" s="89">
        <v>0</v>
      </c>
      <c r="H3293" s="89">
        <v>0</v>
      </c>
      <c r="I3293" s="89">
        <v>0</v>
      </c>
      <c r="J3293" s="710">
        <f>(VLOOKUP($C3293,[2]Sheet1!$A$2:$P$18,$M3293+1)/12)*12*D3293</f>
        <v>0</v>
      </c>
      <c r="K3293" s="711"/>
      <c r="M3293" s="62">
        <f t="shared" si="264"/>
        <v>3</v>
      </c>
    </row>
    <row r="3294" spans="1:13">
      <c r="A3294" s="88">
        <f t="shared" si="265"/>
        <v>4</v>
      </c>
      <c r="B3294" s="69" t="s">
        <v>732</v>
      </c>
      <c r="C3294" s="69">
        <v>9</v>
      </c>
      <c r="D3294" s="89">
        <v>0</v>
      </c>
      <c r="E3294" s="89">
        <v>0</v>
      </c>
      <c r="F3294" s="89">
        <v>0</v>
      </c>
      <c r="G3294" s="89">
        <v>0</v>
      </c>
      <c r="H3294" s="89">
        <v>0</v>
      </c>
      <c r="I3294" s="89">
        <v>0</v>
      </c>
      <c r="J3294" s="710">
        <f>(VLOOKUP($C3294,[2]Sheet1!$A$2:$P$18,$M3294+1)/12)*12*D3294</f>
        <v>0</v>
      </c>
      <c r="K3294" s="711"/>
      <c r="M3294" s="62">
        <f t="shared" si="264"/>
        <v>3</v>
      </c>
    </row>
    <row r="3295" spans="1:13">
      <c r="A3295" s="88">
        <f t="shared" si="265"/>
        <v>5</v>
      </c>
      <c r="B3295" s="69" t="s">
        <v>2443</v>
      </c>
      <c r="C3295" s="69">
        <v>6</v>
      </c>
      <c r="D3295" s="89">
        <v>0</v>
      </c>
      <c r="E3295" s="89">
        <v>1</v>
      </c>
      <c r="F3295" s="89">
        <v>0</v>
      </c>
      <c r="G3295" s="89">
        <v>0</v>
      </c>
      <c r="H3295" s="89">
        <v>0</v>
      </c>
      <c r="I3295" s="89">
        <v>0</v>
      </c>
      <c r="J3295" s="710">
        <f>(VLOOKUP($C3295,[2]Sheet1!$A$2:$P$18,$M3295+1)/12)*12*D3295</f>
        <v>0</v>
      </c>
      <c r="K3295" s="711"/>
      <c r="M3295" s="62">
        <f t="shared" si="264"/>
        <v>5</v>
      </c>
    </row>
    <row r="3296" spans="1:13">
      <c r="A3296" s="88">
        <f t="shared" si="265"/>
        <v>6</v>
      </c>
      <c r="B3296" s="69" t="s">
        <v>3145</v>
      </c>
      <c r="C3296" s="69">
        <v>4</v>
      </c>
      <c r="D3296" s="89">
        <v>0</v>
      </c>
      <c r="E3296" s="89">
        <v>1</v>
      </c>
      <c r="F3296" s="89">
        <v>0</v>
      </c>
      <c r="G3296" s="89">
        <v>0</v>
      </c>
      <c r="H3296" s="89">
        <v>0</v>
      </c>
      <c r="I3296" s="89">
        <v>0</v>
      </c>
      <c r="J3296" s="710">
        <f>(VLOOKUP($C3296,[2]Sheet1!$A$2:$P$18,$M3296+1)/12)*12*D3296</f>
        <v>0</v>
      </c>
      <c r="K3296" s="711"/>
      <c r="M3296" s="62">
        <f t="shared" si="264"/>
        <v>5</v>
      </c>
    </row>
    <row r="3297" spans="1:13">
      <c r="A3297" s="88">
        <f t="shared" si="265"/>
        <v>7</v>
      </c>
      <c r="B3297" s="69" t="s">
        <v>4030</v>
      </c>
      <c r="C3297" s="69">
        <v>3</v>
      </c>
      <c r="D3297" s="89">
        <v>0</v>
      </c>
      <c r="E3297" s="89">
        <v>1</v>
      </c>
      <c r="F3297" s="89">
        <v>0</v>
      </c>
      <c r="G3297" s="89">
        <v>0</v>
      </c>
      <c r="H3297" s="89">
        <v>0</v>
      </c>
      <c r="I3297" s="89">
        <v>0</v>
      </c>
      <c r="J3297" s="710">
        <f>(VLOOKUP($C3297,[2]Sheet1!$A$2:$P$18,$M3297+1)/12)*12*D3297</f>
        <v>0</v>
      </c>
      <c r="K3297" s="711"/>
      <c r="M3297" s="62">
        <f t="shared" si="264"/>
        <v>5</v>
      </c>
    </row>
    <row r="3298" spans="1:13">
      <c r="A3298" s="88">
        <f t="shared" si="265"/>
        <v>8</v>
      </c>
      <c r="B3298" s="69" t="s">
        <v>2171</v>
      </c>
      <c r="C3298" s="69">
        <v>2</v>
      </c>
      <c r="D3298" s="89">
        <v>1</v>
      </c>
      <c r="E3298" s="89">
        <v>1</v>
      </c>
      <c r="F3298" s="89">
        <v>1</v>
      </c>
      <c r="G3298" s="89">
        <v>1</v>
      </c>
      <c r="H3298" s="89">
        <v>1</v>
      </c>
      <c r="I3298" s="89">
        <v>1</v>
      </c>
      <c r="J3298" s="710">
        <f>(VLOOKUP($C3298,[2]Sheet1!$A$2:$P$18,$M3298+1)/12)*12*D3298</f>
        <v>214657.37893036503</v>
      </c>
      <c r="K3298" s="711"/>
      <c r="M3298" s="62">
        <f t="shared" si="264"/>
        <v>5</v>
      </c>
    </row>
    <row r="3299" spans="1:13">
      <c r="A3299" s="88">
        <v>9</v>
      </c>
      <c r="B3299" s="69" t="s">
        <v>3252</v>
      </c>
      <c r="C3299" s="69">
        <v>3</v>
      </c>
      <c r="D3299" s="89">
        <v>6</v>
      </c>
      <c r="E3299" s="89">
        <v>6</v>
      </c>
      <c r="F3299" s="89">
        <v>6</v>
      </c>
      <c r="G3299" s="89">
        <v>6</v>
      </c>
      <c r="H3299" s="89">
        <v>6</v>
      </c>
      <c r="I3299" s="89">
        <v>6</v>
      </c>
      <c r="J3299" s="710">
        <f>(VLOOKUP($C3299,[2]Sheet1!$A$2:$P$18,$M3299+1)/12)*12*D3299</f>
        <v>1316017.0735821899</v>
      </c>
      <c r="K3299" s="711"/>
      <c r="M3299" s="62">
        <f t="shared" si="264"/>
        <v>5</v>
      </c>
    </row>
    <row r="3300" spans="1:13">
      <c r="A3300" s="88">
        <v>10</v>
      </c>
      <c r="B3300" s="69" t="s">
        <v>59</v>
      </c>
      <c r="C3300" s="69">
        <v>3</v>
      </c>
      <c r="D3300" s="89">
        <v>1</v>
      </c>
      <c r="E3300" s="89">
        <v>6</v>
      </c>
      <c r="F3300" s="89">
        <v>1</v>
      </c>
      <c r="G3300" s="89">
        <v>1</v>
      </c>
      <c r="H3300" s="89">
        <v>1</v>
      </c>
      <c r="I3300" s="89">
        <v>1</v>
      </c>
      <c r="J3300" s="710">
        <f>(VLOOKUP($C3300,[2]Sheet1!$A$2:$P$18,$M3300+1)/12)*12*D3300</f>
        <v>219336.17893036499</v>
      </c>
      <c r="K3300" s="711"/>
      <c r="M3300" s="62">
        <f>IF(C3300&gt;6,3,5)</f>
        <v>5</v>
      </c>
    </row>
    <row r="3301" spans="1:13">
      <c r="A3301" s="88"/>
      <c r="B3301" s="90" t="s">
        <v>900</v>
      </c>
      <c r="C3301" s="69"/>
      <c r="D3301" s="89"/>
      <c r="E3301" s="89"/>
      <c r="F3301" s="89"/>
      <c r="G3301" s="89"/>
      <c r="H3301" s="89"/>
      <c r="I3301" s="89"/>
      <c r="J3301" s="710"/>
      <c r="K3301" s="711"/>
      <c r="M3301" s="62">
        <f t="shared" si="264"/>
        <v>5</v>
      </c>
    </row>
    <row r="3302" spans="1:13">
      <c r="A3302" s="88">
        <v>11</v>
      </c>
      <c r="B3302" s="69" t="s">
        <v>3635</v>
      </c>
      <c r="C3302" s="69">
        <v>6</v>
      </c>
      <c r="D3302" s="89">
        <v>0</v>
      </c>
      <c r="E3302" s="89">
        <v>1</v>
      </c>
      <c r="F3302" s="89">
        <v>0</v>
      </c>
      <c r="G3302" s="89">
        <v>0</v>
      </c>
      <c r="H3302" s="89">
        <v>0</v>
      </c>
      <c r="I3302" s="89">
        <v>0</v>
      </c>
      <c r="J3302" s="710">
        <f>(VLOOKUP($C3302,[2]Sheet1!$A$2:$P$18,$M3302+1)/12)*12*D3302</f>
        <v>0</v>
      </c>
      <c r="K3302" s="711"/>
      <c r="M3302" s="62">
        <f t="shared" si="264"/>
        <v>5</v>
      </c>
    </row>
    <row r="3303" spans="1:13">
      <c r="A3303" s="88">
        <f>A3302+1</f>
        <v>12</v>
      </c>
      <c r="B3303" s="69" t="s">
        <v>2301</v>
      </c>
      <c r="C3303" s="69">
        <v>4</v>
      </c>
      <c r="D3303" s="89">
        <v>0</v>
      </c>
      <c r="E3303" s="89">
        <v>1</v>
      </c>
      <c r="F3303" s="89">
        <v>0</v>
      </c>
      <c r="G3303" s="89">
        <v>0</v>
      </c>
      <c r="H3303" s="89">
        <v>0</v>
      </c>
      <c r="I3303" s="89">
        <v>0</v>
      </c>
      <c r="J3303" s="710">
        <f>(VLOOKUP($C3303,[2]Sheet1!$A$2:$P$18,$M3303+1)/12)*12*D3303</f>
        <v>0</v>
      </c>
      <c r="K3303" s="711"/>
      <c r="M3303" s="62">
        <f t="shared" si="264"/>
        <v>5</v>
      </c>
    </row>
    <row r="3304" spans="1:13">
      <c r="A3304" s="88">
        <f>A3303+1</f>
        <v>13</v>
      </c>
      <c r="B3304" s="69" t="s">
        <v>2302</v>
      </c>
      <c r="C3304" s="69">
        <v>3</v>
      </c>
      <c r="D3304" s="89">
        <v>0</v>
      </c>
      <c r="E3304" s="89">
        <v>1</v>
      </c>
      <c r="F3304" s="89">
        <v>0</v>
      </c>
      <c r="G3304" s="89">
        <v>0</v>
      </c>
      <c r="H3304" s="89">
        <v>0</v>
      </c>
      <c r="I3304" s="89">
        <v>0</v>
      </c>
      <c r="J3304" s="710">
        <f>(VLOOKUP($C3304,[2]Sheet1!$A$2:$P$18,$M3304+1)/12)*12*D3304</f>
        <v>0</v>
      </c>
      <c r="K3304" s="711"/>
      <c r="M3304" s="62">
        <f t="shared" si="264"/>
        <v>5</v>
      </c>
    </row>
    <row r="3305" spans="1:13">
      <c r="A3305" s="88"/>
      <c r="B3305" s="90" t="s">
        <v>3732</v>
      </c>
      <c r="C3305" s="69"/>
      <c r="D3305" s="89"/>
      <c r="E3305" s="89"/>
      <c r="F3305" s="89"/>
      <c r="G3305" s="89"/>
      <c r="H3305" s="89"/>
      <c r="I3305" s="89"/>
      <c r="J3305" s="710"/>
      <c r="K3305" s="711"/>
      <c r="M3305" s="62">
        <f t="shared" si="264"/>
        <v>5</v>
      </c>
    </row>
    <row r="3306" spans="1:13">
      <c r="A3306" s="88">
        <v>13</v>
      </c>
      <c r="B3306" s="69" t="s">
        <v>1290</v>
      </c>
      <c r="C3306" s="153">
        <v>16</v>
      </c>
      <c r="D3306" s="76">
        <v>0</v>
      </c>
      <c r="E3306" s="89">
        <v>0</v>
      </c>
      <c r="F3306" s="76">
        <v>0</v>
      </c>
      <c r="G3306" s="76">
        <v>0</v>
      </c>
      <c r="H3306" s="76">
        <v>0</v>
      </c>
      <c r="I3306" s="76">
        <v>0</v>
      </c>
      <c r="J3306" s="710">
        <f>(VLOOKUP($C3306,[2]Sheet1!$A$2:$P$18,$M3306+1)/12)*12*D3306</f>
        <v>0</v>
      </c>
      <c r="K3306" s="711"/>
      <c r="M3306" s="62">
        <f t="shared" si="264"/>
        <v>3</v>
      </c>
    </row>
    <row r="3307" spans="1:13">
      <c r="A3307" s="88">
        <f t="shared" ref="A3307:A3326" si="266">A3306+1</f>
        <v>14</v>
      </c>
      <c r="B3307" s="69" t="s">
        <v>3733</v>
      </c>
      <c r="C3307" s="153">
        <v>15</v>
      </c>
      <c r="D3307" s="89">
        <v>0</v>
      </c>
      <c r="E3307" s="89">
        <v>0</v>
      </c>
      <c r="F3307" s="89">
        <v>0</v>
      </c>
      <c r="G3307" s="89">
        <v>0</v>
      </c>
      <c r="H3307" s="89">
        <v>0</v>
      </c>
      <c r="I3307" s="89">
        <v>0</v>
      </c>
      <c r="J3307" s="710">
        <f>(VLOOKUP($C3307,[2]Sheet1!$A$2:$P$18,$M3307+1)/12)*12*D3307</f>
        <v>0</v>
      </c>
      <c r="K3307" s="711"/>
      <c r="M3307" s="62">
        <f t="shared" si="264"/>
        <v>3</v>
      </c>
    </row>
    <row r="3308" spans="1:13">
      <c r="A3308" s="88">
        <f t="shared" si="266"/>
        <v>15</v>
      </c>
      <c r="B3308" s="69" t="s">
        <v>1454</v>
      </c>
      <c r="C3308" s="153">
        <v>14</v>
      </c>
      <c r="D3308" s="89">
        <v>0</v>
      </c>
      <c r="E3308" s="89">
        <v>0</v>
      </c>
      <c r="F3308" s="89">
        <v>0</v>
      </c>
      <c r="G3308" s="89">
        <v>0</v>
      </c>
      <c r="H3308" s="89">
        <v>0</v>
      </c>
      <c r="I3308" s="89">
        <v>0</v>
      </c>
      <c r="J3308" s="710">
        <f>(VLOOKUP($C3308,[2]Sheet1!$A$2:$P$18,$M3308+1)/12)*12*D3308</f>
        <v>0</v>
      </c>
      <c r="K3308" s="711"/>
      <c r="M3308" s="62">
        <f t="shared" si="264"/>
        <v>3</v>
      </c>
    </row>
    <row r="3309" spans="1:13">
      <c r="A3309" s="88">
        <f t="shared" si="266"/>
        <v>16</v>
      </c>
      <c r="B3309" s="69" t="s">
        <v>1298</v>
      </c>
      <c r="C3309" s="153">
        <v>9</v>
      </c>
      <c r="D3309" s="89">
        <v>0</v>
      </c>
      <c r="E3309" s="89">
        <v>0</v>
      </c>
      <c r="F3309" s="89">
        <v>0</v>
      </c>
      <c r="G3309" s="89">
        <v>0</v>
      </c>
      <c r="H3309" s="89">
        <v>0</v>
      </c>
      <c r="I3309" s="89">
        <v>0</v>
      </c>
      <c r="J3309" s="710">
        <f>(VLOOKUP($C3309,[2]Sheet1!$A$2:$P$18,$M3309+1)/12)*12*D3309</f>
        <v>0</v>
      </c>
      <c r="K3309" s="711"/>
      <c r="M3309" s="62">
        <f t="shared" si="264"/>
        <v>3</v>
      </c>
    </row>
    <row r="3310" spans="1:13">
      <c r="A3310" s="88">
        <f t="shared" si="266"/>
        <v>17</v>
      </c>
      <c r="B3310" s="69" t="s">
        <v>1299</v>
      </c>
      <c r="C3310" s="153">
        <v>8</v>
      </c>
      <c r="D3310" s="89">
        <v>0</v>
      </c>
      <c r="E3310" s="89">
        <v>1</v>
      </c>
      <c r="F3310" s="89">
        <v>0</v>
      </c>
      <c r="G3310" s="89">
        <v>0</v>
      </c>
      <c r="H3310" s="89">
        <v>0</v>
      </c>
      <c r="I3310" s="89">
        <v>0</v>
      </c>
      <c r="J3310" s="710">
        <f>(VLOOKUP($C3310,[2]Sheet1!$A$2:$P$18,$M3310+1)/12)*12*D3310</f>
        <v>0</v>
      </c>
      <c r="K3310" s="711"/>
      <c r="M3310" s="62">
        <f t="shared" si="264"/>
        <v>3</v>
      </c>
    </row>
    <row r="3311" spans="1:13">
      <c r="A3311" s="88">
        <f t="shared" si="266"/>
        <v>18</v>
      </c>
      <c r="B3311" s="69" t="s">
        <v>3580</v>
      </c>
      <c r="C3311" s="153">
        <v>6</v>
      </c>
      <c r="D3311" s="89">
        <v>0</v>
      </c>
      <c r="E3311" s="89">
        <v>1</v>
      </c>
      <c r="F3311" s="89">
        <v>0</v>
      </c>
      <c r="G3311" s="89">
        <v>0</v>
      </c>
      <c r="H3311" s="89">
        <v>0</v>
      </c>
      <c r="I3311" s="89">
        <v>0</v>
      </c>
      <c r="J3311" s="710">
        <f>(VLOOKUP($C3311,[2]Sheet1!$A$2:$P$18,$M3311+1)/12)*12*D3311</f>
        <v>0</v>
      </c>
      <c r="K3311" s="711"/>
      <c r="M3311" s="62">
        <f t="shared" si="264"/>
        <v>5</v>
      </c>
    </row>
    <row r="3312" spans="1:13">
      <c r="A3312" s="88"/>
      <c r="B3312" s="90" t="s">
        <v>2514</v>
      </c>
      <c r="C3312" s="69"/>
      <c r="D3312" s="89"/>
      <c r="E3312" s="89"/>
      <c r="F3312" s="89"/>
      <c r="G3312" s="89"/>
      <c r="H3312" s="89"/>
      <c r="I3312" s="89"/>
      <c r="J3312" s="710"/>
      <c r="K3312" s="711"/>
      <c r="M3312" s="62">
        <f t="shared" si="264"/>
        <v>5</v>
      </c>
    </row>
    <row r="3313" spans="1:13">
      <c r="A3313" s="88">
        <f>A3311+1</f>
        <v>19</v>
      </c>
      <c r="B3313" s="69" t="s">
        <v>1290</v>
      </c>
      <c r="C3313" s="69">
        <v>16</v>
      </c>
      <c r="D3313" s="89">
        <v>0</v>
      </c>
      <c r="E3313" s="89">
        <v>0</v>
      </c>
      <c r="F3313" s="89">
        <v>0</v>
      </c>
      <c r="G3313" s="89">
        <v>0</v>
      </c>
      <c r="H3313" s="89">
        <v>0</v>
      </c>
      <c r="I3313" s="89">
        <v>0</v>
      </c>
      <c r="J3313" s="710">
        <f>(VLOOKUP($C3313,[2]Sheet1!$A$2:$P$18,$M3313+1)/12)*12*D3313</f>
        <v>0</v>
      </c>
      <c r="K3313" s="711"/>
      <c r="M3313" s="62">
        <f t="shared" si="264"/>
        <v>3</v>
      </c>
    </row>
    <row r="3314" spans="1:13">
      <c r="A3314" s="88">
        <f t="shared" si="266"/>
        <v>20</v>
      </c>
      <c r="B3314" s="69" t="s">
        <v>2510</v>
      </c>
      <c r="C3314" s="69">
        <v>15</v>
      </c>
      <c r="D3314" s="89">
        <v>0</v>
      </c>
      <c r="E3314" s="89">
        <v>0</v>
      </c>
      <c r="F3314" s="89">
        <v>0</v>
      </c>
      <c r="G3314" s="89">
        <v>0</v>
      </c>
      <c r="H3314" s="89">
        <v>0</v>
      </c>
      <c r="I3314" s="89">
        <v>0</v>
      </c>
      <c r="J3314" s="710">
        <f>(VLOOKUP($C3314,[2]Sheet1!$A$2:$P$18,$M3314+1)/12)*12*D3314</f>
        <v>0</v>
      </c>
      <c r="K3314" s="711"/>
      <c r="M3314" s="62">
        <f t="shared" si="264"/>
        <v>3</v>
      </c>
    </row>
    <row r="3315" spans="1:13">
      <c r="A3315" s="88">
        <f t="shared" si="266"/>
        <v>21</v>
      </c>
      <c r="B3315" s="69" t="s">
        <v>2511</v>
      </c>
      <c r="C3315" s="69">
        <v>14</v>
      </c>
      <c r="D3315" s="89">
        <v>0</v>
      </c>
      <c r="E3315" s="89">
        <v>0</v>
      </c>
      <c r="F3315" s="89">
        <v>0</v>
      </c>
      <c r="G3315" s="89">
        <v>0</v>
      </c>
      <c r="H3315" s="89">
        <v>0</v>
      </c>
      <c r="I3315" s="89">
        <v>0</v>
      </c>
      <c r="J3315" s="710">
        <f>(VLOOKUP($C3315,[2]Sheet1!$A$2:$P$18,$M3315+1)/12)*12*D3315</f>
        <v>0</v>
      </c>
      <c r="K3315" s="711"/>
      <c r="M3315" s="62">
        <f t="shared" si="264"/>
        <v>3</v>
      </c>
    </row>
    <row r="3316" spans="1:13">
      <c r="A3316" s="88">
        <f t="shared" si="266"/>
        <v>22</v>
      </c>
      <c r="B3316" s="69" t="s">
        <v>1176</v>
      </c>
      <c r="C3316" s="69">
        <v>10</v>
      </c>
      <c r="D3316" s="89">
        <v>1</v>
      </c>
      <c r="E3316" s="89">
        <v>0</v>
      </c>
      <c r="F3316" s="89">
        <v>1</v>
      </c>
      <c r="G3316" s="89">
        <v>1</v>
      </c>
      <c r="H3316" s="89">
        <v>1</v>
      </c>
      <c r="I3316" s="89">
        <v>1</v>
      </c>
      <c r="J3316" s="710">
        <f>(VLOOKUP($C3316,[2]Sheet1!$A$2:$P$18,$M3316+1)/12)*12*D3316</f>
        <v>483974.5687200001</v>
      </c>
      <c r="K3316" s="711"/>
      <c r="M3316" s="62">
        <f t="shared" si="264"/>
        <v>3</v>
      </c>
    </row>
    <row r="3317" spans="1:13">
      <c r="A3317" s="88">
        <f t="shared" si="266"/>
        <v>23</v>
      </c>
      <c r="B3317" s="69" t="s">
        <v>392</v>
      </c>
      <c r="C3317" s="69">
        <v>8</v>
      </c>
      <c r="D3317" s="89">
        <v>0</v>
      </c>
      <c r="E3317" s="89">
        <v>1</v>
      </c>
      <c r="F3317" s="89">
        <v>0</v>
      </c>
      <c r="G3317" s="89">
        <v>0</v>
      </c>
      <c r="H3317" s="89">
        <v>0</v>
      </c>
      <c r="I3317" s="89">
        <v>0</v>
      </c>
      <c r="J3317" s="710">
        <f>(VLOOKUP($C3317,[2]Sheet1!$A$2:$P$18,$M3317+1)/12)*12*D3317</f>
        <v>0</v>
      </c>
      <c r="K3317" s="711"/>
      <c r="M3317" s="62">
        <f t="shared" si="264"/>
        <v>3</v>
      </c>
    </row>
    <row r="3318" spans="1:13">
      <c r="A3318" s="88">
        <f t="shared" si="266"/>
        <v>24</v>
      </c>
      <c r="B3318" s="69" t="s">
        <v>393</v>
      </c>
      <c r="C3318" s="69">
        <v>6</v>
      </c>
      <c r="D3318" s="89">
        <v>0</v>
      </c>
      <c r="E3318" s="89">
        <v>1</v>
      </c>
      <c r="F3318" s="89">
        <v>0</v>
      </c>
      <c r="G3318" s="89">
        <v>0</v>
      </c>
      <c r="H3318" s="89">
        <v>0</v>
      </c>
      <c r="I3318" s="89">
        <v>0</v>
      </c>
      <c r="J3318" s="710">
        <f>(VLOOKUP($C3318,[2]Sheet1!$A$2:$P$18,$M3318+1)/12)*12*D3318</f>
        <v>0</v>
      </c>
      <c r="K3318" s="711"/>
      <c r="M3318" s="62">
        <f t="shared" si="264"/>
        <v>5</v>
      </c>
    </row>
    <row r="3319" spans="1:13">
      <c r="A3319" s="88">
        <f t="shared" si="266"/>
        <v>25</v>
      </c>
      <c r="B3319" s="69" t="s">
        <v>2913</v>
      </c>
      <c r="C3319" s="69">
        <v>9</v>
      </c>
      <c r="D3319" s="89">
        <v>0</v>
      </c>
      <c r="E3319" s="89">
        <v>0</v>
      </c>
      <c r="F3319" s="89">
        <v>0</v>
      </c>
      <c r="G3319" s="89">
        <v>0</v>
      </c>
      <c r="H3319" s="89">
        <v>0</v>
      </c>
      <c r="I3319" s="89">
        <v>0</v>
      </c>
      <c r="J3319" s="710">
        <f>(VLOOKUP($C3319,[2]Sheet1!$A$2:$P$18,$M3319+1)/12)*12*D3319</f>
        <v>0</v>
      </c>
      <c r="K3319" s="711"/>
      <c r="M3319" s="62">
        <f t="shared" si="264"/>
        <v>3</v>
      </c>
    </row>
    <row r="3320" spans="1:13">
      <c r="A3320" s="88"/>
      <c r="B3320" s="90" t="s">
        <v>2491</v>
      </c>
      <c r="C3320" s="69"/>
      <c r="D3320" s="89"/>
      <c r="E3320" s="89"/>
      <c r="F3320" s="89"/>
      <c r="G3320" s="89"/>
      <c r="H3320" s="89"/>
      <c r="I3320" s="89"/>
      <c r="J3320" s="710"/>
      <c r="K3320" s="711"/>
      <c r="M3320" s="62">
        <f t="shared" si="264"/>
        <v>5</v>
      </c>
    </row>
    <row r="3321" spans="1:13">
      <c r="A3321" s="88">
        <f>A3319+1</f>
        <v>26</v>
      </c>
      <c r="B3321" s="69" t="s">
        <v>3532</v>
      </c>
      <c r="C3321" s="69">
        <v>16</v>
      </c>
      <c r="D3321" s="89">
        <v>0</v>
      </c>
      <c r="E3321" s="89">
        <v>0</v>
      </c>
      <c r="F3321" s="89">
        <v>0</v>
      </c>
      <c r="G3321" s="89">
        <v>0</v>
      </c>
      <c r="H3321" s="89">
        <v>0</v>
      </c>
      <c r="I3321" s="89">
        <v>0</v>
      </c>
      <c r="J3321" s="710">
        <f>(VLOOKUP($C3321,[2]Sheet1!$A$2:$P$18,$M3321+1)/12)*12*D3321</f>
        <v>0</v>
      </c>
      <c r="K3321" s="711"/>
      <c r="M3321" s="62">
        <f t="shared" si="264"/>
        <v>3</v>
      </c>
    </row>
    <row r="3322" spans="1:13">
      <c r="A3322" s="88">
        <f t="shared" si="266"/>
        <v>27</v>
      </c>
      <c r="B3322" s="69" t="s">
        <v>2510</v>
      </c>
      <c r="C3322" s="69">
        <v>15</v>
      </c>
      <c r="D3322" s="89">
        <v>0</v>
      </c>
      <c r="E3322" s="89">
        <v>0</v>
      </c>
      <c r="F3322" s="89">
        <v>0</v>
      </c>
      <c r="G3322" s="89">
        <v>0</v>
      </c>
      <c r="H3322" s="89">
        <v>0</v>
      </c>
      <c r="I3322" s="89">
        <v>0</v>
      </c>
      <c r="J3322" s="710">
        <f>(VLOOKUP($C3322,[2]Sheet1!$A$2:$P$18,$M3322+1)/12)*12*D3322</f>
        <v>0</v>
      </c>
      <c r="K3322" s="711"/>
      <c r="M3322" s="62">
        <f t="shared" si="264"/>
        <v>3</v>
      </c>
    </row>
    <row r="3323" spans="1:13">
      <c r="A3323" s="88">
        <f t="shared" si="266"/>
        <v>28</v>
      </c>
      <c r="B3323" s="69" t="s">
        <v>2749</v>
      </c>
      <c r="C3323" s="69">
        <v>14</v>
      </c>
      <c r="D3323" s="89">
        <v>0</v>
      </c>
      <c r="E3323" s="89">
        <v>0</v>
      </c>
      <c r="F3323" s="89">
        <v>0</v>
      </c>
      <c r="G3323" s="89">
        <v>0</v>
      </c>
      <c r="H3323" s="89">
        <v>0</v>
      </c>
      <c r="I3323" s="89">
        <v>0</v>
      </c>
      <c r="J3323" s="710">
        <f>(VLOOKUP($C3323,[2]Sheet1!$A$2:$P$18,$M3323+1)/12)*12*D3323</f>
        <v>0</v>
      </c>
      <c r="K3323" s="711"/>
      <c r="M3323" s="62">
        <f t="shared" si="264"/>
        <v>3</v>
      </c>
    </row>
    <row r="3324" spans="1:13">
      <c r="A3324" s="88">
        <f t="shared" si="266"/>
        <v>29</v>
      </c>
      <c r="B3324" s="69" t="s">
        <v>2912</v>
      </c>
      <c r="C3324" s="69">
        <v>10</v>
      </c>
      <c r="D3324" s="89">
        <v>0</v>
      </c>
      <c r="E3324" s="89">
        <v>0</v>
      </c>
      <c r="F3324" s="89">
        <v>0</v>
      </c>
      <c r="G3324" s="89">
        <v>0</v>
      </c>
      <c r="H3324" s="89">
        <v>0</v>
      </c>
      <c r="I3324" s="89">
        <v>0</v>
      </c>
      <c r="J3324" s="710">
        <f>(VLOOKUP($C3324,[2]Sheet1!$A$2:$P$18,$M3324+1)/12)*12*D3324</f>
        <v>0</v>
      </c>
      <c r="K3324" s="711"/>
      <c r="M3324" s="62">
        <f t="shared" si="264"/>
        <v>3</v>
      </c>
    </row>
    <row r="3325" spans="1:13">
      <c r="A3325" s="88">
        <f t="shared" si="266"/>
        <v>30</v>
      </c>
      <c r="B3325" s="69" t="s">
        <v>1958</v>
      </c>
      <c r="C3325" s="69">
        <v>9</v>
      </c>
      <c r="D3325" s="89">
        <v>0</v>
      </c>
      <c r="E3325" s="89">
        <v>0</v>
      </c>
      <c r="F3325" s="89">
        <v>0</v>
      </c>
      <c r="G3325" s="89">
        <v>0</v>
      </c>
      <c r="H3325" s="89">
        <v>0</v>
      </c>
      <c r="I3325" s="89">
        <v>0</v>
      </c>
      <c r="J3325" s="710">
        <f>(VLOOKUP($C3325,[2]Sheet1!$A$2:$P$18,$M3325+1)/12)*12*D3325</f>
        <v>0</v>
      </c>
      <c r="K3325" s="711"/>
      <c r="M3325" s="62">
        <f t="shared" ref="M3325:M3375" si="267">IF(C3325&gt;6,3,5)</f>
        <v>3</v>
      </c>
    </row>
    <row r="3326" spans="1:13">
      <c r="A3326" s="88">
        <f t="shared" si="266"/>
        <v>31</v>
      </c>
      <c r="B3326" s="69" t="s">
        <v>793</v>
      </c>
      <c r="C3326" s="69">
        <v>2</v>
      </c>
      <c r="D3326" s="89">
        <v>0</v>
      </c>
      <c r="E3326" s="89">
        <v>1</v>
      </c>
      <c r="F3326" s="89">
        <v>0</v>
      </c>
      <c r="G3326" s="89">
        <v>0</v>
      </c>
      <c r="H3326" s="89">
        <v>0</v>
      </c>
      <c r="I3326" s="89">
        <v>0</v>
      </c>
      <c r="J3326" s="710">
        <f>(VLOOKUP($C3326,[2]Sheet1!$A$2:$P$18,$M3326+1)/12)*12*D3326</f>
        <v>0</v>
      </c>
      <c r="K3326" s="711"/>
      <c r="M3326" s="62">
        <f t="shared" si="267"/>
        <v>5</v>
      </c>
    </row>
    <row r="3327" spans="1:13">
      <c r="A3327" s="92"/>
      <c r="B3327" s="93" t="s">
        <v>1684</v>
      </c>
      <c r="C3327" s="94"/>
      <c r="D3327" s="123">
        <f>SUM(D3290:D3318)</f>
        <v>9</v>
      </c>
      <c r="E3327" s="123">
        <f>SUM(E3290:E3319)</f>
        <v>23</v>
      </c>
      <c r="F3327" s="123">
        <f>SUM(F3290:F3318)</f>
        <v>9</v>
      </c>
      <c r="G3327" s="123">
        <f>SUM(G3290:G3318)</f>
        <v>9</v>
      </c>
      <c r="H3327" s="123">
        <f>SUM(H3290:H3319)</f>
        <v>9</v>
      </c>
      <c r="I3327" s="123">
        <f>SUM(I3290:I3318)</f>
        <v>9</v>
      </c>
      <c r="J3327" s="123">
        <f>SUM(J3290:J3319)</f>
        <v>2233985.2001629202</v>
      </c>
      <c r="K3327" s="378"/>
      <c r="M3327" s="62">
        <f t="shared" si="267"/>
        <v>5</v>
      </c>
    </row>
    <row r="3328" spans="1:13">
      <c r="A3328" s="88"/>
      <c r="B3328" s="90" t="s">
        <v>1199</v>
      </c>
      <c r="C3328" s="97"/>
      <c r="D3328" s="98"/>
      <c r="E3328" s="98"/>
      <c r="F3328" s="99"/>
      <c r="G3328" s="240" t="s">
        <v>243</v>
      </c>
      <c r="H3328" s="240" t="s">
        <v>4130</v>
      </c>
      <c r="I3328" s="240" t="s">
        <v>4202</v>
      </c>
      <c r="J3328" s="241" t="s">
        <v>4200</v>
      </c>
      <c r="K3328" s="375"/>
      <c r="M3328" s="62">
        <f t="shared" si="267"/>
        <v>5</v>
      </c>
    </row>
    <row r="3329" spans="1:13">
      <c r="A3329" s="88">
        <v>1</v>
      </c>
      <c r="B3329" s="69" t="s">
        <v>2786</v>
      </c>
      <c r="C3329" s="69"/>
      <c r="D3329" s="89"/>
      <c r="E3329" s="89"/>
      <c r="F3329" s="89"/>
      <c r="G3329" s="100">
        <f>J3327*0.2</f>
        <v>446797.04003258405</v>
      </c>
      <c r="H3329" s="100">
        <f>G3329*1.02</f>
        <v>455732.98083323572</v>
      </c>
      <c r="I3329" s="100">
        <f>H3329*1.02</f>
        <v>464847.64044990047</v>
      </c>
      <c r="J3329" s="100">
        <f>SUM(G3329:I3329)</f>
        <v>1367377.6613157203</v>
      </c>
      <c r="K3329" s="114"/>
      <c r="M3329" s="62">
        <f t="shared" si="267"/>
        <v>5</v>
      </c>
    </row>
    <row r="3330" spans="1:13">
      <c r="A3330" s="92"/>
      <c r="B3330" s="93" t="s">
        <v>1933</v>
      </c>
      <c r="C3330" s="94"/>
      <c r="D3330" s="101"/>
      <c r="E3330" s="101"/>
      <c r="F3330" s="95"/>
      <c r="G3330" s="95">
        <f>SUM(G3329:G3329)</f>
        <v>446797.04003258405</v>
      </c>
      <c r="H3330" s="95">
        <f>SUM(H3329:H3329)</f>
        <v>455732.98083323572</v>
      </c>
      <c r="I3330" s="95">
        <f>SUM(I3329:I3329)</f>
        <v>464847.64044990047</v>
      </c>
      <c r="J3330" s="95">
        <f>SUM(J3329:J3329)</f>
        <v>1367377.6613157203</v>
      </c>
      <c r="K3330" s="378"/>
      <c r="M3330" s="62">
        <f t="shared" si="267"/>
        <v>5</v>
      </c>
    </row>
    <row r="3331" spans="1:13">
      <c r="A3331" s="88"/>
      <c r="B3331" s="69" t="s">
        <v>1934</v>
      </c>
      <c r="C3331" s="69"/>
      <c r="D3331" s="89"/>
      <c r="E3331" s="89"/>
      <c r="F3331" s="89"/>
      <c r="G3331" s="100">
        <f>G3330+J3327</f>
        <v>2680782.2401955044</v>
      </c>
      <c r="H3331" s="100">
        <f>G3331*1.02</f>
        <v>2734397.8849994144</v>
      </c>
      <c r="I3331" s="100">
        <f>H3331*1.02</f>
        <v>2789085.8426994029</v>
      </c>
      <c r="J3331" s="100">
        <f>SUM(G3331:I3331)</f>
        <v>8204265.9678943213</v>
      </c>
      <c r="K3331" s="114"/>
      <c r="L3331" s="112"/>
      <c r="M3331" s="62">
        <f t="shared" si="267"/>
        <v>5</v>
      </c>
    </row>
    <row r="3332" spans="1:13">
      <c r="A3332" s="88"/>
      <c r="B3332" s="69" t="s">
        <v>129</v>
      </c>
      <c r="C3332" s="69"/>
      <c r="D3332" s="89"/>
      <c r="E3332" s="89"/>
      <c r="F3332" s="89"/>
      <c r="G3332" s="89">
        <f>C3358</f>
        <v>6800000</v>
      </c>
      <c r="H3332" s="89">
        <f>D3358</f>
        <v>10500000</v>
      </c>
      <c r="I3332" s="89">
        <f>E3358</f>
        <v>10500000</v>
      </c>
      <c r="J3332" s="100">
        <f>SUM(G3332:I3332)</f>
        <v>27800000</v>
      </c>
      <c r="K3332" s="114"/>
      <c r="M3332" s="62">
        <f t="shared" si="267"/>
        <v>5</v>
      </c>
    </row>
    <row r="3333" spans="1:13" ht="13.5" thickBot="1">
      <c r="A3333" s="92"/>
      <c r="B3333" s="103" t="s">
        <v>2241</v>
      </c>
      <c r="C3333" s="104"/>
      <c r="D3333" s="105"/>
      <c r="E3333" s="105"/>
      <c r="F3333" s="106"/>
      <c r="G3333" s="106">
        <f>+G3332+G3331</f>
        <v>9480782.2401955053</v>
      </c>
      <c r="H3333" s="106">
        <f>+H3332+H3331</f>
        <v>13234397.884999415</v>
      </c>
      <c r="I3333" s="106">
        <f>+I3332+I3331</f>
        <v>13289085.842699403</v>
      </c>
      <c r="J3333" s="106">
        <f>+J3332+J3331</f>
        <v>36004265.967894323</v>
      </c>
      <c r="K3333" s="378"/>
      <c r="M3333" s="62">
        <f t="shared" si="267"/>
        <v>5</v>
      </c>
    </row>
    <row r="3334" spans="1:13" ht="15.75" thickTop="1">
      <c r="C3334" s="77"/>
      <c r="D3334" s="78" t="s">
        <v>5434</v>
      </c>
      <c r="J3334" s="584"/>
      <c r="K3334" s="584"/>
      <c r="M3334" s="62">
        <f t="shared" si="267"/>
        <v>5</v>
      </c>
    </row>
    <row r="3335" spans="1:13" ht="15">
      <c r="C3335" s="77"/>
      <c r="D3335" s="78" t="s">
        <v>716</v>
      </c>
      <c r="J3335" s="584"/>
      <c r="K3335" s="584"/>
      <c r="M3335" s="62">
        <f t="shared" si="267"/>
        <v>5</v>
      </c>
    </row>
    <row r="3336" spans="1:13" ht="15">
      <c r="C3336" s="79" t="s">
        <v>717</v>
      </c>
      <c r="D3336" s="78" t="s">
        <v>727</v>
      </c>
      <c r="J3336" s="584"/>
      <c r="K3336" s="584"/>
      <c r="M3336" s="62">
        <f t="shared" si="267"/>
        <v>3</v>
      </c>
    </row>
    <row r="3337" spans="1:13" ht="15">
      <c r="C3337" s="79" t="s">
        <v>718</v>
      </c>
      <c r="D3337" s="78" t="s">
        <v>193</v>
      </c>
      <c r="J3337" s="584"/>
      <c r="K3337" s="584"/>
      <c r="M3337" s="62">
        <f t="shared" si="267"/>
        <v>3</v>
      </c>
    </row>
    <row r="3338" spans="1:13" ht="15">
      <c r="A3338" s="634" t="s">
        <v>1839</v>
      </c>
      <c r="B3338" s="635" t="s">
        <v>903</v>
      </c>
      <c r="C3338" s="1037" t="s">
        <v>4127</v>
      </c>
      <c r="D3338" s="1038"/>
      <c r="E3338" s="1039"/>
      <c r="F3338" s="635" t="s">
        <v>1684</v>
      </c>
      <c r="G3338" s="1037" t="s">
        <v>4132</v>
      </c>
      <c r="H3338" s="1038"/>
      <c r="I3338" s="1039"/>
      <c r="J3338" s="726"/>
      <c r="K3338" s="727"/>
      <c r="M3338" s="62">
        <f t="shared" si="267"/>
        <v>3</v>
      </c>
    </row>
    <row r="3339" spans="1:13">
      <c r="A3339" s="636" t="s">
        <v>1620</v>
      </c>
      <c r="B3339" s="637"/>
      <c r="C3339" s="635" t="s">
        <v>1841</v>
      </c>
      <c r="D3339" s="635" t="s">
        <v>4133</v>
      </c>
      <c r="E3339" s="635" t="s">
        <v>4133</v>
      </c>
      <c r="F3339" s="1056" t="s">
        <v>4200</v>
      </c>
      <c r="G3339" s="634" t="s">
        <v>4135</v>
      </c>
      <c r="H3339" s="1051" t="s">
        <v>4182</v>
      </c>
      <c r="I3339" s="634" t="s">
        <v>4135</v>
      </c>
      <c r="J3339" s="728" t="s">
        <v>4136</v>
      </c>
      <c r="K3339" s="727"/>
    </row>
    <row r="3340" spans="1:13" ht="12.75" customHeight="1">
      <c r="A3340" s="638" t="s">
        <v>387</v>
      </c>
      <c r="B3340" s="639"/>
      <c r="C3340" s="638">
        <v>2015</v>
      </c>
      <c r="D3340" s="638">
        <v>2016</v>
      </c>
      <c r="E3340" s="638">
        <v>2017</v>
      </c>
      <c r="F3340" s="1057"/>
      <c r="G3340" s="638" t="s">
        <v>4304</v>
      </c>
      <c r="H3340" s="1052"/>
      <c r="I3340" s="638" t="s">
        <v>4303</v>
      </c>
      <c r="J3340" s="639"/>
      <c r="K3340" s="729"/>
    </row>
    <row r="3341" spans="1:13">
      <c r="A3341" s="788"/>
      <c r="B3341" s="788"/>
      <c r="C3341" s="731"/>
      <c r="D3341" s="731"/>
      <c r="E3341" s="731"/>
      <c r="F3341" s="731"/>
      <c r="G3341" s="731"/>
      <c r="H3341" s="731"/>
      <c r="I3341" s="731"/>
      <c r="J3341" s="731"/>
      <c r="K3341" s="732"/>
      <c r="M3341" s="62" t="e">
        <f>IF(#REF!&gt;6,3,5)</f>
        <v>#REF!</v>
      </c>
    </row>
    <row r="3342" spans="1:13">
      <c r="A3342" s="788">
        <v>2</v>
      </c>
      <c r="B3342" s="775" t="s">
        <v>1695</v>
      </c>
      <c r="C3342" s="731">
        <v>1000000</v>
      </c>
      <c r="D3342" s="731">
        <v>2000000</v>
      </c>
      <c r="E3342" s="731">
        <v>2000000</v>
      </c>
      <c r="F3342" s="731">
        <f>SUM(C3342:E3342)</f>
        <v>5000000</v>
      </c>
      <c r="G3342" s="731">
        <v>155000</v>
      </c>
      <c r="H3342" s="731">
        <v>2000000</v>
      </c>
      <c r="I3342" s="731">
        <v>450000</v>
      </c>
      <c r="J3342" s="731"/>
      <c r="K3342" s="732"/>
      <c r="M3342" s="62" t="e">
        <f>IF(#REF!&gt;6,3,5)</f>
        <v>#REF!</v>
      </c>
    </row>
    <row r="3343" spans="1:13">
      <c r="A3343" s="788">
        <f t="shared" ref="A3343:A3355" si="268">+A3342+1</f>
        <v>3</v>
      </c>
      <c r="B3343" s="775" t="s">
        <v>1696</v>
      </c>
      <c r="C3343" s="731">
        <v>100000</v>
      </c>
      <c r="D3343" s="731">
        <v>400000</v>
      </c>
      <c r="E3343" s="731">
        <v>400000</v>
      </c>
      <c r="F3343" s="731">
        <f t="shared" ref="F3343:F3355" si="269">SUM(C3343:E3343)</f>
        <v>900000</v>
      </c>
      <c r="G3343" s="731">
        <v>165000</v>
      </c>
      <c r="H3343" s="731">
        <v>400000</v>
      </c>
      <c r="I3343" s="731">
        <v>115000</v>
      </c>
      <c r="J3343" s="731"/>
      <c r="K3343" s="732"/>
      <c r="M3343" s="62" t="e">
        <f>IF(#REF!&gt;6,3,5)</f>
        <v>#REF!</v>
      </c>
    </row>
    <row r="3344" spans="1:13">
      <c r="A3344" s="788">
        <f t="shared" si="268"/>
        <v>4</v>
      </c>
      <c r="B3344" s="775" t="s">
        <v>1701</v>
      </c>
      <c r="C3344" s="731" t="s">
        <v>1386</v>
      </c>
      <c r="D3344" s="731" t="s">
        <v>1386</v>
      </c>
      <c r="E3344" s="731" t="s">
        <v>1386</v>
      </c>
      <c r="F3344" s="731">
        <f t="shared" si="269"/>
        <v>0</v>
      </c>
      <c r="G3344" s="731"/>
      <c r="H3344" s="731" t="s">
        <v>1386</v>
      </c>
      <c r="I3344" s="731"/>
      <c r="J3344" s="731"/>
      <c r="K3344" s="732"/>
      <c r="M3344" s="62" t="e">
        <f>IF(#REF!&gt;6,3,5)</f>
        <v>#REF!</v>
      </c>
    </row>
    <row r="3345" spans="1:13">
      <c r="A3345" s="788">
        <f t="shared" si="268"/>
        <v>5</v>
      </c>
      <c r="B3345" s="775" t="s">
        <v>998</v>
      </c>
      <c r="C3345" s="731">
        <v>500000</v>
      </c>
      <c r="D3345" s="731">
        <v>700000</v>
      </c>
      <c r="E3345" s="731">
        <v>700000</v>
      </c>
      <c r="F3345" s="731">
        <f t="shared" si="269"/>
        <v>1900000</v>
      </c>
      <c r="G3345" s="731">
        <v>30000</v>
      </c>
      <c r="H3345" s="731">
        <v>700000</v>
      </c>
      <c r="I3345" s="731">
        <v>120000</v>
      </c>
      <c r="J3345" s="731"/>
      <c r="K3345" s="732"/>
      <c r="M3345" s="62" t="e">
        <f>IF(#REF!&gt;6,3,5)</f>
        <v>#REF!</v>
      </c>
    </row>
    <row r="3346" spans="1:13">
      <c r="A3346" s="788">
        <f t="shared" si="268"/>
        <v>6</v>
      </c>
      <c r="B3346" s="775" t="s">
        <v>1789</v>
      </c>
      <c r="C3346" s="731">
        <v>500000</v>
      </c>
      <c r="D3346" s="731">
        <v>800000</v>
      </c>
      <c r="E3346" s="731">
        <v>800000</v>
      </c>
      <c r="F3346" s="731">
        <f t="shared" si="269"/>
        <v>2100000</v>
      </c>
      <c r="G3346" s="731">
        <v>484000</v>
      </c>
      <c r="H3346" s="731">
        <v>800000</v>
      </c>
      <c r="I3346" s="731">
        <v>220000</v>
      </c>
      <c r="J3346" s="731"/>
      <c r="K3346" s="732"/>
      <c r="M3346" s="62" t="e">
        <f>IF(#REF!&gt;6,3,5)</f>
        <v>#REF!</v>
      </c>
    </row>
    <row r="3347" spans="1:13">
      <c r="A3347" s="788">
        <f t="shared" si="268"/>
        <v>7</v>
      </c>
      <c r="B3347" s="775" t="s">
        <v>897</v>
      </c>
      <c r="C3347" s="731">
        <v>1200000</v>
      </c>
      <c r="D3347" s="731">
        <v>1500000</v>
      </c>
      <c r="E3347" s="731">
        <v>1500000</v>
      </c>
      <c r="F3347" s="731">
        <f t="shared" si="269"/>
        <v>4200000</v>
      </c>
      <c r="G3347" s="731">
        <v>207000</v>
      </c>
      <c r="H3347" s="731">
        <v>1200000</v>
      </c>
      <c r="I3347" s="731">
        <v>0</v>
      </c>
      <c r="J3347" s="731"/>
      <c r="K3347" s="732"/>
      <c r="M3347" s="62" t="e">
        <f>IF(#REF!&gt;6,3,5)</f>
        <v>#REF!</v>
      </c>
    </row>
    <row r="3348" spans="1:13">
      <c r="A3348" s="788">
        <f t="shared" si="268"/>
        <v>8</v>
      </c>
      <c r="B3348" s="775" t="s">
        <v>1385</v>
      </c>
      <c r="C3348" s="731" t="s">
        <v>1386</v>
      </c>
      <c r="D3348" s="731" t="s">
        <v>1386</v>
      </c>
      <c r="E3348" s="731" t="s">
        <v>1386</v>
      </c>
      <c r="F3348" s="731">
        <f t="shared" si="269"/>
        <v>0</v>
      </c>
      <c r="G3348" s="731"/>
      <c r="H3348" s="731" t="s">
        <v>1386</v>
      </c>
      <c r="I3348" s="731" t="s">
        <v>1386</v>
      </c>
      <c r="J3348" s="731"/>
      <c r="K3348" s="732"/>
      <c r="M3348" s="62" t="e">
        <f>IF(#REF!&gt;6,3,5)</f>
        <v>#REF!</v>
      </c>
    </row>
    <row r="3349" spans="1:13">
      <c r="A3349" s="788">
        <f t="shared" si="268"/>
        <v>9</v>
      </c>
      <c r="B3349" s="775" t="s">
        <v>766</v>
      </c>
      <c r="C3349" s="731" t="s">
        <v>1386</v>
      </c>
      <c r="D3349" s="731" t="s">
        <v>1386</v>
      </c>
      <c r="E3349" s="731" t="s">
        <v>1386</v>
      </c>
      <c r="F3349" s="731">
        <f t="shared" si="269"/>
        <v>0</v>
      </c>
      <c r="G3349" s="731">
        <v>210000000</v>
      </c>
      <c r="H3349" s="731" t="s">
        <v>1386</v>
      </c>
      <c r="I3349" s="731" t="s">
        <v>1386</v>
      </c>
      <c r="J3349" s="731"/>
      <c r="K3349" s="732"/>
      <c r="M3349" s="62" t="e">
        <f>IF(#REF!&gt;6,3,5)</f>
        <v>#REF!</v>
      </c>
    </row>
    <row r="3350" spans="1:13" ht="25.5">
      <c r="A3350" s="788">
        <f t="shared" si="268"/>
        <v>10</v>
      </c>
      <c r="B3350" s="775" t="s">
        <v>1790</v>
      </c>
      <c r="C3350" s="731">
        <v>500000</v>
      </c>
      <c r="D3350" s="731">
        <v>300000</v>
      </c>
      <c r="E3350" s="731">
        <v>300000</v>
      </c>
      <c r="F3350" s="731">
        <f t="shared" si="269"/>
        <v>1100000</v>
      </c>
      <c r="G3350" s="731">
        <v>198000</v>
      </c>
      <c r="H3350" s="731">
        <v>300000</v>
      </c>
      <c r="I3350" s="731">
        <v>240000</v>
      </c>
      <c r="J3350" s="731"/>
      <c r="K3350" s="732"/>
      <c r="M3350" s="62" t="e">
        <f>IF(#REF!&gt;6,3,5)</f>
        <v>#REF!</v>
      </c>
    </row>
    <row r="3351" spans="1:13">
      <c r="A3351" s="788">
        <f t="shared" si="268"/>
        <v>11</v>
      </c>
      <c r="B3351" s="775" t="s">
        <v>1681</v>
      </c>
      <c r="C3351" s="731">
        <v>100000</v>
      </c>
      <c r="D3351" s="731">
        <v>200000</v>
      </c>
      <c r="E3351" s="731">
        <v>200000</v>
      </c>
      <c r="F3351" s="731">
        <f t="shared" si="269"/>
        <v>500000</v>
      </c>
      <c r="G3351" s="731">
        <v>19000</v>
      </c>
      <c r="H3351" s="731">
        <v>100000</v>
      </c>
      <c r="I3351" s="731">
        <v>90000</v>
      </c>
      <c r="J3351" s="731"/>
      <c r="K3351" s="732"/>
      <c r="M3351" s="62" t="e">
        <f>IF(#REF!&gt;6,3,5)</f>
        <v>#REF!</v>
      </c>
    </row>
    <row r="3352" spans="1:13">
      <c r="A3352" s="788">
        <f t="shared" si="268"/>
        <v>12</v>
      </c>
      <c r="B3352" s="775" t="s">
        <v>1682</v>
      </c>
      <c r="C3352" s="731">
        <v>2000000</v>
      </c>
      <c r="D3352" s="731">
        <v>3000000</v>
      </c>
      <c r="E3352" s="731">
        <v>3000000</v>
      </c>
      <c r="F3352" s="731">
        <f t="shared" si="269"/>
        <v>8000000</v>
      </c>
      <c r="G3352" s="731">
        <v>825000</v>
      </c>
      <c r="H3352" s="731">
        <v>2000000</v>
      </c>
      <c r="I3352" s="731">
        <v>1290000</v>
      </c>
      <c r="J3352" s="731"/>
      <c r="K3352" s="732"/>
      <c r="M3352" s="62" t="e">
        <f>IF(#REF!&gt;6,3,5)</f>
        <v>#REF!</v>
      </c>
    </row>
    <row r="3353" spans="1:13">
      <c r="A3353" s="788">
        <f t="shared" si="268"/>
        <v>13</v>
      </c>
      <c r="B3353" s="775" t="s">
        <v>2249</v>
      </c>
      <c r="C3353" s="731">
        <v>100000</v>
      </c>
      <c r="D3353" s="731">
        <v>100000</v>
      </c>
      <c r="E3353" s="731">
        <v>100000</v>
      </c>
      <c r="F3353" s="731">
        <f t="shared" si="269"/>
        <v>300000</v>
      </c>
      <c r="G3353" s="731"/>
      <c r="H3353" s="731">
        <v>100000</v>
      </c>
      <c r="I3353" s="731">
        <v>70000</v>
      </c>
      <c r="J3353" s="731"/>
      <c r="K3353" s="732"/>
      <c r="M3353" s="62" t="e">
        <f>IF(#REF!&gt;6,3,5)</f>
        <v>#REF!</v>
      </c>
    </row>
    <row r="3354" spans="1:13">
      <c r="A3354" s="788">
        <f t="shared" si="268"/>
        <v>14</v>
      </c>
      <c r="B3354" s="775" t="s">
        <v>767</v>
      </c>
      <c r="C3354" s="731">
        <v>800000</v>
      </c>
      <c r="D3354" s="731">
        <v>1500000</v>
      </c>
      <c r="E3354" s="731">
        <v>1500000</v>
      </c>
      <c r="F3354" s="731">
        <f t="shared" si="269"/>
        <v>3800000</v>
      </c>
      <c r="G3354" s="731">
        <v>185000</v>
      </c>
      <c r="H3354" s="731">
        <v>1000000</v>
      </c>
      <c r="I3354" s="731">
        <v>250000</v>
      </c>
      <c r="J3354" s="731"/>
      <c r="K3354" s="732"/>
      <c r="M3354" s="62" t="e">
        <f>IF(#REF!&gt;6,3,5)</f>
        <v>#REF!</v>
      </c>
    </row>
    <row r="3355" spans="1:13">
      <c r="A3355" s="788">
        <f t="shared" si="268"/>
        <v>15</v>
      </c>
      <c r="B3355" s="775" t="s">
        <v>1306</v>
      </c>
      <c r="C3355" s="731" t="s">
        <v>1386</v>
      </c>
      <c r="D3355" s="731" t="s">
        <v>1386</v>
      </c>
      <c r="E3355" s="731" t="s">
        <v>1386</v>
      </c>
      <c r="F3355" s="731">
        <f t="shared" si="269"/>
        <v>0</v>
      </c>
      <c r="G3355" s="731"/>
      <c r="H3355" s="731" t="s">
        <v>1386</v>
      </c>
      <c r="I3355" s="731"/>
      <c r="J3355" s="731"/>
      <c r="K3355" s="732"/>
      <c r="M3355" s="62" t="e">
        <f>IF(#REF!&gt;6,3,5)</f>
        <v>#REF!</v>
      </c>
    </row>
    <row r="3356" spans="1:13">
      <c r="A3356" s="788"/>
      <c r="B3356" s="788"/>
      <c r="C3356" s="731"/>
      <c r="D3356" s="731"/>
      <c r="E3356" s="731"/>
      <c r="F3356" s="731"/>
      <c r="G3356" s="731"/>
      <c r="H3356" s="731"/>
      <c r="I3356" s="731"/>
      <c r="J3356" s="731"/>
      <c r="K3356" s="732"/>
      <c r="M3356" s="62" t="e">
        <f>IF(#REF!&gt;6,3,5)</f>
        <v>#REF!</v>
      </c>
    </row>
    <row r="3357" spans="1:13">
      <c r="A3357" s="788"/>
      <c r="B3357" s="788"/>
      <c r="C3357" s="731"/>
      <c r="D3357" s="731"/>
      <c r="E3357" s="731"/>
      <c r="F3357" s="731"/>
      <c r="G3357" s="731"/>
      <c r="H3357" s="731"/>
      <c r="I3357" s="731"/>
      <c r="J3357" s="731"/>
      <c r="K3357" s="732"/>
      <c r="M3357" s="62" t="e">
        <f>IF(#REF!&gt;6,3,5)</f>
        <v>#REF!</v>
      </c>
    </row>
    <row r="3358" spans="1:13">
      <c r="A3358" s="790"/>
      <c r="B3358" s="790" t="s">
        <v>1684</v>
      </c>
      <c r="C3358" s="791">
        <f t="shared" ref="C3358:I3358" si="270">SUM(C3341:C3355)</f>
        <v>6800000</v>
      </c>
      <c r="D3358" s="791">
        <f t="shared" si="270"/>
        <v>10500000</v>
      </c>
      <c r="E3358" s="791">
        <f t="shared" si="270"/>
        <v>10500000</v>
      </c>
      <c r="F3358" s="791">
        <f t="shared" si="270"/>
        <v>27800000</v>
      </c>
      <c r="G3358" s="791">
        <f>SUM(G3341:G3355)</f>
        <v>212268000</v>
      </c>
      <c r="H3358" s="791">
        <f t="shared" si="270"/>
        <v>8600000</v>
      </c>
      <c r="I3358" s="791">
        <f t="shared" si="270"/>
        <v>2845000</v>
      </c>
      <c r="J3358" s="791"/>
      <c r="K3358" s="792"/>
      <c r="M3358" s="62" t="e">
        <f>IF(#REF!&gt;6,3,5)</f>
        <v>#REF!</v>
      </c>
    </row>
    <row r="3359" spans="1:13" ht="15">
      <c r="J3359" s="584"/>
      <c r="K3359" s="584"/>
      <c r="M3359" s="62">
        <f t="shared" si="267"/>
        <v>5</v>
      </c>
    </row>
    <row r="3360" spans="1:13" ht="15">
      <c r="J3360" s="584"/>
      <c r="K3360" s="584"/>
      <c r="M3360" s="62">
        <f t="shared" si="267"/>
        <v>5</v>
      </c>
    </row>
    <row r="3361" spans="1:13" ht="15">
      <c r="C3361" s="77"/>
      <c r="D3361" s="78" t="s">
        <v>5434</v>
      </c>
      <c r="J3361" s="584"/>
      <c r="K3361" s="584"/>
      <c r="M3361" s="62">
        <f t="shared" si="267"/>
        <v>5</v>
      </c>
    </row>
    <row r="3362" spans="1:13" ht="15">
      <c r="C3362" s="77"/>
      <c r="D3362" s="78" t="s">
        <v>1693</v>
      </c>
      <c r="J3362" s="584"/>
      <c r="K3362" s="584"/>
      <c r="M3362" s="62">
        <f t="shared" si="267"/>
        <v>5</v>
      </c>
    </row>
    <row r="3363" spans="1:13" ht="15">
      <c r="C3363" s="79" t="s">
        <v>717</v>
      </c>
      <c r="D3363" s="78" t="s">
        <v>1672</v>
      </c>
      <c r="J3363" s="584"/>
      <c r="K3363" s="584"/>
      <c r="M3363" s="62">
        <f t="shared" si="267"/>
        <v>3</v>
      </c>
    </row>
    <row r="3364" spans="1:13" ht="15.75" thickBot="1">
      <c r="C3364" s="79" t="s">
        <v>718</v>
      </c>
      <c r="D3364" s="78" t="s">
        <v>4015</v>
      </c>
      <c r="J3364" s="584"/>
      <c r="K3364" s="584"/>
      <c r="M3364" s="62">
        <f t="shared" si="267"/>
        <v>3</v>
      </c>
    </row>
    <row r="3365" spans="1:13" ht="15.75" thickTop="1">
      <c r="A3365" s="1047" t="s">
        <v>2791</v>
      </c>
      <c r="B3365" s="1049" t="s">
        <v>4126</v>
      </c>
      <c r="C3365" s="1049" t="s">
        <v>854</v>
      </c>
      <c r="D3365" s="1040" t="s">
        <v>4127</v>
      </c>
      <c r="E3365" s="1041"/>
      <c r="F3365" s="1041"/>
      <c r="G3365" s="1040" t="s">
        <v>904</v>
      </c>
      <c r="H3365" s="1041"/>
      <c r="I3365" s="1042"/>
      <c r="J3365" s="1035" t="s">
        <v>855</v>
      </c>
      <c r="K3365" s="389"/>
    </row>
    <row r="3366" spans="1:13" ht="26.25" thickBot="1">
      <c r="A3366" s="1048"/>
      <c r="B3366" s="1050"/>
      <c r="C3366" s="1050"/>
      <c r="D3366" s="285" t="s">
        <v>5505</v>
      </c>
      <c r="E3366" s="285" t="s">
        <v>4485</v>
      </c>
      <c r="F3366" s="285" t="s">
        <v>4486</v>
      </c>
      <c r="G3366" s="287" t="s">
        <v>4487</v>
      </c>
      <c r="H3366" s="285" t="s">
        <v>4488</v>
      </c>
      <c r="I3366" s="287" t="s">
        <v>4489</v>
      </c>
      <c r="J3366" s="1036"/>
      <c r="K3366" s="712"/>
    </row>
    <row r="3367" spans="1:13" ht="13.5" thickTop="1">
      <c r="A3367" s="88" t="s">
        <v>1840</v>
      </c>
      <c r="B3367" s="97" t="s">
        <v>2051</v>
      </c>
      <c r="C3367" s="69"/>
      <c r="D3367" s="89"/>
      <c r="E3367" s="89"/>
      <c r="F3367" s="89"/>
      <c r="G3367" s="89"/>
      <c r="H3367" s="89"/>
      <c r="I3367" s="89"/>
      <c r="J3367" s="713"/>
      <c r="K3367" s="711"/>
      <c r="M3367" s="62">
        <f t="shared" si="267"/>
        <v>5</v>
      </c>
    </row>
    <row r="3368" spans="1:13">
      <c r="A3368" s="88">
        <v>3</v>
      </c>
      <c r="B3368" s="69" t="s">
        <v>538</v>
      </c>
      <c r="C3368" s="69">
        <v>7</v>
      </c>
      <c r="D3368" s="89">
        <v>0</v>
      </c>
      <c r="E3368" s="89">
        <v>0</v>
      </c>
      <c r="F3368" s="89">
        <v>0</v>
      </c>
      <c r="G3368" s="89">
        <v>0</v>
      </c>
      <c r="H3368" s="89">
        <v>0</v>
      </c>
      <c r="I3368" s="89">
        <v>0</v>
      </c>
      <c r="J3368" s="710">
        <f>(VLOOKUP($C3368,[2]Sheet1!$A$2:$P$18,$M3368+1)/12)*12*D3368</f>
        <v>0</v>
      </c>
      <c r="K3368" s="711"/>
      <c r="M3368" s="62">
        <f t="shared" si="267"/>
        <v>3</v>
      </c>
    </row>
    <row r="3369" spans="1:13">
      <c r="A3369" s="88">
        <f t="shared" ref="A3369:A3403" si="271">+A3368+1</f>
        <v>4</v>
      </c>
      <c r="B3369" s="69" t="s">
        <v>405</v>
      </c>
      <c r="C3369" s="69">
        <v>6</v>
      </c>
      <c r="D3369" s="89">
        <v>6</v>
      </c>
      <c r="E3369" s="89">
        <v>6</v>
      </c>
      <c r="F3369" s="89">
        <v>6</v>
      </c>
      <c r="G3369" s="89">
        <v>6</v>
      </c>
      <c r="H3369" s="89">
        <v>10</v>
      </c>
      <c r="I3369" s="89">
        <v>6</v>
      </c>
      <c r="J3369" s="710">
        <f>(VLOOKUP($C3369,[2]Sheet1!$A$2:$P$18,$M3369+1)/12)*12*D3369</f>
        <v>1428596.2735821898</v>
      </c>
      <c r="K3369" s="711"/>
      <c r="M3369" s="62">
        <f t="shared" si="267"/>
        <v>5</v>
      </c>
    </row>
    <row r="3370" spans="1:13">
      <c r="A3370" s="88">
        <f t="shared" si="271"/>
        <v>5</v>
      </c>
      <c r="B3370" s="69" t="s">
        <v>3770</v>
      </c>
      <c r="C3370" s="69">
        <v>5</v>
      </c>
      <c r="D3370" s="89">
        <v>4</v>
      </c>
      <c r="E3370" s="89">
        <v>4</v>
      </c>
      <c r="F3370" s="89">
        <v>4</v>
      </c>
      <c r="G3370" s="89">
        <v>4</v>
      </c>
      <c r="H3370" s="89">
        <v>4</v>
      </c>
      <c r="I3370" s="89">
        <v>4</v>
      </c>
      <c r="J3370" s="710">
        <f>(VLOOKUP($C3370,[2]Sheet1!$A$2:$P$18,$M3370+1)/12)*12*D3370</f>
        <v>918279.11572145997</v>
      </c>
      <c r="K3370" s="711"/>
      <c r="M3370" s="62">
        <f t="shared" si="267"/>
        <v>5</v>
      </c>
    </row>
    <row r="3371" spans="1:13">
      <c r="A3371" s="88">
        <f t="shared" si="271"/>
        <v>6</v>
      </c>
      <c r="B3371" s="69" t="s">
        <v>3662</v>
      </c>
      <c r="C3371" s="69">
        <v>4</v>
      </c>
      <c r="D3371" s="89">
        <v>4</v>
      </c>
      <c r="E3371" s="89">
        <v>4</v>
      </c>
      <c r="F3371" s="89">
        <v>4</v>
      </c>
      <c r="G3371" s="89">
        <v>4</v>
      </c>
      <c r="H3371" s="89">
        <v>15</v>
      </c>
      <c r="I3371" s="89">
        <v>4</v>
      </c>
      <c r="J3371" s="710">
        <f>(VLOOKUP($C3371,[2]Sheet1!$A$2:$P$18,$M3371+1)/12)*12*D3371</f>
        <v>898171.91572146001</v>
      </c>
      <c r="K3371" s="711"/>
      <c r="M3371" s="62">
        <f t="shared" si="267"/>
        <v>5</v>
      </c>
    </row>
    <row r="3372" spans="1:13">
      <c r="A3372" s="88">
        <f t="shared" si="271"/>
        <v>7</v>
      </c>
      <c r="B3372" s="69" t="s">
        <v>957</v>
      </c>
      <c r="C3372" s="69">
        <v>3</v>
      </c>
      <c r="D3372" s="89">
        <v>19</v>
      </c>
      <c r="E3372" s="89">
        <v>19</v>
      </c>
      <c r="F3372" s="89">
        <v>19</v>
      </c>
      <c r="G3372" s="89">
        <v>19</v>
      </c>
      <c r="H3372" s="89">
        <v>19</v>
      </c>
      <c r="I3372" s="89">
        <v>19</v>
      </c>
      <c r="J3372" s="710">
        <f>(VLOOKUP($C3372,[2]Sheet1!$A$2:$P$18,$M3372+1)/12)*12*D3372</f>
        <v>4167387.3996769348</v>
      </c>
      <c r="K3372" s="711"/>
      <c r="M3372" s="62">
        <f t="shared" si="267"/>
        <v>5</v>
      </c>
    </row>
    <row r="3373" spans="1:13">
      <c r="A3373" s="88">
        <f t="shared" si="271"/>
        <v>8</v>
      </c>
      <c r="B3373" s="69" t="s">
        <v>1592</v>
      </c>
      <c r="C3373" s="69">
        <v>8</v>
      </c>
      <c r="D3373" s="89">
        <v>1</v>
      </c>
      <c r="E3373" s="89">
        <v>1</v>
      </c>
      <c r="F3373" s="89">
        <v>1</v>
      </c>
      <c r="G3373" s="89">
        <v>1</v>
      </c>
      <c r="H3373" s="89">
        <v>1</v>
      </c>
      <c r="I3373" s="89">
        <v>1</v>
      </c>
      <c r="J3373" s="710">
        <f>(VLOOKUP($C3373,[2]Sheet1!$A$2:$P$18,$M3373+1)/12)*12*D3373</f>
        <v>342141.27408</v>
      </c>
      <c r="K3373" s="711"/>
      <c r="M3373" s="62">
        <f t="shared" si="267"/>
        <v>3</v>
      </c>
    </row>
    <row r="3374" spans="1:13">
      <c r="A3374" s="88">
        <f t="shared" si="271"/>
        <v>9</v>
      </c>
      <c r="B3374" s="69" t="s">
        <v>1428</v>
      </c>
      <c r="C3374" s="69">
        <v>7</v>
      </c>
      <c r="D3374" s="89">
        <v>2</v>
      </c>
      <c r="E3374" s="89">
        <v>2</v>
      </c>
      <c r="F3374" s="89">
        <v>2</v>
      </c>
      <c r="G3374" s="89">
        <v>2</v>
      </c>
      <c r="H3374" s="89">
        <v>2</v>
      </c>
      <c r="I3374" s="89">
        <v>2</v>
      </c>
      <c r="J3374" s="710">
        <f>(VLOOKUP($C3374,[2]Sheet1!$A$2:$P$18,$M3374+1)/12)*12*D3374</f>
        <v>615413.40480000013</v>
      </c>
      <c r="K3374" s="711"/>
      <c r="M3374" s="62">
        <f t="shared" si="267"/>
        <v>3</v>
      </c>
    </row>
    <row r="3375" spans="1:13">
      <c r="A3375" s="88">
        <f t="shared" si="271"/>
        <v>10</v>
      </c>
      <c r="B3375" s="69" t="s">
        <v>1429</v>
      </c>
      <c r="C3375" s="69">
        <v>6</v>
      </c>
      <c r="D3375" s="89">
        <v>1</v>
      </c>
      <c r="E3375" s="89">
        <v>1</v>
      </c>
      <c r="F3375" s="89">
        <v>1</v>
      </c>
      <c r="G3375" s="89">
        <v>1</v>
      </c>
      <c r="H3375" s="89">
        <v>1</v>
      </c>
      <c r="I3375" s="89">
        <v>1</v>
      </c>
      <c r="J3375" s="710">
        <f>(VLOOKUP($C3375,[2]Sheet1!$A$2:$P$18,$M3375+1)/12)*12*D3375</f>
        <v>238099.37893036497</v>
      </c>
      <c r="K3375" s="711"/>
      <c r="M3375" s="62">
        <f t="shared" si="267"/>
        <v>5</v>
      </c>
    </row>
    <row r="3376" spans="1:13">
      <c r="A3376" s="88">
        <f t="shared" si="271"/>
        <v>11</v>
      </c>
      <c r="B3376" s="69" t="s">
        <v>1229</v>
      </c>
      <c r="C3376" s="69">
        <v>7</v>
      </c>
      <c r="D3376" s="89">
        <v>2</v>
      </c>
      <c r="E3376" s="89">
        <v>2</v>
      </c>
      <c r="F3376" s="89">
        <v>2</v>
      </c>
      <c r="G3376" s="89">
        <v>2</v>
      </c>
      <c r="H3376" s="89">
        <v>2</v>
      </c>
      <c r="I3376" s="89">
        <v>2</v>
      </c>
      <c r="J3376" s="710">
        <f>(VLOOKUP($C3376,[2]Sheet1!$A$2:$P$18,$M3376+1)/12)*12*D3376</f>
        <v>615413.40480000013</v>
      </c>
      <c r="K3376" s="711"/>
      <c r="M3376" s="62">
        <f t="shared" ref="M3376:M3440" si="272">IF(C3376&gt;6,3,5)</f>
        <v>3</v>
      </c>
    </row>
    <row r="3377" spans="1:13">
      <c r="A3377" s="88">
        <f t="shared" si="271"/>
        <v>12</v>
      </c>
      <c r="B3377" s="69" t="s">
        <v>1430</v>
      </c>
      <c r="C3377" s="69">
        <v>5</v>
      </c>
      <c r="D3377" s="89">
        <v>1</v>
      </c>
      <c r="E3377" s="89">
        <v>1</v>
      </c>
      <c r="F3377" s="89">
        <v>1</v>
      </c>
      <c r="G3377" s="89">
        <v>1</v>
      </c>
      <c r="H3377" s="89">
        <v>10</v>
      </c>
      <c r="I3377" s="89">
        <v>1</v>
      </c>
      <c r="J3377" s="710">
        <f>(VLOOKUP($C3377,[2]Sheet1!$A$2:$P$18,$M3377+1)/12)*12*D3377</f>
        <v>229569.77893036499</v>
      </c>
      <c r="K3377" s="711"/>
      <c r="M3377" s="62">
        <f t="shared" si="272"/>
        <v>5</v>
      </c>
    </row>
    <row r="3378" spans="1:13">
      <c r="A3378" s="88">
        <f t="shared" si="271"/>
        <v>13</v>
      </c>
      <c r="B3378" s="69" t="s">
        <v>1749</v>
      </c>
      <c r="C3378" s="69">
        <v>6</v>
      </c>
      <c r="D3378" s="89">
        <v>1</v>
      </c>
      <c r="E3378" s="89">
        <v>1</v>
      </c>
      <c r="F3378" s="89">
        <v>1</v>
      </c>
      <c r="G3378" s="89">
        <v>1</v>
      </c>
      <c r="H3378" s="89">
        <v>1</v>
      </c>
      <c r="I3378" s="89">
        <v>1</v>
      </c>
      <c r="J3378" s="710">
        <f>(VLOOKUP($C3378,[2]Sheet1!$A$2:$P$18,$M3378+1)/12)*12*D3378</f>
        <v>238099.37893036497</v>
      </c>
      <c r="K3378" s="711"/>
      <c r="M3378" s="62">
        <f t="shared" si="272"/>
        <v>5</v>
      </c>
    </row>
    <row r="3379" spans="1:13">
      <c r="A3379" s="88">
        <f t="shared" si="271"/>
        <v>14</v>
      </c>
      <c r="B3379" s="69" t="s">
        <v>3796</v>
      </c>
      <c r="C3379" s="69">
        <v>5</v>
      </c>
      <c r="D3379" s="89">
        <v>1</v>
      </c>
      <c r="E3379" s="89">
        <v>1</v>
      </c>
      <c r="F3379" s="89">
        <v>1</v>
      </c>
      <c r="G3379" s="89">
        <v>1</v>
      </c>
      <c r="H3379" s="89">
        <v>1</v>
      </c>
      <c r="I3379" s="89">
        <v>1</v>
      </c>
      <c r="J3379" s="710">
        <f>(VLOOKUP($C3379,[2]Sheet1!$A$2:$P$18,$M3379+1)/12)*12*D3379</f>
        <v>229569.77893036499</v>
      </c>
      <c r="K3379" s="711"/>
      <c r="M3379" s="62">
        <f t="shared" si="272"/>
        <v>5</v>
      </c>
    </row>
    <row r="3380" spans="1:13">
      <c r="A3380" s="88">
        <f t="shared" si="271"/>
        <v>15</v>
      </c>
      <c r="B3380" s="69" t="s">
        <v>3797</v>
      </c>
      <c r="C3380" s="69">
        <v>4</v>
      </c>
      <c r="D3380" s="89">
        <v>1</v>
      </c>
      <c r="E3380" s="89">
        <v>1</v>
      </c>
      <c r="F3380" s="89">
        <v>1</v>
      </c>
      <c r="G3380" s="89">
        <v>1</v>
      </c>
      <c r="H3380" s="89">
        <v>1</v>
      </c>
      <c r="I3380" s="89">
        <v>1</v>
      </c>
      <c r="J3380" s="710">
        <f>(VLOOKUP($C3380,[2]Sheet1!$A$2:$P$18,$M3380+1)/12)*12*D3380</f>
        <v>224542.978930365</v>
      </c>
      <c r="K3380" s="711"/>
      <c r="M3380" s="62">
        <f t="shared" si="272"/>
        <v>5</v>
      </c>
    </row>
    <row r="3381" spans="1:13">
      <c r="A3381" s="88">
        <f t="shared" si="271"/>
        <v>16</v>
      </c>
      <c r="B3381" s="69" t="s">
        <v>2473</v>
      </c>
      <c r="C3381" s="69">
        <v>3</v>
      </c>
      <c r="D3381" s="89">
        <v>7</v>
      </c>
      <c r="E3381" s="89">
        <v>7</v>
      </c>
      <c r="F3381" s="89">
        <v>7</v>
      </c>
      <c r="G3381" s="89">
        <v>7</v>
      </c>
      <c r="H3381" s="89">
        <v>100</v>
      </c>
      <c r="I3381" s="89">
        <v>7</v>
      </c>
      <c r="J3381" s="710">
        <f>(VLOOKUP($C3381,[2]Sheet1!$A$2:$P$18,$M3381+1)/12)*12*D3381</f>
        <v>1535353.2525125549</v>
      </c>
      <c r="K3381" s="711"/>
      <c r="M3381" s="62">
        <f t="shared" si="272"/>
        <v>5</v>
      </c>
    </row>
    <row r="3382" spans="1:13">
      <c r="A3382" s="88">
        <f t="shared" si="271"/>
        <v>17</v>
      </c>
      <c r="B3382" s="69" t="s">
        <v>2787</v>
      </c>
      <c r="C3382" s="69">
        <v>5</v>
      </c>
      <c r="D3382" s="89">
        <v>1</v>
      </c>
      <c r="E3382" s="89">
        <v>1</v>
      </c>
      <c r="F3382" s="89">
        <v>1</v>
      </c>
      <c r="G3382" s="89">
        <v>1</v>
      </c>
      <c r="H3382" s="89">
        <v>1</v>
      </c>
      <c r="I3382" s="89">
        <v>1</v>
      </c>
      <c r="J3382" s="710">
        <f>(VLOOKUP($C3382,[2]Sheet1!$A$2:$P$18,$M3382+1)/12)*12*D3382</f>
        <v>229569.77893036499</v>
      </c>
      <c r="K3382" s="711"/>
      <c r="M3382" s="62">
        <f t="shared" si="272"/>
        <v>5</v>
      </c>
    </row>
    <row r="3383" spans="1:13">
      <c r="A3383" s="88">
        <f t="shared" si="271"/>
        <v>18</v>
      </c>
      <c r="B3383" s="69" t="s">
        <v>2179</v>
      </c>
      <c r="C3383" s="69">
        <v>4</v>
      </c>
      <c r="D3383" s="89">
        <v>1</v>
      </c>
      <c r="E3383" s="89">
        <v>1</v>
      </c>
      <c r="F3383" s="89">
        <v>1</v>
      </c>
      <c r="G3383" s="89">
        <v>1</v>
      </c>
      <c r="H3383" s="89">
        <v>1</v>
      </c>
      <c r="I3383" s="89">
        <v>1</v>
      </c>
      <c r="J3383" s="710">
        <f>(VLOOKUP($C3383,[2]Sheet1!$A$2:$P$18,$M3383+1)/12)*12*D3383</f>
        <v>224542.978930365</v>
      </c>
      <c r="K3383" s="711"/>
      <c r="M3383" s="62">
        <f t="shared" si="272"/>
        <v>5</v>
      </c>
    </row>
    <row r="3384" spans="1:13">
      <c r="A3384" s="88">
        <f t="shared" si="271"/>
        <v>19</v>
      </c>
      <c r="B3384" s="69" t="s">
        <v>2542</v>
      </c>
      <c r="C3384" s="69">
        <v>3</v>
      </c>
      <c r="D3384" s="89">
        <v>1</v>
      </c>
      <c r="E3384" s="89">
        <v>1</v>
      </c>
      <c r="F3384" s="89">
        <v>1</v>
      </c>
      <c r="G3384" s="89">
        <v>1</v>
      </c>
      <c r="H3384" s="89">
        <v>1</v>
      </c>
      <c r="I3384" s="89">
        <v>1</v>
      </c>
      <c r="J3384" s="710">
        <f>(VLOOKUP($C3384,[2]Sheet1!$A$2:$P$18,$M3384+1)/12)*12*D3384</f>
        <v>219336.17893036499</v>
      </c>
      <c r="K3384" s="711"/>
      <c r="M3384" s="62">
        <f t="shared" si="272"/>
        <v>5</v>
      </c>
    </row>
    <row r="3385" spans="1:13">
      <c r="A3385" s="88">
        <f t="shared" si="271"/>
        <v>20</v>
      </c>
      <c r="B3385" s="69" t="s">
        <v>2543</v>
      </c>
      <c r="C3385" s="69">
        <v>2</v>
      </c>
      <c r="D3385" s="89">
        <v>56</v>
      </c>
      <c r="E3385" s="89">
        <v>56</v>
      </c>
      <c r="F3385" s="89">
        <v>56</v>
      </c>
      <c r="G3385" s="89">
        <v>56</v>
      </c>
      <c r="H3385" s="89">
        <v>60</v>
      </c>
      <c r="I3385" s="89">
        <v>56</v>
      </c>
      <c r="J3385" s="710">
        <f>(VLOOKUP($C3385,[2]Sheet1!$A$2:$P$18,$M3385+1)/12)*12*D3385</f>
        <v>12020813.220100442</v>
      </c>
      <c r="K3385" s="711"/>
      <c r="M3385" s="62">
        <f t="shared" si="272"/>
        <v>5</v>
      </c>
    </row>
    <row r="3386" spans="1:13">
      <c r="A3386" s="88">
        <f t="shared" si="271"/>
        <v>21</v>
      </c>
      <c r="B3386" s="69" t="s">
        <v>2242</v>
      </c>
      <c r="C3386" s="69">
        <v>3</v>
      </c>
      <c r="D3386" s="89">
        <v>1</v>
      </c>
      <c r="E3386" s="89">
        <v>1</v>
      </c>
      <c r="F3386" s="89">
        <v>1</v>
      </c>
      <c r="G3386" s="89">
        <v>1</v>
      </c>
      <c r="H3386" s="89">
        <v>1</v>
      </c>
      <c r="I3386" s="89">
        <v>1</v>
      </c>
      <c r="J3386" s="710">
        <f>(VLOOKUP($C3386,[2]Sheet1!$A$2:$P$18,$M3386+1)/12)*12*D3386</f>
        <v>219336.17893036499</v>
      </c>
      <c r="K3386" s="711"/>
      <c r="M3386" s="62">
        <f t="shared" si="272"/>
        <v>5</v>
      </c>
    </row>
    <row r="3387" spans="1:13">
      <c r="A3387" s="88">
        <f t="shared" si="271"/>
        <v>22</v>
      </c>
      <c r="B3387" s="69" t="s">
        <v>2172</v>
      </c>
      <c r="C3387" s="69">
        <v>2</v>
      </c>
      <c r="D3387" s="89">
        <v>116</v>
      </c>
      <c r="E3387" s="89">
        <v>116</v>
      </c>
      <c r="F3387" s="89">
        <v>116</v>
      </c>
      <c r="G3387" s="89">
        <v>116</v>
      </c>
      <c r="H3387" s="89">
        <v>200</v>
      </c>
      <c r="I3387" s="89">
        <v>116</v>
      </c>
      <c r="J3387" s="710">
        <f>(VLOOKUP($C3387,[2]Sheet1!$A$2:$P$18,$M3387+1)/12)*12*D3387</f>
        <v>24900255.955922343</v>
      </c>
      <c r="K3387" s="711"/>
      <c r="M3387" s="62">
        <f t="shared" si="272"/>
        <v>5</v>
      </c>
    </row>
    <row r="3388" spans="1:13">
      <c r="A3388" s="88">
        <f t="shared" si="271"/>
        <v>23</v>
      </c>
      <c r="B3388" s="69" t="s">
        <v>545</v>
      </c>
      <c r="C3388" s="69">
        <v>2</v>
      </c>
      <c r="D3388" s="89">
        <v>116</v>
      </c>
      <c r="E3388" s="89">
        <v>116</v>
      </c>
      <c r="F3388" s="89">
        <v>116</v>
      </c>
      <c r="G3388" s="89">
        <v>116</v>
      </c>
      <c r="H3388" s="89">
        <v>116</v>
      </c>
      <c r="I3388" s="89">
        <v>116</v>
      </c>
      <c r="J3388" s="710">
        <f>(VLOOKUP($C3388,[2]Sheet1!$A$2:$P$18,$M3388+1)/12)*12*D3388</f>
        <v>24900255.955922343</v>
      </c>
      <c r="K3388" s="711"/>
      <c r="M3388" s="62">
        <f t="shared" si="272"/>
        <v>5</v>
      </c>
    </row>
    <row r="3389" spans="1:13">
      <c r="A3389" s="88">
        <f t="shared" si="271"/>
        <v>24</v>
      </c>
      <c r="B3389" s="69" t="s">
        <v>546</v>
      </c>
      <c r="C3389" s="69">
        <v>3</v>
      </c>
      <c r="D3389" s="89">
        <v>46</v>
      </c>
      <c r="E3389" s="89">
        <v>46</v>
      </c>
      <c r="F3389" s="89">
        <v>46</v>
      </c>
      <c r="G3389" s="89">
        <v>46</v>
      </c>
      <c r="H3389" s="89">
        <v>80</v>
      </c>
      <c r="I3389" s="89">
        <v>46</v>
      </c>
      <c r="J3389" s="710">
        <f>(VLOOKUP($C3389,[2]Sheet1!$A$2:$P$18,$M3389+1)/12)*12*D3389</f>
        <v>10089464.23079679</v>
      </c>
      <c r="K3389" s="711"/>
      <c r="M3389" s="62">
        <f t="shared" si="272"/>
        <v>5</v>
      </c>
    </row>
    <row r="3390" spans="1:13">
      <c r="A3390" s="88">
        <f t="shared" si="271"/>
        <v>25</v>
      </c>
      <c r="B3390" s="69" t="s">
        <v>547</v>
      </c>
      <c r="C3390" s="69">
        <v>3</v>
      </c>
      <c r="D3390" s="89">
        <v>26</v>
      </c>
      <c r="E3390" s="89">
        <v>26</v>
      </c>
      <c r="F3390" s="89">
        <v>26</v>
      </c>
      <c r="G3390" s="89">
        <v>26</v>
      </c>
      <c r="H3390" s="89">
        <v>45</v>
      </c>
      <c r="I3390" s="89">
        <v>26</v>
      </c>
      <c r="J3390" s="710">
        <f>(VLOOKUP($C3390,[2]Sheet1!$A$2:$P$18,$M3390+1)/12)*12*D3390</f>
        <v>5702740.6521894895</v>
      </c>
      <c r="K3390" s="711"/>
      <c r="M3390" s="62">
        <f t="shared" si="272"/>
        <v>5</v>
      </c>
    </row>
    <row r="3391" spans="1:13">
      <c r="A3391" s="88">
        <f t="shared" si="271"/>
        <v>26</v>
      </c>
      <c r="B3391" s="69" t="s">
        <v>543</v>
      </c>
      <c r="C3391" s="69">
        <v>3</v>
      </c>
      <c r="D3391" s="89">
        <v>10</v>
      </c>
      <c r="E3391" s="89">
        <v>10</v>
      </c>
      <c r="F3391" s="89">
        <v>10</v>
      </c>
      <c r="G3391" s="89">
        <v>10</v>
      </c>
      <c r="H3391" s="89">
        <v>40</v>
      </c>
      <c r="I3391" s="89">
        <v>10</v>
      </c>
      <c r="J3391" s="710">
        <f>(VLOOKUP($C3391,[2]Sheet1!$A$2:$P$18,$M3391+1)/12)*12*D3391</f>
        <v>2193361.7893036497</v>
      </c>
      <c r="K3391" s="711"/>
      <c r="M3391" s="62">
        <f t="shared" si="272"/>
        <v>5</v>
      </c>
    </row>
    <row r="3392" spans="1:13">
      <c r="A3392" s="88">
        <f t="shared" si="271"/>
        <v>27</v>
      </c>
      <c r="B3392" s="69" t="s">
        <v>3250</v>
      </c>
      <c r="C3392" s="69">
        <v>7</v>
      </c>
      <c r="D3392" s="89">
        <v>6</v>
      </c>
      <c r="E3392" s="89">
        <v>6</v>
      </c>
      <c r="F3392" s="89">
        <v>6</v>
      </c>
      <c r="G3392" s="89">
        <v>6</v>
      </c>
      <c r="H3392" s="89">
        <v>10</v>
      </c>
      <c r="I3392" s="89">
        <v>6</v>
      </c>
      <c r="J3392" s="710">
        <f>(VLOOKUP($C3392,[2]Sheet1!$A$2:$P$18,$M3392+1)/12)*12*D3392</f>
        <v>1846240.2144000004</v>
      </c>
      <c r="K3392" s="711"/>
      <c r="M3392" s="62">
        <f t="shared" si="272"/>
        <v>3</v>
      </c>
    </row>
    <row r="3393" spans="1:13">
      <c r="A3393" s="88">
        <f t="shared" si="271"/>
        <v>28</v>
      </c>
      <c r="B3393" s="69" t="s">
        <v>1012</v>
      </c>
      <c r="C3393" s="69">
        <v>6</v>
      </c>
      <c r="D3393" s="89">
        <v>3</v>
      </c>
      <c r="E3393" s="89">
        <v>3</v>
      </c>
      <c r="F3393" s="89">
        <v>3</v>
      </c>
      <c r="G3393" s="89">
        <v>3</v>
      </c>
      <c r="H3393" s="89">
        <v>3</v>
      </c>
      <c r="I3393" s="89">
        <v>3</v>
      </c>
      <c r="J3393" s="710">
        <f>(VLOOKUP($C3393,[2]Sheet1!$A$2:$P$18,$M3393+1)/12)*12*D3393</f>
        <v>714298.1367910949</v>
      </c>
      <c r="K3393" s="711"/>
      <c r="M3393" s="62">
        <f t="shared" si="272"/>
        <v>5</v>
      </c>
    </row>
    <row r="3394" spans="1:13">
      <c r="A3394" s="88">
        <f t="shared" si="271"/>
        <v>29</v>
      </c>
      <c r="B3394" s="69" t="s">
        <v>3983</v>
      </c>
      <c r="C3394" s="69">
        <v>5</v>
      </c>
      <c r="D3394" s="89">
        <v>2</v>
      </c>
      <c r="E3394" s="89">
        <v>2</v>
      </c>
      <c r="F3394" s="89">
        <v>2</v>
      </c>
      <c r="G3394" s="89">
        <v>2</v>
      </c>
      <c r="H3394" s="89">
        <v>6</v>
      </c>
      <c r="I3394" s="89">
        <v>2</v>
      </c>
      <c r="J3394" s="710">
        <f>(VLOOKUP($C3394,[2]Sheet1!$A$2:$P$18,$M3394+1)/12)*12*D3394</f>
        <v>459139.55786072998</v>
      </c>
      <c r="K3394" s="711"/>
      <c r="M3394" s="62">
        <f t="shared" si="272"/>
        <v>5</v>
      </c>
    </row>
    <row r="3395" spans="1:13">
      <c r="A3395" s="88">
        <f t="shared" si="271"/>
        <v>30</v>
      </c>
      <c r="B3395" s="69" t="s">
        <v>2232</v>
      </c>
      <c r="C3395" s="69">
        <v>4</v>
      </c>
      <c r="D3395" s="89">
        <v>2</v>
      </c>
      <c r="E3395" s="89">
        <v>2</v>
      </c>
      <c r="F3395" s="89">
        <v>2</v>
      </c>
      <c r="G3395" s="89">
        <v>2</v>
      </c>
      <c r="H3395" s="89">
        <v>25</v>
      </c>
      <c r="I3395" s="89">
        <v>2</v>
      </c>
      <c r="J3395" s="710">
        <f>(VLOOKUP($C3395,[2]Sheet1!$A$2:$P$18,$M3395+1)/12)*12*D3395</f>
        <v>449085.95786073001</v>
      </c>
      <c r="K3395" s="711"/>
      <c r="M3395" s="62">
        <f t="shared" si="272"/>
        <v>5</v>
      </c>
    </row>
    <row r="3396" spans="1:13">
      <c r="A3396" s="88">
        <f t="shared" si="271"/>
        <v>31</v>
      </c>
      <c r="B3396" s="69" t="s">
        <v>2232</v>
      </c>
      <c r="C3396" s="69">
        <v>3</v>
      </c>
      <c r="D3396" s="89">
        <v>3</v>
      </c>
      <c r="E3396" s="89">
        <v>3</v>
      </c>
      <c r="F3396" s="89">
        <v>3</v>
      </c>
      <c r="G3396" s="89">
        <v>3</v>
      </c>
      <c r="H3396" s="89">
        <v>60</v>
      </c>
      <c r="I3396" s="89">
        <v>3</v>
      </c>
      <c r="J3396" s="710">
        <f>(VLOOKUP($C3396,[2]Sheet1!$A$2:$P$18,$M3396+1)/12)*12*D3396</f>
        <v>658008.53679109493</v>
      </c>
      <c r="K3396" s="711"/>
      <c r="M3396" s="62">
        <f t="shared" si="272"/>
        <v>5</v>
      </c>
    </row>
    <row r="3397" spans="1:13">
      <c r="A3397" s="88">
        <f t="shared" si="271"/>
        <v>32</v>
      </c>
      <c r="B3397" s="69" t="s">
        <v>2299</v>
      </c>
      <c r="C3397" s="69">
        <v>2</v>
      </c>
      <c r="D3397" s="89">
        <v>88</v>
      </c>
      <c r="E3397" s="89">
        <v>88</v>
      </c>
      <c r="F3397" s="89">
        <v>88</v>
      </c>
      <c r="G3397" s="89">
        <v>88</v>
      </c>
      <c r="H3397" s="89">
        <v>88</v>
      </c>
      <c r="I3397" s="89">
        <v>88</v>
      </c>
      <c r="J3397" s="710">
        <f>(VLOOKUP($C3397,[2]Sheet1!$A$2:$P$18,$M3397+1)/12)*12*D3397</f>
        <v>18889849.345872123</v>
      </c>
      <c r="K3397" s="711"/>
      <c r="M3397" s="62">
        <f t="shared" si="272"/>
        <v>5</v>
      </c>
    </row>
    <row r="3398" spans="1:13">
      <c r="A3398" s="88">
        <f t="shared" si="271"/>
        <v>33</v>
      </c>
      <c r="B3398" s="69" t="s">
        <v>5371</v>
      </c>
      <c r="C3398" s="69">
        <v>4</v>
      </c>
      <c r="D3398" s="89">
        <v>23</v>
      </c>
      <c r="E3398" s="89">
        <v>23</v>
      </c>
      <c r="F3398" s="89">
        <v>23</v>
      </c>
      <c r="G3398" s="89">
        <v>23</v>
      </c>
      <c r="H3398" s="89">
        <v>50</v>
      </c>
      <c r="I3398" s="89">
        <v>23</v>
      </c>
      <c r="J3398" s="710">
        <f>(VLOOKUP($C3398,[2]Sheet1!$A$2:$P$18,$M3398+1)/12)*12*D3398</f>
        <v>5164488.5153983952</v>
      </c>
      <c r="K3398" s="711"/>
      <c r="M3398" s="62">
        <f t="shared" si="272"/>
        <v>5</v>
      </c>
    </row>
    <row r="3399" spans="1:13">
      <c r="A3399" s="88">
        <v>34</v>
      </c>
      <c r="B3399" s="69" t="s">
        <v>545</v>
      </c>
      <c r="C3399" s="69">
        <v>4</v>
      </c>
      <c r="D3399" s="89">
        <v>23</v>
      </c>
      <c r="E3399" s="89">
        <v>23</v>
      </c>
      <c r="F3399" s="89">
        <v>23</v>
      </c>
      <c r="G3399" s="89">
        <v>23</v>
      </c>
      <c r="H3399" s="89">
        <v>0</v>
      </c>
      <c r="I3399" s="89">
        <v>23</v>
      </c>
      <c r="J3399" s="710">
        <f>(VLOOKUP($C3399,[2]Sheet1!$A$2:$P$18,$M3399+1)/12)*12*D3399</f>
        <v>5164488.5153983952</v>
      </c>
      <c r="K3399" s="711"/>
      <c r="M3399" s="62">
        <f t="shared" si="272"/>
        <v>5</v>
      </c>
    </row>
    <row r="3400" spans="1:13">
      <c r="A3400" s="88">
        <v>35</v>
      </c>
      <c r="B3400" s="69" t="s">
        <v>3875</v>
      </c>
      <c r="C3400" s="69">
        <v>3</v>
      </c>
      <c r="D3400" s="89">
        <v>118</v>
      </c>
      <c r="E3400" s="89">
        <v>118</v>
      </c>
      <c r="F3400" s="89">
        <v>118</v>
      </c>
      <c r="G3400" s="89">
        <v>118</v>
      </c>
      <c r="H3400" s="89">
        <v>240</v>
      </c>
      <c r="I3400" s="89">
        <v>118</v>
      </c>
      <c r="J3400" s="710">
        <f>(VLOOKUP($C3400,[2]Sheet1!$A$2:$P$18,$M3400+1)/12)*12*D3400</f>
        <v>25881669.113783069</v>
      </c>
      <c r="K3400" s="711"/>
      <c r="M3400" s="62">
        <f t="shared" si="272"/>
        <v>5</v>
      </c>
    </row>
    <row r="3401" spans="1:13">
      <c r="A3401" s="88"/>
      <c r="B3401" s="97" t="s">
        <v>1487</v>
      </c>
      <c r="C3401" s="69"/>
      <c r="D3401" s="89"/>
      <c r="E3401" s="89"/>
      <c r="F3401" s="89"/>
      <c r="G3401" s="89"/>
      <c r="H3401" s="89"/>
      <c r="I3401" s="89"/>
      <c r="J3401" s="710"/>
      <c r="K3401" s="711"/>
      <c r="M3401" s="62">
        <f t="shared" si="272"/>
        <v>5</v>
      </c>
    </row>
    <row r="3402" spans="1:13">
      <c r="A3402" s="88">
        <f>+A3398+1</f>
        <v>34</v>
      </c>
      <c r="B3402" s="69" t="s">
        <v>2425</v>
      </c>
      <c r="C3402" s="69">
        <v>7</v>
      </c>
      <c r="D3402" s="89">
        <v>4</v>
      </c>
      <c r="E3402" s="89">
        <v>4</v>
      </c>
      <c r="F3402" s="89">
        <v>4</v>
      </c>
      <c r="G3402" s="89">
        <v>4</v>
      </c>
      <c r="H3402" s="89">
        <v>4</v>
      </c>
      <c r="I3402" s="89">
        <v>4</v>
      </c>
      <c r="J3402" s="710">
        <f>(VLOOKUP($C3402,[2]Sheet1!$A$2:$P$18,$M3402+1)/12)*12*D3402</f>
        <v>1230826.8096000003</v>
      </c>
      <c r="K3402" s="711"/>
      <c r="M3402" s="62">
        <f t="shared" si="272"/>
        <v>3</v>
      </c>
    </row>
    <row r="3403" spans="1:13" ht="13.5" thickBot="1">
      <c r="A3403" s="88">
        <f t="shared" si="271"/>
        <v>35</v>
      </c>
      <c r="B3403" s="69" t="s">
        <v>3876</v>
      </c>
      <c r="C3403" s="69">
        <v>6</v>
      </c>
      <c r="D3403" s="89">
        <v>2</v>
      </c>
      <c r="E3403" s="89">
        <v>2</v>
      </c>
      <c r="F3403" s="89">
        <v>2</v>
      </c>
      <c r="G3403" s="89">
        <v>2</v>
      </c>
      <c r="H3403" s="89">
        <v>2</v>
      </c>
      <c r="I3403" s="89">
        <v>2</v>
      </c>
      <c r="J3403" s="710">
        <f>(VLOOKUP($C3403,[2]Sheet1!$A$2:$P$18,$M3403+1)/12)*12*D3403</f>
        <v>476198.75786072994</v>
      </c>
      <c r="K3403" s="711"/>
      <c r="M3403" s="62">
        <f t="shared" si="272"/>
        <v>5</v>
      </c>
    </row>
    <row r="3404" spans="1:13" ht="15.75" thickTop="1">
      <c r="A3404" s="1047" t="s">
        <v>2791</v>
      </c>
      <c r="B3404" s="1049" t="s">
        <v>4126</v>
      </c>
      <c r="C3404" s="1049" t="s">
        <v>854</v>
      </c>
      <c r="D3404" s="1040" t="s">
        <v>4127</v>
      </c>
      <c r="E3404" s="1041"/>
      <c r="F3404" s="1041"/>
      <c r="G3404" s="1040" t="s">
        <v>904</v>
      </c>
      <c r="H3404" s="1041"/>
      <c r="I3404" s="1042"/>
      <c r="J3404" s="1035" t="s">
        <v>855</v>
      </c>
      <c r="K3404" s="389"/>
    </row>
    <row r="3405" spans="1:13" ht="26.25" thickBot="1">
      <c r="A3405" s="1048"/>
      <c r="B3405" s="1050"/>
      <c r="C3405" s="1050"/>
      <c r="D3405" s="285" t="s">
        <v>5505</v>
      </c>
      <c r="E3405" s="285" t="s">
        <v>4485</v>
      </c>
      <c r="F3405" s="285" t="s">
        <v>4486</v>
      </c>
      <c r="G3405" s="287" t="s">
        <v>4487</v>
      </c>
      <c r="H3405" s="285" t="s">
        <v>4488</v>
      </c>
      <c r="I3405" s="287" t="s">
        <v>4489</v>
      </c>
      <c r="J3405" s="1036"/>
      <c r="K3405" s="712"/>
    </row>
    <row r="3406" spans="1:13" ht="13.5" thickTop="1">
      <c r="A3406" s="88">
        <f>+A3403+1</f>
        <v>36</v>
      </c>
      <c r="B3406" s="69" t="s">
        <v>798</v>
      </c>
      <c r="C3406" s="69">
        <v>7</v>
      </c>
      <c r="D3406" s="89">
        <v>2</v>
      </c>
      <c r="E3406" s="89">
        <v>2</v>
      </c>
      <c r="F3406" s="89">
        <v>2</v>
      </c>
      <c r="G3406" s="89">
        <v>2</v>
      </c>
      <c r="H3406" s="89">
        <v>2</v>
      </c>
      <c r="I3406" s="89">
        <v>2</v>
      </c>
      <c r="J3406" s="710">
        <f>(VLOOKUP($C3406,[2]Sheet1!$A$2:$P$18,$M3406+1)/12)*12*D3406</f>
        <v>615413.40480000013</v>
      </c>
      <c r="K3406" s="711"/>
      <c r="M3406" s="62">
        <f t="shared" si="272"/>
        <v>3</v>
      </c>
    </row>
    <row r="3407" spans="1:13">
      <c r="A3407" s="88">
        <f>+A3406+1</f>
        <v>37</v>
      </c>
      <c r="B3407" s="69" t="s">
        <v>1852</v>
      </c>
      <c r="C3407" s="69">
        <v>5</v>
      </c>
      <c r="D3407" s="89">
        <v>2</v>
      </c>
      <c r="E3407" s="89">
        <v>2</v>
      </c>
      <c r="F3407" s="89">
        <v>2</v>
      </c>
      <c r="G3407" s="89">
        <v>2</v>
      </c>
      <c r="H3407" s="89">
        <v>2</v>
      </c>
      <c r="I3407" s="89">
        <v>2</v>
      </c>
      <c r="J3407" s="710">
        <f>(VLOOKUP($C3407,[2]Sheet1!$A$2:$P$18,$M3407+1)/12)*12*D3407</f>
        <v>459139.55786072998</v>
      </c>
      <c r="K3407" s="711"/>
      <c r="M3407" s="62">
        <f t="shared" si="272"/>
        <v>5</v>
      </c>
    </row>
    <row r="3408" spans="1:13">
      <c r="A3408" s="88">
        <f t="shared" ref="A3408:A3472" si="273">+A3407+1</f>
        <v>38</v>
      </c>
      <c r="B3408" s="69" t="s">
        <v>3877</v>
      </c>
      <c r="C3408" s="69">
        <v>4</v>
      </c>
      <c r="D3408" s="89">
        <v>48</v>
      </c>
      <c r="E3408" s="89">
        <v>48</v>
      </c>
      <c r="F3408" s="89">
        <v>48</v>
      </c>
      <c r="G3408" s="89">
        <v>48</v>
      </c>
      <c r="H3408" s="89">
        <v>55</v>
      </c>
      <c r="I3408" s="89">
        <v>48</v>
      </c>
      <c r="J3408" s="710">
        <f>(VLOOKUP($C3408,[2]Sheet1!$A$2:$P$18,$M3408+1)/12)*12*D3408</f>
        <v>10778062.988657519</v>
      </c>
      <c r="K3408" s="711"/>
      <c r="M3408" s="62">
        <f t="shared" si="272"/>
        <v>5</v>
      </c>
    </row>
    <row r="3409" spans="1:13">
      <c r="A3409" s="88">
        <f t="shared" si="273"/>
        <v>39</v>
      </c>
      <c r="B3409" s="69" t="s">
        <v>3724</v>
      </c>
      <c r="C3409" s="69">
        <v>3</v>
      </c>
      <c r="D3409" s="89">
        <v>20</v>
      </c>
      <c r="E3409" s="89">
        <v>20</v>
      </c>
      <c r="F3409" s="89">
        <v>20</v>
      </c>
      <c r="G3409" s="89">
        <v>20</v>
      </c>
      <c r="H3409" s="89">
        <v>20</v>
      </c>
      <c r="I3409" s="89">
        <v>20</v>
      </c>
      <c r="J3409" s="710">
        <f>(VLOOKUP($C3409,[2]Sheet1!$A$2:$P$18,$M3409+1)/12)*12*D3409</f>
        <v>4386723.5786072994</v>
      </c>
      <c r="K3409" s="711"/>
      <c r="M3409" s="62">
        <f t="shared" si="272"/>
        <v>5</v>
      </c>
    </row>
    <row r="3410" spans="1:13">
      <c r="A3410" s="88">
        <f t="shared" si="273"/>
        <v>40</v>
      </c>
      <c r="B3410" s="69" t="s">
        <v>3725</v>
      </c>
      <c r="C3410" s="69">
        <v>3</v>
      </c>
      <c r="D3410" s="89">
        <v>20</v>
      </c>
      <c r="E3410" s="89">
        <v>20</v>
      </c>
      <c r="F3410" s="89">
        <v>20</v>
      </c>
      <c r="G3410" s="89">
        <v>20</v>
      </c>
      <c r="H3410" s="89">
        <v>60</v>
      </c>
      <c r="I3410" s="89">
        <v>20</v>
      </c>
      <c r="J3410" s="710">
        <f>(VLOOKUP($C3410,[2]Sheet1!$A$2:$P$18,$M3410+1)/12)*12*D3410</f>
        <v>4386723.5786072994</v>
      </c>
      <c r="K3410" s="711"/>
      <c r="M3410" s="62">
        <f t="shared" si="272"/>
        <v>5</v>
      </c>
    </row>
    <row r="3411" spans="1:13">
      <c r="A3411" s="88">
        <f t="shared" si="273"/>
        <v>41</v>
      </c>
      <c r="B3411" s="69" t="s">
        <v>1854</v>
      </c>
      <c r="C3411" s="69">
        <v>3</v>
      </c>
      <c r="D3411" s="89">
        <v>5</v>
      </c>
      <c r="E3411" s="89">
        <v>5</v>
      </c>
      <c r="F3411" s="89">
        <v>5</v>
      </c>
      <c r="G3411" s="89">
        <v>5</v>
      </c>
      <c r="H3411" s="89">
        <v>10</v>
      </c>
      <c r="I3411" s="89">
        <v>5</v>
      </c>
      <c r="J3411" s="710">
        <f>(VLOOKUP($C3411,[2]Sheet1!$A$2:$P$18,$M3411+1)/12)*12*D3411</f>
        <v>1096680.8946518248</v>
      </c>
      <c r="K3411" s="711"/>
      <c r="M3411" s="62">
        <f t="shared" si="272"/>
        <v>5</v>
      </c>
    </row>
    <row r="3412" spans="1:13">
      <c r="A3412" s="88">
        <f t="shared" si="273"/>
        <v>42</v>
      </c>
      <c r="B3412" s="69" t="s">
        <v>3725</v>
      </c>
      <c r="C3412" s="69">
        <v>2</v>
      </c>
      <c r="D3412" s="89">
        <v>5</v>
      </c>
      <c r="E3412" s="89">
        <v>5</v>
      </c>
      <c r="F3412" s="89">
        <v>5</v>
      </c>
      <c r="G3412" s="89">
        <v>5</v>
      </c>
      <c r="H3412" s="89">
        <v>20</v>
      </c>
      <c r="I3412" s="89">
        <v>5</v>
      </c>
      <c r="J3412" s="710">
        <f>(VLOOKUP($C3412,[2]Sheet1!$A$2:$P$18,$M3412+1)/12)*12*D3412</f>
        <v>1073286.8946518251</v>
      </c>
      <c r="K3412" s="711"/>
      <c r="M3412" s="62">
        <f t="shared" si="272"/>
        <v>5</v>
      </c>
    </row>
    <row r="3413" spans="1:13">
      <c r="A3413" s="88"/>
      <c r="B3413" s="97" t="s">
        <v>1013</v>
      </c>
      <c r="C3413" s="69"/>
      <c r="D3413" s="89"/>
      <c r="E3413" s="89"/>
      <c r="F3413" s="89"/>
      <c r="G3413" s="89"/>
      <c r="H3413" s="89"/>
      <c r="I3413" s="89"/>
      <c r="J3413" s="710"/>
      <c r="K3413" s="711"/>
      <c r="M3413" s="62">
        <f t="shared" si="272"/>
        <v>5</v>
      </c>
    </row>
    <row r="3414" spans="1:13">
      <c r="A3414" s="88">
        <f>+A3412+1</f>
        <v>43</v>
      </c>
      <c r="B3414" s="69" t="s">
        <v>3532</v>
      </c>
      <c r="C3414" s="69">
        <v>16</v>
      </c>
      <c r="D3414" s="89">
        <v>1</v>
      </c>
      <c r="E3414" s="89">
        <v>1</v>
      </c>
      <c r="F3414" s="89">
        <v>1</v>
      </c>
      <c r="G3414" s="89">
        <v>1</v>
      </c>
      <c r="H3414" s="89">
        <v>1</v>
      </c>
      <c r="I3414" s="89">
        <v>1</v>
      </c>
      <c r="J3414" s="710">
        <f>(VLOOKUP($C3414,[2]Sheet1!$A$2:$P$18,$M3414+1)/12)*12*D3414</f>
        <v>677281.26084</v>
      </c>
      <c r="K3414" s="711"/>
      <c r="M3414" s="62">
        <f t="shared" si="272"/>
        <v>3</v>
      </c>
    </row>
    <row r="3415" spans="1:13">
      <c r="A3415" s="88">
        <f t="shared" si="273"/>
        <v>44</v>
      </c>
      <c r="B3415" s="69" t="s">
        <v>1256</v>
      </c>
      <c r="C3415" s="69">
        <v>15</v>
      </c>
      <c r="D3415" s="89">
        <v>2</v>
      </c>
      <c r="E3415" s="89">
        <v>2</v>
      </c>
      <c r="F3415" s="89">
        <v>2</v>
      </c>
      <c r="G3415" s="89">
        <v>2</v>
      </c>
      <c r="H3415" s="89">
        <v>2</v>
      </c>
      <c r="I3415" s="89">
        <v>2</v>
      </c>
      <c r="J3415" s="710">
        <f>(VLOOKUP($C3415,[2]Sheet1!$A$2:$P$18,$M3415+1)/12)*12*D3415</f>
        <v>1316663.79984</v>
      </c>
      <c r="K3415" s="711"/>
      <c r="M3415" s="62">
        <f t="shared" si="272"/>
        <v>3</v>
      </c>
    </row>
    <row r="3416" spans="1:13">
      <c r="A3416" s="88">
        <f t="shared" si="273"/>
        <v>45</v>
      </c>
      <c r="B3416" s="69" t="s">
        <v>1014</v>
      </c>
      <c r="C3416" s="69">
        <v>14</v>
      </c>
      <c r="D3416" s="89">
        <v>15</v>
      </c>
      <c r="E3416" s="89">
        <v>15</v>
      </c>
      <c r="F3416" s="89">
        <v>15</v>
      </c>
      <c r="G3416" s="89">
        <v>15</v>
      </c>
      <c r="H3416" s="89">
        <v>15</v>
      </c>
      <c r="I3416" s="89">
        <v>15</v>
      </c>
      <c r="J3416" s="710">
        <f>(VLOOKUP($C3416,[2]Sheet1!$A$2:$P$18,$M3416+1)/12)*12*D3416</f>
        <v>10036491.123600001</v>
      </c>
      <c r="K3416" s="711"/>
      <c r="M3416" s="62">
        <f t="shared" si="272"/>
        <v>3</v>
      </c>
    </row>
    <row r="3417" spans="1:13">
      <c r="A3417" s="88">
        <f t="shared" si="273"/>
        <v>46</v>
      </c>
      <c r="B3417" s="69" t="s">
        <v>1602</v>
      </c>
      <c r="C3417" s="69">
        <v>15</v>
      </c>
      <c r="D3417" s="89">
        <v>4</v>
      </c>
      <c r="E3417" s="89">
        <v>4</v>
      </c>
      <c r="F3417" s="89">
        <v>4</v>
      </c>
      <c r="G3417" s="89">
        <v>4</v>
      </c>
      <c r="H3417" s="89">
        <v>10</v>
      </c>
      <c r="I3417" s="89">
        <v>4</v>
      </c>
      <c r="J3417" s="710">
        <f>(VLOOKUP($C3417,[2]Sheet1!$A$2:$P$18,$M3417+1)/12)*12*D3417</f>
        <v>2633327.59968</v>
      </c>
      <c r="K3417" s="711"/>
      <c r="M3417" s="62">
        <f t="shared" si="272"/>
        <v>3</v>
      </c>
    </row>
    <row r="3418" spans="1:13">
      <c r="A3418" s="88">
        <f t="shared" si="273"/>
        <v>47</v>
      </c>
      <c r="B3418" s="69" t="s">
        <v>1603</v>
      </c>
      <c r="C3418" s="69">
        <v>14</v>
      </c>
      <c r="D3418" s="89">
        <v>4</v>
      </c>
      <c r="E3418" s="89">
        <v>4</v>
      </c>
      <c r="F3418" s="89">
        <v>4</v>
      </c>
      <c r="G3418" s="89">
        <v>4</v>
      </c>
      <c r="H3418" s="89">
        <v>10</v>
      </c>
      <c r="I3418" s="89">
        <v>4</v>
      </c>
      <c r="J3418" s="710">
        <f>(VLOOKUP($C3418,[2]Sheet1!$A$2:$P$18,$M3418+1)/12)*12*D3418</f>
        <v>2676397.6329600001</v>
      </c>
      <c r="K3418" s="711"/>
      <c r="M3418" s="62">
        <f t="shared" si="272"/>
        <v>3</v>
      </c>
    </row>
    <row r="3419" spans="1:13">
      <c r="A3419" s="88">
        <f t="shared" si="273"/>
        <v>48</v>
      </c>
      <c r="B3419" s="69" t="s">
        <v>1604</v>
      </c>
      <c r="C3419" s="69">
        <v>13</v>
      </c>
      <c r="D3419" s="89">
        <v>10</v>
      </c>
      <c r="E3419" s="89">
        <v>10</v>
      </c>
      <c r="F3419" s="89">
        <v>10</v>
      </c>
      <c r="G3419" s="89">
        <v>10</v>
      </c>
      <c r="H3419" s="89">
        <v>25</v>
      </c>
      <c r="I3419" s="89">
        <v>10</v>
      </c>
      <c r="J3419" s="710">
        <f>(VLOOKUP($C3419,[2]Sheet1!$A$2:$P$18,$M3419+1)/12)*12*D3419</f>
        <v>6287595.3804000001</v>
      </c>
      <c r="K3419" s="711"/>
      <c r="M3419" s="62">
        <f t="shared" si="272"/>
        <v>3</v>
      </c>
    </row>
    <row r="3420" spans="1:13">
      <c r="A3420" s="88">
        <f t="shared" si="273"/>
        <v>49</v>
      </c>
      <c r="B3420" s="69" t="s">
        <v>1605</v>
      </c>
      <c r="C3420" s="69">
        <v>12</v>
      </c>
      <c r="D3420" s="89">
        <v>8</v>
      </c>
      <c r="E3420" s="89">
        <v>8</v>
      </c>
      <c r="F3420" s="89">
        <v>8</v>
      </c>
      <c r="G3420" s="89">
        <v>8</v>
      </c>
      <c r="H3420" s="89">
        <v>8</v>
      </c>
      <c r="I3420" s="89">
        <v>8</v>
      </c>
      <c r="J3420" s="710">
        <f>(VLOOKUP($C3420,[2]Sheet1!$A$2:$P$18,$M3420+1)/12)*12*D3420</f>
        <v>4421480.4297600016</v>
      </c>
      <c r="K3420" s="711"/>
      <c r="M3420" s="62">
        <f t="shared" si="272"/>
        <v>3</v>
      </c>
    </row>
    <row r="3421" spans="1:13">
      <c r="A3421" s="88">
        <f t="shared" si="273"/>
        <v>50</v>
      </c>
      <c r="B3421" s="69" t="s">
        <v>1606</v>
      </c>
      <c r="C3421" s="69">
        <v>10</v>
      </c>
      <c r="D3421" s="89">
        <v>8</v>
      </c>
      <c r="E3421" s="89">
        <v>8</v>
      </c>
      <c r="F3421" s="89">
        <v>8</v>
      </c>
      <c r="G3421" s="89">
        <v>8</v>
      </c>
      <c r="H3421" s="89">
        <v>8</v>
      </c>
      <c r="I3421" s="89">
        <v>8</v>
      </c>
      <c r="J3421" s="710">
        <f>(VLOOKUP($C3421,[2]Sheet1!$A$2:$P$18,$M3421+1)/12)*12*D3421</f>
        <v>3871796.5497600008</v>
      </c>
      <c r="K3421" s="711"/>
      <c r="M3421" s="62">
        <f t="shared" si="272"/>
        <v>3</v>
      </c>
    </row>
    <row r="3422" spans="1:13">
      <c r="A3422" s="88">
        <f t="shared" si="273"/>
        <v>51</v>
      </c>
      <c r="B3422" s="69" t="s">
        <v>1607</v>
      </c>
      <c r="C3422" s="69">
        <v>9</v>
      </c>
      <c r="D3422" s="89">
        <v>2</v>
      </c>
      <c r="E3422" s="89">
        <v>2</v>
      </c>
      <c r="F3422" s="89">
        <v>2</v>
      </c>
      <c r="G3422" s="89">
        <v>2</v>
      </c>
      <c r="H3422" s="89">
        <v>2</v>
      </c>
      <c r="I3422" s="89">
        <v>2</v>
      </c>
      <c r="J3422" s="710">
        <f>(VLOOKUP($C3422,[2]Sheet1!$A$2:$P$18,$M3422+1)/12)*12*D3422</f>
        <v>819363.81239999994</v>
      </c>
      <c r="K3422" s="711"/>
      <c r="M3422" s="62">
        <f t="shared" si="272"/>
        <v>3</v>
      </c>
    </row>
    <row r="3423" spans="1:13">
      <c r="A3423" s="88">
        <f t="shared" si="273"/>
        <v>52</v>
      </c>
      <c r="B3423" s="69" t="s">
        <v>1608</v>
      </c>
      <c r="C3423" s="69">
        <v>8</v>
      </c>
      <c r="D3423" s="89">
        <v>11</v>
      </c>
      <c r="E3423" s="89">
        <v>11</v>
      </c>
      <c r="F3423" s="89">
        <v>11</v>
      </c>
      <c r="G3423" s="89">
        <v>11</v>
      </c>
      <c r="H3423" s="89">
        <v>11</v>
      </c>
      <c r="I3423" s="89">
        <v>11</v>
      </c>
      <c r="J3423" s="710">
        <f>(VLOOKUP($C3423,[2]Sheet1!$A$2:$P$18,$M3423+1)/12)*12*D3423</f>
        <v>3763554.0148800001</v>
      </c>
      <c r="K3423" s="711"/>
      <c r="M3423" s="62">
        <f t="shared" si="272"/>
        <v>3</v>
      </c>
    </row>
    <row r="3424" spans="1:13">
      <c r="A3424" s="88"/>
      <c r="B3424" s="97" t="s">
        <v>535</v>
      </c>
      <c r="C3424" s="69"/>
      <c r="D3424" s="89"/>
      <c r="E3424" s="89"/>
      <c r="F3424" s="89"/>
      <c r="G3424" s="89"/>
      <c r="H3424" s="89"/>
      <c r="I3424" s="89"/>
      <c r="J3424" s="710"/>
      <c r="K3424" s="711"/>
      <c r="M3424" s="62">
        <f t="shared" si="272"/>
        <v>5</v>
      </c>
    </row>
    <row r="3425" spans="1:13">
      <c r="A3425" s="88">
        <f>+A3423+1</f>
        <v>53</v>
      </c>
      <c r="B3425" s="69" t="s">
        <v>2528</v>
      </c>
      <c r="C3425" s="69">
        <v>15</v>
      </c>
      <c r="D3425" s="89">
        <v>1</v>
      </c>
      <c r="E3425" s="89">
        <v>1</v>
      </c>
      <c r="F3425" s="89">
        <v>1</v>
      </c>
      <c r="G3425" s="89">
        <v>1</v>
      </c>
      <c r="H3425" s="89">
        <v>1</v>
      </c>
      <c r="I3425" s="89">
        <v>1</v>
      </c>
      <c r="J3425" s="710">
        <f>(VLOOKUP($C3425,[2]Sheet1!$A$2:$P$18,$M3425+1)/12)*12*D3425</f>
        <v>658331.89992</v>
      </c>
      <c r="K3425" s="711"/>
      <c r="M3425" s="62">
        <f t="shared" si="272"/>
        <v>3</v>
      </c>
    </row>
    <row r="3426" spans="1:13">
      <c r="A3426" s="88">
        <f t="shared" si="273"/>
        <v>54</v>
      </c>
      <c r="B3426" s="69" t="s">
        <v>2689</v>
      </c>
      <c r="C3426" s="69">
        <v>13</v>
      </c>
      <c r="D3426" s="89">
        <v>2</v>
      </c>
      <c r="E3426" s="89">
        <v>2</v>
      </c>
      <c r="F3426" s="89">
        <v>2</v>
      </c>
      <c r="G3426" s="89">
        <v>2</v>
      </c>
      <c r="H3426" s="89">
        <v>6</v>
      </c>
      <c r="I3426" s="89">
        <v>2</v>
      </c>
      <c r="J3426" s="710">
        <f>(VLOOKUP($C3426,[2]Sheet1!$A$2:$P$18,$M3426+1)/12)*12*D3426</f>
        <v>1257519.07608</v>
      </c>
      <c r="K3426" s="711"/>
      <c r="M3426" s="62">
        <f t="shared" si="272"/>
        <v>3</v>
      </c>
    </row>
    <row r="3427" spans="1:13">
      <c r="A3427" s="88">
        <f t="shared" si="273"/>
        <v>55</v>
      </c>
      <c r="B3427" s="69" t="s">
        <v>2690</v>
      </c>
      <c r="C3427" s="69">
        <v>12</v>
      </c>
      <c r="D3427" s="89">
        <v>6</v>
      </c>
      <c r="E3427" s="89">
        <v>6</v>
      </c>
      <c r="F3427" s="89">
        <v>6</v>
      </c>
      <c r="G3427" s="89">
        <v>6</v>
      </c>
      <c r="H3427" s="89">
        <v>12</v>
      </c>
      <c r="I3427" s="89">
        <v>6</v>
      </c>
      <c r="J3427" s="710">
        <f>(VLOOKUP($C3427,[2]Sheet1!$A$2:$P$18,$M3427+1)/12)*12*D3427</f>
        <v>3316110.3223200012</v>
      </c>
      <c r="K3427" s="711"/>
      <c r="M3427" s="62">
        <f t="shared" si="272"/>
        <v>3</v>
      </c>
    </row>
    <row r="3428" spans="1:13">
      <c r="A3428" s="88">
        <f t="shared" si="273"/>
        <v>56</v>
      </c>
      <c r="B3428" s="69" t="s">
        <v>2691</v>
      </c>
      <c r="C3428" s="69">
        <v>9</v>
      </c>
      <c r="D3428" s="89">
        <v>6</v>
      </c>
      <c r="E3428" s="89">
        <v>6</v>
      </c>
      <c r="F3428" s="89">
        <v>6</v>
      </c>
      <c r="G3428" s="89">
        <v>6</v>
      </c>
      <c r="H3428" s="89">
        <v>20</v>
      </c>
      <c r="I3428" s="89">
        <v>6</v>
      </c>
      <c r="J3428" s="710">
        <f>(VLOOKUP($C3428,[2]Sheet1!$A$2:$P$18,$M3428+1)/12)*12*D3428</f>
        <v>2458091.4371999996</v>
      </c>
      <c r="K3428" s="711"/>
      <c r="M3428" s="62">
        <f t="shared" si="272"/>
        <v>3</v>
      </c>
    </row>
    <row r="3429" spans="1:13">
      <c r="A3429" s="88" t="s">
        <v>1840</v>
      </c>
      <c r="B3429" s="97" t="s">
        <v>829</v>
      </c>
      <c r="C3429" s="69"/>
      <c r="D3429" s="89"/>
      <c r="E3429" s="89"/>
      <c r="F3429" s="89"/>
      <c r="G3429" s="89"/>
      <c r="H3429" s="89"/>
      <c r="I3429" s="89"/>
      <c r="J3429" s="710"/>
      <c r="K3429" s="711"/>
      <c r="M3429" s="62">
        <f t="shared" si="272"/>
        <v>5</v>
      </c>
    </row>
    <row r="3430" spans="1:13">
      <c r="A3430" s="88">
        <v>88</v>
      </c>
      <c r="B3430" s="69" t="s">
        <v>3532</v>
      </c>
      <c r="C3430" s="69">
        <v>16</v>
      </c>
      <c r="D3430" s="89">
        <v>1</v>
      </c>
      <c r="E3430" s="89">
        <v>1</v>
      </c>
      <c r="F3430" s="89">
        <v>1</v>
      </c>
      <c r="G3430" s="89">
        <v>1</v>
      </c>
      <c r="H3430" s="89">
        <v>1</v>
      </c>
      <c r="I3430" s="89">
        <v>1</v>
      </c>
      <c r="J3430" s="710">
        <f>(VLOOKUP($C3430,[2]Sheet1!$A$2:$P$18,$M3430+1)/12)*12*D3430</f>
        <v>677281.26084</v>
      </c>
      <c r="K3430" s="711"/>
      <c r="M3430" s="62">
        <f t="shared" si="272"/>
        <v>3</v>
      </c>
    </row>
    <row r="3431" spans="1:13">
      <c r="A3431" s="88">
        <f t="shared" si="273"/>
        <v>89</v>
      </c>
      <c r="B3431" s="69" t="s">
        <v>1256</v>
      </c>
      <c r="C3431" s="69">
        <v>15</v>
      </c>
      <c r="D3431" s="89">
        <v>1</v>
      </c>
      <c r="E3431" s="89">
        <v>1</v>
      </c>
      <c r="F3431" s="89">
        <v>1</v>
      </c>
      <c r="G3431" s="89">
        <v>1</v>
      </c>
      <c r="H3431" s="89">
        <v>1</v>
      </c>
      <c r="I3431" s="89">
        <v>1</v>
      </c>
      <c r="J3431" s="710">
        <f>(VLOOKUP($C3431,[2]Sheet1!$A$2:$P$18,$M3431+1)/12)*12*D3431</f>
        <v>658331.89992</v>
      </c>
      <c r="K3431" s="711"/>
      <c r="M3431" s="62">
        <f t="shared" si="272"/>
        <v>3</v>
      </c>
    </row>
    <row r="3432" spans="1:13">
      <c r="A3432" s="88">
        <f t="shared" si="273"/>
        <v>90</v>
      </c>
      <c r="B3432" s="69" t="s">
        <v>830</v>
      </c>
      <c r="C3432" s="69">
        <v>14</v>
      </c>
      <c r="D3432" s="89">
        <v>1</v>
      </c>
      <c r="E3432" s="89">
        <v>1</v>
      </c>
      <c r="F3432" s="89">
        <v>1</v>
      </c>
      <c r="G3432" s="89">
        <v>1</v>
      </c>
      <c r="H3432" s="89">
        <v>1</v>
      </c>
      <c r="I3432" s="89">
        <v>1</v>
      </c>
      <c r="J3432" s="710">
        <f>(VLOOKUP($C3432,[2]Sheet1!$A$2:$P$18,$M3432+1)/12)*12*D3432</f>
        <v>669099.40824000002</v>
      </c>
      <c r="K3432" s="711"/>
      <c r="M3432" s="62">
        <f t="shared" si="272"/>
        <v>3</v>
      </c>
    </row>
    <row r="3433" spans="1:13">
      <c r="A3433" s="88">
        <f t="shared" si="273"/>
        <v>91</v>
      </c>
      <c r="B3433" s="69" t="s">
        <v>1923</v>
      </c>
      <c r="C3433" s="69">
        <v>13</v>
      </c>
      <c r="D3433" s="89">
        <v>4</v>
      </c>
      <c r="E3433" s="89">
        <v>4</v>
      </c>
      <c r="F3433" s="89">
        <v>4</v>
      </c>
      <c r="G3433" s="89">
        <v>4</v>
      </c>
      <c r="H3433" s="89">
        <v>4</v>
      </c>
      <c r="I3433" s="89">
        <v>4</v>
      </c>
      <c r="J3433" s="710">
        <f>(VLOOKUP($C3433,[2]Sheet1!$A$2:$P$18,$M3433+1)/12)*12*D3433</f>
        <v>2515038.1521600001</v>
      </c>
      <c r="K3433" s="711"/>
      <c r="M3433" s="62">
        <f t="shared" si="272"/>
        <v>3</v>
      </c>
    </row>
    <row r="3434" spans="1:13">
      <c r="A3434" s="88">
        <f t="shared" si="273"/>
        <v>92</v>
      </c>
      <c r="B3434" s="69" t="s">
        <v>831</v>
      </c>
      <c r="C3434" s="69">
        <v>12</v>
      </c>
      <c r="D3434" s="89">
        <v>0</v>
      </c>
      <c r="E3434" s="89">
        <v>0</v>
      </c>
      <c r="F3434" s="89">
        <v>0</v>
      </c>
      <c r="G3434" s="89">
        <v>0</v>
      </c>
      <c r="H3434" s="89">
        <v>8</v>
      </c>
      <c r="I3434" s="89">
        <v>0</v>
      </c>
      <c r="J3434" s="710">
        <f>(VLOOKUP($C3434,[2]Sheet1!$A$2:$P$18,$M3434+1)/12)*12*D3434</f>
        <v>0</v>
      </c>
      <c r="K3434" s="711"/>
      <c r="M3434" s="62">
        <f t="shared" si="272"/>
        <v>3</v>
      </c>
    </row>
    <row r="3435" spans="1:13">
      <c r="A3435" s="88">
        <f t="shared" si="273"/>
        <v>93</v>
      </c>
      <c r="B3435" s="69" t="s">
        <v>68</v>
      </c>
      <c r="C3435" s="69">
        <v>10</v>
      </c>
      <c r="D3435" s="89">
        <v>0</v>
      </c>
      <c r="E3435" s="89">
        <v>0</v>
      </c>
      <c r="F3435" s="89">
        <v>0</v>
      </c>
      <c r="G3435" s="89">
        <v>0</v>
      </c>
      <c r="H3435" s="89">
        <v>10</v>
      </c>
      <c r="I3435" s="89">
        <v>0</v>
      </c>
      <c r="J3435" s="710">
        <f>(VLOOKUP($C3435,[2]Sheet1!$A$2:$P$18,$M3435+1)/12)*12*D3435</f>
        <v>0</v>
      </c>
      <c r="K3435" s="711"/>
      <c r="M3435" s="62">
        <f t="shared" si="272"/>
        <v>3</v>
      </c>
    </row>
    <row r="3436" spans="1:13">
      <c r="A3436" s="88">
        <f t="shared" si="273"/>
        <v>94</v>
      </c>
      <c r="B3436" s="69" t="s">
        <v>2579</v>
      </c>
      <c r="C3436" s="69">
        <v>10</v>
      </c>
      <c r="D3436" s="89">
        <v>0</v>
      </c>
      <c r="E3436" s="89">
        <v>0</v>
      </c>
      <c r="F3436" s="89">
        <v>0</v>
      </c>
      <c r="G3436" s="89">
        <v>0</v>
      </c>
      <c r="H3436" s="89">
        <v>3</v>
      </c>
      <c r="I3436" s="89">
        <v>0</v>
      </c>
      <c r="J3436" s="710">
        <f>(VLOOKUP($C3436,[2]Sheet1!$A$2:$P$18,$M3436+1)/12)*12*D3436</f>
        <v>0</v>
      </c>
      <c r="K3436" s="711"/>
      <c r="M3436" s="62">
        <f t="shared" si="272"/>
        <v>3</v>
      </c>
    </row>
    <row r="3437" spans="1:13">
      <c r="A3437" s="88">
        <f t="shared" si="273"/>
        <v>95</v>
      </c>
      <c r="B3437" s="69" t="s">
        <v>833</v>
      </c>
      <c r="C3437" s="69">
        <v>9</v>
      </c>
      <c r="D3437" s="89">
        <v>1</v>
      </c>
      <c r="E3437" s="89">
        <v>1</v>
      </c>
      <c r="F3437" s="89">
        <v>1</v>
      </c>
      <c r="G3437" s="89">
        <v>1</v>
      </c>
      <c r="H3437" s="89">
        <v>3</v>
      </c>
      <c r="I3437" s="89">
        <v>1</v>
      </c>
      <c r="J3437" s="710">
        <f>(VLOOKUP($C3437,[2]Sheet1!$A$2:$P$18,$M3437+1)/12)*12*D3437</f>
        <v>409681.90619999997</v>
      </c>
      <c r="K3437" s="711"/>
      <c r="M3437" s="62">
        <f t="shared" si="272"/>
        <v>3</v>
      </c>
    </row>
    <row r="3438" spans="1:13">
      <c r="A3438" s="88">
        <f t="shared" si="273"/>
        <v>96</v>
      </c>
      <c r="B3438" s="69" t="s">
        <v>70</v>
      </c>
      <c r="C3438" s="69">
        <v>8</v>
      </c>
      <c r="D3438" s="89">
        <v>0</v>
      </c>
      <c r="E3438" s="89">
        <v>0</v>
      </c>
      <c r="F3438" s="89">
        <v>0</v>
      </c>
      <c r="G3438" s="89">
        <v>0</v>
      </c>
      <c r="H3438" s="89">
        <v>0</v>
      </c>
      <c r="I3438" s="89">
        <v>0</v>
      </c>
      <c r="J3438" s="710">
        <f>(VLOOKUP($C3438,[2]Sheet1!$A$2:$P$18,$M3438+1)/12)*12*D3438</f>
        <v>0</v>
      </c>
      <c r="K3438" s="711"/>
      <c r="M3438" s="62">
        <f t="shared" si="272"/>
        <v>3</v>
      </c>
    </row>
    <row r="3439" spans="1:13">
      <c r="A3439" s="88">
        <f t="shared" si="273"/>
        <v>97</v>
      </c>
      <c r="B3439" s="69" t="s">
        <v>65</v>
      </c>
      <c r="C3439" s="69">
        <v>7</v>
      </c>
      <c r="D3439" s="89">
        <v>0</v>
      </c>
      <c r="E3439" s="89">
        <v>0</v>
      </c>
      <c r="F3439" s="89">
        <v>0</v>
      </c>
      <c r="G3439" s="89">
        <v>0</v>
      </c>
      <c r="H3439" s="89">
        <v>5</v>
      </c>
      <c r="I3439" s="89">
        <v>0</v>
      </c>
      <c r="J3439" s="710">
        <f>(VLOOKUP($C3439,[2]Sheet1!$A$2:$P$18,$M3439+1)/12)*12*D3439</f>
        <v>0</v>
      </c>
      <c r="K3439" s="711"/>
      <c r="M3439" s="62">
        <f t="shared" si="272"/>
        <v>3</v>
      </c>
    </row>
    <row r="3440" spans="1:13">
      <c r="A3440" s="88">
        <f t="shared" si="273"/>
        <v>98</v>
      </c>
      <c r="B3440" s="69" t="s">
        <v>3896</v>
      </c>
      <c r="C3440" s="69">
        <v>6</v>
      </c>
      <c r="D3440" s="89">
        <v>1</v>
      </c>
      <c r="E3440" s="89">
        <v>1</v>
      </c>
      <c r="F3440" s="89">
        <v>1</v>
      </c>
      <c r="G3440" s="89">
        <v>1</v>
      </c>
      <c r="H3440" s="89">
        <v>10</v>
      </c>
      <c r="I3440" s="89">
        <v>1</v>
      </c>
      <c r="J3440" s="710">
        <f>(VLOOKUP($C3440,[2]Sheet1!$A$2:$P$18,$M3440+1)/12)*12*D3440</f>
        <v>238099.37893036497</v>
      </c>
      <c r="K3440" s="711"/>
      <c r="M3440" s="62">
        <f t="shared" si="272"/>
        <v>5</v>
      </c>
    </row>
    <row r="3441" spans="1:13">
      <c r="A3441" s="88">
        <f t="shared" si="273"/>
        <v>99</v>
      </c>
      <c r="B3441" s="69" t="s">
        <v>66</v>
      </c>
      <c r="C3441" s="69">
        <v>12</v>
      </c>
      <c r="D3441" s="89">
        <v>1</v>
      </c>
      <c r="E3441" s="89">
        <v>1</v>
      </c>
      <c r="F3441" s="89">
        <v>1</v>
      </c>
      <c r="G3441" s="89">
        <v>1</v>
      </c>
      <c r="H3441" s="89">
        <v>1</v>
      </c>
      <c r="I3441" s="89">
        <v>1</v>
      </c>
      <c r="J3441" s="710">
        <f>(VLOOKUP($C3441,[2]Sheet1!$A$2:$P$18,$M3441+1)/12)*12*D3441</f>
        <v>552685.0537200002</v>
      </c>
      <c r="K3441" s="711"/>
      <c r="M3441" s="62">
        <f t="shared" ref="M3441:M3507" si="274">IF(C3441&gt;6,3,5)</f>
        <v>3</v>
      </c>
    </row>
    <row r="3442" spans="1:13">
      <c r="A3442" s="88">
        <f t="shared" si="273"/>
        <v>100</v>
      </c>
      <c r="B3442" s="69" t="s">
        <v>2331</v>
      </c>
      <c r="C3442" s="69">
        <v>9</v>
      </c>
      <c r="D3442" s="89">
        <v>1</v>
      </c>
      <c r="E3442" s="89">
        <v>1</v>
      </c>
      <c r="F3442" s="89">
        <v>1</v>
      </c>
      <c r="G3442" s="89">
        <v>1</v>
      </c>
      <c r="H3442" s="89">
        <v>25</v>
      </c>
      <c r="I3442" s="89">
        <v>1</v>
      </c>
      <c r="J3442" s="710">
        <f>(VLOOKUP($C3442,[2]Sheet1!$A$2:$P$18,$M3442+1)/12)*12*D3442</f>
        <v>409681.90619999997</v>
      </c>
      <c r="K3442" s="711"/>
      <c r="M3442" s="62">
        <f t="shared" si="274"/>
        <v>3</v>
      </c>
    </row>
    <row r="3443" spans="1:13">
      <c r="A3443" s="88">
        <f t="shared" si="273"/>
        <v>101</v>
      </c>
      <c r="B3443" s="69" t="s">
        <v>389</v>
      </c>
      <c r="C3443" s="69">
        <v>8</v>
      </c>
      <c r="D3443" s="89">
        <v>0</v>
      </c>
      <c r="E3443" s="89">
        <v>0</v>
      </c>
      <c r="F3443" s="89">
        <v>0</v>
      </c>
      <c r="G3443" s="89">
        <v>0</v>
      </c>
      <c r="H3443" s="89">
        <v>25</v>
      </c>
      <c r="I3443" s="89">
        <v>0</v>
      </c>
      <c r="J3443" s="710">
        <f>(VLOOKUP($C3443,[2]Sheet1!$A$2:$P$18,$M3443+1)/12)*12*D3443</f>
        <v>0</v>
      </c>
      <c r="K3443" s="711"/>
      <c r="M3443" s="62">
        <f t="shared" si="274"/>
        <v>3</v>
      </c>
    </row>
    <row r="3444" spans="1:13">
      <c r="A3444" s="88">
        <f t="shared" si="273"/>
        <v>102</v>
      </c>
      <c r="B3444" s="69" t="s">
        <v>390</v>
      </c>
      <c r="C3444" s="69">
        <v>9</v>
      </c>
      <c r="D3444" s="89">
        <v>0</v>
      </c>
      <c r="E3444" s="89">
        <v>0</v>
      </c>
      <c r="F3444" s="89">
        <v>0</v>
      </c>
      <c r="G3444" s="89">
        <v>0</v>
      </c>
      <c r="H3444" s="89">
        <v>5</v>
      </c>
      <c r="I3444" s="89">
        <v>0</v>
      </c>
      <c r="J3444" s="710">
        <f>(VLOOKUP($C3444,[2]Sheet1!$A$2:$P$18,$M3444+1)/12)*12*D3444</f>
        <v>0</v>
      </c>
      <c r="K3444" s="711"/>
      <c r="M3444" s="62">
        <f t="shared" si="274"/>
        <v>3</v>
      </c>
    </row>
    <row r="3445" spans="1:13">
      <c r="A3445" s="88">
        <f t="shared" si="273"/>
        <v>103</v>
      </c>
      <c r="B3445" s="69" t="s">
        <v>391</v>
      </c>
      <c r="C3445" s="69">
        <v>8</v>
      </c>
      <c r="D3445" s="89">
        <v>0</v>
      </c>
      <c r="E3445" s="89">
        <v>0</v>
      </c>
      <c r="F3445" s="89">
        <v>0</v>
      </c>
      <c r="G3445" s="89">
        <v>0</v>
      </c>
      <c r="H3445" s="89">
        <v>0</v>
      </c>
      <c r="I3445" s="89">
        <v>0</v>
      </c>
      <c r="J3445" s="710">
        <f>(VLOOKUP($C3445,[2]Sheet1!$A$2:$P$18,$M3445+1)/12)*12*D3445</f>
        <v>0</v>
      </c>
      <c r="K3445" s="711"/>
      <c r="M3445" s="62">
        <f t="shared" si="274"/>
        <v>3</v>
      </c>
    </row>
    <row r="3446" spans="1:13" ht="13.5" thickBot="1">
      <c r="A3446" s="88">
        <f t="shared" si="273"/>
        <v>104</v>
      </c>
      <c r="B3446" s="69" t="s">
        <v>3526</v>
      </c>
      <c r="C3446" s="69">
        <v>7</v>
      </c>
      <c r="D3446" s="89">
        <v>0</v>
      </c>
      <c r="E3446" s="89">
        <v>0</v>
      </c>
      <c r="F3446" s="89">
        <v>0</v>
      </c>
      <c r="G3446" s="89">
        <v>0</v>
      </c>
      <c r="H3446" s="89">
        <v>0</v>
      </c>
      <c r="I3446" s="89">
        <v>0</v>
      </c>
      <c r="J3446" s="710">
        <f>(VLOOKUP($C3446,[2]Sheet1!$A$2:$P$18,$M3446+1)/12)*12*D3446</f>
        <v>0</v>
      </c>
      <c r="K3446" s="711"/>
      <c r="M3446" s="62">
        <f t="shared" si="274"/>
        <v>3</v>
      </c>
    </row>
    <row r="3447" spans="1:13" ht="15.75" thickTop="1">
      <c r="A3447" s="1047" t="s">
        <v>2791</v>
      </c>
      <c r="B3447" s="1049" t="s">
        <v>4126</v>
      </c>
      <c r="C3447" s="1049" t="s">
        <v>854</v>
      </c>
      <c r="D3447" s="1040" t="s">
        <v>4127</v>
      </c>
      <c r="E3447" s="1041"/>
      <c r="F3447" s="1041"/>
      <c r="G3447" s="1040" t="s">
        <v>904</v>
      </c>
      <c r="H3447" s="1041"/>
      <c r="I3447" s="1042"/>
      <c r="J3447" s="1035" t="s">
        <v>855</v>
      </c>
      <c r="K3447" s="389"/>
    </row>
    <row r="3448" spans="1:13" ht="26.25" thickBot="1">
      <c r="A3448" s="1048"/>
      <c r="B3448" s="1050"/>
      <c r="C3448" s="1050"/>
      <c r="D3448" s="285" t="s">
        <v>5505</v>
      </c>
      <c r="E3448" s="285" t="s">
        <v>4485</v>
      </c>
      <c r="F3448" s="285" t="s">
        <v>4486</v>
      </c>
      <c r="G3448" s="287" t="s">
        <v>4487</v>
      </c>
      <c r="H3448" s="285" t="s">
        <v>4488</v>
      </c>
      <c r="I3448" s="287" t="s">
        <v>4489</v>
      </c>
      <c r="J3448" s="1036"/>
      <c r="K3448" s="712"/>
    </row>
    <row r="3449" spans="1:13" ht="13.5" thickTop="1">
      <c r="A3449" s="88">
        <f>+A3446+1</f>
        <v>105</v>
      </c>
      <c r="B3449" s="69" t="s">
        <v>2584</v>
      </c>
      <c r="C3449" s="69">
        <v>6</v>
      </c>
      <c r="D3449" s="89">
        <v>1</v>
      </c>
      <c r="E3449" s="89">
        <v>1</v>
      </c>
      <c r="F3449" s="89">
        <v>1</v>
      </c>
      <c r="G3449" s="89">
        <v>1</v>
      </c>
      <c r="H3449" s="89">
        <v>15</v>
      </c>
      <c r="I3449" s="89">
        <v>1</v>
      </c>
      <c r="J3449" s="710">
        <f>(VLOOKUP($C3449,[2]Sheet1!$A$2:$P$18,$M3449+1)/12)*12*D3449</f>
        <v>238099.37893036497</v>
      </c>
      <c r="K3449" s="711"/>
      <c r="M3449" s="62">
        <f t="shared" si="274"/>
        <v>5</v>
      </c>
    </row>
    <row r="3450" spans="1:13">
      <c r="A3450" s="88">
        <f>+A3449+1</f>
        <v>106</v>
      </c>
      <c r="B3450" s="69" t="s">
        <v>3640</v>
      </c>
      <c r="C3450" s="69">
        <v>4</v>
      </c>
      <c r="D3450" s="89">
        <v>0</v>
      </c>
      <c r="E3450" s="89">
        <v>0</v>
      </c>
      <c r="F3450" s="89">
        <v>0</v>
      </c>
      <c r="G3450" s="89">
        <v>0</v>
      </c>
      <c r="H3450" s="89">
        <v>7</v>
      </c>
      <c r="I3450" s="89">
        <v>0</v>
      </c>
      <c r="J3450" s="710">
        <f>(VLOOKUP($C3450,[2]Sheet1!$A$2:$P$18,$M3450+1)/12)*12*D3450</f>
        <v>0</v>
      </c>
      <c r="K3450" s="711"/>
      <c r="M3450" s="62">
        <f t="shared" si="274"/>
        <v>5</v>
      </c>
    </row>
    <row r="3451" spans="1:13">
      <c r="A3451" s="88" t="s">
        <v>1840</v>
      </c>
      <c r="B3451" s="97" t="s">
        <v>3641</v>
      </c>
      <c r="C3451" s="69"/>
      <c r="D3451" s="89"/>
      <c r="E3451" s="89"/>
      <c r="F3451" s="89"/>
      <c r="G3451" s="89"/>
      <c r="H3451" s="89"/>
      <c r="I3451" s="89"/>
      <c r="J3451" s="713"/>
      <c r="K3451" s="711"/>
      <c r="M3451" s="62">
        <f t="shared" si="274"/>
        <v>5</v>
      </c>
    </row>
    <row r="3452" spans="1:13">
      <c r="A3452" s="88">
        <v>107</v>
      </c>
      <c r="B3452" s="69" t="s">
        <v>1256</v>
      </c>
      <c r="C3452" s="69">
        <v>15</v>
      </c>
      <c r="D3452" s="89">
        <v>0</v>
      </c>
      <c r="E3452" s="89">
        <v>0</v>
      </c>
      <c r="F3452" s="89">
        <v>0</v>
      </c>
      <c r="G3452" s="89">
        <v>0</v>
      </c>
      <c r="H3452" s="89">
        <v>0</v>
      </c>
      <c r="I3452" s="89">
        <v>0</v>
      </c>
      <c r="J3452" s="710">
        <f>(VLOOKUP($C3452,[2]Sheet1!$A$2:$P$18,$M3452+1)/12)*12*D3452</f>
        <v>0</v>
      </c>
      <c r="K3452" s="711"/>
      <c r="M3452" s="62">
        <f t="shared" si="274"/>
        <v>3</v>
      </c>
    </row>
    <row r="3453" spans="1:13">
      <c r="A3453" s="88">
        <f t="shared" si="273"/>
        <v>108</v>
      </c>
      <c r="B3453" s="69" t="s">
        <v>830</v>
      </c>
      <c r="C3453" s="69">
        <v>14</v>
      </c>
      <c r="D3453" s="89">
        <v>1</v>
      </c>
      <c r="E3453" s="89">
        <v>1</v>
      </c>
      <c r="F3453" s="89">
        <v>1</v>
      </c>
      <c r="G3453" s="89">
        <v>1</v>
      </c>
      <c r="H3453" s="89">
        <v>1</v>
      </c>
      <c r="I3453" s="89">
        <v>1</v>
      </c>
      <c r="J3453" s="710">
        <f>(VLOOKUP($C3453,[2]Sheet1!$A$2:$P$18,$M3453+1)/12)*12*D3453</f>
        <v>669099.40824000002</v>
      </c>
      <c r="K3453" s="711"/>
      <c r="M3453" s="62">
        <f t="shared" si="274"/>
        <v>3</v>
      </c>
    </row>
    <row r="3454" spans="1:13">
      <c r="A3454" s="88">
        <f t="shared" si="273"/>
        <v>109</v>
      </c>
      <c r="B3454" s="69" t="s">
        <v>311</v>
      </c>
      <c r="C3454" s="69">
        <v>13</v>
      </c>
      <c r="D3454" s="89">
        <v>3</v>
      </c>
      <c r="E3454" s="89">
        <v>3</v>
      </c>
      <c r="F3454" s="89">
        <v>3</v>
      </c>
      <c r="G3454" s="89">
        <v>3</v>
      </c>
      <c r="H3454" s="89">
        <v>3</v>
      </c>
      <c r="I3454" s="89">
        <v>3</v>
      </c>
      <c r="J3454" s="710">
        <f>(VLOOKUP($C3454,[2]Sheet1!$A$2:$P$18,$M3454+1)/12)*12*D3454</f>
        <v>1886278.61412</v>
      </c>
      <c r="K3454" s="711"/>
      <c r="M3454" s="62">
        <f t="shared" si="274"/>
        <v>3</v>
      </c>
    </row>
    <row r="3455" spans="1:13">
      <c r="A3455" s="88">
        <f t="shared" si="273"/>
        <v>110</v>
      </c>
      <c r="B3455" s="69" t="s">
        <v>312</v>
      </c>
      <c r="C3455" s="69">
        <v>12</v>
      </c>
      <c r="D3455" s="89">
        <v>0</v>
      </c>
      <c r="E3455" s="89">
        <v>0</v>
      </c>
      <c r="F3455" s="89">
        <v>0</v>
      </c>
      <c r="G3455" s="89">
        <v>0</v>
      </c>
      <c r="H3455" s="89">
        <v>0</v>
      </c>
      <c r="I3455" s="89">
        <v>0</v>
      </c>
      <c r="J3455" s="710">
        <f>(VLOOKUP($C3455,[2]Sheet1!$A$2:$P$18,$M3455+1)/12)*12*D3455</f>
        <v>0</v>
      </c>
      <c r="K3455" s="711"/>
      <c r="M3455" s="62">
        <f t="shared" si="274"/>
        <v>3</v>
      </c>
    </row>
    <row r="3456" spans="1:13">
      <c r="A3456" s="88">
        <f t="shared" si="273"/>
        <v>111</v>
      </c>
      <c r="B3456" s="69" t="s">
        <v>311</v>
      </c>
      <c r="C3456" s="69">
        <v>13</v>
      </c>
      <c r="D3456" s="89">
        <v>0</v>
      </c>
      <c r="E3456" s="89">
        <v>0</v>
      </c>
      <c r="F3456" s="89">
        <v>0</v>
      </c>
      <c r="G3456" s="89">
        <v>0</v>
      </c>
      <c r="H3456" s="89">
        <v>0</v>
      </c>
      <c r="I3456" s="89">
        <v>0</v>
      </c>
      <c r="J3456" s="710">
        <f>(VLOOKUP($C3456,[2]Sheet1!$A$2:$P$18,$M3456+1)/12)*12*D3456</f>
        <v>0</v>
      </c>
      <c r="K3456" s="711"/>
      <c r="M3456" s="62">
        <f t="shared" si="274"/>
        <v>3</v>
      </c>
    </row>
    <row r="3457" spans="1:13">
      <c r="A3457" s="88">
        <f t="shared" si="273"/>
        <v>112</v>
      </c>
      <c r="B3457" s="69" t="s">
        <v>481</v>
      </c>
      <c r="C3457" s="69">
        <v>12</v>
      </c>
      <c r="D3457" s="89">
        <v>0</v>
      </c>
      <c r="E3457" s="89">
        <v>0</v>
      </c>
      <c r="F3457" s="89">
        <v>0</v>
      </c>
      <c r="G3457" s="89">
        <v>0</v>
      </c>
      <c r="H3457" s="89">
        <v>0</v>
      </c>
      <c r="I3457" s="89">
        <v>0</v>
      </c>
      <c r="J3457" s="710">
        <f>(VLOOKUP($C3457,[2]Sheet1!$A$2:$P$18,$M3457+1)/12)*12*D3457</f>
        <v>0</v>
      </c>
      <c r="K3457" s="711"/>
      <c r="M3457" s="62">
        <f t="shared" si="274"/>
        <v>3</v>
      </c>
    </row>
    <row r="3458" spans="1:13">
      <c r="A3458" s="88">
        <f t="shared" si="273"/>
        <v>113</v>
      </c>
      <c r="B3458" s="69" t="s">
        <v>3984</v>
      </c>
      <c r="C3458" s="69">
        <v>10</v>
      </c>
      <c r="D3458" s="89">
        <v>0</v>
      </c>
      <c r="E3458" s="89">
        <v>0</v>
      </c>
      <c r="F3458" s="89">
        <v>0</v>
      </c>
      <c r="G3458" s="89">
        <v>0</v>
      </c>
      <c r="H3458" s="89">
        <v>0</v>
      </c>
      <c r="I3458" s="89">
        <v>0</v>
      </c>
      <c r="J3458" s="710">
        <f>(VLOOKUP($C3458,[2]Sheet1!$A$2:$P$18,$M3458+1)/12)*12*D3458</f>
        <v>0</v>
      </c>
      <c r="K3458" s="711"/>
      <c r="M3458" s="62">
        <f t="shared" si="274"/>
        <v>3</v>
      </c>
    </row>
    <row r="3459" spans="1:13">
      <c r="A3459" s="88">
        <f t="shared" si="273"/>
        <v>114</v>
      </c>
      <c r="B3459" s="69" t="s">
        <v>2276</v>
      </c>
      <c r="C3459" s="69">
        <v>9</v>
      </c>
      <c r="D3459" s="89">
        <v>0</v>
      </c>
      <c r="E3459" s="89">
        <v>0</v>
      </c>
      <c r="F3459" s="89">
        <v>0</v>
      </c>
      <c r="G3459" s="89">
        <v>0</v>
      </c>
      <c r="H3459" s="89">
        <v>0</v>
      </c>
      <c r="I3459" s="89">
        <v>0</v>
      </c>
      <c r="J3459" s="710">
        <f>(VLOOKUP($C3459,[2]Sheet1!$A$2:$P$18,$M3459+1)/12)*12*D3459</f>
        <v>0</v>
      </c>
      <c r="K3459" s="711"/>
      <c r="M3459" s="62">
        <f t="shared" si="274"/>
        <v>3</v>
      </c>
    </row>
    <row r="3460" spans="1:13">
      <c r="A3460" s="88">
        <f t="shared" si="273"/>
        <v>115</v>
      </c>
      <c r="B3460" s="69" t="s">
        <v>2277</v>
      </c>
      <c r="C3460" s="69">
        <v>8</v>
      </c>
      <c r="D3460" s="89">
        <v>1</v>
      </c>
      <c r="E3460" s="89">
        <v>1</v>
      </c>
      <c r="F3460" s="89">
        <v>1</v>
      </c>
      <c r="G3460" s="89">
        <v>1</v>
      </c>
      <c r="H3460" s="89">
        <v>1</v>
      </c>
      <c r="I3460" s="89">
        <v>1</v>
      </c>
      <c r="J3460" s="710">
        <f>(VLOOKUP($C3460,[2]Sheet1!$A$2:$P$18,$M3460+1)/12)*12*D3460</f>
        <v>342141.27408</v>
      </c>
      <c r="K3460" s="711"/>
      <c r="M3460" s="62">
        <f t="shared" si="274"/>
        <v>3</v>
      </c>
    </row>
    <row r="3461" spans="1:13">
      <c r="A3461" s="88">
        <f t="shared" si="273"/>
        <v>116</v>
      </c>
      <c r="B3461" s="69" t="s">
        <v>2430</v>
      </c>
      <c r="C3461" s="69">
        <v>7</v>
      </c>
      <c r="D3461" s="89">
        <v>2</v>
      </c>
      <c r="E3461" s="89">
        <v>2</v>
      </c>
      <c r="F3461" s="89">
        <v>2</v>
      </c>
      <c r="G3461" s="89">
        <v>2</v>
      </c>
      <c r="H3461" s="89">
        <v>2</v>
      </c>
      <c r="I3461" s="89">
        <v>2</v>
      </c>
      <c r="J3461" s="710">
        <f>(VLOOKUP($C3461,[2]Sheet1!$A$2:$P$18,$M3461+1)/12)*12*D3461</f>
        <v>615413.40480000013</v>
      </c>
      <c r="K3461" s="711"/>
      <c r="M3461" s="62">
        <f t="shared" si="274"/>
        <v>3</v>
      </c>
    </row>
    <row r="3462" spans="1:13">
      <c r="A3462" s="88">
        <f t="shared" si="273"/>
        <v>117</v>
      </c>
      <c r="B3462" s="69" t="s">
        <v>2429</v>
      </c>
      <c r="C3462" s="69">
        <v>6</v>
      </c>
      <c r="D3462" s="89">
        <v>2</v>
      </c>
      <c r="E3462" s="89">
        <v>2</v>
      </c>
      <c r="F3462" s="89">
        <v>2</v>
      </c>
      <c r="G3462" s="89">
        <v>2</v>
      </c>
      <c r="H3462" s="89">
        <v>2</v>
      </c>
      <c r="I3462" s="89">
        <v>2</v>
      </c>
      <c r="J3462" s="710">
        <f>(VLOOKUP($C3462,[2]Sheet1!$A$2:$P$18,$M3462+1)/12)*12*D3462</f>
        <v>476198.75786072994</v>
      </c>
      <c r="K3462" s="711"/>
      <c r="M3462" s="62">
        <f t="shared" si="274"/>
        <v>5</v>
      </c>
    </row>
    <row r="3463" spans="1:13">
      <c r="A3463" s="88">
        <f t="shared" si="273"/>
        <v>118</v>
      </c>
      <c r="B3463" s="69" t="s">
        <v>2142</v>
      </c>
      <c r="C3463" s="69">
        <v>13</v>
      </c>
      <c r="D3463" s="89">
        <v>1</v>
      </c>
      <c r="E3463" s="89">
        <v>1</v>
      </c>
      <c r="F3463" s="89">
        <v>1</v>
      </c>
      <c r="G3463" s="89">
        <v>1</v>
      </c>
      <c r="H3463" s="89">
        <v>1</v>
      </c>
      <c r="I3463" s="89">
        <v>1</v>
      </c>
      <c r="J3463" s="710">
        <f>(VLOOKUP($C3463,[2]Sheet1!$A$2:$P$18,$M3463+1)/12)*12*D3463</f>
        <v>628759.53804000001</v>
      </c>
      <c r="K3463" s="711"/>
      <c r="M3463" s="62">
        <f t="shared" si="274"/>
        <v>3</v>
      </c>
    </row>
    <row r="3464" spans="1:13">
      <c r="A3464" s="88">
        <f t="shared" si="273"/>
        <v>119</v>
      </c>
      <c r="B3464" s="69" t="s">
        <v>2143</v>
      </c>
      <c r="C3464" s="69">
        <v>12</v>
      </c>
      <c r="D3464" s="89">
        <v>10</v>
      </c>
      <c r="E3464" s="89">
        <v>10</v>
      </c>
      <c r="F3464" s="89">
        <v>10</v>
      </c>
      <c r="G3464" s="89">
        <v>10</v>
      </c>
      <c r="H3464" s="89">
        <v>10</v>
      </c>
      <c r="I3464" s="89">
        <v>10</v>
      </c>
      <c r="J3464" s="710">
        <f>(VLOOKUP($C3464,[2]Sheet1!$A$2:$P$18,$M3464+1)/12)*12*D3464</f>
        <v>5526850.537200002</v>
      </c>
      <c r="K3464" s="711"/>
      <c r="M3464" s="62">
        <f t="shared" si="274"/>
        <v>3</v>
      </c>
    </row>
    <row r="3465" spans="1:13">
      <c r="A3465" s="88">
        <f t="shared" si="273"/>
        <v>120</v>
      </c>
      <c r="B3465" s="69" t="s">
        <v>2211</v>
      </c>
      <c r="C3465" s="69">
        <v>10</v>
      </c>
      <c r="D3465" s="89">
        <v>0</v>
      </c>
      <c r="E3465" s="89">
        <v>0</v>
      </c>
      <c r="F3465" s="89">
        <v>0</v>
      </c>
      <c r="G3465" s="89">
        <v>0</v>
      </c>
      <c r="H3465" s="89">
        <v>0</v>
      </c>
      <c r="I3465" s="89">
        <v>0</v>
      </c>
      <c r="J3465" s="710">
        <f>(VLOOKUP($C3465,[2]Sheet1!$A$2:$P$18,$M3465+1)/12)*12*D3465</f>
        <v>0</v>
      </c>
      <c r="K3465" s="711"/>
      <c r="M3465" s="62">
        <f t="shared" si="274"/>
        <v>3</v>
      </c>
    </row>
    <row r="3466" spans="1:13">
      <c r="A3466" s="88">
        <f>+A3465+1</f>
        <v>121</v>
      </c>
      <c r="B3466" s="69" t="s">
        <v>323</v>
      </c>
      <c r="C3466" s="69">
        <v>9</v>
      </c>
      <c r="D3466" s="89">
        <v>0</v>
      </c>
      <c r="E3466" s="69">
        <v>9</v>
      </c>
      <c r="F3466" s="89">
        <v>0</v>
      </c>
      <c r="G3466" s="89">
        <v>0</v>
      </c>
      <c r="H3466" s="69">
        <v>9</v>
      </c>
      <c r="I3466" s="89">
        <v>0</v>
      </c>
      <c r="J3466" s="710">
        <f>(VLOOKUP($C3466,[2]Sheet1!$A$2:$P$18,$M3466+1)/12)*12*D3466</f>
        <v>0</v>
      </c>
      <c r="K3466" s="711"/>
      <c r="M3466" s="62">
        <f t="shared" si="274"/>
        <v>3</v>
      </c>
    </row>
    <row r="3467" spans="1:13">
      <c r="A3467" s="88">
        <f t="shared" si="273"/>
        <v>122</v>
      </c>
      <c r="B3467" s="69" t="s">
        <v>2004</v>
      </c>
      <c r="C3467" s="69">
        <v>8</v>
      </c>
      <c r="D3467" s="89">
        <v>0</v>
      </c>
      <c r="E3467" s="69">
        <v>8</v>
      </c>
      <c r="F3467" s="89">
        <v>0</v>
      </c>
      <c r="G3467" s="89">
        <v>0</v>
      </c>
      <c r="H3467" s="69">
        <v>8</v>
      </c>
      <c r="I3467" s="89">
        <v>0</v>
      </c>
      <c r="J3467" s="710">
        <f>(VLOOKUP($C3467,[2]Sheet1!$A$2:$P$18,$M3467+1)/12)*12*D3467</f>
        <v>0</v>
      </c>
      <c r="K3467" s="711"/>
      <c r="M3467" s="62">
        <f t="shared" si="274"/>
        <v>3</v>
      </c>
    </row>
    <row r="3468" spans="1:13">
      <c r="A3468" s="88">
        <f t="shared" si="273"/>
        <v>123</v>
      </c>
      <c r="B3468" s="69" t="s">
        <v>2005</v>
      </c>
      <c r="C3468" s="69">
        <v>7</v>
      </c>
      <c r="D3468" s="89">
        <v>0</v>
      </c>
      <c r="E3468" s="69">
        <v>7</v>
      </c>
      <c r="F3468" s="89">
        <v>0</v>
      </c>
      <c r="G3468" s="89">
        <v>0</v>
      </c>
      <c r="H3468" s="69">
        <v>7</v>
      </c>
      <c r="I3468" s="89">
        <v>0</v>
      </c>
      <c r="J3468" s="710">
        <f>(VLOOKUP($C3468,[2]Sheet1!$A$2:$P$18,$M3468+1)/12)*12*D3468</f>
        <v>0</v>
      </c>
      <c r="K3468" s="711"/>
      <c r="M3468" s="62">
        <f t="shared" si="274"/>
        <v>3</v>
      </c>
    </row>
    <row r="3469" spans="1:13">
      <c r="A3469" s="88">
        <f t="shared" si="273"/>
        <v>124</v>
      </c>
      <c r="B3469" s="69" t="s">
        <v>318</v>
      </c>
      <c r="C3469" s="69">
        <v>6</v>
      </c>
      <c r="D3469" s="89">
        <v>2</v>
      </c>
      <c r="E3469" s="69">
        <v>6</v>
      </c>
      <c r="F3469" s="89">
        <v>2</v>
      </c>
      <c r="G3469" s="89">
        <v>2</v>
      </c>
      <c r="H3469" s="69">
        <v>6</v>
      </c>
      <c r="I3469" s="89">
        <v>2</v>
      </c>
      <c r="J3469" s="710">
        <f>(VLOOKUP($C3469,[2]Sheet1!$A$2:$P$18,$M3469+1)/12)*12*D3469</f>
        <v>476198.75786072994</v>
      </c>
      <c r="K3469" s="711"/>
      <c r="M3469" s="62">
        <f t="shared" si="274"/>
        <v>5</v>
      </c>
    </row>
    <row r="3470" spans="1:13">
      <c r="A3470" s="88">
        <f t="shared" si="273"/>
        <v>125</v>
      </c>
      <c r="B3470" s="69" t="s">
        <v>1541</v>
      </c>
      <c r="C3470" s="69">
        <v>5</v>
      </c>
      <c r="D3470" s="89">
        <v>0</v>
      </c>
      <c r="E3470" s="69">
        <v>5</v>
      </c>
      <c r="F3470" s="89">
        <v>0</v>
      </c>
      <c r="G3470" s="89">
        <v>0</v>
      </c>
      <c r="H3470" s="69">
        <v>5</v>
      </c>
      <c r="I3470" s="89">
        <v>0</v>
      </c>
      <c r="J3470" s="710">
        <f>(VLOOKUP($C3470,[2]Sheet1!$A$2:$P$18,$M3470+1)/12)*12*D3470</f>
        <v>0</v>
      </c>
      <c r="K3470" s="711"/>
      <c r="M3470" s="62">
        <f t="shared" si="274"/>
        <v>5</v>
      </c>
    </row>
    <row r="3471" spans="1:13">
      <c r="A3471" s="88">
        <f t="shared" si="273"/>
        <v>126</v>
      </c>
      <c r="B3471" s="69" t="s">
        <v>317</v>
      </c>
      <c r="C3471" s="69">
        <v>5</v>
      </c>
      <c r="D3471" s="89">
        <v>1</v>
      </c>
      <c r="E3471" s="69">
        <v>5</v>
      </c>
      <c r="F3471" s="89">
        <v>1</v>
      </c>
      <c r="G3471" s="89">
        <v>1</v>
      </c>
      <c r="H3471" s="69">
        <v>5</v>
      </c>
      <c r="I3471" s="89">
        <v>1</v>
      </c>
      <c r="J3471" s="710">
        <f>(VLOOKUP($C3471,[2]Sheet1!$A$2:$P$18,$M3471+1)/12)*12*D3471</f>
        <v>229569.77893036499</v>
      </c>
      <c r="K3471" s="711"/>
      <c r="M3471" s="62">
        <f t="shared" si="274"/>
        <v>5</v>
      </c>
    </row>
    <row r="3472" spans="1:13">
      <c r="A3472" s="88">
        <f t="shared" si="273"/>
        <v>127</v>
      </c>
      <c r="B3472" s="69" t="s">
        <v>1538</v>
      </c>
      <c r="C3472" s="69">
        <v>4</v>
      </c>
      <c r="D3472" s="89">
        <v>1</v>
      </c>
      <c r="E3472" s="69">
        <v>4</v>
      </c>
      <c r="F3472" s="89">
        <v>1</v>
      </c>
      <c r="G3472" s="89">
        <v>1</v>
      </c>
      <c r="H3472" s="69">
        <v>4</v>
      </c>
      <c r="I3472" s="89">
        <v>1</v>
      </c>
      <c r="J3472" s="710">
        <f>(VLOOKUP($C3472,[2]Sheet1!$A$2:$P$18,$M3472+1)/12)*12*D3472</f>
        <v>224542.978930365</v>
      </c>
      <c r="K3472" s="711"/>
      <c r="M3472" s="62">
        <f t="shared" si="274"/>
        <v>5</v>
      </c>
    </row>
    <row r="3473" spans="1:13">
      <c r="A3473" s="88">
        <f t="shared" ref="A3473:A3521" si="275">+A3472+1</f>
        <v>128</v>
      </c>
      <c r="B3473" s="69" t="s">
        <v>3437</v>
      </c>
      <c r="C3473" s="69">
        <v>4</v>
      </c>
      <c r="D3473" s="89">
        <v>1</v>
      </c>
      <c r="E3473" s="69">
        <v>4</v>
      </c>
      <c r="F3473" s="89">
        <v>1</v>
      </c>
      <c r="G3473" s="89">
        <v>1</v>
      </c>
      <c r="H3473" s="69">
        <v>4</v>
      </c>
      <c r="I3473" s="89">
        <v>1</v>
      </c>
      <c r="J3473" s="710">
        <f>(VLOOKUP($C3473,[2]Sheet1!$A$2:$P$18,$M3473+1)/12)*12*D3473</f>
        <v>224542.978930365</v>
      </c>
      <c r="K3473" s="711"/>
      <c r="M3473" s="62">
        <f t="shared" si="274"/>
        <v>5</v>
      </c>
    </row>
    <row r="3474" spans="1:13">
      <c r="A3474" s="88">
        <f t="shared" si="275"/>
        <v>129</v>
      </c>
      <c r="B3474" s="69" t="s">
        <v>3438</v>
      </c>
      <c r="C3474" s="69">
        <v>4</v>
      </c>
      <c r="D3474" s="89">
        <v>1</v>
      </c>
      <c r="E3474" s="69">
        <v>4</v>
      </c>
      <c r="F3474" s="89">
        <v>1</v>
      </c>
      <c r="G3474" s="89">
        <v>1</v>
      </c>
      <c r="H3474" s="69">
        <v>4</v>
      </c>
      <c r="I3474" s="89">
        <v>1</v>
      </c>
      <c r="J3474" s="710">
        <f>(VLOOKUP($C3474,[2]Sheet1!$A$2:$P$18,$M3474+1)/12)*12*D3474</f>
        <v>224542.978930365</v>
      </c>
      <c r="K3474" s="711"/>
      <c r="M3474" s="62">
        <f t="shared" si="274"/>
        <v>5</v>
      </c>
    </row>
    <row r="3475" spans="1:13">
      <c r="A3475" s="88">
        <f t="shared" si="275"/>
        <v>130</v>
      </c>
      <c r="B3475" s="69" t="s">
        <v>3439</v>
      </c>
      <c r="C3475" s="69">
        <v>4</v>
      </c>
      <c r="D3475" s="89">
        <v>0</v>
      </c>
      <c r="E3475" s="69">
        <v>4</v>
      </c>
      <c r="F3475" s="89">
        <v>0</v>
      </c>
      <c r="G3475" s="89">
        <v>0</v>
      </c>
      <c r="H3475" s="69">
        <v>4</v>
      </c>
      <c r="I3475" s="89">
        <v>0</v>
      </c>
      <c r="J3475" s="710">
        <f>(VLOOKUP($C3475,[2]Sheet1!$A$2:$P$18,$M3475+1)/12)*12*D3475</f>
        <v>0</v>
      </c>
      <c r="K3475" s="711"/>
      <c r="M3475" s="62">
        <f t="shared" si="274"/>
        <v>5</v>
      </c>
    </row>
    <row r="3476" spans="1:13">
      <c r="A3476" s="88">
        <f t="shared" si="275"/>
        <v>131</v>
      </c>
      <c r="B3476" s="69" t="s">
        <v>2139</v>
      </c>
      <c r="C3476" s="69">
        <v>3</v>
      </c>
      <c r="D3476" s="89">
        <v>0</v>
      </c>
      <c r="E3476" s="69">
        <v>3</v>
      </c>
      <c r="F3476" s="89">
        <v>0</v>
      </c>
      <c r="G3476" s="89">
        <v>0</v>
      </c>
      <c r="H3476" s="69">
        <v>3</v>
      </c>
      <c r="I3476" s="89">
        <v>0</v>
      </c>
      <c r="J3476" s="710">
        <f>(VLOOKUP($C3476,[2]Sheet1!$A$2:$P$18,$M3476+1)/12)*12*D3476</f>
        <v>0</v>
      </c>
      <c r="K3476" s="711"/>
      <c r="M3476" s="62">
        <f t="shared" si="274"/>
        <v>5</v>
      </c>
    </row>
    <row r="3477" spans="1:13">
      <c r="A3477" s="88">
        <f t="shared" si="275"/>
        <v>132</v>
      </c>
      <c r="B3477" s="69" t="s">
        <v>1984</v>
      </c>
      <c r="C3477" s="69">
        <v>4</v>
      </c>
      <c r="D3477" s="89">
        <v>0</v>
      </c>
      <c r="E3477" s="69">
        <v>4</v>
      </c>
      <c r="F3477" s="89">
        <v>0</v>
      </c>
      <c r="G3477" s="89">
        <v>0</v>
      </c>
      <c r="H3477" s="69">
        <v>4</v>
      </c>
      <c r="I3477" s="89">
        <v>0</v>
      </c>
      <c r="J3477" s="710">
        <f>(VLOOKUP($C3477,[2]Sheet1!$A$2:$P$18,$M3477+1)/12)*12*D3477</f>
        <v>0</v>
      </c>
      <c r="K3477" s="711"/>
      <c r="M3477" s="62">
        <f t="shared" si="274"/>
        <v>5</v>
      </c>
    </row>
    <row r="3478" spans="1:13">
      <c r="A3478" s="88">
        <f t="shared" si="275"/>
        <v>133</v>
      </c>
      <c r="B3478" s="69" t="s">
        <v>1356</v>
      </c>
      <c r="C3478" s="69">
        <v>5</v>
      </c>
      <c r="D3478" s="89">
        <v>0</v>
      </c>
      <c r="E3478" s="69">
        <v>5</v>
      </c>
      <c r="F3478" s="89">
        <v>0</v>
      </c>
      <c r="G3478" s="89">
        <v>0</v>
      </c>
      <c r="H3478" s="69">
        <v>5</v>
      </c>
      <c r="I3478" s="89">
        <v>0</v>
      </c>
      <c r="J3478" s="710">
        <f>(VLOOKUP($C3478,[2]Sheet1!$A$2:$P$18,$M3478+1)/12)*12*D3478</f>
        <v>0</v>
      </c>
      <c r="K3478" s="711"/>
      <c r="M3478" s="62">
        <f t="shared" si="274"/>
        <v>5</v>
      </c>
    </row>
    <row r="3479" spans="1:13">
      <c r="A3479" s="88">
        <f t="shared" si="275"/>
        <v>134</v>
      </c>
      <c r="B3479" s="69" t="s">
        <v>1985</v>
      </c>
      <c r="C3479" s="69">
        <v>4</v>
      </c>
      <c r="D3479" s="89">
        <v>0</v>
      </c>
      <c r="E3479" s="69">
        <v>4</v>
      </c>
      <c r="F3479" s="89">
        <v>0</v>
      </c>
      <c r="G3479" s="89">
        <v>0</v>
      </c>
      <c r="H3479" s="69">
        <v>25</v>
      </c>
      <c r="I3479" s="89">
        <v>0</v>
      </c>
      <c r="J3479" s="710">
        <f>(VLOOKUP($C3479,[2]Sheet1!$A$2:$P$18,$M3479+1)/12)*12*D3479</f>
        <v>0</v>
      </c>
      <c r="K3479" s="711"/>
      <c r="M3479" s="62">
        <f t="shared" si="274"/>
        <v>5</v>
      </c>
    </row>
    <row r="3480" spans="1:13">
      <c r="A3480" s="88">
        <f t="shared" si="275"/>
        <v>135</v>
      </c>
      <c r="B3480" s="69" t="s">
        <v>1986</v>
      </c>
      <c r="C3480" s="69">
        <v>5</v>
      </c>
      <c r="D3480" s="89">
        <v>2</v>
      </c>
      <c r="E3480" s="69">
        <v>5</v>
      </c>
      <c r="F3480" s="89">
        <v>2</v>
      </c>
      <c r="G3480" s="89">
        <v>2</v>
      </c>
      <c r="H3480" s="69">
        <v>5</v>
      </c>
      <c r="I3480" s="89">
        <v>2</v>
      </c>
      <c r="J3480" s="710">
        <f>(VLOOKUP($C3480,[2]Sheet1!$A$2:$P$18,$M3480+1)/12)*12*D3480</f>
        <v>459139.55786072998</v>
      </c>
      <c r="K3480" s="711"/>
      <c r="M3480" s="62">
        <f t="shared" si="274"/>
        <v>5</v>
      </c>
    </row>
    <row r="3481" spans="1:13">
      <c r="A3481" s="88">
        <f t="shared" si="275"/>
        <v>136</v>
      </c>
      <c r="B3481" s="69" t="s">
        <v>2365</v>
      </c>
      <c r="C3481" s="69">
        <v>4</v>
      </c>
      <c r="D3481" s="89">
        <v>10</v>
      </c>
      <c r="E3481" s="69">
        <v>4</v>
      </c>
      <c r="F3481" s="89">
        <v>10</v>
      </c>
      <c r="G3481" s="89">
        <v>10</v>
      </c>
      <c r="H3481" s="69">
        <v>20</v>
      </c>
      <c r="I3481" s="89">
        <v>10</v>
      </c>
      <c r="J3481" s="710">
        <f>(VLOOKUP($C3481,[2]Sheet1!$A$2:$P$18,$M3481+1)/12)*12*D3481</f>
        <v>2245429.7893036501</v>
      </c>
      <c r="K3481" s="711"/>
      <c r="M3481" s="62">
        <f t="shared" si="274"/>
        <v>5</v>
      </c>
    </row>
    <row r="3482" spans="1:13">
      <c r="A3482" s="88">
        <f t="shared" si="275"/>
        <v>137</v>
      </c>
      <c r="B3482" s="69" t="s">
        <v>2366</v>
      </c>
      <c r="C3482" s="69">
        <v>3</v>
      </c>
      <c r="D3482" s="89">
        <v>1</v>
      </c>
      <c r="E3482" s="69">
        <v>3</v>
      </c>
      <c r="F3482" s="89">
        <v>1</v>
      </c>
      <c r="G3482" s="89">
        <v>1</v>
      </c>
      <c r="H3482" s="69">
        <v>3</v>
      </c>
      <c r="I3482" s="89">
        <v>1</v>
      </c>
      <c r="J3482" s="710">
        <f>(VLOOKUP($C3482,[2]Sheet1!$A$2:$P$18,$M3482+1)/12)*12*D3482</f>
        <v>219336.17893036499</v>
      </c>
      <c r="K3482" s="711"/>
      <c r="M3482" s="62">
        <f t="shared" si="274"/>
        <v>5</v>
      </c>
    </row>
    <row r="3483" spans="1:13">
      <c r="A3483" s="88">
        <f t="shared" si="275"/>
        <v>138</v>
      </c>
      <c r="B3483" s="69" t="s">
        <v>1921</v>
      </c>
      <c r="C3483" s="69">
        <v>3</v>
      </c>
      <c r="D3483" s="89">
        <v>0</v>
      </c>
      <c r="E3483" s="69">
        <v>3</v>
      </c>
      <c r="F3483" s="89">
        <v>0</v>
      </c>
      <c r="G3483" s="89">
        <v>0</v>
      </c>
      <c r="H3483" s="69">
        <v>3</v>
      </c>
      <c r="I3483" s="89">
        <v>0</v>
      </c>
      <c r="J3483" s="710">
        <f>(VLOOKUP($C3483,[2]Sheet1!$A$2:$P$18,$M3483+1)/12)*12*D3483</f>
        <v>0</v>
      </c>
      <c r="K3483" s="711"/>
      <c r="M3483" s="62">
        <f t="shared" si="274"/>
        <v>5</v>
      </c>
    </row>
    <row r="3484" spans="1:13">
      <c r="A3484" s="88" t="s">
        <v>1840</v>
      </c>
      <c r="B3484" s="97" t="s">
        <v>1922</v>
      </c>
      <c r="C3484" s="69"/>
      <c r="D3484" s="89"/>
      <c r="E3484" s="89"/>
      <c r="F3484" s="89"/>
      <c r="G3484" s="89"/>
      <c r="H3484" s="89"/>
      <c r="I3484" s="89"/>
      <c r="J3484" s="710"/>
      <c r="K3484" s="711"/>
      <c r="M3484" s="62">
        <f t="shared" si="274"/>
        <v>5</v>
      </c>
    </row>
    <row r="3485" spans="1:13">
      <c r="A3485" s="88">
        <v>144</v>
      </c>
      <c r="B3485" s="69" t="s">
        <v>3532</v>
      </c>
      <c r="C3485" s="69">
        <v>16</v>
      </c>
      <c r="D3485" s="89">
        <v>1</v>
      </c>
      <c r="E3485" s="89">
        <v>1</v>
      </c>
      <c r="F3485" s="89">
        <v>1</v>
      </c>
      <c r="G3485" s="89">
        <v>1</v>
      </c>
      <c r="H3485" s="89">
        <v>1</v>
      </c>
      <c r="I3485" s="89">
        <v>1</v>
      </c>
      <c r="J3485" s="710">
        <f>(VLOOKUP($C3485,[2]Sheet1!$A$2:$P$18,$M3485+1)/12)*12*D3485</f>
        <v>677281.26084</v>
      </c>
      <c r="K3485" s="711"/>
      <c r="M3485" s="62">
        <f t="shared" si="274"/>
        <v>3</v>
      </c>
    </row>
    <row r="3486" spans="1:13">
      <c r="A3486" s="88">
        <f t="shared" si="275"/>
        <v>145</v>
      </c>
      <c r="B3486" s="69" t="s">
        <v>1256</v>
      </c>
      <c r="C3486" s="69">
        <v>15</v>
      </c>
      <c r="D3486" s="89">
        <v>2</v>
      </c>
      <c r="E3486" s="89">
        <v>2</v>
      </c>
      <c r="F3486" s="89">
        <v>2</v>
      </c>
      <c r="G3486" s="89">
        <v>2</v>
      </c>
      <c r="H3486" s="89">
        <v>2</v>
      </c>
      <c r="I3486" s="89">
        <v>2</v>
      </c>
      <c r="J3486" s="710">
        <f>(VLOOKUP($C3486,[2]Sheet1!$A$2:$P$18,$M3486+1)/12)*12*D3486</f>
        <v>1316663.79984</v>
      </c>
      <c r="K3486" s="711"/>
      <c r="M3486" s="62">
        <f t="shared" si="274"/>
        <v>3</v>
      </c>
    </row>
    <row r="3487" spans="1:13">
      <c r="A3487" s="88">
        <f t="shared" si="275"/>
        <v>146</v>
      </c>
      <c r="B3487" s="69" t="s">
        <v>1923</v>
      </c>
      <c r="C3487" s="69">
        <v>14</v>
      </c>
      <c r="D3487" s="89">
        <v>2</v>
      </c>
      <c r="E3487" s="89">
        <v>3</v>
      </c>
      <c r="F3487" s="89">
        <v>2</v>
      </c>
      <c r="G3487" s="89">
        <v>2</v>
      </c>
      <c r="H3487" s="89">
        <v>25</v>
      </c>
      <c r="I3487" s="89">
        <v>2</v>
      </c>
      <c r="J3487" s="710">
        <f>(VLOOKUP($C3487,[2]Sheet1!$A$2:$P$18,$M3487+1)/12)*12*D3487</f>
        <v>1338198.81648</v>
      </c>
      <c r="K3487" s="711"/>
      <c r="M3487" s="62">
        <f t="shared" si="274"/>
        <v>3</v>
      </c>
    </row>
    <row r="3488" spans="1:13" ht="13.5" thickBot="1">
      <c r="A3488" s="88">
        <f t="shared" si="275"/>
        <v>147</v>
      </c>
      <c r="B3488" s="69" t="s">
        <v>3460</v>
      </c>
      <c r="C3488" s="69">
        <v>13</v>
      </c>
      <c r="D3488" s="89">
        <v>1</v>
      </c>
      <c r="E3488" s="89">
        <v>3</v>
      </c>
      <c r="F3488" s="89">
        <v>1</v>
      </c>
      <c r="G3488" s="89">
        <v>1</v>
      </c>
      <c r="H3488" s="89">
        <v>20</v>
      </c>
      <c r="I3488" s="89">
        <v>1</v>
      </c>
      <c r="J3488" s="710">
        <f>(VLOOKUP($C3488,[2]Sheet1!$A$2:$P$18,$M3488+1)/12)*12*D3488</f>
        <v>628759.53804000001</v>
      </c>
      <c r="K3488" s="711"/>
      <c r="M3488" s="62">
        <f t="shared" si="274"/>
        <v>3</v>
      </c>
    </row>
    <row r="3489" spans="1:13" ht="15.75" thickTop="1">
      <c r="A3489" s="1047" t="s">
        <v>2791</v>
      </c>
      <c r="B3489" s="1049" t="s">
        <v>4126</v>
      </c>
      <c r="C3489" s="1049" t="s">
        <v>854</v>
      </c>
      <c r="D3489" s="1040" t="s">
        <v>4127</v>
      </c>
      <c r="E3489" s="1041"/>
      <c r="F3489" s="1041"/>
      <c r="G3489" s="1040" t="s">
        <v>904</v>
      </c>
      <c r="H3489" s="1041"/>
      <c r="I3489" s="1042"/>
      <c r="J3489" s="1035" t="s">
        <v>855</v>
      </c>
      <c r="K3489" s="389"/>
    </row>
    <row r="3490" spans="1:13" ht="26.25" thickBot="1">
      <c r="A3490" s="1048"/>
      <c r="B3490" s="1050"/>
      <c r="C3490" s="1050"/>
      <c r="D3490" s="285" t="s">
        <v>5505</v>
      </c>
      <c r="E3490" s="285" t="s">
        <v>4485</v>
      </c>
      <c r="F3490" s="285" t="s">
        <v>4486</v>
      </c>
      <c r="G3490" s="287" t="s">
        <v>4487</v>
      </c>
      <c r="H3490" s="285" t="s">
        <v>4488</v>
      </c>
      <c r="I3490" s="287" t="s">
        <v>4489</v>
      </c>
      <c r="J3490" s="1036"/>
      <c r="K3490" s="712"/>
    </row>
    <row r="3491" spans="1:13" ht="13.5" thickTop="1">
      <c r="A3491" s="88" t="s">
        <v>1840</v>
      </c>
      <c r="B3491" s="97" t="s">
        <v>488</v>
      </c>
      <c r="C3491" s="69"/>
      <c r="D3491" s="89"/>
      <c r="E3491" s="89"/>
      <c r="F3491" s="89"/>
      <c r="G3491" s="89"/>
      <c r="H3491" s="89"/>
      <c r="I3491" s="89"/>
      <c r="J3491" s="710"/>
      <c r="K3491" s="711"/>
      <c r="M3491" s="62">
        <f t="shared" si="274"/>
        <v>5</v>
      </c>
    </row>
    <row r="3492" spans="1:13">
      <c r="A3492" s="88">
        <v>148</v>
      </c>
      <c r="B3492" s="69" t="s">
        <v>3532</v>
      </c>
      <c r="C3492" s="69">
        <v>16</v>
      </c>
      <c r="D3492" s="89">
        <v>1</v>
      </c>
      <c r="E3492" s="89">
        <v>1</v>
      </c>
      <c r="F3492" s="89">
        <v>1</v>
      </c>
      <c r="G3492" s="89">
        <v>1</v>
      </c>
      <c r="H3492" s="89">
        <v>1</v>
      </c>
      <c r="I3492" s="89">
        <v>1</v>
      </c>
      <c r="J3492" s="710">
        <f>(VLOOKUP($C3492,[2]Sheet1!$A$2:$P$18,$M3492+1)/12)*12*D3492</f>
        <v>677281.26084</v>
      </c>
      <c r="K3492" s="711"/>
      <c r="M3492" s="62">
        <f t="shared" si="274"/>
        <v>3</v>
      </c>
    </row>
    <row r="3493" spans="1:13">
      <c r="A3493" s="88">
        <f t="shared" si="275"/>
        <v>149</v>
      </c>
      <c r="B3493" s="69" t="s">
        <v>1256</v>
      </c>
      <c r="C3493" s="69">
        <v>15</v>
      </c>
      <c r="D3493" s="89">
        <v>1</v>
      </c>
      <c r="E3493" s="89">
        <v>2</v>
      </c>
      <c r="F3493" s="89">
        <v>1</v>
      </c>
      <c r="G3493" s="89">
        <v>1</v>
      </c>
      <c r="H3493" s="89">
        <v>2</v>
      </c>
      <c r="I3493" s="89">
        <v>1</v>
      </c>
      <c r="J3493" s="710">
        <f>(VLOOKUP($C3493,[2]Sheet1!$A$2:$P$18,$M3493+1)/12)*12*D3493</f>
        <v>658331.89992</v>
      </c>
      <c r="K3493" s="711"/>
      <c r="M3493" s="62">
        <f t="shared" si="274"/>
        <v>3</v>
      </c>
    </row>
    <row r="3494" spans="1:13">
      <c r="A3494" s="88">
        <f>+A3493+1</f>
        <v>150</v>
      </c>
      <c r="B3494" s="69" t="s">
        <v>3533</v>
      </c>
      <c r="C3494" s="69">
        <v>14</v>
      </c>
      <c r="D3494" s="89">
        <v>1</v>
      </c>
      <c r="E3494" s="89">
        <v>2</v>
      </c>
      <c r="F3494" s="89">
        <v>1</v>
      </c>
      <c r="G3494" s="89">
        <v>1</v>
      </c>
      <c r="H3494" s="89">
        <v>2</v>
      </c>
      <c r="I3494" s="89">
        <v>1</v>
      </c>
      <c r="J3494" s="710">
        <f>(VLOOKUP($C3494,[2]Sheet1!$A$2:$P$18,$M3494+1)/12)*12*D3494</f>
        <v>669099.40824000002</v>
      </c>
      <c r="K3494" s="711"/>
      <c r="M3494" s="62">
        <f t="shared" si="274"/>
        <v>3</v>
      </c>
    </row>
    <row r="3495" spans="1:13">
      <c r="A3495" s="88">
        <f t="shared" si="275"/>
        <v>151</v>
      </c>
      <c r="B3495" s="69" t="s">
        <v>1923</v>
      </c>
      <c r="C3495" s="69">
        <v>13</v>
      </c>
      <c r="D3495" s="89">
        <v>1</v>
      </c>
      <c r="E3495" s="89">
        <v>2</v>
      </c>
      <c r="F3495" s="89">
        <v>1</v>
      </c>
      <c r="G3495" s="89">
        <v>1</v>
      </c>
      <c r="H3495" s="89">
        <v>2</v>
      </c>
      <c r="I3495" s="89">
        <v>1</v>
      </c>
      <c r="J3495" s="710">
        <f>(VLOOKUP($C3495,[2]Sheet1!$A$2:$P$18,$M3495+1)/12)*12*D3495</f>
        <v>628759.53804000001</v>
      </c>
      <c r="K3495" s="711"/>
      <c r="M3495" s="62">
        <f t="shared" si="274"/>
        <v>3</v>
      </c>
    </row>
    <row r="3496" spans="1:13">
      <c r="A3496" s="88">
        <f>+A3495+1</f>
        <v>152</v>
      </c>
      <c r="B3496" s="69" t="s">
        <v>68</v>
      </c>
      <c r="C3496" s="69">
        <v>12</v>
      </c>
      <c r="D3496" s="89">
        <v>1</v>
      </c>
      <c r="E3496" s="89">
        <v>2</v>
      </c>
      <c r="F3496" s="89">
        <v>1</v>
      </c>
      <c r="G3496" s="89">
        <v>1</v>
      </c>
      <c r="H3496" s="89">
        <v>2</v>
      </c>
      <c r="I3496" s="89">
        <v>1</v>
      </c>
      <c r="J3496" s="710">
        <f>(VLOOKUP($C3496,[2]Sheet1!$A$2:$P$18,$M3496+1)/12)*12*D3496</f>
        <v>552685.0537200002</v>
      </c>
      <c r="K3496" s="711"/>
      <c r="M3496" s="62">
        <f t="shared" si="274"/>
        <v>3</v>
      </c>
    </row>
    <row r="3497" spans="1:13">
      <c r="A3497" s="88">
        <f t="shared" si="275"/>
        <v>153</v>
      </c>
      <c r="B3497" s="69" t="s">
        <v>3459</v>
      </c>
      <c r="C3497" s="69">
        <v>12</v>
      </c>
      <c r="D3497" s="89">
        <v>1</v>
      </c>
      <c r="E3497" s="89">
        <v>2</v>
      </c>
      <c r="F3497" s="89">
        <v>1</v>
      </c>
      <c r="G3497" s="89">
        <v>1</v>
      </c>
      <c r="H3497" s="89">
        <v>2</v>
      </c>
      <c r="I3497" s="89">
        <v>1</v>
      </c>
      <c r="J3497" s="710">
        <f>(VLOOKUP($C3497,[2]Sheet1!$A$2:$P$18,$M3497+1)/12)*12*D3497</f>
        <v>552685.0537200002</v>
      </c>
      <c r="K3497" s="711"/>
      <c r="M3497" s="62">
        <f t="shared" si="274"/>
        <v>3</v>
      </c>
    </row>
    <row r="3498" spans="1:13">
      <c r="A3498" s="88">
        <f t="shared" si="275"/>
        <v>154</v>
      </c>
      <c r="B3498" s="69" t="s">
        <v>1725</v>
      </c>
      <c r="C3498" s="69">
        <v>10</v>
      </c>
      <c r="D3498" s="89">
        <v>1</v>
      </c>
      <c r="E3498" s="89">
        <v>2</v>
      </c>
      <c r="F3498" s="89">
        <v>1</v>
      </c>
      <c r="G3498" s="89">
        <v>1</v>
      </c>
      <c r="H3498" s="89">
        <v>5</v>
      </c>
      <c r="I3498" s="89">
        <v>1</v>
      </c>
      <c r="J3498" s="710">
        <f>(VLOOKUP($C3498,[2]Sheet1!$A$2:$P$18,$M3498+1)/12)*12*D3498</f>
        <v>483974.5687200001</v>
      </c>
      <c r="K3498" s="711"/>
      <c r="M3498" s="62">
        <f t="shared" si="274"/>
        <v>3</v>
      </c>
    </row>
    <row r="3499" spans="1:13">
      <c r="A3499" s="88">
        <f t="shared" si="275"/>
        <v>155</v>
      </c>
      <c r="B3499" s="69" t="s">
        <v>1726</v>
      </c>
      <c r="C3499" s="69">
        <v>9</v>
      </c>
      <c r="D3499" s="89">
        <v>1</v>
      </c>
      <c r="E3499" s="89">
        <v>1</v>
      </c>
      <c r="F3499" s="89">
        <v>1</v>
      </c>
      <c r="G3499" s="89">
        <v>1</v>
      </c>
      <c r="H3499" s="89">
        <v>5</v>
      </c>
      <c r="I3499" s="89">
        <v>1</v>
      </c>
      <c r="J3499" s="710">
        <f>(VLOOKUP($C3499,[2]Sheet1!$A$2:$P$18,$M3499+1)/12)*12*D3499</f>
        <v>409681.90619999997</v>
      </c>
      <c r="K3499" s="711"/>
      <c r="M3499" s="62">
        <f t="shared" si="274"/>
        <v>3</v>
      </c>
    </row>
    <row r="3500" spans="1:13">
      <c r="A3500" s="88">
        <f t="shared" si="275"/>
        <v>156</v>
      </c>
      <c r="B3500" s="69" t="s">
        <v>1727</v>
      </c>
      <c r="C3500" s="69">
        <v>8</v>
      </c>
      <c r="D3500" s="89">
        <v>1</v>
      </c>
      <c r="E3500" s="89">
        <v>3</v>
      </c>
      <c r="F3500" s="89">
        <v>1</v>
      </c>
      <c r="G3500" s="89">
        <v>1</v>
      </c>
      <c r="H3500" s="89">
        <v>6</v>
      </c>
      <c r="I3500" s="89">
        <v>1</v>
      </c>
      <c r="J3500" s="710">
        <f>(VLOOKUP($C3500,[2]Sheet1!$A$2:$P$18,$M3500+1)/12)*12*D3500</f>
        <v>342141.27408</v>
      </c>
      <c r="K3500" s="711"/>
      <c r="M3500" s="62">
        <f t="shared" si="274"/>
        <v>3</v>
      </c>
    </row>
    <row r="3501" spans="1:13">
      <c r="A3501" s="88">
        <f t="shared" si="275"/>
        <v>157</v>
      </c>
      <c r="B3501" s="69" t="s">
        <v>3011</v>
      </c>
      <c r="C3501" s="69">
        <v>7</v>
      </c>
      <c r="D3501" s="89">
        <v>1</v>
      </c>
      <c r="E3501" s="89">
        <v>1</v>
      </c>
      <c r="F3501" s="89">
        <v>1</v>
      </c>
      <c r="G3501" s="89">
        <v>1</v>
      </c>
      <c r="H3501" s="89">
        <v>5</v>
      </c>
      <c r="I3501" s="89">
        <v>1</v>
      </c>
      <c r="J3501" s="710">
        <f>(VLOOKUP($C3501,[2]Sheet1!$A$2:$P$18,$M3501+1)/12)*12*D3501</f>
        <v>307706.70240000007</v>
      </c>
      <c r="K3501" s="711"/>
      <c r="M3501" s="62">
        <f t="shared" si="274"/>
        <v>3</v>
      </c>
    </row>
    <row r="3502" spans="1:13">
      <c r="A3502" s="88">
        <f t="shared" si="275"/>
        <v>158</v>
      </c>
      <c r="B3502" s="69" t="s">
        <v>3012</v>
      </c>
      <c r="C3502" s="69">
        <v>6</v>
      </c>
      <c r="D3502" s="89">
        <v>1</v>
      </c>
      <c r="E3502" s="89">
        <v>1</v>
      </c>
      <c r="F3502" s="89">
        <v>1</v>
      </c>
      <c r="G3502" s="89">
        <v>1</v>
      </c>
      <c r="H3502" s="89">
        <v>6</v>
      </c>
      <c r="I3502" s="89">
        <v>1</v>
      </c>
      <c r="J3502" s="710">
        <f>(VLOOKUP($C3502,[2]Sheet1!$A$2:$P$18,$M3502+1)/12)*12*D3502</f>
        <v>238099.37893036497</v>
      </c>
      <c r="K3502" s="711"/>
      <c r="M3502" s="62">
        <f t="shared" si="274"/>
        <v>5</v>
      </c>
    </row>
    <row r="3503" spans="1:13">
      <c r="A3503" s="88">
        <f t="shared" si="275"/>
        <v>159</v>
      </c>
      <c r="B3503" s="69" t="s">
        <v>656</v>
      </c>
      <c r="C3503" s="69">
        <v>5</v>
      </c>
      <c r="D3503" s="89">
        <v>1</v>
      </c>
      <c r="E3503" s="89">
        <v>1</v>
      </c>
      <c r="F3503" s="89">
        <v>1</v>
      </c>
      <c r="G3503" s="89">
        <v>1</v>
      </c>
      <c r="H3503" s="89">
        <v>6</v>
      </c>
      <c r="I3503" s="89">
        <v>1</v>
      </c>
      <c r="J3503" s="710">
        <f>(VLOOKUP($C3503,[2]Sheet1!$A$2:$P$18,$M3503+1)/12)*12*D3503</f>
        <v>229569.77893036499</v>
      </c>
      <c r="K3503" s="711"/>
      <c r="M3503" s="62">
        <f t="shared" si="274"/>
        <v>5</v>
      </c>
    </row>
    <row r="3504" spans="1:13">
      <c r="A3504" s="88">
        <f t="shared" si="275"/>
        <v>160</v>
      </c>
      <c r="B3504" s="69" t="s">
        <v>657</v>
      </c>
      <c r="C3504" s="69">
        <v>4</v>
      </c>
      <c r="D3504" s="89">
        <v>1</v>
      </c>
      <c r="E3504" s="89">
        <v>1</v>
      </c>
      <c r="F3504" s="89">
        <v>1</v>
      </c>
      <c r="G3504" s="89">
        <v>1</v>
      </c>
      <c r="H3504" s="89">
        <v>5</v>
      </c>
      <c r="I3504" s="89">
        <v>1</v>
      </c>
      <c r="J3504" s="710">
        <f>(VLOOKUP($C3504,[2]Sheet1!$A$2:$P$18,$M3504+1)/12)*12*D3504</f>
        <v>224542.978930365</v>
      </c>
      <c r="K3504" s="711"/>
      <c r="M3504" s="62">
        <f t="shared" si="274"/>
        <v>5</v>
      </c>
    </row>
    <row r="3505" spans="1:13">
      <c r="A3505" s="88">
        <f t="shared" si="275"/>
        <v>161</v>
      </c>
      <c r="B3505" s="69" t="s">
        <v>905</v>
      </c>
      <c r="C3505" s="69">
        <v>3</v>
      </c>
      <c r="D3505" s="89">
        <v>1</v>
      </c>
      <c r="E3505" s="89">
        <v>1</v>
      </c>
      <c r="F3505" s="89">
        <v>1</v>
      </c>
      <c r="G3505" s="89">
        <v>1</v>
      </c>
      <c r="H3505" s="89">
        <v>5</v>
      </c>
      <c r="I3505" s="89">
        <v>1</v>
      </c>
      <c r="J3505" s="710">
        <f>(VLOOKUP($C3505,[2]Sheet1!$A$2:$P$18,$M3505+1)/12)*12*D3505</f>
        <v>219336.17893036499</v>
      </c>
      <c r="K3505" s="711"/>
      <c r="M3505" s="62">
        <f t="shared" si="274"/>
        <v>5</v>
      </c>
    </row>
    <row r="3506" spans="1:13">
      <c r="A3506" s="88">
        <f t="shared" si="275"/>
        <v>162</v>
      </c>
      <c r="B3506" s="69" t="s">
        <v>906</v>
      </c>
      <c r="C3506" s="69">
        <v>3</v>
      </c>
      <c r="D3506" s="89">
        <v>1</v>
      </c>
      <c r="E3506" s="89">
        <v>1</v>
      </c>
      <c r="F3506" s="89">
        <v>1</v>
      </c>
      <c r="G3506" s="89">
        <v>1</v>
      </c>
      <c r="H3506" s="89">
        <v>60</v>
      </c>
      <c r="I3506" s="89">
        <v>1</v>
      </c>
      <c r="J3506" s="710">
        <f>(VLOOKUP($C3506,[2]Sheet1!$A$2:$P$18,$M3506+1)/12)*12*D3506</f>
        <v>219336.17893036499</v>
      </c>
      <c r="K3506" s="711"/>
      <c r="M3506" s="62">
        <f t="shared" si="274"/>
        <v>5</v>
      </c>
    </row>
    <row r="3507" spans="1:13">
      <c r="A3507" s="88">
        <f t="shared" si="275"/>
        <v>163</v>
      </c>
      <c r="B3507" s="69" t="s">
        <v>907</v>
      </c>
      <c r="C3507" s="69">
        <v>4</v>
      </c>
      <c r="D3507" s="89">
        <v>1</v>
      </c>
      <c r="E3507" s="89">
        <v>1</v>
      </c>
      <c r="F3507" s="89">
        <v>1</v>
      </c>
      <c r="G3507" s="89">
        <v>1</v>
      </c>
      <c r="H3507" s="89">
        <v>60</v>
      </c>
      <c r="I3507" s="89">
        <v>1</v>
      </c>
      <c r="J3507" s="710">
        <f>(VLOOKUP($C3507,[2]Sheet1!$A$2:$P$18,$M3507+1)/12)*12*D3507</f>
        <v>224542.978930365</v>
      </c>
      <c r="K3507" s="711"/>
      <c r="M3507" s="62">
        <f t="shared" si="274"/>
        <v>5</v>
      </c>
    </row>
    <row r="3508" spans="1:13">
      <c r="A3508" s="88"/>
      <c r="B3508" s="90" t="s">
        <v>662</v>
      </c>
      <c r="C3508" s="69"/>
      <c r="D3508" s="89"/>
      <c r="E3508" s="89"/>
      <c r="F3508" s="89"/>
      <c r="G3508" s="89"/>
      <c r="H3508" s="89"/>
      <c r="I3508" s="89"/>
      <c r="J3508" s="710"/>
      <c r="K3508" s="711"/>
      <c r="M3508" s="62">
        <f t="shared" ref="M3508:M3536" si="276">IF(C3508&gt;6,3,5)</f>
        <v>5</v>
      </c>
    </row>
    <row r="3509" spans="1:13">
      <c r="A3509" s="88">
        <f>+A3507+1</f>
        <v>164</v>
      </c>
      <c r="B3509" s="69" t="s">
        <v>3532</v>
      </c>
      <c r="C3509" s="69">
        <v>16</v>
      </c>
      <c r="D3509" s="89">
        <v>1</v>
      </c>
      <c r="E3509" s="89">
        <v>2</v>
      </c>
      <c r="F3509" s="89">
        <v>1</v>
      </c>
      <c r="G3509" s="89">
        <v>1</v>
      </c>
      <c r="H3509" s="89">
        <v>2</v>
      </c>
      <c r="I3509" s="89">
        <v>1</v>
      </c>
      <c r="J3509" s="710">
        <f>(VLOOKUP($C3509,[2]Sheet1!$A$2:$P$18,$M3509+1)/12)*12*D3509</f>
        <v>677281.26084</v>
      </c>
      <c r="K3509" s="711"/>
      <c r="M3509" s="62">
        <f t="shared" si="276"/>
        <v>3</v>
      </c>
    </row>
    <row r="3510" spans="1:13">
      <c r="A3510" s="88">
        <f>+A3509+1</f>
        <v>165</v>
      </c>
      <c r="B3510" s="69" t="s">
        <v>1256</v>
      </c>
      <c r="C3510" s="69">
        <v>15</v>
      </c>
      <c r="D3510" s="89">
        <v>2</v>
      </c>
      <c r="E3510" s="89">
        <v>2</v>
      </c>
      <c r="F3510" s="89">
        <v>2</v>
      </c>
      <c r="G3510" s="89">
        <v>2</v>
      </c>
      <c r="H3510" s="89">
        <v>2</v>
      </c>
      <c r="I3510" s="89">
        <v>2</v>
      </c>
      <c r="J3510" s="710">
        <f>(VLOOKUP($C3510,[2]Sheet1!$A$2:$P$18,$M3510+1)/12)*12*D3510</f>
        <v>1316663.79984</v>
      </c>
      <c r="K3510" s="711"/>
      <c r="M3510" s="62">
        <f t="shared" si="276"/>
        <v>3</v>
      </c>
    </row>
    <row r="3511" spans="1:13">
      <c r="A3511" s="88">
        <f t="shared" ref="A3511:A3516" si="277">+A3510+1</f>
        <v>166</v>
      </c>
      <c r="B3511" s="69" t="s">
        <v>3728</v>
      </c>
      <c r="C3511" s="69">
        <v>14</v>
      </c>
      <c r="D3511" s="89">
        <v>2</v>
      </c>
      <c r="E3511" s="89">
        <v>2</v>
      </c>
      <c r="F3511" s="89">
        <v>2</v>
      </c>
      <c r="G3511" s="89">
        <v>2</v>
      </c>
      <c r="H3511" s="89">
        <v>25</v>
      </c>
      <c r="I3511" s="89">
        <v>2</v>
      </c>
      <c r="J3511" s="710">
        <f>(VLOOKUP($C3511,[2]Sheet1!$A$2:$P$18,$M3511+1)/12)*12*D3511</f>
        <v>1338198.81648</v>
      </c>
      <c r="K3511" s="711"/>
      <c r="M3511" s="62">
        <f t="shared" si="276"/>
        <v>3</v>
      </c>
    </row>
    <row r="3512" spans="1:13">
      <c r="A3512" s="88">
        <f t="shared" si="277"/>
        <v>167</v>
      </c>
      <c r="B3512" s="69" t="s">
        <v>663</v>
      </c>
      <c r="C3512" s="69">
        <v>13</v>
      </c>
      <c r="D3512" s="89">
        <v>1</v>
      </c>
      <c r="E3512" s="89">
        <v>2</v>
      </c>
      <c r="F3512" s="89">
        <v>1</v>
      </c>
      <c r="G3512" s="89">
        <v>1</v>
      </c>
      <c r="H3512" s="89">
        <v>25</v>
      </c>
      <c r="I3512" s="89">
        <v>1</v>
      </c>
      <c r="J3512" s="710">
        <f>(VLOOKUP($C3512,[2]Sheet1!$A$2:$P$18,$M3512+1)/12)*12*D3512</f>
        <v>628759.53804000001</v>
      </c>
      <c r="K3512" s="711"/>
      <c r="M3512" s="62">
        <f t="shared" si="276"/>
        <v>3</v>
      </c>
    </row>
    <row r="3513" spans="1:13">
      <c r="A3513" s="88"/>
      <c r="B3513" s="90" t="s">
        <v>498</v>
      </c>
      <c r="C3513" s="69"/>
      <c r="D3513" s="89"/>
      <c r="E3513" s="89"/>
      <c r="F3513" s="89"/>
      <c r="G3513" s="89"/>
      <c r="H3513" s="89"/>
      <c r="I3513" s="89"/>
      <c r="J3513" s="710"/>
      <c r="K3513" s="711"/>
      <c r="M3513" s="62">
        <f t="shared" si="276"/>
        <v>5</v>
      </c>
    </row>
    <row r="3514" spans="1:13">
      <c r="A3514" s="88">
        <f>+A3512+1</f>
        <v>168</v>
      </c>
      <c r="B3514" s="69" t="s">
        <v>3532</v>
      </c>
      <c r="C3514" s="69">
        <v>16</v>
      </c>
      <c r="D3514" s="89">
        <v>1</v>
      </c>
      <c r="E3514" s="89">
        <v>1</v>
      </c>
      <c r="F3514" s="89">
        <v>1</v>
      </c>
      <c r="G3514" s="89">
        <v>1</v>
      </c>
      <c r="H3514" s="89">
        <v>1</v>
      </c>
      <c r="I3514" s="89">
        <v>1</v>
      </c>
      <c r="J3514" s="710">
        <f>(VLOOKUP($C3514,[2]Sheet1!$A$2:$P$18,$M3514+1)/12)*12*D3514</f>
        <v>677281.26084</v>
      </c>
      <c r="K3514" s="711"/>
      <c r="M3514" s="62">
        <f t="shared" si="276"/>
        <v>3</v>
      </c>
    </row>
    <row r="3515" spans="1:13">
      <c r="A3515" s="88">
        <f t="shared" si="277"/>
        <v>169</v>
      </c>
      <c r="B3515" s="69" t="s">
        <v>1256</v>
      </c>
      <c r="C3515" s="69">
        <v>15</v>
      </c>
      <c r="D3515" s="89">
        <v>1</v>
      </c>
      <c r="E3515" s="89">
        <v>2</v>
      </c>
      <c r="F3515" s="89">
        <v>1</v>
      </c>
      <c r="G3515" s="89">
        <v>1</v>
      </c>
      <c r="H3515" s="89">
        <v>2</v>
      </c>
      <c r="I3515" s="89">
        <v>1</v>
      </c>
      <c r="J3515" s="710">
        <f>(VLOOKUP($C3515,[2]Sheet1!$A$2:$P$18,$M3515+1)/12)*12*D3515</f>
        <v>658331.89992</v>
      </c>
      <c r="K3515" s="711"/>
      <c r="M3515" s="62">
        <f t="shared" si="276"/>
        <v>3</v>
      </c>
    </row>
    <row r="3516" spans="1:13">
      <c r="A3516" s="88">
        <f t="shared" si="277"/>
        <v>170</v>
      </c>
      <c r="B3516" s="69" t="s">
        <v>3893</v>
      </c>
      <c r="C3516" s="69">
        <v>14</v>
      </c>
      <c r="D3516" s="89">
        <v>1</v>
      </c>
      <c r="E3516" s="89">
        <v>2</v>
      </c>
      <c r="F3516" s="89">
        <v>1</v>
      </c>
      <c r="G3516" s="89">
        <v>1</v>
      </c>
      <c r="H3516" s="89">
        <v>17</v>
      </c>
      <c r="I3516" s="89">
        <v>1</v>
      </c>
      <c r="J3516" s="710">
        <f>(VLOOKUP($C3516,[2]Sheet1!$A$2:$P$18,$M3516+1)/12)*12*D3516</f>
        <v>669099.40824000002</v>
      </c>
      <c r="K3516" s="711"/>
      <c r="M3516" s="62">
        <f t="shared" si="276"/>
        <v>3</v>
      </c>
    </row>
    <row r="3517" spans="1:13">
      <c r="A3517" s="88">
        <v>171</v>
      </c>
      <c r="B3517" s="69" t="s">
        <v>3728</v>
      </c>
      <c r="C3517" s="69">
        <v>13</v>
      </c>
      <c r="D3517" s="89">
        <v>1</v>
      </c>
      <c r="E3517" s="89">
        <v>2</v>
      </c>
      <c r="F3517" s="89">
        <v>1</v>
      </c>
      <c r="G3517" s="89">
        <v>1</v>
      </c>
      <c r="H3517" s="89">
        <v>24</v>
      </c>
      <c r="I3517" s="89">
        <v>1</v>
      </c>
      <c r="J3517" s="710">
        <f>(VLOOKUP($C3517,[2]Sheet1!$A$2:$P$18,$M3517+1)/12)*12*D3517</f>
        <v>628759.53804000001</v>
      </c>
      <c r="K3517" s="711"/>
      <c r="M3517" s="62">
        <f t="shared" si="276"/>
        <v>3</v>
      </c>
    </row>
    <row r="3518" spans="1:13">
      <c r="A3518" s="88"/>
      <c r="B3518" s="97" t="s">
        <v>3841</v>
      </c>
      <c r="C3518" s="69"/>
      <c r="D3518" s="89"/>
      <c r="E3518" s="89"/>
      <c r="F3518" s="89"/>
      <c r="G3518" s="89"/>
      <c r="H3518" s="89"/>
      <c r="I3518" s="89"/>
      <c r="J3518" s="710"/>
      <c r="K3518" s="711"/>
      <c r="M3518" s="62">
        <f t="shared" si="276"/>
        <v>5</v>
      </c>
    </row>
    <row r="3519" spans="1:13">
      <c r="A3519" s="88">
        <f>+A3517+1</f>
        <v>172</v>
      </c>
      <c r="B3519" s="69" t="s">
        <v>3532</v>
      </c>
      <c r="C3519" s="69">
        <v>16</v>
      </c>
      <c r="D3519" s="89">
        <v>1</v>
      </c>
      <c r="E3519" s="89">
        <v>1</v>
      </c>
      <c r="F3519" s="89">
        <v>1</v>
      </c>
      <c r="G3519" s="89">
        <v>1</v>
      </c>
      <c r="H3519" s="89">
        <v>1</v>
      </c>
      <c r="I3519" s="89">
        <v>1</v>
      </c>
      <c r="J3519" s="710">
        <f>(VLOOKUP($C3519,[2]Sheet1!$A$2:$P$18,$M3519+1)/12)*12*D3519</f>
        <v>677281.26084</v>
      </c>
      <c r="K3519" s="711"/>
      <c r="M3519" s="62">
        <f t="shared" si="276"/>
        <v>3</v>
      </c>
    </row>
    <row r="3520" spans="1:13">
      <c r="A3520" s="88">
        <f t="shared" si="275"/>
        <v>173</v>
      </c>
      <c r="B3520" s="69" t="s">
        <v>1256</v>
      </c>
      <c r="C3520" s="69">
        <v>15</v>
      </c>
      <c r="D3520" s="89">
        <v>1</v>
      </c>
      <c r="E3520" s="89">
        <v>2</v>
      </c>
      <c r="F3520" s="89">
        <v>1</v>
      </c>
      <c r="G3520" s="89">
        <v>1</v>
      </c>
      <c r="H3520" s="89">
        <v>1</v>
      </c>
      <c r="I3520" s="89">
        <v>1</v>
      </c>
      <c r="J3520" s="710">
        <f>(VLOOKUP($C3520,[2]Sheet1!$A$2:$P$18,$M3520+1)/12)*12*D3520</f>
        <v>658331.89992</v>
      </c>
      <c r="K3520" s="711"/>
      <c r="M3520" s="62">
        <f t="shared" si="276"/>
        <v>3</v>
      </c>
    </row>
    <row r="3521" spans="1:256">
      <c r="A3521" s="88">
        <f t="shared" si="275"/>
        <v>174</v>
      </c>
      <c r="B3521" s="69" t="s">
        <v>3842</v>
      </c>
      <c r="C3521" s="69">
        <v>13</v>
      </c>
      <c r="D3521" s="89">
        <v>1</v>
      </c>
      <c r="E3521" s="89">
        <v>2</v>
      </c>
      <c r="F3521" s="89">
        <v>1</v>
      </c>
      <c r="G3521" s="89">
        <v>1</v>
      </c>
      <c r="H3521" s="89">
        <v>1</v>
      </c>
      <c r="I3521" s="89">
        <v>1</v>
      </c>
      <c r="J3521" s="710">
        <f>(VLOOKUP($C3521,[2]Sheet1!$A$2:$P$18,$M3521+1)/12)*12*D3521</f>
        <v>628759.53804000001</v>
      </c>
      <c r="K3521" s="711"/>
      <c r="M3521" s="62">
        <f t="shared" si="276"/>
        <v>3</v>
      </c>
    </row>
    <row r="3522" spans="1:256">
      <c r="A3522" s="92"/>
      <c r="B3522" s="93" t="s">
        <v>1684</v>
      </c>
      <c r="C3522" s="94"/>
      <c r="D3522" s="123">
        <f t="shared" ref="D3522:J3522" si="278">SUM(D3367:D3521)</f>
        <v>966</v>
      </c>
      <c r="E3522" s="123">
        <f t="shared" si="278"/>
        <v>1052</v>
      </c>
      <c r="F3522" s="123">
        <f t="shared" si="278"/>
        <v>966</v>
      </c>
      <c r="G3522" s="123">
        <f>SUM(G3367:G3521)</f>
        <v>966</v>
      </c>
      <c r="H3522" s="123">
        <f t="shared" si="278"/>
        <v>2091</v>
      </c>
      <c r="I3522" s="123">
        <f t="shared" si="278"/>
        <v>966</v>
      </c>
      <c r="J3522" s="123">
        <f t="shared" si="278"/>
        <v>260278111.60945636</v>
      </c>
      <c r="K3522" s="378"/>
      <c r="M3522" s="62">
        <f t="shared" si="276"/>
        <v>5</v>
      </c>
    </row>
    <row r="3523" spans="1:256">
      <c r="A3523" s="89"/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  <c r="L3523" s="89"/>
      <c r="M3523" s="89"/>
      <c r="N3523" s="89"/>
      <c r="O3523" s="89"/>
      <c r="P3523" s="89"/>
      <c r="Q3523" s="89"/>
      <c r="R3523" s="89"/>
      <c r="S3523" s="89"/>
      <c r="T3523" s="89"/>
      <c r="U3523" s="89"/>
      <c r="V3523" s="89"/>
      <c r="W3523" s="89"/>
      <c r="X3523" s="89"/>
      <c r="Y3523" s="89"/>
      <c r="Z3523" s="89"/>
      <c r="AA3523" s="89"/>
      <c r="AB3523" s="89"/>
      <c r="AC3523" s="89"/>
      <c r="AD3523" s="89"/>
      <c r="AE3523" s="89"/>
      <c r="AF3523" s="89"/>
      <c r="AG3523" s="89"/>
      <c r="AH3523" s="89"/>
      <c r="AI3523" s="89"/>
      <c r="AJ3523" s="89"/>
      <c r="AK3523" s="89"/>
      <c r="AL3523" s="89"/>
      <c r="AM3523" s="89"/>
      <c r="AN3523" s="89"/>
      <c r="AO3523" s="89"/>
      <c r="AP3523" s="89"/>
      <c r="AQ3523" s="89"/>
      <c r="AR3523" s="89"/>
      <c r="AS3523" s="89"/>
      <c r="AT3523" s="89"/>
      <c r="AU3523" s="89"/>
      <c r="AV3523" s="89"/>
      <c r="AW3523" s="89"/>
      <c r="AX3523" s="89"/>
      <c r="AY3523" s="89"/>
      <c r="AZ3523" s="89"/>
      <c r="BA3523" s="89"/>
      <c r="BB3523" s="89"/>
      <c r="BC3523" s="89"/>
      <c r="BD3523" s="89"/>
      <c r="BE3523" s="89"/>
      <c r="BF3523" s="89"/>
      <c r="BG3523" s="89"/>
      <c r="BH3523" s="89"/>
      <c r="BI3523" s="89"/>
      <c r="BJ3523" s="89"/>
      <c r="BK3523" s="89"/>
      <c r="BL3523" s="89"/>
      <c r="BM3523" s="89"/>
      <c r="BN3523" s="89"/>
      <c r="BO3523" s="89"/>
      <c r="BP3523" s="89"/>
      <c r="BQ3523" s="89"/>
      <c r="BR3523" s="89"/>
      <c r="BS3523" s="89"/>
      <c r="BT3523" s="89"/>
      <c r="BU3523" s="89"/>
      <c r="BV3523" s="89"/>
      <c r="BW3523" s="89"/>
      <c r="BX3523" s="89"/>
      <c r="BY3523" s="89"/>
      <c r="BZ3523" s="89"/>
      <c r="CA3523" s="89"/>
      <c r="CB3523" s="89"/>
      <c r="CC3523" s="89"/>
      <c r="CD3523" s="89"/>
      <c r="CE3523" s="89"/>
      <c r="CF3523" s="89"/>
      <c r="CG3523" s="89"/>
      <c r="CH3523" s="89"/>
      <c r="CI3523" s="89"/>
      <c r="CJ3523" s="89"/>
      <c r="CK3523" s="89"/>
      <c r="CL3523" s="89"/>
      <c r="CM3523" s="89"/>
      <c r="CN3523" s="89"/>
      <c r="CO3523" s="89"/>
      <c r="CP3523" s="89"/>
      <c r="CQ3523" s="89"/>
      <c r="CR3523" s="89"/>
      <c r="CS3523" s="89"/>
      <c r="CT3523" s="89"/>
      <c r="CU3523" s="89"/>
      <c r="CV3523" s="89"/>
      <c r="CW3523" s="89"/>
      <c r="CX3523" s="89"/>
      <c r="CY3523" s="89"/>
      <c r="CZ3523" s="89"/>
      <c r="DA3523" s="89"/>
      <c r="DB3523" s="89"/>
      <c r="DC3523" s="89"/>
      <c r="DD3523" s="89"/>
      <c r="DE3523" s="89"/>
      <c r="DF3523" s="89"/>
      <c r="DG3523" s="89"/>
      <c r="DH3523" s="89"/>
      <c r="DI3523" s="89"/>
      <c r="DJ3523" s="89"/>
      <c r="DK3523" s="89"/>
      <c r="DL3523" s="89"/>
      <c r="DM3523" s="89"/>
      <c r="DN3523" s="89"/>
      <c r="DO3523" s="89"/>
      <c r="DP3523" s="89"/>
      <c r="DQ3523" s="89"/>
      <c r="DR3523" s="89"/>
      <c r="DS3523" s="89"/>
      <c r="DT3523" s="89"/>
      <c r="DU3523" s="89"/>
      <c r="DV3523" s="89"/>
      <c r="DW3523" s="89"/>
      <c r="DX3523" s="89"/>
      <c r="DY3523" s="89"/>
      <c r="DZ3523" s="89"/>
      <c r="EA3523" s="89"/>
      <c r="EB3523" s="89"/>
      <c r="EC3523" s="89"/>
      <c r="ED3523" s="89"/>
      <c r="EE3523" s="89"/>
      <c r="EF3523" s="89"/>
      <c r="EG3523" s="89"/>
      <c r="EH3523" s="89"/>
      <c r="EI3523" s="89"/>
      <c r="EJ3523" s="89"/>
      <c r="EK3523" s="89"/>
      <c r="EL3523" s="89"/>
      <c r="EM3523" s="89"/>
      <c r="EN3523" s="89"/>
      <c r="EO3523" s="89"/>
      <c r="EP3523" s="89"/>
      <c r="EQ3523" s="89"/>
      <c r="ER3523" s="89"/>
      <c r="ES3523" s="89"/>
      <c r="ET3523" s="89"/>
      <c r="EU3523" s="89"/>
      <c r="EV3523" s="89"/>
      <c r="EW3523" s="89"/>
      <c r="EX3523" s="89"/>
      <c r="EY3523" s="89"/>
      <c r="EZ3523" s="89"/>
      <c r="FA3523" s="89"/>
      <c r="FB3523" s="89"/>
      <c r="FC3523" s="89"/>
      <c r="FD3523" s="89"/>
      <c r="FE3523" s="89"/>
      <c r="FF3523" s="89"/>
      <c r="FG3523" s="89"/>
      <c r="FH3523" s="89"/>
      <c r="FI3523" s="89"/>
      <c r="FJ3523" s="89"/>
      <c r="FK3523" s="89"/>
      <c r="FL3523" s="89"/>
      <c r="FM3523" s="89"/>
      <c r="FN3523" s="89"/>
      <c r="FO3523" s="89"/>
      <c r="FP3523" s="89"/>
      <c r="FQ3523" s="89"/>
      <c r="FR3523" s="89"/>
      <c r="FS3523" s="89"/>
      <c r="FT3523" s="89"/>
      <c r="FU3523" s="89"/>
      <c r="FV3523" s="89"/>
      <c r="FW3523" s="89"/>
      <c r="FX3523" s="89"/>
      <c r="FY3523" s="89"/>
      <c r="FZ3523" s="89"/>
      <c r="GA3523" s="89"/>
      <c r="GB3523" s="89"/>
      <c r="GC3523" s="89"/>
      <c r="GD3523" s="89"/>
      <c r="GE3523" s="89"/>
      <c r="GF3523" s="89"/>
      <c r="GG3523" s="89"/>
      <c r="GH3523" s="89"/>
      <c r="GI3523" s="89"/>
      <c r="GJ3523" s="89"/>
      <c r="GK3523" s="89"/>
      <c r="GL3523" s="89"/>
      <c r="GM3523" s="89"/>
      <c r="GN3523" s="89"/>
      <c r="GO3523" s="89"/>
      <c r="GP3523" s="89"/>
      <c r="GQ3523" s="89"/>
      <c r="GR3523" s="89"/>
      <c r="GS3523" s="89"/>
      <c r="GT3523" s="89"/>
      <c r="GU3523" s="89"/>
      <c r="GV3523" s="89"/>
      <c r="GW3523" s="89"/>
      <c r="GX3523" s="89"/>
      <c r="GY3523" s="89"/>
      <c r="GZ3523" s="89"/>
      <c r="HA3523" s="89"/>
      <c r="HB3523" s="89"/>
      <c r="HC3523" s="89"/>
      <c r="HD3523" s="89"/>
      <c r="HE3523" s="89"/>
      <c r="HF3523" s="89"/>
      <c r="HG3523" s="89"/>
      <c r="HH3523" s="89"/>
      <c r="HI3523" s="89"/>
      <c r="HJ3523" s="89"/>
      <c r="HK3523" s="89"/>
      <c r="HL3523" s="89"/>
      <c r="HM3523" s="89"/>
      <c r="HN3523" s="89"/>
      <c r="HO3523" s="89"/>
      <c r="HP3523" s="89"/>
      <c r="HQ3523" s="89"/>
      <c r="HR3523" s="89"/>
      <c r="HS3523" s="89"/>
      <c r="HT3523" s="89"/>
      <c r="HU3523" s="89"/>
      <c r="HV3523" s="89"/>
      <c r="HW3523" s="89"/>
      <c r="HX3523" s="89"/>
      <c r="HY3523" s="89"/>
      <c r="HZ3523" s="89"/>
      <c r="IA3523" s="89"/>
      <c r="IB3523" s="89"/>
      <c r="IC3523" s="89"/>
      <c r="ID3523" s="89"/>
      <c r="IE3523" s="89"/>
      <c r="IF3523" s="89"/>
      <c r="IG3523" s="89"/>
      <c r="IH3523" s="89"/>
      <c r="II3523" s="89"/>
      <c r="IJ3523" s="89"/>
      <c r="IK3523" s="89"/>
      <c r="IL3523" s="89"/>
      <c r="IM3523" s="89"/>
      <c r="IN3523" s="89"/>
      <c r="IO3523" s="89"/>
      <c r="IP3523" s="89"/>
      <c r="IQ3523" s="89"/>
      <c r="IR3523" s="89"/>
      <c r="IS3523" s="89"/>
      <c r="IT3523" s="89"/>
      <c r="IU3523" s="89"/>
      <c r="IV3523" s="89"/>
    </row>
    <row r="3524" spans="1:256">
      <c r="A3524" s="88" t="s">
        <v>1840</v>
      </c>
      <c r="B3524" s="97" t="s">
        <v>1199</v>
      </c>
      <c r="C3524" s="69"/>
      <c r="D3524" s="89"/>
      <c r="E3524" s="89"/>
      <c r="F3524" s="99"/>
      <c r="G3524" s="240" t="s">
        <v>243</v>
      </c>
      <c r="H3524" s="240" t="s">
        <v>4130</v>
      </c>
      <c r="I3524" s="240" t="s">
        <v>4202</v>
      </c>
      <c r="J3524" s="241" t="s">
        <v>4200</v>
      </c>
      <c r="K3524" s="375"/>
      <c r="M3524" s="62">
        <f t="shared" si="276"/>
        <v>5</v>
      </c>
    </row>
    <row r="3525" spans="1:256">
      <c r="A3525" s="88">
        <v>1</v>
      </c>
      <c r="B3525" s="69" t="s">
        <v>763</v>
      </c>
      <c r="C3525" s="69"/>
      <c r="D3525" s="89"/>
      <c r="E3525" s="89"/>
      <c r="F3525" s="89"/>
      <c r="G3525" s="100">
        <f>J3522*0.2</f>
        <v>52055622.321891278</v>
      </c>
      <c r="H3525" s="100">
        <f>G3525*1.02</f>
        <v>53096734.768329106</v>
      </c>
      <c r="I3525" s="100">
        <f>H3525*1.02</f>
        <v>54158669.46369569</v>
      </c>
      <c r="J3525" s="100">
        <f>SUM(G3525:I3525)</f>
        <v>159311026.5539161</v>
      </c>
      <c r="K3525" s="114"/>
      <c r="M3525" s="62">
        <f t="shared" si="276"/>
        <v>5</v>
      </c>
    </row>
    <row r="3526" spans="1:256">
      <c r="A3526" s="88">
        <v>2</v>
      </c>
      <c r="B3526" s="69" t="s">
        <v>4253</v>
      </c>
      <c r="C3526" s="69"/>
      <c r="D3526" s="89"/>
      <c r="E3526" s="89"/>
      <c r="F3526" s="89"/>
      <c r="G3526" s="111">
        <f>(J3522/3*0.27)+(J3522*0.6*0.125)</f>
        <v>42945888.415560298</v>
      </c>
      <c r="H3526" s="100">
        <f>G3526*1.02</f>
        <v>43804806.183871508</v>
      </c>
      <c r="I3526" s="100">
        <f>H3526*1.02</f>
        <v>44680902.30754894</v>
      </c>
      <c r="J3526" s="100">
        <f>SUM(G3526:I3526)</f>
        <v>131431596.90698075</v>
      </c>
      <c r="K3526" s="114"/>
    </row>
    <row r="3527" spans="1:256">
      <c r="A3527" s="88"/>
      <c r="B3527" s="69"/>
      <c r="C3527" s="69"/>
      <c r="D3527" s="89"/>
      <c r="E3527" s="89"/>
      <c r="F3527" s="89"/>
      <c r="G3527" s="111"/>
      <c r="H3527" s="111"/>
      <c r="I3527" s="111"/>
      <c r="J3527" s="111"/>
      <c r="K3527" s="114"/>
    </row>
    <row r="3528" spans="1:256">
      <c r="A3528" s="92" t="s">
        <v>1840</v>
      </c>
      <c r="B3528" s="93" t="s">
        <v>1529</v>
      </c>
      <c r="C3528" s="94"/>
      <c r="D3528" s="101"/>
      <c r="E3528" s="101"/>
      <c r="F3528" s="123"/>
      <c r="G3528" s="123">
        <f>SUM(G3525:G3525)</f>
        <v>52055622.321891278</v>
      </c>
      <c r="H3528" s="123">
        <f>SUM(H3525:H3525)</f>
        <v>53096734.768329106</v>
      </c>
      <c r="I3528" s="123">
        <f>SUM(I3525:I3525)</f>
        <v>54158669.46369569</v>
      </c>
      <c r="J3528" s="123">
        <f>SUM(J3525:J3525)</f>
        <v>159311026.5539161</v>
      </c>
      <c r="K3528" s="378"/>
      <c r="M3528" s="62">
        <f t="shared" si="276"/>
        <v>5</v>
      </c>
    </row>
    <row r="3529" spans="1:256">
      <c r="A3529" s="88" t="s">
        <v>1840</v>
      </c>
      <c r="B3529" s="69"/>
      <c r="C3529" s="69"/>
      <c r="D3529" s="89"/>
      <c r="E3529" s="89"/>
      <c r="F3529" s="89"/>
      <c r="G3529" s="89"/>
      <c r="H3529" s="89"/>
      <c r="I3529" s="89"/>
      <c r="J3529" s="89"/>
      <c r="K3529" s="114"/>
      <c r="M3529" s="62">
        <f t="shared" si="276"/>
        <v>5</v>
      </c>
    </row>
    <row r="3530" spans="1:256">
      <c r="A3530" s="88" t="s">
        <v>1840</v>
      </c>
      <c r="B3530" s="69" t="s">
        <v>889</v>
      </c>
      <c r="C3530" s="69"/>
      <c r="D3530" s="89"/>
      <c r="E3530" s="89"/>
      <c r="F3530" s="89"/>
      <c r="G3530" s="100">
        <f>G3528+J3522</f>
        <v>312333733.93134761</v>
      </c>
      <c r="H3530" s="100">
        <f>G3530*1.02</f>
        <v>318580408.60997456</v>
      </c>
      <c r="I3530" s="100">
        <f>H3530*1.02</f>
        <v>324952016.78217405</v>
      </c>
      <c r="J3530" s="100">
        <f>SUM(G3530:I3530)</f>
        <v>955866159.32349634</v>
      </c>
      <c r="K3530" s="114"/>
      <c r="L3530" s="112"/>
      <c r="M3530" s="62">
        <f t="shared" si="276"/>
        <v>5</v>
      </c>
    </row>
    <row r="3531" spans="1:256">
      <c r="A3531" s="88" t="s">
        <v>1840</v>
      </c>
      <c r="B3531" s="69" t="s">
        <v>2155</v>
      </c>
      <c r="C3531" s="69"/>
      <c r="D3531" s="89"/>
      <c r="E3531" s="89"/>
      <c r="F3531" s="89"/>
      <c r="G3531" s="89">
        <f>C3581</f>
        <v>1245900000</v>
      </c>
      <c r="H3531" s="89">
        <f>D3581</f>
        <v>1182000000</v>
      </c>
      <c r="I3531" s="89">
        <f>E3581</f>
        <v>1232000000</v>
      </c>
      <c r="J3531" s="100">
        <f>SUM(G3531:I3531)</f>
        <v>3659900000</v>
      </c>
      <c r="K3531" s="114"/>
      <c r="L3531" s="112"/>
      <c r="M3531" s="62">
        <f t="shared" si="276"/>
        <v>5</v>
      </c>
    </row>
    <row r="3532" spans="1:256">
      <c r="A3532" s="92" t="s">
        <v>1840</v>
      </c>
      <c r="B3532" s="93" t="s">
        <v>2422</v>
      </c>
      <c r="C3532" s="94"/>
      <c r="D3532" s="101"/>
      <c r="E3532" s="101"/>
      <c r="F3532" s="123"/>
      <c r="G3532" s="123">
        <f>SUM(G3530:G3531)</f>
        <v>1558233733.9313476</v>
      </c>
      <c r="H3532" s="123">
        <f>SUM(H3530:H3531)</f>
        <v>1500580408.6099746</v>
      </c>
      <c r="I3532" s="123">
        <f>SUM(I3530:I3531)</f>
        <v>1556952016.7821741</v>
      </c>
      <c r="J3532" s="123">
        <f>SUM(J3530:J3531)</f>
        <v>4615766159.3234959</v>
      </c>
      <c r="K3532" s="378"/>
      <c r="M3532" s="62">
        <f t="shared" si="276"/>
        <v>5</v>
      </c>
    </row>
    <row r="3533" spans="1:256" ht="15">
      <c r="C3533" s="77"/>
      <c r="D3533" s="78" t="s">
        <v>5434</v>
      </c>
      <c r="J3533" s="584"/>
      <c r="K3533" s="584"/>
      <c r="M3533" s="62">
        <f t="shared" si="276"/>
        <v>5</v>
      </c>
    </row>
    <row r="3534" spans="1:256" ht="15">
      <c r="C3534" s="77"/>
      <c r="D3534" s="78" t="s">
        <v>716</v>
      </c>
      <c r="J3534" s="584"/>
      <c r="K3534" s="584"/>
    </row>
    <row r="3535" spans="1:256" ht="15">
      <c r="C3535" s="79" t="s">
        <v>717</v>
      </c>
      <c r="D3535" s="78" t="s">
        <v>1672</v>
      </c>
      <c r="J3535" s="584"/>
      <c r="K3535" s="584"/>
      <c r="M3535" s="62">
        <f t="shared" si="276"/>
        <v>3</v>
      </c>
    </row>
    <row r="3536" spans="1:256" ht="15">
      <c r="C3536" s="79" t="s">
        <v>718</v>
      </c>
      <c r="D3536" s="78" t="s">
        <v>4015</v>
      </c>
      <c r="J3536" s="584"/>
      <c r="K3536" s="584"/>
      <c r="M3536" s="62">
        <f t="shared" si="276"/>
        <v>3</v>
      </c>
    </row>
    <row r="3537" spans="1:13" ht="15">
      <c r="A3537" s="634" t="s">
        <v>1839</v>
      </c>
      <c r="B3537" s="635" t="s">
        <v>903</v>
      </c>
      <c r="C3537" s="1037" t="s">
        <v>4127</v>
      </c>
      <c r="D3537" s="1038"/>
      <c r="E3537" s="1039"/>
      <c r="F3537" s="635" t="s">
        <v>1684</v>
      </c>
      <c r="G3537" s="1037" t="s">
        <v>4132</v>
      </c>
      <c r="H3537" s="1038"/>
      <c r="I3537" s="1039"/>
      <c r="J3537" s="726"/>
      <c r="K3537" s="727"/>
    </row>
    <row r="3538" spans="1:13">
      <c r="A3538" s="636" t="s">
        <v>1620</v>
      </c>
      <c r="B3538" s="637"/>
      <c r="C3538" s="635" t="s">
        <v>1841</v>
      </c>
      <c r="D3538" s="635" t="s">
        <v>4133</v>
      </c>
      <c r="E3538" s="635" t="s">
        <v>4133</v>
      </c>
      <c r="F3538" s="1056" t="s">
        <v>4200</v>
      </c>
      <c r="G3538" s="634" t="s">
        <v>4135</v>
      </c>
      <c r="H3538" s="1051" t="s">
        <v>4182</v>
      </c>
      <c r="I3538" s="634" t="s">
        <v>4135</v>
      </c>
      <c r="J3538" s="728" t="s">
        <v>4136</v>
      </c>
      <c r="K3538" s="727"/>
    </row>
    <row r="3539" spans="1:13" ht="12.75" customHeight="1">
      <c r="A3539" s="638" t="s">
        <v>387</v>
      </c>
      <c r="B3539" s="639"/>
      <c r="C3539" s="638">
        <v>2015</v>
      </c>
      <c r="D3539" s="638">
        <v>2016</v>
      </c>
      <c r="E3539" s="638">
        <v>2017</v>
      </c>
      <c r="F3539" s="1057"/>
      <c r="G3539" s="638" t="s">
        <v>4304</v>
      </c>
      <c r="H3539" s="1052"/>
      <c r="I3539" s="638" t="s">
        <v>4303</v>
      </c>
      <c r="J3539" s="639"/>
      <c r="K3539" s="729"/>
    </row>
    <row r="3540" spans="1:13" ht="24.75" customHeight="1">
      <c r="A3540" s="788">
        <v>2</v>
      </c>
      <c r="B3540" s="775" t="s">
        <v>340</v>
      </c>
      <c r="C3540" s="793">
        <v>3000000</v>
      </c>
      <c r="D3540" s="793">
        <v>14600000</v>
      </c>
      <c r="E3540" s="793">
        <v>14600000</v>
      </c>
      <c r="F3540" s="793">
        <f>SUM(C3540:E3540)</f>
        <v>32200000</v>
      </c>
      <c r="G3540" s="793">
        <v>1304000</v>
      </c>
      <c r="H3540" s="793">
        <v>4000000</v>
      </c>
      <c r="I3540" s="793">
        <v>550000</v>
      </c>
      <c r="J3540" s="793"/>
      <c r="K3540" s="776"/>
      <c r="M3540" s="62" t="e">
        <f>IF(#REF!&gt;6,3,5)</f>
        <v>#REF!</v>
      </c>
    </row>
    <row r="3541" spans="1:13" ht="24.75" customHeight="1">
      <c r="A3541" s="788">
        <f t="shared" ref="A3541:A3580" si="279">+A3540+1</f>
        <v>3</v>
      </c>
      <c r="B3541" s="775" t="s">
        <v>1696</v>
      </c>
      <c r="C3541" s="794" t="s">
        <v>1386</v>
      </c>
      <c r="D3541" s="794" t="s">
        <v>1386</v>
      </c>
      <c r="E3541" s="794" t="s">
        <v>1386</v>
      </c>
      <c r="F3541" s="793">
        <f t="shared" ref="F3541:F3580" si="280">SUM(C3541:E3541)</f>
        <v>0</v>
      </c>
      <c r="G3541" s="794"/>
      <c r="H3541" s="794" t="s">
        <v>1386</v>
      </c>
      <c r="I3541" s="794"/>
      <c r="J3541" s="793"/>
      <c r="K3541" s="776"/>
      <c r="M3541" s="62" t="e">
        <f>IF(#REF!&gt;6,3,5)</f>
        <v>#REF!</v>
      </c>
    </row>
    <row r="3542" spans="1:13" ht="24.75" customHeight="1">
      <c r="A3542" s="788">
        <f t="shared" si="279"/>
        <v>4</v>
      </c>
      <c r="B3542" s="775" t="s">
        <v>1701</v>
      </c>
      <c r="C3542" s="794" t="s">
        <v>1386</v>
      </c>
      <c r="D3542" s="794" t="s">
        <v>1386</v>
      </c>
      <c r="E3542" s="794" t="s">
        <v>1386</v>
      </c>
      <c r="F3542" s="793">
        <f t="shared" si="280"/>
        <v>0</v>
      </c>
      <c r="G3542" s="794"/>
      <c r="H3542" s="794" t="s">
        <v>1386</v>
      </c>
      <c r="I3542" s="794"/>
      <c r="J3542" s="793"/>
      <c r="K3542" s="776"/>
      <c r="M3542" s="62" t="e">
        <f>IF(#REF!&gt;6,3,5)</f>
        <v>#REF!</v>
      </c>
    </row>
    <row r="3543" spans="1:13" ht="24.75" customHeight="1">
      <c r="A3543" s="788">
        <f t="shared" si="279"/>
        <v>5</v>
      </c>
      <c r="B3543" s="775" t="s">
        <v>769</v>
      </c>
      <c r="C3543" s="794">
        <v>10000000</v>
      </c>
      <c r="D3543" s="794">
        <v>30000000</v>
      </c>
      <c r="E3543" s="794">
        <v>30000000</v>
      </c>
      <c r="F3543" s="793">
        <f t="shared" si="280"/>
        <v>70000000</v>
      </c>
      <c r="G3543" s="794">
        <v>249600</v>
      </c>
      <c r="H3543" s="794">
        <v>10000000</v>
      </c>
      <c r="I3543" s="794">
        <v>0</v>
      </c>
      <c r="J3543" s="793"/>
      <c r="K3543" s="776"/>
      <c r="M3543" s="62" t="e">
        <f>IF(#REF!&gt;6,3,5)</f>
        <v>#REF!</v>
      </c>
    </row>
    <row r="3544" spans="1:13" ht="24.75" customHeight="1">
      <c r="A3544" s="788">
        <f t="shared" si="279"/>
        <v>6</v>
      </c>
      <c r="B3544" s="775" t="s">
        <v>1897</v>
      </c>
      <c r="C3544" s="794">
        <v>1000000</v>
      </c>
      <c r="D3544" s="794">
        <v>5000000</v>
      </c>
      <c r="E3544" s="794">
        <v>5000000</v>
      </c>
      <c r="F3544" s="793">
        <f t="shared" si="280"/>
        <v>11000000</v>
      </c>
      <c r="G3544" s="794">
        <v>46000</v>
      </c>
      <c r="H3544" s="794">
        <v>1600000</v>
      </c>
      <c r="I3544" s="794">
        <v>0</v>
      </c>
      <c r="J3544" s="793"/>
      <c r="K3544" s="776"/>
      <c r="M3544" s="62" t="e">
        <f>IF(#REF!&gt;6,3,5)</f>
        <v>#REF!</v>
      </c>
    </row>
    <row r="3545" spans="1:13" ht="24.75" customHeight="1">
      <c r="A3545" s="788">
        <f t="shared" si="279"/>
        <v>7</v>
      </c>
      <c r="B3545" s="775" t="s">
        <v>35</v>
      </c>
      <c r="C3545" s="794">
        <v>10000000</v>
      </c>
      <c r="D3545" s="794">
        <v>20000000</v>
      </c>
      <c r="E3545" s="794">
        <v>20000000</v>
      </c>
      <c r="F3545" s="793">
        <f t="shared" si="280"/>
        <v>50000000</v>
      </c>
      <c r="G3545" s="794">
        <v>210000</v>
      </c>
      <c r="H3545" s="794">
        <v>10000000</v>
      </c>
      <c r="I3545" s="795">
        <v>7085500</v>
      </c>
      <c r="J3545" s="793"/>
      <c r="K3545" s="776"/>
      <c r="M3545" s="62" t="e">
        <f>IF(#REF!&gt;6,3,5)</f>
        <v>#REF!</v>
      </c>
    </row>
    <row r="3546" spans="1:13" ht="24.75" customHeight="1">
      <c r="A3546" s="788">
        <f t="shared" si="279"/>
        <v>8</v>
      </c>
      <c r="B3546" s="775" t="s">
        <v>1715</v>
      </c>
      <c r="C3546" s="731" t="s">
        <v>1386</v>
      </c>
      <c r="D3546" s="731" t="s">
        <v>1386</v>
      </c>
      <c r="E3546" s="731" t="s">
        <v>1386</v>
      </c>
      <c r="F3546" s="793">
        <f t="shared" si="280"/>
        <v>0</v>
      </c>
      <c r="G3546" s="796"/>
      <c r="H3546" s="731" t="s">
        <v>1386</v>
      </c>
      <c r="I3546" s="796"/>
      <c r="J3546" s="793"/>
      <c r="K3546" s="776"/>
      <c r="M3546" s="62" t="e">
        <f>IF(#REF!&gt;6,3,5)</f>
        <v>#REF!</v>
      </c>
    </row>
    <row r="3547" spans="1:13" ht="24.75" customHeight="1">
      <c r="A3547" s="788">
        <f t="shared" si="279"/>
        <v>9</v>
      </c>
      <c r="B3547" s="775" t="s">
        <v>2168</v>
      </c>
      <c r="C3547" s="731" t="s">
        <v>1386</v>
      </c>
      <c r="D3547" s="731" t="s">
        <v>1386</v>
      </c>
      <c r="E3547" s="731" t="s">
        <v>1386</v>
      </c>
      <c r="F3547" s="793">
        <f t="shared" si="280"/>
        <v>0</v>
      </c>
      <c r="G3547" s="796"/>
      <c r="H3547" s="731" t="s">
        <v>1386</v>
      </c>
      <c r="I3547" s="796"/>
      <c r="J3547" s="793"/>
      <c r="K3547" s="776"/>
      <c r="M3547" s="62" t="e">
        <f>IF(#REF!&gt;6,3,5)</f>
        <v>#REF!</v>
      </c>
    </row>
    <row r="3548" spans="1:13" ht="24.75" customHeight="1">
      <c r="A3548" s="788">
        <f t="shared" si="279"/>
        <v>10</v>
      </c>
      <c r="B3548" s="775" t="s">
        <v>1716</v>
      </c>
      <c r="C3548" s="794">
        <v>5000000</v>
      </c>
      <c r="D3548" s="794">
        <v>7000000</v>
      </c>
      <c r="E3548" s="794">
        <v>7000000</v>
      </c>
      <c r="F3548" s="793">
        <f t="shared" si="280"/>
        <v>19000000</v>
      </c>
      <c r="G3548" s="794">
        <v>224000</v>
      </c>
      <c r="H3548" s="794">
        <v>5000000</v>
      </c>
      <c r="I3548" s="795">
        <v>75000</v>
      </c>
      <c r="J3548" s="793"/>
      <c r="K3548" s="776"/>
      <c r="M3548" s="62" t="e">
        <f>IF(#REF!&gt;6,3,5)</f>
        <v>#REF!</v>
      </c>
    </row>
    <row r="3549" spans="1:13" ht="24.75" customHeight="1">
      <c r="A3549" s="788">
        <f t="shared" si="279"/>
        <v>11</v>
      </c>
      <c r="B3549" s="775" t="s">
        <v>764</v>
      </c>
      <c r="C3549" s="794">
        <v>100000</v>
      </c>
      <c r="D3549" s="794">
        <v>100000</v>
      </c>
      <c r="E3549" s="794">
        <v>100000</v>
      </c>
      <c r="F3549" s="793">
        <f t="shared" si="280"/>
        <v>300000</v>
      </c>
      <c r="G3549" s="794"/>
      <c r="H3549" s="794">
        <v>100000</v>
      </c>
      <c r="I3549" s="795">
        <v>25000</v>
      </c>
      <c r="J3549" s="793"/>
      <c r="K3549" s="776"/>
      <c r="M3549" s="62" t="e">
        <f>IF(#REF!&gt;6,3,5)</f>
        <v>#REF!</v>
      </c>
    </row>
    <row r="3550" spans="1:13" ht="24.75" customHeight="1">
      <c r="A3550" s="788">
        <f t="shared" si="279"/>
        <v>12</v>
      </c>
      <c r="B3550" s="775" t="s">
        <v>2688</v>
      </c>
      <c r="C3550" s="794">
        <v>50000000</v>
      </c>
      <c r="D3550" s="797">
        <v>20000000</v>
      </c>
      <c r="E3550" s="797">
        <v>20000000</v>
      </c>
      <c r="F3550" s="793">
        <f t="shared" si="280"/>
        <v>90000000</v>
      </c>
      <c r="G3550" s="798">
        <v>49882020</v>
      </c>
      <c r="H3550" s="794">
        <v>100000000</v>
      </c>
      <c r="I3550" s="799">
        <f>6379469+16306000</f>
        <v>22685469</v>
      </c>
      <c r="J3550" s="800">
        <v>144851820</v>
      </c>
      <c r="M3550" s="62" t="e">
        <f>IF(#REF!&gt;6,3,5)</f>
        <v>#REF!</v>
      </c>
    </row>
    <row r="3551" spans="1:13" ht="24.75" customHeight="1">
      <c r="A3551" s="788">
        <f t="shared" si="279"/>
        <v>13</v>
      </c>
      <c r="B3551" s="775" t="s">
        <v>1453</v>
      </c>
      <c r="C3551" s="797">
        <v>100000</v>
      </c>
      <c r="D3551" s="797">
        <v>100000</v>
      </c>
      <c r="E3551" s="797">
        <v>100000</v>
      </c>
      <c r="F3551" s="793">
        <f t="shared" si="280"/>
        <v>300000</v>
      </c>
      <c r="G3551" s="798"/>
      <c r="H3551" s="797">
        <v>100000</v>
      </c>
      <c r="I3551" s="796"/>
      <c r="J3551" s="793"/>
      <c r="K3551" s="776"/>
      <c r="M3551" s="62" t="e">
        <f>IF(#REF!&gt;6,3,5)</f>
        <v>#REF!</v>
      </c>
    </row>
    <row r="3552" spans="1:13" ht="24.75" customHeight="1">
      <c r="A3552" s="788">
        <f t="shared" si="279"/>
        <v>14</v>
      </c>
      <c r="B3552" s="775" t="s">
        <v>133</v>
      </c>
      <c r="C3552" s="797">
        <v>10000000</v>
      </c>
      <c r="D3552" s="797">
        <v>70000000</v>
      </c>
      <c r="E3552" s="797">
        <v>70000000</v>
      </c>
      <c r="F3552" s="793">
        <f t="shared" si="280"/>
        <v>150000000</v>
      </c>
      <c r="G3552" s="798">
        <v>573000</v>
      </c>
      <c r="H3552" s="797">
        <v>10000000</v>
      </c>
      <c r="I3552" s="796">
        <v>0</v>
      </c>
      <c r="J3552" s="793"/>
      <c r="K3552" s="776"/>
      <c r="M3552" s="62" t="e">
        <f>IF(#REF!&gt;6,3,5)</f>
        <v>#REF!</v>
      </c>
    </row>
    <row r="3553" spans="1:13" ht="24.75" customHeight="1">
      <c r="A3553" s="788">
        <f t="shared" si="279"/>
        <v>15</v>
      </c>
      <c r="B3553" s="775" t="s">
        <v>892</v>
      </c>
      <c r="C3553" s="801">
        <v>30000000</v>
      </c>
      <c r="D3553" s="797">
        <v>105000000</v>
      </c>
      <c r="E3553" s="797">
        <v>105000000</v>
      </c>
      <c r="F3553" s="793">
        <f t="shared" si="280"/>
        <v>240000000</v>
      </c>
      <c r="G3553" s="798"/>
      <c r="H3553" s="801">
        <v>30000000</v>
      </c>
      <c r="I3553" s="76">
        <f>46741100+772000+46741000</f>
        <v>94254100</v>
      </c>
      <c r="J3553" s="798">
        <v>24029700</v>
      </c>
      <c r="K3553" s="802"/>
      <c r="M3553" s="62" t="e">
        <f>IF(#REF!&gt;6,3,5)</f>
        <v>#REF!</v>
      </c>
    </row>
    <row r="3554" spans="1:13" ht="24.75" customHeight="1">
      <c r="A3554" s="788">
        <f t="shared" si="279"/>
        <v>16</v>
      </c>
      <c r="B3554" s="775" t="s">
        <v>3416</v>
      </c>
      <c r="C3554" s="801">
        <v>900000000</v>
      </c>
      <c r="D3554" s="797">
        <v>200000000</v>
      </c>
      <c r="E3554" s="797">
        <v>200000000</v>
      </c>
      <c r="F3554" s="793">
        <f t="shared" si="280"/>
        <v>1300000000</v>
      </c>
      <c r="G3554" s="798">
        <f>50000+200219600+197732400</f>
        <v>398002000</v>
      </c>
      <c r="H3554" s="801">
        <v>500000000</v>
      </c>
      <c r="I3554" s="76">
        <f>18662600</f>
        <v>18662600</v>
      </c>
      <c r="J3554" s="798">
        <v>28793600</v>
      </c>
      <c r="K3554" s="802"/>
      <c r="M3554" s="62" t="e">
        <f>IF(#REF!&gt;6,3,5)</f>
        <v>#REF!</v>
      </c>
    </row>
    <row r="3555" spans="1:13" ht="24.75" customHeight="1">
      <c r="A3555" s="788">
        <f t="shared" si="279"/>
        <v>17</v>
      </c>
      <c r="B3555" s="775" t="s">
        <v>3729</v>
      </c>
      <c r="C3555" s="801">
        <v>30000000</v>
      </c>
      <c r="D3555" s="797">
        <v>150000000</v>
      </c>
      <c r="E3555" s="797">
        <v>150000000</v>
      </c>
      <c r="F3555" s="793">
        <f t="shared" si="280"/>
        <v>330000000</v>
      </c>
      <c r="G3555" s="798"/>
      <c r="H3555" s="801">
        <v>50000000</v>
      </c>
      <c r="I3555" s="798">
        <v>0</v>
      </c>
      <c r="J3555" s="793"/>
      <c r="K3555" s="776"/>
      <c r="M3555" s="62" t="e">
        <f>IF(#REF!&gt;6,3,5)</f>
        <v>#REF!</v>
      </c>
    </row>
    <row r="3556" spans="1:13" ht="24.75" customHeight="1">
      <c r="A3556" s="788">
        <f t="shared" si="279"/>
        <v>18</v>
      </c>
      <c r="B3556" s="775" t="s">
        <v>3186</v>
      </c>
      <c r="C3556" s="797">
        <v>200000</v>
      </c>
      <c r="D3556" s="797">
        <v>200000</v>
      </c>
      <c r="E3556" s="797">
        <v>200000</v>
      </c>
      <c r="F3556" s="793">
        <f t="shared" si="280"/>
        <v>600000</v>
      </c>
      <c r="G3556" s="798"/>
      <c r="H3556" s="797">
        <v>200000</v>
      </c>
      <c r="I3556" s="798"/>
      <c r="J3556" s="793"/>
      <c r="K3556" s="776"/>
      <c r="M3556" s="62" t="e">
        <f>IF(#REF!&gt;6,3,5)</f>
        <v>#REF!</v>
      </c>
    </row>
    <row r="3557" spans="1:13" ht="24.75" customHeight="1">
      <c r="A3557" s="788">
        <f t="shared" si="279"/>
        <v>19</v>
      </c>
      <c r="B3557" s="775" t="s">
        <v>3971</v>
      </c>
      <c r="C3557" s="731">
        <v>40000000</v>
      </c>
      <c r="D3557" s="731" t="s">
        <v>1386</v>
      </c>
      <c r="E3557" s="731" t="s">
        <v>1386</v>
      </c>
      <c r="F3557" s="793">
        <f t="shared" si="280"/>
        <v>40000000</v>
      </c>
      <c r="G3557" s="796"/>
      <c r="H3557" s="731" t="s">
        <v>1386</v>
      </c>
      <c r="I3557" s="796"/>
      <c r="J3557" s="793"/>
      <c r="K3557" s="776"/>
      <c r="M3557" s="62" t="e">
        <f>IF(#REF!&gt;6,3,5)</f>
        <v>#REF!</v>
      </c>
    </row>
    <row r="3558" spans="1:13" ht="24.75" customHeight="1">
      <c r="A3558" s="788">
        <f t="shared" si="279"/>
        <v>20</v>
      </c>
      <c r="B3558" s="775" t="s">
        <v>3988</v>
      </c>
      <c r="C3558" s="797">
        <v>10000000</v>
      </c>
      <c r="D3558" s="797">
        <v>20000000</v>
      </c>
      <c r="E3558" s="797">
        <v>20000000</v>
      </c>
      <c r="F3558" s="793">
        <f t="shared" si="280"/>
        <v>50000000</v>
      </c>
      <c r="G3558" s="798"/>
      <c r="H3558" s="731">
        <v>10000000</v>
      </c>
      <c r="I3558" s="798"/>
      <c r="J3558" s="793"/>
      <c r="K3558" s="776"/>
      <c r="M3558" s="62" t="e">
        <f>IF(#REF!&gt;6,3,5)</f>
        <v>#REF!</v>
      </c>
    </row>
    <row r="3559" spans="1:13" ht="24.75" customHeight="1">
      <c r="A3559" s="788">
        <f t="shared" si="279"/>
        <v>21</v>
      </c>
      <c r="B3559" s="775" t="s">
        <v>3803</v>
      </c>
      <c r="C3559" s="797">
        <v>20000000</v>
      </c>
      <c r="D3559" s="797">
        <v>25000000</v>
      </c>
      <c r="E3559" s="797">
        <v>25000000</v>
      </c>
      <c r="F3559" s="793">
        <f t="shared" si="280"/>
        <v>70000000</v>
      </c>
      <c r="G3559" s="798"/>
      <c r="H3559" s="731">
        <v>20000000</v>
      </c>
      <c r="I3559" s="796">
        <f>13967570</f>
        <v>13967570</v>
      </c>
      <c r="J3559" s="793"/>
      <c r="K3559" s="776"/>
      <c r="M3559" s="62" t="e">
        <f>IF(#REF!&gt;6,3,5)</f>
        <v>#REF!</v>
      </c>
    </row>
    <row r="3560" spans="1:13" ht="24.75" customHeight="1">
      <c r="A3560" s="788">
        <f t="shared" si="279"/>
        <v>22</v>
      </c>
      <c r="B3560" s="775" t="s">
        <v>422</v>
      </c>
      <c r="C3560" s="797">
        <v>7500000</v>
      </c>
      <c r="D3560" s="797" t="s">
        <v>1386</v>
      </c>
      <c r="E3560" s="797" t="s">
        <v>1386</v>
      </c>
      <c r="F3560" s="793">
        <f t="shared" si="280"/>
        <v>7500000</v>
      </c>
      <c r="G3560" s="797"/>
      <c r="H3560" s="797" t="s">
        <v>1386</v>
      </c>
      <c r="I3560" s="797"/>
      <c r="J3560" s="731"/>
      <c r="K3560" s="732"/>
      <c r="M3560" s="62" t="e">
        <f>IF(#REF!&gt;6,3,5)</f>
        <v>#REF!</v>
      </c>
    </row>
    <row r="3561" spans="1:13" ht="24.75" customHeight="1">
      <c r="A3561" s="788">
        <f t="shared" si="279"/>
        <v>23</v>
      </c>
      <c r="B3561" s="775" t="s">
        <v>3989</v>
      </c>
      <c r="C3561" s="797">
        <v>10000000</v>
      </c>
      <c r="D3561" s="797" t="s">
        <v>1386</v>
      </c>
      <c r="E3561" s="797" t="s">
        <v>1386</v>
      </c>
      <c r="F3561" s="793">
        <f t="shared" si="280"/>
        <v>10000000</v>
      </c>
      <c r="G3561" s="797"/>
      <c r="H3561" s="731">
        <v>10000000</v>
      </c>
      <c r="I3561" s="797"/>
      <c r="J3561" s="731"/>
      <c r="K3561" s="732"/>
      <c r="M3561" s="62" t="e">
        <f>IF(#REF!&gt;6,3,5)</f>
        <v>#REF!</v>
      </c>
    </row>
    <row r="3562" spans="1:13" ht="24.75" customHeight="1">
      <c r="A3562" s="788">
        <f t="shared" si="279"/>
        <v>24</v>
      </c>
      <c r="B3562" s="775" t="s">
        <v>2250</v>
      </c>
      <c r="C3562" s="797">
        <v>15000000</v>
      </c>
      <c r="D3562" s="797">
        <v>50000000</v>
      </c>
      <c r="E3562" s="797">
        <v>50000000</v>
      </c>
      <c r="F3562" s="793">
        <f t="shared" si="280"/>
        <v>115000000</v>
      </c>
      <c r="G3562" s="798">
        <f>6554790+4322000</f>
        <v>10876790</v>
      </c>
      <c r="H3562" s="731">
        <v>15000000</v>
      </c>
      <c r="I3562" s="796">
        <f>4322090</f>
        <v>4322090</v>
      </c>
      <c r="J3562" s="798">
        <v>9502188</v>
      </c>
      <c r="K3562" s="776"/>
      <c r="M3562" s="62" t="e">
        <f>IF(#REF!&gt;6,3,5)</f>
        <v>#REF!</v>
      </c>
    </row>
    <row r="3563" spans="1:13" ht="24.75" customHeight="1">
      <c r="A3563" s="788">
        <f t="shared" si="279"/>
        <v>25</v>
      </c>
      <c r="B3563" s="775" t="s">
        <v>1730</v>
      </c>
      <c r="C3563" s="797">
        <v>5000000</v>
      </c>
      <c r="D3563" s="797">
        <v>50000000</v>
      </c>
      <c r="E3563" s="797">
        <v>50000000</v>
      </c>
      <c r="F3563" s="793">
        <f t="shared" si="280"/>
        <v>105000000</v>
      </c>
      <c r="G3563" s="798">
        <v>44000</v>
      </c>
      <c r="H3563" s="731">
        <v>5000000</v>
      </c>
      <c r="I3563" s="798">
        <v>0</v>
      </c>
      <c r="J3563" s="793"/>
      <c r="K3563" s="776"/>
      <c r="M3563" s="62" t="e">
        <f>IF(#REF!&gt;6,3,5)</f>
        <v>#REF!</v>
      </c>
    </row>
    <row r="3564" spans="1:13" ht="24.75" customHeight="1">
      <c r="A3564" s="788">
        <f t="shared" si="279"/>
        <v>26</v>
      </c>
      <c r="B3564" s="775" t="s">
        <v>1535</v>
      </c>
      <c r="C3564" s="797" t="s">
        <v>1386</v>
      </c>
      <c r="D3564" s="797" t="s">
        <v>1386</v>
      </c>
      <c r="E3564" s="797" t="s">
        <v>1386</v>
      </c>
      <c r="F3564" s="793">
        <f t="shared" si="280"/>
        <v>0</v>
      </c>
      <c r="G3564" s="798"/>
      <c r="H3564" s="797" t="s">
        <v>1386</v>
      </c>
      <c r="I3564" s="798"/>
      <c r="J3564" s="793"/>
      <c r="K3564" s="776"/>
      <c r="M3564" s="62" t="e">
        <f>IF(#REF!&gt;6,3,5)</f>
        <v>#REF!</v>
      </c>
    </row>
    <row r="3565" spans="1:13" ht="24.75" customHeight="1">
      <c r="A3565" s="788">
        <f t="shared" si="279"/>
        <v>27</v>
      </c>
      <c r="B3565" s="775" t="s">
        <v>3183</v>
      </c>
      <c r="C3565" s="797">
        <v>30000000</v>
      </c>
      <c r="D3565" s="797">
        <v>40000000</v>
      </c>
      <c r="E3565" s="797">
        <v>40000000</v>
      </c>
      <c r="F3565" s="793">
        <f t="shared" si="280"/>
        <v>110000000</v>
      </c>
      <c r="G3565" s="803">
        <f>24000000+3000000</f>
        <v>27000000</v>
      </c>
      <c r="H3565" s="804">
        <v>40000000</v>
      </c>
      <c r="I3565" s="793">
        <f>3000000+8000000+3000000+3000000+3000000+3000000+3000000</f>
        <v>26000000</v>
      </c>
      <c r="M3565" s="62" t="e">
        <f>IF(#REF!&gt;6,3,5)</f>
        <v>#REF!</v>
      </c>
    </row>
    <row r="3566" spans="1:13" ht="24.75" customHeight="1">
      <c r="A3566" s="788">
        <f t="shared" si="279"/>
        <v>28</v>
      </c>
      <c r="B3566" s="775" t="s">
        <v>3654</v>
      </c>
      <c r="C3566" s="731">
        <v>25000000</v>
      </c>
      <c r="D3566" s="731">
        <v>25000000</v>
      </c>
      <c r="E3566" s="731">
        <v>25000000</v>
      </c>
      <c r="F3566" s="793">
        <f t="shared" si="280"/>
        <v>75000000</v>
      </c>
      <c r="G3566" s="798">
        <v>47176800</v>
      </c>
      <c r="H3566" s="731">
        <v>50000000</v>
      </c>
      <c r="I3566" s="798">
        <v>0</v>
      </c>
      <c r="J3566" s="793"/>
      <c r="K3566" s="776"/>
      <c r="M3566" s="62" t="e">
        <f>IF(#REF!&gt;6,3,5)</f>
        <v>#REF!</v>
      </c>
    </row>
    <row r="3567" spans="1:13" ht="24.75" customHeight="1">
      <c r="A3567" s="788">
        <f t="shared" si="279"/>
        <v>29</v>
      </c>
      <c r="B3567" s="775" t="s">
        <v>3268</v>
      </c>
      <c r="C3567" s="797">
        <v>10000000</v>
      </c>
      <c r="D3567" s="797">
        <v>20000000</v>
      </c>
      <c r="E3567" s="797">
        <v>20000000</v>
      </c>
      <c r="F3567" s="793">
        <f t="shared" si="280"/>
        <v>50000000</v>
      </c>
      <c r="G3567" s="798"/>
      <c r="H3567" s="797">
        <v>10000000</v>
      </c>
      <c r="I3567" s="798">
        <f>3000000</f>
        <v>3000000</v>
      </c>
      <c r="J3567" s="793"/>
      <c r="K3567" s="776"/>
      <c r="M3567" s="62" t="e">
        <f>IF(#REF!&gt;6,3,5)</f>
        <v>#REF!</v>
      </c>
    </row>
    <row r="3568" spans="1:13" ht="24.75" customHeight="1">
      <c r="A3568" s="788">
        <f t="shared" si="279"/>
        <v>30</v>
      </c>
      <c r="B3568" s="775" t="s">
        <v>3269</v>
      </c>
      <c r="C3568" s="797">
        <v>10000000</v>
      </c>
      <c r="D3568" s="797">
        <v>25000000</v>
      </c>
      <c r="E3568" s="797">
        <v>25000000</v>
      </c>
      <c r="F3568" s="793">
        <f t="shared" si="280"/>
        <v>60000000</v>
      </c>
      <c r="G3568" s="798">
        <v>12000000</v>
      </c>
      <c r="H3568" s="797">
        <v>15000000</v>
      </c>
      <c r="I3568" s="798">
        <v>7000000</v>
      </c>
      <c r="J3568" s="793"/>
      <c r="K3568" s="776"/>
      <c r="M3568" s="62" t="e">
        <f>IF(#REF!&gt;6,3,5)</f>
        <v>#REF!</v>
      </c>
    </row>
    <row r="3569" spans="1:13" ht="24.75" customHeight="1">
      <c r="A3569" s="788">
        <f t="shared" si="279"/>
        <v>31</v>
      </c>
      <c r="B3569" s="775" t="s">
        <v>3103</v>
      </c>
      <c r="C3569" s="797" t="s">
        <v>1386</v>
      </c>
      <c r="D3569" s="797" t="s">
        <v>1386</v>
      </c>
      <c r="E3569" s="797" t="s">
        <v>1386</v>
      </c>
      <c r="F3569" s="793">
        <f t="shared" si="280"/>
        <v>0</v>
      </c>
      <c r="G3569" s="798"/>
      <c r="H3569" s="797" t="s">
        <v>1386</v>
      </c>
      <c r="I3569" s="798"/>
      <c r="J3569" s="793"/>
      <c r="K3569" s="776"/>
      <c r="M3569" s="62" t="e">
        <f>IF(#REF!&gt;6,3,5)</f>
        <v>#REF!</v>
      </c>
    </row>
    <row r="3570" spans="1:13" ht="24.75" customHeight="1">
      <c r="A3570" s="788">
        <f t="shared" si="279"/>
        <v>32</v>
      </c>
      <c r="B3570" s="775" t="s">
        <v>2925</v>
      </c>
      <c r="C3570" s="797">
        <v>5000000</v>
      </c>
      <c r="D3570" s="797">
        <v>5000000</v>
      </c>
      <c r="E3570" s="797">
        <v>5000000</v>
      </c>
      <c r="F3570" s="793">
        <f t="shared" si="280"/>
        <v>15000000</v>
      </c>
      <c r="G3570" s="798"/>
      <c r="H3570" s="797">
        <v>5000000</v>
      </c>
      <c r="I3570" s="798"/>
      <c r="J3570" s="793"/>
      <c r="K3570" s="776"/>
      <c r="M3570" s="62" t="e">
        <f>IF(#REF!&gt;6,3,5)</f>
        <v>#REF!</v>
      </c>
    </row>
    <row r="3571" spans="1:13" ht="24.75" customHeight="1">
      <c r="A3571" s="788">
        <f t="shared" si="279"/>
        <v>33</v>
      </c>
      <c r="B3571" s="775" t="s">
        <v>2926</v>
      </c>
      <c r="C3571" s="797">
        <v>5000000</v>
      </c>
      <c r="D3571" s="797">
        <v>5000000</v>
      </c>
      <c r="E3571" s="797">
        <v>5000000</v>
      </c>
      <c r="F3571" s="793">
        <f t="shared" si="280"/>
        <v>15000000</v>
      </c>
      <c r="G3571" s="798"/>
      <c r="H3571" s="797">
        <v>5000000</v>
      </c>
      <c r="I3571" s="798"/>
      <c r="J3571" s="793"/>
      <c r="K3571" s="776"/>
      <c r="M3571" s="62" t="e">
        <f>IF(#REF!&gt;6,3,5)</f>
        <v>#REF!</v>
      </c>
    </row>
    <row r="3572" spans="1:13" ht="24.75" customHeight="1">
      <c r="A3572" s="788">
        <f t="shared" si="279"/>
        <v>34</v>
      </c>
      <c r="B3572" s="775" t="s">
        <v>2902</v>
      </c>
      <c r="C3572" s="731" t="s">
        <v>3007</v>
      </c>
      <c r="D3572" s="731" t="s">
        <v>3007</v>
      </c>
      <c r="E3572" s="731" t="s">
        <v>3007</v>
      </c>
      <c r="F3572" s="793">
        <f t="shared" si="280"/>
        <v>0</v>
      </c>
      <c r="G3572" s="796"/>
      <c r="H3572" s="731" t="s">
        <v>3007</v>
      </c>
      <c r="I3572" s="796"/>
      <c r="J3572" s="793"/>
      <c r="K3572" s="776"/>
      <c r="M3572" s="62" t="e">
        <f>IF(#REF!&gt;6,3,5)</f>
        <v>#REF!</v>
      </c>
    </row>
    <row r="3573" spans="1:13" ht="24.75" customHeight="1">
      <c r="A3573" s="788">
        <f t="shared" si="279"/>
        <v>35</v>
      </c>
      <c r="B3573" s="775" t="s">
        <v>2903</v>
      </c>
      <c r="C3573" s="731" t="s">
        <v>3007</v>
      </c>
      <c r="D3573" s="731" t="s">
        <v>3007</v>
      </c>
      <c r="E3573" s="731" t="s">
        <v>3007</v>
      </c>
      <c r="F3573" s="793">
        <f t="shared" si="280"/>
        <v>0</v>
      </c>
      <c r="G3573" s="796"/>
      <c r="H3573" s="731" t="s">
        <v>3007</v>
      </c>
      <c r="I3573" s="796"/>
      <c r="J3573" s="793"/>
      <c r="K3573" s="776"/>
      <c r="M3573" s="62" t="e">
        <f>IF(#REF!&gt;6,3,5)</f>
        <v>#REF!</v>
      </c>
    </row>
    <row r="3574" spans="1:13" ht="24.75" customHeight="1">
      <c r="A3574" s="788">
        <f t="shared" si="279"/>
        <v>36</v>
      </c>
      <c r="B3574" s="775" t="s">
        <v>3646</v>
      </c>
      <c r="C3574" s="731">
        <v>2000000</v>
      </c>
      <c r="D3574" s="731">
        <v>10000000</v>
      </c>
      <c r="E3574" s="731">
        <v>10000000</v>
      </c>
      <c r="F3574" s="793">
        <f t="shared" si="280"/>
        <v>22000000</v>
      </c>
      <c r="G3574" s="796"/>
      <c r="H3574" s="731">
        <v>2400000</v>
      </c>
      <c r="I3574" s="796"/>
      <c r="J3574" s="793"/>
      <c r="K3574" s="776"/>
      <c r="M3574" s="62" t="e">
        <f>IF(#REF!&gt;6,3,5)</f>
        <v>#REF!</v>
      </c>
    </row>
    <row r="3575" spans="1:13" ht="24.75" customHeight="1">
      <c r="A3575" s="788">
        <f t="shared" si="279"/>
        <v>37</v>
      </c>
      <c r="B3575" s="775" t="s">
        <v>2709</v>
      </c>
      <c r="C3575" s="731" t="s">
        <v>3007</v>
      </c>
      <c r="D3575" s="731" t="s">
        <v>3007</v>
      </c>
      <c r="E3575" s="731" t="s">
        <v>3007</v>
      </c>
      <c r="F3575" s="793">
        <f t="shared" si="280"/>
        <v>0</v>
      </c>
      <c r="G3575" s="796"/>
      <c r="H3575" s="731" t="s">
        <v>3007</v>
      </c>
      <c r="I3575" s="796"/>
      <c r="J3575" s="793"/>
      <c r="K3575" s="776"/>
      <c r="M3575" s="62" t="e">
        <f>IF(#REF!&gt;6,3,5)</f>
        <v>#REF!</v>
      </c>
    </row>
    <row r="3576" spans="1:13" ht="24.75" customHeight="1">
      <c r="A3576" s="788">
        <f t="shared" si="279"/>
        <v>38</v>
      </c>
      <c r="B3576" s="775" t="s">
        <v>946</v>
      </c>
      <c r="C3576" s="731" t="s">
        <v>3007</v>
      </c>
      <c r="D3576" s="731" t="s">
        <v>3007</v>
      </c>
      <c r="E3576" s="731" t="s">
        <v>3007</v>
      </c>
      <c r="F3576" s="793">
        <f t="shared" si="280"/>
        <v>0</v>
      </c>
      <c r="G3576" s="796"/>
      <c r="H3576" s="731" t="s">
        <v>3007</v>
      </c>
      <c r="I3576" s="796"/>
      <c r="J3576" s="793"/>
      <c r="K3576" s="776"/>
      <c r="M3576" s="62" t="e">
        <f>IF(#REF!&gt;6,3,5)</f>
        <v>#REF!</v>
      </c>
    </row>
    <row r="3577" spans="1:13" ht="24.75" customHeight="1">
      <c r="A3577" s="788">
        <f t="shared" si="279"/>
        <v>39</v>
      </c>
      <c r="B3577" s="775" t="s">
        <v>4101</v>
      </c>
      <c r="C3577" s="797">
        <v>2000000</v>
      </c>
      <c r="D3577" s="797">
        <v>5000000</v>
      </c>
      <c r="E3577" s="797">
        <v>5000000</v>
      </c>
      <c r="F3577" s="793">
        <f t="shared" si="280"/>
        <v>12000000</v>
      </c>
      <c r="G3577" s="798"/>
      <c r="H3577" s="797">
        <v>2000000</v>
      </c>
      <c r="I3577" s="798"/>
      <c r="J3577" s="793"/>
      <c r="K3577" s="776"/>
      <c r="M3577" s="62" t="e">
        <f>IF(#REF!&gt;6,3,5)</f>
        <v>#REF!</v>
      </c>
    </row>
    <row r="3578" spans="1:13" ht="24.75" customHeight="1">
      <c r="A3578" s="788">
        <f t="shared" si="279"/>
        <v>40</v>
      </c>
      <c r="B3578" s="775" t="s">
        <v>106</v>
      </c>
      <c r="C3578" s="731" t="s">
        <v>3007</v>
      </c>
      <c r="D3578" s="731" t="s">
        <v>3007</v>
      </c>
      <c r="E3578" s="731" t="s">
        <v>3007</v>
      </c>
      <c r="F3578" s="793">
        <f t="shared" si="280"/>
        <v>0</v>
      </c>
      <c r="G3578" s="796"/>
      <c r="H3578" s="731" t="s">
        <v>3007</v>
      </c>
      <c r="I3578" s="796"/>
      <c r="J3578" s="793"/>
      <c r="K3578" s="776"/>
      <c r="M3578" s="62" t="e">
        <f>IF(#REF!&gt;6,3,5)</f>
        <v>#REF!</v>
      </c>
    </row>
    <row r="3579" spans="1:13" ht="24.75" customHeight="1">
      <c r="A3579" s="788">
        <f t="shared" si="279"/>
        <v>41</v>
      </c>
      <c r="B3579" s="775" t="s">
        <v>4100</v>
      </c>
      <c r="C3579" s="731" t="s">
        <v>3007</v>
      </c>
      <c r="D3579" s="797">
        <v>30000000</v>
      </c>
      <c r="E3579" s="797">
        <v>30000000</v>
      </c>
      <c r="F3579" s="793">
        <f>SUM(C3579:E3579)</f>
        <v>60000000</v>
      </c>
      <c r="G3579" s="798"/>
      <c r="H3579" s="731" t="s">
        <v>3007</v>
      </c>
      <c r="I3579" s="798"/>
      <c r="J3579" s="793"/>
      <c r="K3579" s="776"/>
      <c r="M3579" s="62" t="e">
        <f>IF(#REF!&gt;6,3,5)</f>
        <v>#REF!</v>
      </c>
    </row>
    <row r="3580" spans="1:13" ht="24.75" customHeight="1">
      <c r="A3580" s="788">
        <f t="shared" si="279"/>
        <v>42</v>
      </c>
      <c r="B3580" s="775" t="s">
        <v>4251</v>
      </c>
      <c r="C3580" s="731" t="s">
        <v>3007</v>
      </c>
      <c r="D3580" s="797">
        <v>250000000</v>
      </c>
      <c r="E3580" s="797">
        <v>300000000</v>
      </c>
      <c r="F3580" s="793">
        <f t="shared" si="280"/>
        <v>550000000</v>
      </c>
      <c r="G3580" s="798"/>
      <c r="H3580" s="731" t="s">
        <v>3007</v>
      </c>
      <c r="I3580" s="798"/>
      <c r="J3580" s="793"/>
      <c r="K3580" s="776"/>
      <c r="M3580" s="62" t="e">
        <f>IF(#REF!&gt;6,3,5)</f>
        <v>#REF!</v>
      </c>
    </row>
    <row r="3581" spans="1:13" ht="24.75" customHeight="1">
      <c r="A3581" s="770"/>
      <c r="B3581" s="770" t="s">
        <v>2241</v>
      </c>
      <c r="C3581" s="805">
        <f t="shared" ref="C3581:I3581" si="281">SUM(C3540:C3580)</f>
        <v>1245900000</v>
      </c>
      <c r="D3581" s="805">
        <f t="shared" si="281"/>
        <v>1182000000</v>
      </c>
      <c r="E3581" s="805">
        <f t="shared" si="281"/>
        <v>1232000000</v>
      </c>
      <c r="F3581" s="805">
        <f t="shared" si="281"/>
        <v>3659900000</v>
      </c>
      <c r="G3581" s="805">
        <f>SUM(G3540:G3580)</f>
        <v>547588210</v>
      </c>
      <c r="H3581" s="805">
        <f t="shared" si="281"/>
        <v>910400000</v>
      </c>
      <c r="I3581" s="805">
        <f t="shared" si="281"/>
        <v>197627329</v>
      </c>
      <c r="J3581" s="805"/>
      <c r="K3581" s="806"/>
      <c r="M3581" s="62" t="e">
        <f>IF(#REF!&gt;6,3,5)</f>
        <v>#REF!</v>
      </c>
    </row>
    <row r="3582" spans="1:13" ht="15">
      <c r="C3582" s="77"/>
      <c r="D3582" s="78" t="s">
        <v>5434</v>
      </c>
      <c r="J3582" s="584"/>
      <c r="K3582" s="584"/>
      <c r="M3582" s="62">
        <f t="shared" ref="M3582:M3632" si="282">IF(C3582&gt;6,3,5)</f>
        <v>5</v>
      </c>
    </row>
    <row r="3583" spans="1:13" ht="15">
      <c r="C3583" s="77"/>
      <c r="D3583" s="78" t="s">
        <v>1693</v>
      </c>
      <c r="J3583" s="584"/>
      <c r="K3583" s="584"/>
      <c r="M3583" s="62">
        <f t="shared" si="282"/>
        <v>5</v>
      </c>
    </row>
    <row r="3584" spans="1:13" ht="15">
      <c r="C3584" s="79" t="s">
        <v>717</v>
      </c>
      <c r="D3584" s="78" t="s">
        <v>1248</v>
      </c>
      <c r="J3584" s="584"/>
      <c r="K3584" s="584"/>
      <c r="M3584" s="62">
        <f t="shared" si="282"/>
        <v>3</v>
      </c>
    </row>
    <row r="3585" spans="1:13" ht="15.75" thickBot="1">
      <c r="C3585" s="79" t="s">
        <v>718</v>
      </c>
      <c r="D3585" s="78" t="s">
        <v>3152</v>
      </c>
      <c r="J3585" s="584"/>
      <c r="K3585" s="584"/>
      <c r="M3585" s="62">
        <f t="shared" si="282"/>
        <v>3</v>
      </c>
    </row>
    <row r="3586" spans="1:13" ht="15.75" thickTop="1">
      <c r="A3586" s="1047" t="s">
        <v>2791</v>
      </c>
      <c r="B3586" s="1049" t="s">
        <v>4126</v>
      </c>
      <c r="C3586" s="1049" t="s">
        <v>854</v>
      </c>
      <c r="D3586" s="1040" t="s">
        <v>4127</v>
      </c>
      <c r="E3586" s="1041"/>
      <c r="F3586" s="1041"/>
      <c r="G3586" s="1040" t="s">
        <v>904</v>
      </c>
      <c r="H3586" s="1041"/>
      <c r="I3586" s="1042"/>
      <c r="J3586" s="1035" t="s">
        <v>855</v>
      </c>
      <c r="K3586" s="389"/>
    </row>
    <row r="3587" spans="1:13" ht="26.25" thickBot="1">
      <c r="A3587" s="1048"/>
      <c r="B3587" s="1050"/>
      <c r="C3587" s="1050"/>
      <c r="D3587" s="285" t="s">
        <v>5505</v>
      </c>
      <c r="E3587" s="285" t="s">
        <v>4485</v>
      </c>
      <c r="F3587" s="285" t="s">
        <v>4486</v>
      </c>
      <c r="G3587" s="287" t="s">
        <v>4487</v>
      </c>
      <c r="H3587" s="285" t="s">
        <v>4488</v>
      </c>
      <c r="I3587" s="287" t="s">
        <v>4489</v>
      </c>
      <c r="J3587" s="1036"/>
      <c r="K3587" s="712"/>
    </row>
    <row r="3588" spans="1:13" ht="13.5" thickTop="1">
      <c r="A3588" s="88" t="s">
        <v>1840</v>
      </c>
      <c r="B3588" s="97" t="s">
        <v>2051</v>
      </c>
      <c r="C3588" s="69"/>
      <c r="D3588" s="89"/>
      <c r="E3588" s="89"/>
      <c r="F3588" s="89"/>
      <c r="G3588" s="89"/>
      <c r="H3588" s="89"/>
      <c r="I3588" s="89"/>
      <c r="J3588" s="713"/>
      <c r="K3588" s="711"/>
      <c r="M3588" s="62">
        <f t="shared" si="282"/>
        <v>5</v>
      </c>
    </row>
    <row r="3589" spans="1:13">
      <c r="A3589" s="88">
        <v>3</v>
      </c>
      <c r="B3589" s="69" t="s">
        <v>538</v>
      </c>
      <c r="C3589" s="69">
        <v>7</v>
      </c>
      <c r="D3589" s="89">
        <v>3</v>
      </c>
      <c r="E3589" s="89">
        <v>5</v>
      </c>
      <c r="F3589" s="89">
        <v>3</v>
      </c>
      <c r="G3589" s="89">
        <v>3</v>
      </c>
      <c r="H3589" s="89">
        <v>5</v>
      </c>
      <c r="I3589" s="89">
        <v>3</v>
      </c>
      <c r="J3589" s="710">
        <f>(VLOOKUP($C3589,[2]Sheet1!$A$2:$P$18,$M3589+1)/12)*12*D3589</f>
        <v>923120.1072000002</v>
      </c>
      <c r="K3589" s="711"/>
      <c r="M3589" s="62">
        <f t="shared" si="282"/>
        <v>3</v>
      </c>
    </row>
    <row r="3590" spans="1:13">
      <c r="A3590" s="88">
        <f t="shared" ref="A3590:A3620" si="283">+A3589+1</f>
        <v>4</v>
      </c>
      <c r="B3590" s="69" t="s">
        <v>405</v>
      </c>
      <c r="C3590" s="69">
        <v>6</v>
      </c>
      <c r="D3590" s="89">
        <v>5</v>
      </c>
      <c r="E3590" s="89">
        <v>6</v>
      </c>
      <c r="F3590" s="89">
        <v>5</v>
      </c>
      <c r="G3590" s="89">
        <v>5</v>
      </c>
      <c r="H3590" s="89">
        <v>6</v>
      </c>
      <c r="I3590" s="89">
        <v>5</v>
      </c>
      <c r="J3590" s="710">
        <f>(VLOOKUP($C3590,[2]Sheet1!$A$2:$P$18,$M3590+1)/12)*12*D3590</f>
        <v>1190496.8946518248</v>
      </c>
      <c r="K3590" s="711"/>
      <c r="M3590" s="62">
        <f t="shared" si="282"/>
        <v>5</v>
      </c>
    </row>
    <row r="3591" spans="1:13">
      <c r="A3591" s="88">
        <f t="shared" si="283"/>
        <v>5</v>
      </c>
      <c r="B3591" s="69" t="s">
        <v>3770</v>
      </c>
      <c r="C3591" s="69">
        <v>5</v>
      </c>
      <c r="D3591" s="89">
        <v>3</v>
      </c>
      <c r="E3591" s="89">
        <v>3</v>
      </c>
      <c r="F3591" s="89">
        <v>3</v>
      </c>
      <c r="G3591" s="89">
        <v>3</v>
      </c>
      <c r="H3591" s="89">
        <v>3</v>
      </c>
      <c r="I3591" s="89">
        <v>3</v>
      </c>
      <c r="J3591" s="710">
        <f>(VLOOKUP($C3591,[2]Sheet1!$A$2:$P$18,$M3591+1)/12)*12*D3591</f>
        <v>688709.33679109497</v>
      </c>
      <c r="K3591" s="711"/>
      <c r="M3591" s="62">
        <f t="shared" si="282"/>
        <v>5</v>
      </c>
    </row>
    <row r="3592" spans="1:13">
      <c r="A3592" s="88">
        <f t="shared" si="283"/>
        <v>6</v>
      </c>
      <c r="B3592" s="69" t="s">
        <v>3662</v>
      </c>
      <c r="C3592" s="69">
        <v>4</v>
      </c>
      <c r="D3592" s="89">
        <v>2</v>
      </c>
      <c r="E3592" s="89">
        <v>2</v>
      </c>
      <c r="F3592" s="89">
        <v>0</v>
      </c>
      <c r="G3592" s="89">
        <v>0</v>
      </c>
      <c r="H3592" s="89">
        <v>2</v>
      </c>
      <c r="I3592" s="89">
        <v>2</v>
      </c>
      <c r="J3592" s="710">
        <f>(VLOOKUP($C3592,[2]Sheet1!$A$2:$P$18,$M3592+1)/12)*12*D3592</f>
        <v>449085.95786073001</v>
      </c>
      <c r="K3592" s="711"/>
      <c r="M3592" s="62">
        <f t="shared" si="282"/>
        <v>5</v>
      </c>
    </row>
    <row r="3593" spans="1:13">
      <c r="A3593" s="88">
        <f t="shared" si="283"/>
        <v>7</v>
      </c>
      <c r="B3593" s="69" t="s">
        <v>957</v>
      </c>
      <c r="C3593" s="69">
        <v>3</v>
      </c>
      <c r="D3593" s="89">
        <v>9</v>
      </c>
      <c r="E3593" s="89">
        <v>9</v>
      </c>
      <c r="F3593" s="89">
        <v>9</v>
      </c>
      <c r="G3593" s="89">
        <v>9</v>
      </c>
      <c r="H3593" s="89">
        <v>9</v>
      </c>
      <c r="I3593" s="89">
        <v>9</v>
      </c>
      <c r="J3593" s="710">
        <f>(VLOOKUP($C3593,[2]Sheet1!$A$2:$P$18,$M3593+1)/12)*12*D3593</f>
        <v>1974025.6103732849</v>
      </c>
      <c r="K3593" s="711"/>
      <c r="M3593" s="62">
        <f t="shared" si="282"/>
        <v>5</v>
      </c>
    </row>
    <row r="3594" spans="1:13">
      <c r="A3594" s="88">
        <f t="shared" si="283"/>
        <v>8</v>
      </c>
      <c r="B3594" s="69" t="s">
        <v>3796</v>
      </c>
      <c r="C3594" s="69">
        <v>5</v>
      </c>
      <c r="D3594" s="89">
        <v>2</v>
      </c>
      <c r="E3594" s="89">
        <v>2</v>
      </c>
      <c r="F3594" s="89">
        <v>2</v>
      </c>
      <c r="G3594" s="89">
        <v>2</v>
      </c>
      <c r="H3594" s="89">
        <v>2</v>
      </c>
      <c r="I3594" s="89">
        <v>2</v>
      </c>
      <c r="J3594" s="710">
        <f>(VLOOKUP($C3594,[2]Sheet1!$A$2:$P$18,$M3594+1)/12)*12*D3594</f>
        <v>459139.55786072998</v>
      </c>
      <c r="K3594" s="711"/>
      <c r="M3594" s="62">
        <f t="shared" si="282"/>
        <v>5</v>
      </c>
    </row>
    <row r="3595" spans="1:13">
      <c r="A3595" s="88">
        <f t="shared" si="283"/>
        <v>9</v>
      </c>
      <c r="B3595" s="69" t="s">
        <v>2473</v>
      </c>
      <c r="C3595" s="69">
        <v>3</v>
      </c>
      <c r="D3595" s="89">
        <v>2</v>
      </c>
      <c r="E3595" s="89">
        <v>2</v>
      </c>
      <c r="F3595" s="89">
        <v>2</v>
      </c>
      <c r="G3595" s="89">
        <v>2</v>
      </c>
      <c r="H3595" s="89">
        <v>2</v>
      </c>
      <c r="I3595" s="89">
        <v>2</v>
      </c>
      <c r="J3595" s="710">
        <f>(VLOOKUP($C3595,[2]Sheet1!$A$2:$P$18,$M3595+1)/12)*12*D3595</f>
        <v>438672.35786072997</v>
      </c>
      <c r="K3595" s="711"/>
      <c r="M3595" s="62">
        <f t="shared" si="282"/>
        <v>5</v>
      </c>
    </row>
    <row r="3596" spans="1:13">
      <c r="A3596" s="88">
        <f t="shared" si="283"/>
        <v>10</v>
      </c>
      <c r="B3596" s="69" t="s">
        <v>2694</v>
      </c>
      <c r="C3596" s="69">
        <v>5</v>
      </c>
      <c r="D3596" s="89">
        <v>1</v>
      </c>
      <c r="E3596" s="89">
        <v>0</v>
      </c>
      <c r="F3596" s="89">
        <v>0</v>
      </c>
      <c r="G3596" s="89">
        <v>0</v>
      </c>
      <c r="H3596" s="89">
        <v>0</v>
      </c>
      <c r="I3596" s="89">
        <v>1</v>
      </c>
      <c r="J3596" s="710">
        <f>(VLOOKUP($C3596,[2]Sheet1!$A$2:$P$18,$M3596+1)/12)*12*D3596</f>
        <v>229569.77893036499</v>
      </c>
      <c r="K3596" s="711"/>
      <c r="M3596" s="62">
        <f t="shared" si="282"/>
        <v>5</v>
      </c>
    </row>
    <row r="3597" spans="1:13">
      <c r="A3597" s="88">
        <f t="shared" si="283"/>
        <v>11</v>
      </c>
      <c r="B3597" s="69" t="s">
        <v>2787</v>
      </c>
      <c r="C3597" s="69">
        <v>5</v>
      </c>
      <c r="D3597" s="89">
        <v>1</v>
      </c>
      <c r="E3597" s="89">
        <v>0</v>
      </c>
      <c r="F3597" s="89">
        <v>0</v>
      </c>
      <c r="G3597" s="89">
        <v>0</v>
      </c>
      <c r="H3597" s="89">
        <v>0</v>
      </c>
      <c r="I3597" s="89">
        <v>1</v>
      </c>
      <c r="J3597" s="710">
        <f>(VLOOKUP($C3597,[2]Sheet1!$A$2:$P$18,$M3597+1)/12)*12*D3597</f>
        <v>229569.77893036499</v>
      </c>
      <c r="K3597" s="711"/>
      <c r="M3597" s="62">
        <f t="shared" si="282"/>
        <v>5</v>
      </c>
    </row>
    <row r="3598" spans="1:13">
      <c r="A3598" s="88">
        <f t="shared" si="283"/>
        <v>12</v>
      </c>
      <c r="B3598" s="69" t="s">
        <v>2179</v>
      </c>
      <c r="C3598" s="69">
        <v>4</v>
      </c>
      <c r="D3598" s="89">
        <v>7</v>
      </c>
      <c r="E3598" s="89">
        <v>7</v>
      </c>
      <c r="F3598" s="89">
        <v>7</v>
      </c>
      <c r="G3598" s="89">
        <v>7</v>
      </c>
      <c r="H3598" s="89">
        <v>7</v>
      </c>
      <c r="I3598" s="89">
        <v>7</v>
      </c>
      <c r="J3598" s="710">
        <f>(VLOOKUP($C3598,[2]Sheet1!$A$2:$P$18,$M3598+1)/12)*12*D3598</f>
        <v>1571800.852512555</v>
      </c>
      <c r="K3598" s="711"/>
      <c r="M3598" s="62">
        <f t="shared" si="282"/>
        <v>5</v>
      </c>
    </row>
    <row r="3599" spans="1:13">
      <c r="A3599" s="88">
        <f t="shared" si="283"/>
        <v>13</v>
      </c>
      <c r="B3599" s="69" t="s">
        <v>2542</v>
      </c>
      <c r="C3599" s="69">
        <v>3</v>
      </c>
      <c r="D3599" s="89">
        <v>6</v>
      </c>
      <c r="E3599" s="89">
        <v>6</v>
      </c>
      <c r="F3599" s="89">
        <v>6</v>
      </c>
      <c r="G3599" s="89">
        <v>6</v>
      </c>
      <c r="H3599" s="89">
        <v>6</v>
      </c>
      <c r="I3599" s="89">
        <v>6</v>
      </c>
      <c r="J3599" s="710">
        <f>(VLOOKUP($C3599,[2]Sheet1!$A$2:$P$18,$M3599+1)/12)*12*D3599</f>
        <v>1316017.0735821899</v>
      </c>
      <c r="K3599" s="711"/>
      <c r="M3599" s="62">
        <f t="shared" si="282"/>
        <v>5</v>
      </c>
    </row>
    <row r="3600" spans="1:13">
      <c r="A3600" s="88">
        <f t="shared" si="283"/>
        <v>14</v>
      </c>
      <c r="B3600" s="69" t="s">
        <v>2543</v>
      </c>
      <c r="C3600" s="69">
        <v>2</v>
      </c>
      <c r="D3600" s="89">
        <v>7</v>
      </c>
      <c r="E3600" s="89">
        <v>7</v>
      </c>
      <c r="F3600" s="89">
        <v>7</v>
      </c>
      <c r="G3600" s="89">
        <v>7</v>
      </c>
      <c r="H3600" s="89">
        <v>7</v>
      </c>
      <c r="I3600" s="89">
        <v>7</v>
      </c>
      <c r="J3600" s="710">
        <f>(VLOOKUP($C3600,[2]Sheet1!$A$2:$P$18,$M3600+1)/12)*12*D3600</f>
        <v>1502601.6525125552</v>
      </c>
      <c r="K3600" s="711"/>
      <c r="M3600" s="62">
        <f t="shared" si="282"/>
        <v>5</v>
      </c>
    </row>
    <row r="3601" spans="1:13">
      <c r="A3601" s="88">
        <f t="shared" si="283"/>
        <v>15</v>
      </c>
      <c r="B3601" s="69" t="s">
        <v>3452</v>
      </c>
      <c r="C3601" s="69">
        <v>3</v>
      </c>
      <c r="D3601" s="89">
        <v>8</v>
      </c>
      <c r="E3601" s="89">
        <v>8</v>
      </c>
      <c r="F3601" s="89">
        <v>8</v>
      </c>
      <c r="G3601" s="89">
        <v>8</v>
      </c>
      <c r="H3601" s="89">
        <v>8</v>
      </c>
      <c r="I3601" s="89">
        <v>8</v>
      </c>
      <c r="J3601" s="710">
        <f>(VLOOKUP($C3601,[2]Sheet1!$A$2:$P$18,$M3601+1)/12)*12*D3601</f>
        <v>1754689.4314429199</v>
      </c>
      <c r="K3601" s="711"/>
      <c r="M3601" s="62">
        <f t="shared" si="282"/>
        <v>5</v>
      </c>
    </row>
    <row r="3602" spans="1:13">
      <c r="A3602" s="88">
        <f t="shared" si="283"/>
        <v>16</v>
      </c>
      <c r="B3602" s="69" t="s">
        <v>952</v>
      </c>
      <c r="C3602" s="69">
        <v>2</v>
      </c>
      <c r="D3602" s="89">
        <v>7</v>
      </c>
      <c r="E3602" s="89">
        <v>10</v>
      </c>
      <c r="F3602" s="89">
        <v>10</v>
      </c>
      <c r="G3602" s="89">
        <v>10</v>
      </c>
      <c r="H3602" s="89">
        <v>10</v>
      </c>
      <c r="I3602" s="89">
        <v>7</v>
      </c>
      <c r="J3602" s="710">
        <f>(VLOOKUP($C3602,[2]Sheet1!$A$2:$P$18,$M3602+1)/12)*12*D3602</f>
        <v>1502601.6525125552</v>
      </c>
      <c r="K3602" s="711"/>
      <c r="M3602" s="62">
        <f t="shared" si="282"/>
        <v>5</v>
      </c>
    </row>
    <row r="3603" spans="1:13">
      <c r="A3603" s="88">
        <f t="shared" si="283"/>
        <v>17</v>
      </c>
      <c r="B3603" s="69" t="s">
        <v>2242</v>
      </c>
      <c r="C3603" s="69">
        <v>4</v>
      </c>
      <c r="D3603" s="89">
        <v>8</v>
      </c>
      <c r="E3603" s="89">
        <v>4</v>
      </c>
      <c r="F3603" s="89">
        <v>4</v>
      </c>
      <c r="G3603" s="89">
        <v>4</v>
      </c>
      <c r="H3603" s="89">
        <v>4</v>
      </c>
      <c r="I3603" s="89">
        <v>8</v>
      </c>
      <c r="J3603" s="710">
        <f>(VLOOKUP($C3603,[2]Sheet1!$A$2:$P$18,$M3603+1)/12)*12*D3603</f>
        <v>1796343.83144292</v>
      </c>
      <c r="K3603" s="711"/>
      <c r="M3603" s="62">
        <f t="shared" si="282"/>
        <v>5</v>
      </c>
    </row>
    <row r="3604" spans="1:13">
      <c r="A3604" s="88">
        <f t="shared" si="283"/>
        <v>18</v>
      </c>
      <c r="B3604" s="69" t="s">
        <v>2171</v>
      </c>
      <c r="C3604" s="69">
        <v>3</v>
      </c>
      <c r="D3604" s="89">
        <v>10</v>
      </c>
      <c r="E3604" s="89">
        <v>23</v>
      </c>
      <c r="F3604" s="89">
        <v>21</v>
      </c>
      <c r="G3604" s="89">
        <v>21</v>
      </c>
      <c r="H3604" s="89">
        <v>23</v>
      </c>
      <c r="I3604" s="89">
        <v>10</v>
      </c>
      <c r="J3604" s="710">
        <f>(VLOOKUP($C3604,[2]Sheet1!$A$2:$P$18,$M3604+1)/12)*12*D3604</f>
        <v>2193361.7893036497</v>
      </c>
      <c r="K3604" s="711"/>
      <c r="M3604" s="62">
        <f t="shared" si="282"/>
        <v>5</v>
      </c>
    </row>
    <row r="3605" spans="1:13">
      <c r="A3605" s="88">
        <f t="shared" si="283"/>
        <v>19</v>
      </c>
      <c r="B3605" s="69" t="s">
        <v>2172</v>
      </c>
      <c r="C3605" s="69">
        <v>2</v>
      </c>
      <c r="D3605" s="89">
        <v>4</v>
      </c>
      <c r="E3605" s="89">
        <v>10</v>
      </c>
      <c r="F3605" s="89">
        <v>10</v>
      </c>
      <c r="G3605" s="89">
        <v>10</v>
      </c>
      <c r="H3605" s="89">
        <v>10</v>
      </c>
      <c r="I3605" s="89">
        <v>4</v>
      </c>
      <c r="J3605" s="710">
        <f>(VLOOKUP($C3605,[2]Sheet1!$A$2:$P$18,$M3605+1)/12)*12*D3605</f>
        <v>858629.51572146011</v>
      </c>
      <c r="K3605" s="711"/>
      <c r="M3605" s="62">
        <f t="shared" si="282"/>
        <v>5</v>
      </c>
    </row>
    <row r="3606" spans="1:13">
      <c r="A3606" s="88">
        <f t="shared" si="283"/>
        <v>20</v>
      </c>
      <c r="B3606" s="69" t="s">
        <v>176</v>
      </c>
      <c r="C3606" s="69">
        <v>7</v>
      </c>
      <c r="D3606" s="89">
        <v>21</v>
      </c>
      <c r="E3606" s="89">
        <v>1</v>
      </c>
      <c r="F3606" s="89">
        <v>1</v>
      </c>
      <c r="G3606" s="89">
        <v>1</v>
      </c>
      <c r="H3606" s="89">
        <v>1</v>
      </c>
      <c r="I3606" s="89">
        <v>21</v>
      </c>
      <c r="J3606" s="710">
        <f>(VLOOKUP($C3606,[2]Sheet1!$A$2:$P$18,$M3606+1)/12)*12*D3606</f>
        <v>6461840.7504000012</v>
      </c>
      <c r="K3606" s="711"/>
      <c r="M3606" s="62">
        <f t="shared" si="282"/>
        <v>3</v>
      </c>
    </row>
    <row r="3607" spans="1:13">
      <c r="A3607" s="88">
        <f t="shared" si="283"/>
        <v>21</v>
      </c>
      <c r="B3607" s="69" t="s">
        <v>177</v>
      </c>
      <c r="C3607" s="69">
        <v>3</v>
      </c>
      <c r="D3607" s="89">
        <v>1</v>
      </c>
      <c r="E3607" s="89">
        <v>1</v>
      </c>
      <c r="F3607" s="89">
        <v>1</v>
      </c>
      <c r="G3607" s="89">
        <v>1</v>
      </c>
      <c r="H3607" s="89">
        <v>1</v>
      </c>
      <c r="I3607" s="89">
        <v>1</v>
      </c>
      <c r="J3607" s="710">
        <f>(VLOOKUP($C3607,[2]Sheet1!$A$2:$P$18,$M3607+1)/12)*12*D3607</f>
        <v>219336.17893036499</v>
      </c>
      <c r="K3607" s="711"/>
      <c r="M3607" s="62">
        <f t="shared" si="282"/>
        <v>5</v>
      </c>
    </row>
    <row r="3608" spans="1:13">
      <c r="A3608" s="88">
        <f t="shared" si="283"/>
        <v>22</v>
      </c>
      <c r="B3608" s="69" t="s">
        <v>178</v>
      </c>
      <c r="C3608" s="69">
        <v>7</v>
      </c>
      <c r="D3608" s="89">
        <v>3</v>
      </c>
      <c r="E3608" s="89">
        <v>1</v>
      </c>
      <c r="F3608" s="89">
        <v>1</v>
      </c>
      <c r="G3608" s="89">
        <v>1</v>
      </c>
      <c r="H3608" s="89">
        <v>1</v>
      </c>
      <c r="I3608" s="89">
        <v>3</v>
      </c>
      <c r="J3608" s="710">
        <f>(VLOOKUP($C3608,[2]Sheet1!$A$2:$P$18,$M3608+1)/12)*12*D3608</f>
        <v>923120.1072000002</v>
      </c>
      <c r="K3608" s="711"/>
      <c r="M3608" s="62">
        <f t="shared" si="282"/>
        <v>3</v>
      </c>
    </row>
    <row r="3609" spans="1:13">
      <c r="A3609" s="88">
        <f t="shared" si="283"/>
        <v>23</v>
      </c>
      <c r="B3609" s="69" t="s">
        <v>1578</v>
      </c>
      <c r="C3609" s="69">
        <v>5</v>
      </c>
      <c r="D3609" s="89">
        <v>10</v>
      </c>
      <c r="E3609" s="89">
        <v>3</v>
      </c>
      <c r="F3609" s="89">
        <v>3</v>
      </c>
      <c r="G3609" s="89">
        <v>3</v>
      </c>
      <c r="H3609" s="89">
        <v>3</v>
      </c>
      <c r="I3609" s="89">
        <v>10</v>
      </c>
      <c r="J3609" s="710">
        <f>(VLOOKUP($C3609,[2]Sheet1!$A$2:$P$18,$M3609+1)/12)*12*D3609</f>
        <v>2295697.7893036501</v>
      </c>
      <c r="K3609" s="711"/>
      <c r="M3609" s="62">
        <f t="shared" si="282"/>
        <v>5</v>
      </c>
    </row>
    <row r="3610" spans="1:13">
      <c r="A3610" s="88">
        <f t="shared" si="283"/>
        <v>24</v>
      </c>
      <c r="B3610" s="69" t="s">
        <v>1579</v>
      </c>
      <c r="C3610" s="69">
        <v>4</v>
      </c>
      <c r="D3610" s="89">
        <v>10</v>
      </c>
      <c r="E3610" s="89">
        <v>10</v>
      </c>
      <c r="F3610" s="89">
        <v>10</v>
      </c>
      <c r="G3610" s="89">
        <v>10</v>
      </c>
      <c r="H3610" s="89">
        <v>10</v>
      </c>
      <c r="I3610" s="89">
        <v>10</v>
      </c>
      <c r="J3610" s="710">
        <f>(VLOOKUP($C3610,[2]Sheet1!$A$2:$P$18,$M3610+1)/12)*12*D3610</f>
        <v>2245429.7893036501</v>
      </c>
      <c r="K3610" s="711"/>
      <c r="M3610" s="62">
        <f t="shared" si="282"/>
        <v>5</v>
      </c>
    </row>
    <row r="3611" spans="1:13">
      <c r="A3611" s="88">
        <f t="shared" si="283"/>
        <v>25</v>
      </c>
      <c r="B3611" s="69" t="s">
        <v>423</v>
      </c>
      <c r="C3611" s="69">
        <v>3</v>
      </c>
      <c r="D3611" s="89">
        <v>10</v>
      </c>
      <c r="E3611" s="89">
        <v>10</v>
      </c>
      <c r="F3611" s="89">
        <v>10</v>
      </c>
      <c r="G3611" s="89">
        <v>10</v>
      </c>
      <c r="H3611" s="89">
        <v>10</v>
      </c>
      <c r="I3611" s="89">
        <v>10</v>
      </c>
      <c r="J3611" s="710">
        <f>(VLOOKUP($C3611,[2]Sheet1!$A$2:$P$18,$M3611+1)/12)*12*D3611</f>
        <v>2193361.7893036497</v>
      </c>
      <c r="K3611" s="711"/>
      <c r="M3611" s="62">
        <f t="shared" si="282"/>
        <v>5</v>
      </c>
    </row>
    <row r="3612" spans="1:13">
      <c r="A3612" s="88">
        <f t="shared" si="283"/>
        <v>26</v>
      </c>
      <c r="B3612" s="69" t="s">
        <v>259</v>
      </c>
      <c r="C3612" s="69">
        <v>5</v>
      </c>
      <c r="D3612" s="89">
        <v>1</v>
      </c>
      <c r="E3612" s="89">
        <v>1</v>
      </c>
      <c r="F3612" s="89">
        <v>1</v>
      </c>
      <c r="G3612" s="89">
        <v>1</v>
      </c>
      <c r="H3612" s="89">
        <v>1</v>
      </c>
      <c r="I3612" s="89">
        <v>1</v>
      </c>
      <c r="J3612" s="710">
        <f>(VLOOKUP($C3612,[2]Sheet1!$A$2:$P$18,$M3612+1)/12)*12*D3612</f>
        <v>229569.77893036499</v>
      </c>
      <c r="K3612" s="711"/>
      <c r="M3612" s="62">
        <f t="shared" si="282"/>
        <v>5</v>
      </c>
    </row>
    <row r="3613" spans="1:13">
      <c r="A3613" s="88">
        <f t="shared" si="283"/>
        <v>27</v>
      </c>
      <c r="B3613" s="69" t="s">
        <v>1580</v>
      </c>
      <c r="C3613" s="69">
        <v>4</v>
      </c>
      <c r="D3613" s="89">
        <v>1</v>
      </c>
      <c r="E3613" s="89">
        <v>1</v>
      </c>
      <c r="F3613" s="89">
        <v>1</v>
      </c>
      <c r="G3613" s="89">
        <v>1</v>
      </c>
      <c r="H3613" s="89">
        <v>1</v>
      </c>
      <c r="I3613" s="89">
        <v>1</v>
      </c>
      <c r="J3613" s="710">
        <f>(VLOOKUP($C3613,[2]Sheet1!$A$2:$P$18,$M3613+1)/12)*12*D3613</f>
        <v>224542.978930365</v>
      </c>
      <c r="K3613" s="711"/>
      <c r="M3613" s="62">
        <f t="shared" si="282"/>
        <v>5</v>
      </c>
    </row>
    <row r="3614" spans="1:13">
      <c r="A3614" s="88">
        <f t="shared" si="283"/>
        <v>28</v>
      </c>
      <c r="B3614" s="69" t="s">
        <v>3250</v>
      </c>
      <c r="C3614" s="69">
        <v>7</v>
      </c>
      <c r="D3614" s="89">
        <v>3</v>
      </c>
      <c r="E3614" s="89">
        <v>3</v>
      </c>
      <c r="F3614" s="89">
        <v>3</v>
      </c>
      <c r="G3614" s="89">
        <v>3</v>
      </c>
      <c r="H3614" s="89">
        <v>3</v>
      </c>
      <c r="I3614" s="89">
        <v>3</v>
      </c>
      <c r="J3614" s="710">
        <f>(VLOOKUP($C3614,[2]Sheet1!$A$2:$P$18,$M3614+1)/12)*12*D3614</f>
        <v>923120.1072000002</v>
      </c>
      <c r="K3614" s="711"/>
      <c r="M3614" s="62">
        <f t="shared" si="282"/>
        <v>3</v>
      </c>
    </row>
    <row r="3615" spans="1:13">
      <c r="A3615" s="88">
        <f t="shared" si="283"/>
        <v>29</v>
      </c>
      <c r="B3615" s="69" t="s">
        <v>1894</v>
      </c>
      <c r="C3615" s="69">
        <v>6</v>
      </c>
      <c r="D3615" s="89">
        <v>3</v>
      </c>
      <c r="E3615" s="89">
        <v>3</v>
      </c>
      <c r="F3615" s="89">
        <v>3</v>
      </c>
      <c r="G3615" s="89">
        <v>3</v>
      </c>
      <c r="H3615" s="89">
        <v>3</v>
      </c>
      <c r="I3615" s="89">
        <v>3</v>
      </c>
      <c r="J3615" s="710">
        <f>(VLOOKUP($C3615,[2]Sheet1!$A$2:$P$18,$M3615+1)/12)*12*D3615</f>
        <v>714298.1367910949</v>
      </c>
      <c r="K3615" s="711"/>
      <c r="M3615" s="62">
        <f t="shared" si="282"/>
        <v>5</v>
      </c>
    </row>
    <row r="3616" spans="1:13">
      <c r="A3616" s="88">
        <f t="shared" si="283"/>
        <v>30</v>
      </c>
      <c r="B3616" s="69" t="s">
        <v>3983</v>
      </c>
      <c r="C3616" s="69">
        <v>5</v>
      </c>
      <c r="D3616" s="89">
        <v>2</v>
      </c>
      <c r="E3616" s="89">
        <v>2</v>
      </c>
      <c r="F3616" s="89">
        <v>2</v>
      </c>
      <c r="G3616" s="89">
        <v>2</v>
      </c>
      <c r="H3616" s="89">
        <v>2</v>
      </c>
      <c r="I3616" s="89">
        <v>2</v>
      </c>
      <c r="J3616" s="710">
        <f>(VLOOKUP($C3616,[2]Sheet1!$A$2:$P$18,$M3616+1)/12)*12*D3616</f>
        <v>459139.55786072998</v>
      </c>
      <c r="K3616" s="711"/>
      <c r="M3616" s="62">
        <f t="shared" si="282"/>
        <v>5</v>
      </c>
    </row>
    <row r="3617" spans="1:13">
      <c r="A3617" s="88">
        <f t="shared" si="283"/>
        <v>31</v>
      </c>
      <c r="B3617" s="69" t="s">
        <v>2232</v>
      </c>
      <c r="C3617" s="69">
        <v>4</v>
      </c>
      <c r="D3617" s="89">
        <v>1</v>
      </c>
      <c r="E3617" s="89">
        <v>1</v>
      </c>
      <c r="F3617" s="89">
        <v>1</v>
      </c>
      <c r="G3617" s="89">
        <v>1</v>
      </c>
      <c r="H3617" s="89">
        <v>1</v>
      </c>
      <c r="I3617" s="89">
        <v>1</v>
      </c>
      <c r="J3617" s="710">
        <f>(VLOOKUP($C3617,[2]Sheet1!$A$2:$P$18,$M3617+1)/12)*12*D3617</f>
        <v>224542.978930365</v>
      </c>
      <c r="K3617" s="711"/>
      <c r="M3617" s="62">
        <f t="shared" si="282"/>
        <v>5</v>
      </c>
    </row>
    <row r="3618" spans="1:13">
      <c r="A3618" s="88">
        <f t="shared" si="283"/>
        <v>32</v>
      </c>
      <c r="B3618" s="69" t="s">
        <v>919</v>
      </c>
      <c r="C3618" s="69">
        <v>6</v>
      </c>
      <c r="D3618" s="89">
        <v>2</v>
      </c>
      <c r="E3618" s="89">
        <v>2</v>
      </c>
      <c r="F3618" s="89">
        <v>2</v>
      </c>
      <c r="G3618" s="89">
        <v>2</v>
      </c>
      <c r="H3618" s="89">
        <v>2</v>
      </c>
      <c r="I3618" s="89">
        <v>2</v>
      </c>
      <c r="J3618" s="710">
        <f>(VLOOKUP($C3618,[2]Sheet1!$A$2:$P$18,$M3618+1)/12)*12*D3618</f>
        <v>476198.75786072994</v>
      </c>
      <c r="K3618" s="711"/>
      <c r="M3618" s="62">
        <f t="shared" si="282"/>
        <v>5</v>
      </c>
    </row>
    <row r="3619" spans="1:13">
      <c r="A3619" s="88">
        <f t="shared" si="283"/>
        <v>33</v>
      </c>
      <c r="B3619" s="69" t="s">
        <v>2029</v>
      </c>
      <c r="C3619" s="69">
        <v>9</v>
      </c>
      <c r="D3619" s="89">
        <v>1</v>
      </c>
      <c r="E3619" s="89">
        <v>1</v>
      </c>
      <c r="F3619" s="89">
        <v>1</v>
      </c>
      <c r="G3619" s="89">
        <v>1</v>
      </c>
      <c r="H3619" s="89">
        <v>1</v>
      </c>
      <c r="I3619" s="89">
        <v>1</v>
      </c>
      <c r="J3619" s="710">
        <f>(VLOOKUP($C3619,[2]Sheet1!$A$2:$P$18,$M3619+1)/12)*12*D3619</f>
        <v>409681.90619999997</v>
      </c>
      <c r="K3619" s="711"/>
      <c r="M3619" s="62">
        <f t="shared" si="282"/>
        <v>3</v>
      </c>
    </row>
    <row r="3620" spans="1:13">
      <c r="A3620" s="88">
        <f t="shared" si="283"/>
        <v>34</v>
      </c>
      <c r="B3620" s="69" t="s">
        <v>2030</v>
      </c>
      <c r="C3620" s="69">
        <v>8</v>
      </c>
      <c r="D3620" s="89">
        <v>1</v>
      </c>
      <c r="E3620" s="89">
        <v>1</v>
      </c>
      <c r="F3620" s="89">
        <v>0</v>
      </c>
      <c r="G3620" s="89">
        <v>0</v>
      </c>
      <c r="H3620" s="89">
        <v>1</v>
      </c>
      <c r="I3620" s="89">
        <v>1</v>
      </c>
      <c r="J3620" s="710">
        <f>(VLOOKUP($C3620,[2]Sheet1!$A$2:$P$18,$M3620+1)/12)*12*D3620</f>
        <v>342141.27408</v>
      </c>
      <c r="K3620" s="711"/>
      <c r="M3620" s="62">
        <f t="shared" si="282"/>
        <v>3</v>
      </c>
    </row>
    <row r="3621" spans="1:13">
      <c r="A3621" s="88"/>
      <c r="B3621" s="97" t="s">
        <v>1487</v>
      </c>
      <c r="C3621" s="69"/>
      <c r="D3621" s="89"/>
      <c r="E3621" s="89"/>
      <c r="F3621" s="89"/>
      <c r="G3621" s="89"/>
      <c r="H3621" s="89"/>
      <c r="I3621" s="89"/>
      <c r="J3621" s="713"/>
      <c r="K3621" s="711"/>
      <c r="M3621" s="62">
        <f t="shared" si="282"/>
        <v>5</v>
      </c>
    </row>
    <row r="3622" spans="1:13">
      <c r="A3622" s="88">
        <f>+A3619+1</f>
        <v>34</v>
      </c>
      <c r="B3622" s="69" t="s">
        <v>1950</v>
      </c>
      <c r="C3622" s="69">
        <v>8</v>
      </c>
      <c r="D3622" s="89">
        <v>2</v>
      </c>
      <c r="E3622" s="89">
        <v>2</v>
      </c>
      <c r="F3622" s="89">
        <v>2</v>
      </c>
      <c r="G3622" s="89">
        <v>2</v>
      </c>
      <c r="H3622" s="89">
        <v>2</v>
      </c>
      <c r="I3622" s="89">
        <v>2</v>
      </c>
      <c r="J3622" s="710">
        <f>(VLOOKUP($C3622,[2]Sheet1!$A$2:$P$18,$M3622+1)/12)*12*D3622</f>
        <v>684282.54816000001</v>
      </c>
      <c r="K3622" s="711"/>
      <c r="M3622" s="62">
        <f t="shared" si="282"/>
        <v>3</v>
      </c>
    </row>
    <row r="3623" spans="1:13">
      <c r="A3623" s="88">
        <f>+A3622+1</f>
        <v>35</v>
      </c>
      <c r="B3623" s="69" t="s">
        <v>2425</v>
      </c>
      <c r="C3623" s="69">
        <v>7</v>
      </c>
      <c r="D3623" s="89">
        <v>6</v>
      </c>
      <c r="E3623" s="89">
        <v>6</v>
      </c>
      <c r="F3623" s="89">
        <v>6</v>
      </c>
      <c r="G3623" s="89">
        <v>6</v>
      </c>
      <c r="H3623" s="89">
        <v>6</v>
      </c>
      <c r="I3623" s="89">
        <v>6</v>
      </c>
      <c r="J3623" s="710">
        <f>(VLOOKUP($C3623,[2]Sheet1!$A$2:$P$18,$M3623+1)/12)*12*D3623</f>
        <v>1846240.2144000004</v>
      </c>
      <c r="K3623" s="711"/>
      <c r="M3623" s="62">
        <f t="shared" si="282"/>
        <v>3</v>
      </c>
    </row>
    <row r="3624" spans="1:13" ht="13.5" thickBot="1">
      <c r="A3624" s="88">
        <f>+A3623+1</f>
        <v>36</v>
      </c>
      <c r="B3624" s="69" t="s">
        <v>2031</v>
      </c>
      <c r="C3624" s="69">
        <v>6</v>
      </c>
      <c r="D3624" s="89">
        <v>1</v>
      </c>
      <c r="E3624" s="89">
        <v>1</v>
      </c>
      <c r="F3624" s="89">
        <v>1</v>
      </c>
      <c r="G3624" s="89">
        <v>1</v>
      </c>
      <c r="H3624" s="89">
        <v>1</v>
      </c>
      <c r="I3624" s="89">
        <v>1</v>
      </c>
      <c r="J3624" s="710">
        <f>(VLOOKUP($C3624,[2]Sheet1!$A$2:$P$18,$M3624+1)/12)*12*D3624</f>
        <v>238099.37893036497</v>
      </c>
      <c r="K3624" s="711"/>
      <c r="M3624" s="62">
        <f t="shared" si="282"/>
        <v>5</v>
      </c>
    </row>
    <row r="3625" spans="1:13" ht="15.75" thickTop="1">
      <c r="A3625" s="1047" t="s">
        <v>2791</v>
      </c>
      <c r="B3625" s="1049" t="s">
        <v>4126</v>
      </c>
      <c r="C3625" s="1049" t="s">
        <v>854</v>
      </c>
      <c r="D3625" s="1040" t="s">
        <v>4127</v>
      </c>
      <c r="E3625" s="1041"/>
      <c r="F3625" s="1041"/>
      <c r="G3625" s="1040" t="s">
        <v>904</v>
      </c>
      <c r="H3625" s="1041"/>
      <c r="I3625" s="1042"/>
      <c r="J3625" s="1035" t="s">
        <v>855</v>
      </c>
      <c r="K3625" s="389"/>
    </row>
    <row r="3626" spans="1:13" ht="26.25" thickBot="1">
      <c r="A3626" s="1048"/>
      <c r="B3626" s="1050"/>
      <c r="C3626" s="1050"/>
      <c r="D3626" s="285" t="s">
        <v>5505</v>
      </c>
      <c r="E3626" s="285" t="s">
        <v>4485</v>
      </c>
      <c r="F3626" s="285" t="s">
        <v>4486</v>
      </c>
      <c r="G3626" s="287" t="s">
        <v>4487</v>
      </c>
      <c r="H3626" s="285" t="s">
        <v>4488</v>
      </c>
      <c r="I3626" s="287" t="s">
        <v>4489</v>
      </c>
      <c r="J3626" s="1036"/>
      <c r="K3626" s="712"/>
    </row>
    <row r="3627" spans="1:13" ht="13.5" thickTop="1">
      <c r="A3627" s="88">
        <f>+A3624+1</f>
        <v>37</v>
      </c>
      <c r="B3627" s="69" t="s">
        <v>3877</v>
      </c>
      <c r="C3627" s="69">
        <v>4</v>
      </c>
      <c r="D3627" s="89">
        <v>1</v>
      </c>
      <c r="E3627" s="89">
        <v>1</v>
      </c>
      <c r="F3627" s="89">
        <v>1</v>
      </c>
      <c r="G3627" s="89">
        <v>1</v>
      </c>
      <c r="H3627" s="89">
        <v>1</v>
      </c>
      <c r="I3627" s="89">
        <v>1</v>
      </c>
      <c r="J3627" s="710">
        <f>(VLOOKUP($C3627,[2]Sheet1!$A$2:$P$18,$M3627+1)/12)*12*D3627</f>
        <v>224542.978930365</v>
      </c>
      <c r="K3627" s="711"/>
      <c r="M3627" s="62">
        <f t="shared" si="282"/>
        <v>5</v>
      </c>
    </row>
    <row r="3628" spans="1:13">
      <c r="A3628" s="88">
        <f>+A3627+1</f>
        <v>38</v>
      </c>
      <c r="B3628" s="69" t="s">
        <v>3725</v>
      </c>
      <c r="C3628" s="69">
        <v>3</v>
      </c>
      <c r="D3628" s="89">
        <v>1</v>
      </c>
      <c r="E3628" s="89">
        <v>1</v>
      </c>
      <c r="F3628" s="89">
        <v>1</v>
      </c>
      <c r="G3628" s="89">
        <v>1</v>
      </c>
      <c r="H3628" s="89">
        <v>1</v>
      </c>
      <c r="I3628" s="89">
        <v>1</v>
      </c>
      <c r="J3628" s="710">
        <f>(VLOOKUP($C3628,[2]Sheet1!$A$2:$P$18,$M3628+1)/12)*12*D3628</f>
        <v>219336.17893036499</v>
      </c>
      <c r="K3628" s="711"/>
      <c r="M3628" s="62">
        <f t="shared" si="282"/>
        <v>5</v>
      </c>
    </row>
    <row r="3629" spans="1:13">
      <c r="A3629" s="88">
        <f>+A3628+1</f>
        <v>39</v>
      </c>
      <c r="B3629" s="69" t="s">
        <v>1852</v>
      </c>
      <c r="C3629" s="69">
        <v>5</v>
      </c>
      <c r="D3629" s="89">
        <v>1</v>
      </c>
      <c r="E3629" s="89">
        <v>1</v>
      </c>
      <c r="F3629" s="89">
        <v>1</v>
      </c>
      <c r="G3629" s="89">
        <v>1</v>
      </c>
      <c r="H3629" s="89">
        <v>1</v>
      </c>
      <c r="I3629" s="89">
        <v>1</v>
      </c>
      <c r="J3629" s="710">
        <f>(VLOOKUP($C3629,[2]Sheet1!$A$2:$P$18,$M3629+1)/12)*12*D3629</f>
        <v>229569.77893036499</v>
      </c>
      <c r="K3629" s="711"/>
      <c r="M3629" s="62">
        <f t="shared" si="282"/>
        <v>5</v>
      </c>
    </row>
    <row r="3630" spans="1:13">
      <c r="A3630" s="88"/>
      <c r="B3630" s="97" t="s">
        <v>1013</v>
      </c>
      <c r="C3630" s="69"/>
      <c r="D3630" s="89"/>
      <c r="E3630" s="89"/>
      <c r="F3630" s="89"/>
      <c r="G3630" s="89"/>
      <c r="H3630" s="89"/>
      <c r="I3630" s="89"/>
      <c r="J3630" s="710"/>
      <c r="K3630" s="711"/>
      <c r="M3630" s="62">
        <f t="shared" si="282"/>
        <v>5</v>
      </c>
    </row>
    <row r="3631" spans="1:13">
      <c r="A3631" s="88">
        <f>+A3629+1</f>
        <v>40</v>
      </c>
      <c r="B3631" s="69" t="s">
        <v>3532</v>
      </c>
      <c r="C3631" s="69">
        <v>16</v>
      </c>
      <c r="D3631" s="89">
        <v>1</v>
      </c>
      <c r="E3631" s="89">
        <v>1</v>
      </c>
      <c r="F3631" s="89">
        <v>1</v>
      </c>
      <c r="G3631" s="89">
        <v>1</v>
      </c>
      <c r="H3631" s="89">
        <v>1</v>
      </c>
      <c r="I3631" s="89">
        <v>1</v>
      </c>
      <c r="J3631" s="710">
        <f>(VLOOKUP($C3631,[2]Sheet1!$A$2:$P$18,$M3631+1)/12)*12*D3631</f>
        <v>677281.26084</v>
      </c>
      <c r="K3631" s="711"/>
      <c r="M3631" s="62">
        <f t="shared" si="282"/>
        <v>3</v>
      </c>
    </row>
    <row r="3632" spans="1:13">
      <c r="A3632" s="88">
        <f t="shared" ref="A3632:A3639" si="284">+A3631+1</f>
        <v>41</v>
      </c>
      <c r="B3632" s="69" t="s">
        <v>1256</v>
      </c>
      <c r="C3632" s="69">
        <v>15</v>
      </c>
      <c r="D3632" s="89">
        <v>2</v>
      </c>
      <c r="E3632" s="89">
        <v>2</v>
      </c>
      <c r="F3632" s="89">
        <v>2</v>
      </c>
      <c r="G3632" s="89">
        <v>2</v>
      </c>
      <c r="H3632" s="89">
        <v>2</v>
      </c>
      <c r="I3632" s="89">
        <v>2</v>
      </c>
      <c r="J3632" s="710">
        <f>(VLOOKUP($C3632,[2]Sheet1!$A$2:$P$18,$M3632+1)/12)*12*D3632</f>
        <v>1316663.79984</v>
      </c>
      <c r="K3632" s="711"/>
      <c r="M3632" s="62">
        <f t="shared" si="282"/>
        <v>3</v>
      </c>
    </row>
    <row r="3633" spans="1:13">
      <c r="A3633" s="88">
        <f t="shared" si="284"/>
        <v>42</v>
      </c>
      <c r="B3633" s="69" t="s">
        <v>1014</v>
      </c>
      <c r="C3633" s="69">
        <v>14</v>
      </c>
      <c r="D3633" s="89">
        <v>0</v>
      </c>
      <c r="E3633" s="89">
        <v>5</v>
      </c>
      <c r="F3633" s="89">
        <v>5</v>
      </c>
      <c r="G3633" s="89">
        <v>5</v>
      </c>
      <c r="H3633" s="89">
        <v>5</v>
      </c>
      <c r="I3633" s="89">
        <v>0</v>
      </c>
      <c r="J3633" s="710">
        <f>(VLOOKUP($C3633,[2]Sheet1!$A$2:$P$18,$M3633+1)/12)*12*D3633</f>
        <v>0</v>
      </c>
      <c r="K3633" s="711"/>
      <c r="M3633" s="62">
        <f t="shared" ref="M3633:M3697" si="285">IF(C3633&gt;6,3,5)</f>
        <v>3</v>
      </c>
    </row>
    <row r="3634" spans="1:13">
      <c r="A3634" s="88">
        <f t="shared" si="284"/>
        <v>43</v>
      </c>
      <c r="B3634" s="69" t="s">
        <v>1602</v>
      </c>
      <c r="C3634" s="69">
        <v>15</v>
      </c>
      <c r="D3634" s="89">
        <v>1</v>
      </c>
      <c r="E3634" s="89">
        <v>0</v>
      </c>
      <c r="F3634" s="89">
        <v>0</v>
      </c>
      <c r="G3634" s="89">
        <v>0</v>
      </c>
      <c r="H3634" s="89">
        <v>0</v>
      </c>
      <c r="I3634" s="89">
        <v>1</v>
      </c>
      <c r="J3634" s="710">
        <f>(VLOOKUP($C3634,[2]Sheet1!$A$2:$P$18,$M3634+1)/12)*12*D3634</f>
        <v>658331.89992</v>
      </c>
      <c r="K3634" s="711"/>
      <c r="M3634" s="62">
        <f t="shared" si="285"/>
        <v>3</v>
      </c>
    </row>
    <row r="3635" spans="1:13">
      <c r="A3635" s="88">
        <f t="shared" si="284"/>
        <v>44</v>
      </c>
      <c r="B3635" s="69" t="s">
        <v>1603</v>
      </c>
      <c r="C3635" s="69">
        <v>14</v>
      </c>
      <c r="D3635" s="89">
        <v>1</v>
      </c>
      <c r="E3635" s="89">
        <v>0</v>
      </c>
      <c r="F3635" s="89">
        <v>0</v>
      </c>
      <c r="G3635" s="89">
        <v>0</v>
      </c>
      <c r="H3635" s="89">
        <v>0</v>
      </c>
      <c r="I3635" s="89">
        <v>1</v>
      </c>
      <c r="J3635" s="710">
        <f>(VLOOKUP($C3635,[2]Sheet1!$A$2:$P$18,$M3635+1)/12)*12*D3635</f>
        <v>669099.40824000002</v>
      </c>
      <c r="K3635" s="711"/>
      <c r="M3635" s="62">
        <f t="shared" si="285"/>
        <v>3</v>
      </c>
    </row>
    <row r="3636" spans="1:13">
      <c r="A3636" s="88">
        <f>+A3635+1</f>
        <v>45</v>
      </c>
      <c r="B3636" s="69" t="s">
        <v>1604</v>
      </c>
      <c r="C3636" s="69">
        <v>13</v>
      </c>
      <c r="D3636" s="89">
        <v>4</v>
      </c>
      <c r="E3636" s="89">
        <v>4</v>
      </c>
      <c r="F3636" s="89">
        <v>4</v>
      </c>
      <c r="G3636" s="89">
        <v>4</v>
      </c>
      <c r="H3636" s="89">
        <v>4</v>
      </c>
      <c r="I3636" s="89">
        <v>4</v>
      </c>
      <c r="J3636" s="710">
        <f>(VLOOKUP($C3636,[2]Sheet1!$A$2:$P$18,$M3636+1)/12)*12*D3636</f>
        <v>2515038.1521600001</v>
      </c>
      <c r="K3636" s="711"/>
      <c r="M3636" s="62">
        <f t="shared" si="285"/>
        <v>3</v>
      </c>
    </row>
    <row r="3637" spans="1:13">
      <c r="A3637" s="88">
        <f t="shared" si="284"/>
        <v>46</v>
      </c>
      <c r="B3637" s="69" t="s">
        <v>1605</v>
      </c>
      <c r="C3637" s="69">
        <v>12</v>
      </c>
      <c r="D3637" s="89">
        <v>1</v>
      </c>
      <c r="E3637" s="89">
        <v>1</v>
      </c>
      <c r="F3637" s="89">
        <v>1</v>
      </c>
      <c r="G3637" s="89">
        <v>1</v>
      </c>
      <c r="H3637" s="89">
        <v>1</v>
      </c>
      <c r="I3637" s="89">
        <v>1</v>
      </c>
      <c r="J3637" s="710">
        <f>(VLOOKUP($C3637,[2]Sheet1!$A$2:$P$18,$M3637+1)/12)*12*D3637</f>
        <v>552685.0537200002</v>
      </c>
      <c r="K3637" s="711"/>
      <c r="M3637" s="62">
        <f t="shared" si="285"/>
        <v>3</v>
      </c>
    </row>
    <row r="3638" spans="1:13">
      <c r="A3638" s="88">
        <f t="shared" si="284"/>
        <v>47</v>
      </c>
      <c r="B3638" s="69" t="s">
        <v>1606</v>
      </c>
      <c r="C3638" s="69">
        <v>10</v>
      </c>
      <c r="D3638" s="89">
        <v>2</v>
      </c>
      <c r="E3638" s="89">
        <v>2</v>
      </c>
      <c r="F3638" s="89">
        <v>2</v>
      </c>
      <c r="G3638" s="89">
        <v>2</v>
      </c>
      <c r="H3638" s="89">
        <v>2</v>
      </c>
      <c r="I3638" s="89">
        <v>2</v>
      </c>
      <c r="J3638" s="710">
        <f>(VLOOKUP($C3638,[2]Sheet1!$A$2:$P$18,$M3638+1)/12)*12*D3638</f>
        <v>967949.1374400002</v>
      </c>
      <c r="K3638" s="711"/>
      <c r="M3638" s="62">
        <f t="shared" si="285"/>
        <v>3</v>
      </c>
    </row>
    <row r="3639" spans="1:13">
      <c r="A3639" s="88">
        <f t="shared" si="284"/>
        <v>48</v>
      </c>
      <c r="B3639" s="69" t="s">
        <v>1608</v>
      </c>
      <c r="C3639" s="69">
        <v>8</v>
      </c>
      <c r="D3639" s="89">
        <v>3</v>
      </c>
      <c r="E3639" s="89">
        <v>3</v>
      </c>
      <c r="F3639" s="89">
        <v>3</v>
      </c>
      <c r="G3639" s="89">
        <v>3</v>
      </c>
      <c r="H3639" s="89">
        <v>3</v>
      </c>
      <c r="I3639" s="89">
        <v>3</v>
      </c>
      <c r="J3639" s="710">
        <f>(VLOOKUP($C3639,[2]Sheet1!$A$2:$P$18,$M3639+1)/12)*12*D3639</f>
        <v>1026423.82224</v>
      </c>
      <c r="K3639" s="711"/>
      <c r="M3639" s="62">
        <f t="shared" si="285"/>
        <v>3</v>
      </c>
    </row>
    <row r="3640" spans="1:13">
      <c r="A3640" s="88"/>
      <c r="B3640" s="90" t="s">
        <v>2084</v>
      </c>
      <c r="C3640" s="69"/>
      <c r="D3640" s="89"/>
      <c r="E3640" s="89"/>
      <c r="F3640" s="89"/>
      <c r="G3640" s="89"/>
      <c r="H3640" s="89"/>
      <c r="I3640" s="89"/>
      <c r="J3640" s="710"/>
      <c r="K3640" s="711"/>
      <c r="M3640" s="62">
        <f t="shared" si="285"/>
        <v>5</v>
      </c>
    </row>
    <row r="3641" spans="1:13">
      <c r="A3641" s="88">
        <v>107</v>
      </c>
      <c r="B3641" s="69" t="s">
        <v>3532</v>
      </c>
      <c r="C3641" s="69">
        <v>16</v>
      </c>
      <c r="D3641" s="89">
        <v>1</v>
      </c>
      <c r="E3641" s="89">
        <v>1</v>
      </c>
      <c r="F3641" s="89">
        <v>1</v>
      </c>
      <c r="G3641" s="89">
        <v>1</v>
      </c>
      <c r="H3641" s="89">
        <v>1</v>
      </c>
      <c r="I3641" s="89">
        <v>1</v>
      </c>
      <c r="J3641" s="710">
        <f>(VLOOKUP($C3641,[2]Sheet1!$A$2:$P$18,$M3641+1)/12)*12*D3641</f>
        <v>677281.26084</v>
      </c>
      <c r="K3641" s="711"/>
      <c r="M3641" s="62">
        <f t="shared" si="285"/>
        <v>3</v>
      </c>
    </row>
    <row r="3642" spans="1:13">
      <c r="A3642" s="88">
        <f>+A3641+1</f>
        <v>108</v>
      </c>
      <c r="B3642" s="69" t="s">
        <v>1256</v>
      </c>
      <c r="C3642" s="69">
        <v>15</v>
      </c>
      <c r="D3642" s="89">
        <v>1</v>
      </c>
      <c r="E3642" s="89">
        <v>0</v>
      </c>
      <c r="F3642" s="89">
        <v>0</v>
      </c>
      <c r="G3642" s="89">
        <v>0</v>
      </c>
      <c r="H3642" s="89">
        <v>0</v>
      </c>
      <c r="I3642" s="89">
        <v>1</v>
      </c>
      <c r="J3642" s="710">
        <f>(VLOOKUP($C3642,[2]Sheet1!$A$2:$P$18,$M3642+1)/12)*12*D3642</f>
        <v>658331.89992</v>
      </c>
      <c r="K3642" s="711"/>
      <c r="M3642" s="62">
        <f t="shared" si="285"/>
        <v>3</v>
      </c>
    </row>
    <row r="3643" spans="1:13">
      <c r="A3643" s="88">
        <f>+A3642+1</f>
        <v>109</v>
      </c>
      <c r="B3643" s="69" t="s">
        <v>3533</v>
      </c>
      <c r="C3643" s="69">
        <v>14</v>
      </c>
      <c r="D3643" s="89">
        <v>1</v>
      </c>
      <c r="E3643" s="89">
        <v>0</v>
      </c>
      <c r="F3643" s="89">
        <v>0</v>
      </c>
      <c r="G3643" s="89">
        <v>0</v>
      </c>
      <c r="H3643" s="89">
        <v>0</v>
      </c>
      <c r="I3643" s="89">
        <v>1</v>
      </c>
      <c r="J3643" s="710">
        <f>(VLOOKUP($C3643,[2]Sheet1!$A$2:$P$18,$M3643+1)/12)*12*D3643</f>
        <v>669099.40824000002</v>
      </c>
      <c r="K3643" s="711"/>
      <c r="M3643" s="62">
        <f t="shared" si="285"/>
        <v>3</v>
      </c>
    </row>
    <row r="3644" spans="1:13">
      <c r="A3644" s="88">
        <f>+A3643+1</f>
        <v>110</v>
      </c>
      <c r="B3644" s="69" t="s">
        <v>2085</v>
      </c>
      <c r="C3644" s="69">
        <v>12</v>
      </c>
      <c r="D3644" s="89">
        <v>2</v>
      </c>
      <c r="E3644" s="89">
        <v>2</v>
      </c>
      <c r="F3644" s="89">
        <v>2</v>
      </c>
      <c r="G3644" s="89">
        <v>2</v>
      </c>
      <c r="H3644" s="89">
        <v>2</v>
      </c>
      <c r="I3644" s="89">
        <v>2</v>
      </c>
      <c r="J3644" s="710">
        <f>(VLOOKUP($C3644,[2]Sheet1!$A$2:$P$18,$M3644+1)/12)*12*D3644</f>
        <v>1105370.1074400004</v>
      </c>
      <c r="K3644" s="711"/>
      <c r="M3644" s="62">
        <f t="shared" si="285"/>
        <v>3</v>
      </c>
    </row>
    <row r="3645" spans="1:13">
      <c r="A3645" s="88"/>
      <c r="B3645" s="90" t="s">
        <v>2086</v>
      </c>
      <c r="C3645" s="69"/>
      <c r="D3645" s="89"/>
      <c r="E3645" s="89"/>
      <c r="F3645" s="89"/>
      <c r="G3645" s="89"/>
      <c r="H3645" s="89"/>
      <c r="I3645" s="89"/>
      <c r="J3645" s="710"/>
      <c r="K3645" s="711"/>
      <c r="M3645" s="62">
        <f t="shared" si="285"/>
        <v>5</v>
      </c>
    </row>
    <row r="3646" spans="1:13">
      <c r="A3646" s="88">
        <f>+A3644+1</f>
        <v>111</v>
      </c>
      <c r="B3646" s="69" t="s">
        <v>3532</v>
      </c>
      <c r="C3646" s="69">
        <v>16</v>
      </c>
      <c r="D3646" s="89">
        <v>1</v>
      </c>
      <c r="E3646" s="89">
        <v>1</v>
      </c>
      <c r="F3646" s="89">
        <v>1</v>
      </c>
      <c r="G3646" s="89">
        <v>1</v>
      </c>
      <c r="H3646" s="89">
        <v>1</v>
      </c>
      <c r="I3646" s="89">
        <v>1</v>
      </c>
      <c r="J3646" s="710">
        <f>(VLOOKUP($C3646,[2]Sheet1!$A$2:$P$18,$M3646+1)/12)*12*D3646</f>
        <v>677281.26084</v>
      </c>
      <c r="K3646" s="711"/>
      <c r="M3646" s="62">
        <f t="shared" si="285"/>
        <v>3</v>
      </c>
    </row>
    <row r="3647" spans="1:13">
      <c r="A3647" s="88">
        <f>+A3646+1</f>
        <v>112</v>
      </c>
      <c r="B3647" s="69" t="s">
        <v>1099</v>
      </c>
      <c r="C3647" s="69">
        <v>15</v>
      </c>
      <c r="D3647" s="89">
        <v>1</v>
      </c>
      <c r="E3647" s="89">
        <v>1</v>
      </c>
      <c r="F3647" s="89">
        <v>1</v>
      </c>
      <c r="G3647" s="89">
        <v>1</v>
      </c>
      <c r="H3647" s="89">
        <v>1</v>
      </c>
      <c r="I3647" s="89">
        <v>1</v>
      </c>
      <c r="J3647" s="710">
        <f>(VLOOKUP($C3647,[2]Sheet1!$A$2:$P$18,$M3647+1)/12)*12*D3647</f>
        <v>658331.89992</v>
      </c>
      <c r="K3647" s="711"/>
      <c r="M3647" s="62">
        <f t="shared" si="285"/>
        <v>3</v>
      </c>
    </row>
    <row r="3648" spans="1:13">
      <c r="A3648" s="88">
        <f t="shared" ref="A3648:A3657" si="286">+A3647+1</f>
        <v>113</v>
      </c>
      <c r="B3648" s="69" t="s">
        <v>3533</v>
      </c>
      <c r="C3648" s="69">
        <v>14</v>
      </c>
      <c r="D3648" s="89">
        <v>2</v>
      </c>
      <c r="E3648" s="89">
        <v>2</v>
      </c>
      <c r="F3648" s="89">
        <v>2</v>
      </c>
      <c r="G3648" s="89">
        <v>2</v>
      </c>
      <c r="H3648" s="89">
        <v>2</v>
      </c>
      <c r="I3648" s="89">
        <v>2</v>
      </c>
      <c r="J3648" s="710">
        <f>(VLOOKUP($C3648,[2]Sheet1!$A$2:$P$18,$M3648+1)/12)*12*D3648</f>
        <v>1338198.81648</v>
      </c>
      <c r="K3648" s="711"/>
      <c r="M3648" s="62">
        <f t="shared" si="285"/>
        <v>3</v>
      </c>
    </row>
    <row r="3649" spans="1:13">
      <c r="A3649" s="88">
        <f t="shared" si="286"/>
        <v>114</v>
      </c>
      <c r="B3649" s="69" t="s">
        <v>2087</v>
      </c>
      <c r="C3649" s="69">
        <v>13</v>
      </c>
      <c r="D3649" s="89">
        <v>2</v>
      </c>
      <c r="E3649" s="89">
        <v>2</v>
      </c>
      <c r="F3649" s="89">
        <v>2</v>
      </c>
      <c r="G3649" s="89">
        <v>2</v>
      </c>
      <c r="H3649" s="89">
        <v>2</v>
      </c>
      <c r="I3649" s="89">
        <v>2</v>
      </c>
      <c r="J3649" s="710">
        <f>(VLOOKUP($C3649,[2]Sheet1!$A$2:$P$18,$M3649+1)/12)*12*D3649</f>
        <v>1257519.07608</v>
      </c>
      <c r="K3649" s="711"/>
      <c r="M3649" s="62">
        <f t="shared" si="285"/>
        <v>3</v>
      </c>
    </row>
    <row r="3650" spans="1:13">
      <c r="A3650" s="88">
        <f t="shared" si="286"/>
        <v>115</v>
      </c>
      <c r="B3650" s="69" t="s">
        <v>2092</v>
      </c>
      <c r="C3650" s="69">
        <v>12</v>
      </c>
      <c r="D3650" s="89">
        <v>1</v>
      </c>
      <c r="E3650" s="89">
        <v>1</v>
      </c>
      <c r="F3650" s="89">
        <v>1</v>
      </c>
      <c r="G3650" s="89">
        <v>1</v>
      </c>
      <c r="H3650" s="89">
        <v>1</v>
      </c>
      <c r="I3650" s="89">
        <v>1</v>
      </c>
      <c r="J3650" s="710">
        <f>(VLOOKUP($C3650,[2]Sheet1!$A$2:$P$18,$M3650+1)/12)*12*D3650</f>
        <v>552685.0537200002</v>
      </c>
      <c r="K3650" s="711"/>
      <c r="M3650" s="62">
        <f t="shared" si="285"/>
        <v>3</v>
      </c>
    </row>
    <row r="3651" spans="1:13">
      <c r="A3651" s="88">
        <f t="shared" si="286"/>
        <v>116</v>
      </c>
      <c r="B3651" s="69" t="s">
        <v>2093</v>
      </c>
      <c r="C3651" s="69">
        <v>10</v>
      </c>
      <c r="D3651" s="89">
        <v>1</v>
      </c>
      <c r="E3651" s="89">
        <v>1</v>
      </c>
      <c r="F3651" s="89">
        <v>1</v>
      </c>
      <c r="G3651" s="89">
        <v>1</v>
      </c>
      <c r="H3651" s="89">
        <v>1</v>
      </c>
      <c r="I3651" s="89">
        <v>1</v>
      </c>
      <c r="J3651" s="710">
        <f>(VLOOKUP($C3651,[2]Sheet1!$A$2:$P$18,$M3651+1)/12)*12*D3651</f>
        <v>483974.5687200001</v>
      </c>
      <c r="K3651" s="711"/>
      <c r="M3651" s="62">
        <f t="shared" si="285"/>
        <v>3</v>
      </c>
    </row>
    <row r="3652" spans="1:13">
      <c r="A3652" s="88">
        <f t="shared" si="286"/>
        <v>117</v>
      </c>
      <c r="B3652" s="69" t="s">
        <v>2094</v>
      </c>
      <c r="C3652" s="69">
        <v>9</v>
      </c>
      <c r="D3652" s="89">
        <v>1</v>
      </c>
      <c r="E3652" s="89">
        <v>1</v>
      </c>
      <c r="F3652" s="89">
        <v>1</v>
      </c>
      <c r="G3652" s="89">
        <v>1</v>
      </c>
      <c r="H3652" s="89">
        <v>1</v>
      </c>
      <c r="I3652" s="89">
        <v>1</v>
      </c>
      <c r="J3652" s="710">
        <f>(VLOOKUP($C3652,[2]Sheet1!$A$2:$P$18,$M3652+1)/12)*12*D3652</f>
        <v>409681.90619999997</v>
      </c>
      <c r="K3652" s="711"/>
      <c r="M3652" s="62">
        <f t="shared" si="285"/>
        <v>3</v>
      </c>
    </row>
    <row r="3653" spans="1:13">
      <c r="A3653" s="88"/>
      <c r="B3653" s="90" t="s">
        <v>2095</v>
      </c>
      <c r="C3653" s="69"/>
      <c r="D3653" s="89"/>
      <c r="E3653" s="89"/>
      <c r="F3653" s="89"/>
      <c r="G3653" s="89"/>
      <c r="H3653" s="89"/>
      <c r="I3653" s="89"/>
      <c r="J3653" s="710"/>
      <c r="K3653" s="711"/>
      <c r="M3653" s="62">
        <f t="shared" si="285"/>
        <v>5</v>
      </c>
    </row>
    <row r="3654" spans="1:13">
      <c r="A3654" s="88">
        <f>+A3652+1</f>
        <v>118</v>
      </c>
      <c r="B3654" s="69" t="s">
        <v>3532</v>
      </c>
      <c r="C3654" s="69">
        <v>16</v>
      </c>
      <c r="D3654" s="89">
        <v>1</v>
      </c>
      <c r="E3654" s="89">
        <v>0</v>
      </c>
      <c r="F3654" s="89">
        <v>0</v>
      </c>
      <c r="G3654" s="89">
        <v>0</v>
      </c>
      <c r="H3654" s="89">
        <v>0</v>
      </c>
      <c r="I3654" s="89">
        <v>1</v>
      </c>
      <c r="J3654" s="710">
        <f>(VLOOKUP($C3654,[2]Sheet1!$A$2:$P$18,$M3654+1)/12)*12*D3654</f>
        <v>677281.26084</v>
      </c>
      <c r="K3654" s="711"/>
      <c r="M3654" s="62">
        <f t="shared" si="285"/>
        <v>3</v>
      </c>
    </row>
    <row r="3655" spans="1:13">
      <c r="A3655" s="88">
        <f t="shared" si="286"/>
        <v>119</v>
      </c>
      <c r="B3655" s="69" t="s">
        <v>1099</v>
      </c>
      <c r="C3655" s="69">
        <v>15</v>
      </c>
      <c r="D3655" s="89">
        <v>1</v>
      </c>
      <c r="E3655" s="89">
        <v>1</v>
      </c>
      <c r="F3655" s="89">
        <v>1</v>
      </c>
      <c r="G3655" s="89">
        <v>1</v>
      </c>
      <c r="H3655" s="89">
        <v>1</v>
      </c>
      <c r="I3655" s="89">
        <v>1</v>
      </c>
      <c r="J3655" s="710">
        <f>(VLOOKUP($C3655,[2]Sheet1!$A$2:$P$18,$M3655+1)/12)*12*D3655</f>
        <v>658331.89992</v>
      </c>
      <c r="K3655" s="711"/>
      <c r="M3655" s="62">
        <f t="shared" si="285"/>
        <v>3</v>
      </c>
    </row>
    <row r="3656" spans="1:13">
      <c r="A3656" s="88">
        <f t="shared" si="286"/>
        <v>120</v>
      </c>
      <c r="B3656" s="69" t="s">
        <v>3533</v>
      </c>
      <c r="C3656" s="69">
        <v>14</v>
      </c>
      <c r="D3656" s="89">
        <v>1</v>
      </c>
      <c r="E3656" s="89">
        <v>0</v>
      </c>
      <c r="F3656" s="89">
        <v>0</v>
      </c>
      <c r="G3656" s="89">
        <v>0</v>
      </c>
      <c r="H3656" s="89">
        <v>0</v>
      </c>
      <c r="I3656" s="89">
        <v>1</v>
      </c>
      <c r="J3656" s="710">
        <f>(VLOOKUP($C3656,[2]Sheet1!$A$2:$P$18,$M3656+1)/12)*12*D3656</f>
        <v>669099.40824000002</v>
      </c>
      <c r="K3656" s="711"/>
      <c r="M3656" s="62">
        <f t="shared" si="285"/>
        <v>3</v>
      </c>
    </row>
    <row r="3657" spans="1:13">
      <c r="A3657" s="88">
        <f t="shared" si="286"/>
        <v>121</v>
      </c>
      <c r="B3657" s="69" t="s">
        <v>1604</v>
      </c>
      <c r="C3657" s="69">
        <v>13</v>
      </c>
      <c r="D3657" s="89">
        <v>1</v>
      </c>
      <c r="E3657" s="89">
        <v>1</v>
      </c>
      <c r="F3657" s="89">
        <v>1</v>
      </c>
      <c r="G3657" s="89">
        <v>1</v>
      </c>
      <c r="H3657" s="89">
        <v>1</v>
      </c>
      <c r="I3657" s="89">
        <v>1</v>
      </c>
      <c r="J3657" s="710">
        <f>(VLOOKUP($C3657,[2]Sheet1!$A$2:$P$18,$M3657+1)/12)*12*D3657</f>
        <v>628759.53804000001</v>
      </c>
      <c r="K3657" s="711"/>
      <c r="M3657" s="62">
        <f t="shared" si="285"/>
        <v>3</v>
      </c>
    </row>
    <row r="3658" spans="1:13">
      <c r="A3658" s="88"/>
      <c r="B3658" s="90" t="s">
        <v>2039</v>
      </c>
      <c r="C3658" s="69"/>
      <c r="D3658" s="89"/>
      <c r="E3658" s="89"/>
      <c r="F3658" s="89"/>
      <c r="G3658" s="89"/>
      <c r="H3658" s="89"/>
      <c r="I3658" s="89"/>
      <c r="J3658" s="710"/>
      <c r="K3658" s="711"/>
      <c r="M3658" s="62">
        <f t="shared" si="285"/>
        <v>5</v>
      </c>
    </row>
    <row r="3659" spans="1:13">
      <c r="A3659" s="88">
        <f>+A3657+1</f>
        <v>122</v>
      </c>
      <c r="B3659" s="69" t="s">
        <v>1256</v>
      </c>
      <c r="C3659" s="69">
        <v>15</v>
      </c>
      <c r="D3659" s="89"/>
      <c r="E3659" s="89">
        <v>0</v>
      </c>
      <c r="F3659" s="89"/>
      <c r="G3659" s="89"/>
      <c r="H3659" s="89">
        <v>0</v>
      </c>
      <c r="I3659" s="89"/>
      <c r="J3659" s="710">
        <f>(VLOOKUP($C3659,[2]Sheet1!$A$2:$P$18,$M3659+1)/12)*12*D3659</f>
        <v>0</v>
      </c>
      <c r="K3659" s="711"/>
      <c r="M3659" s="62">
        <f t="shared" si="285"/>
        <v>3</v>
      </c>
    </row>
    <row r="3660" spans="1:13">
      <c r="A3660" s="88">
        <f t="shared" ref="A3660:A3678" si="287">+A3659+1</f>
        <v>123</v>
      </c>
      <c r="B3660" s="69" t="s">
        <v>3533</v>
      </c>
      <c r="C3660" s="69">
        <v>14</v>
      </c>
      <c r="D3660" s="89"/>
      <c r="E3660" s="89">
        <v>0</v>
      </c>
      <c r="F3660" s="89"/>
      <c r="G3660" s="89"/>
      <c r="H3660" s="89">
        <v>0</v>
      </c>
      <c r="I3660" s="89"/>
      <c r="J3660" s="710">
        <f>(VLOOKUP($C3660,[2]Sheet1!$A$2:$P$18,$M3660+1)/12)*12*D3660</f>
        <v>0</v>
      </c>
      <c r="K3660" s="711"/>
      <c r="M3660" s="62">
        <f t="shared" si="285"/>
        <v>3</v>
      </c>
    </row>
    <row r="3661" spans="1:13">
      <c r="A3661" s="88">
        <f t="shared" si="287"/>
        <v>124</v>
      </c>
      <c r="B3661" s="69" t="s">
        <v>1555</v>
      </c>
      <c r="C3661" s="69">
        <v>13</v>
      </c>
      <c r="D3661" s="89"/>
      <c r="E3661" s="89">
        <v>0</v>
      </c>
      <c r="F3661" s="89"/>
      <c r="G3661" s="89"/>
      <c r="H3661" s="89">
        <v>0</v>
      </c>
      <c r="I3661" s="89"/>
      <c r="J3661" s="710">
        <f>(VLOOKUP($C3661,[2]Sheet1!$A$2:$P$18,$M3661+1)/12)*12*D3661</f>
        <v>0</v>
      </c>
      <c r="K3661" s="711"/>
      <c r="M3661" s="62">
        <f t="shared" si="285"/>
        <v>3</v>
      </c>
    </row>
    <row r="3662" spans="1:13">
      <c r="A3662" s="88">
        <f t="shared" si="287"/>
        <v>125</v>
      </c>
      <c r="B3662" s="69" t="s">
        <v>1556</v>
      </c>
      <c r="C3662" s="69">
        <v>12</v>
      </c>
      <c r="D3662" s="89"/>
      <c r="E3662" s="89">
        <v>0</v>
      </c>
      <c r="F3662" s="89"/>
      <c r="G3662" s="89"/>
      <c r="H3662" s="89">
        <v>0</v>
      </c>
      <c r="I3662" s="89"/>
      <c r="J3662" s="710">
        <f>(VLOOKUP($C3662,[2]Sheet1!$A$2:$P$18,$M3662+1)/12)*12*D3662</f>
        <v>0</v>
      </c>
      <c r="K3662" s="711"/>
      <c r="M3662" s="62">
        <f t="shared" si="285"/>
        <v>3</v>
      </c>
    </row>
    <row r="3663" spans="1:13">
      <c r="A3663" s="88">
        <f t="shared" si="287"/>
        <v>126</v>
      </c>
      <c r="B3663" s="69" t="s">
        <v>1557</v>
      </c>
      <c r="C3663" s="69">
        <v>10</v>
      </c>
      <c r="D3663" s="89"/>
      <c r="E3663" s="89">
        <v>0</v>
      </c>
      <c r="F3663" s="89"/>
      <c r="G3663" s="89"/>
      <c r="H3663" s="89">
        <v>0</v>
      </c>
      <c r="I3663" s="89"/>
      <c r="J3663" s="710">
        <f>(VLOOKUP($C3663,[2]Sheet1!$A$2:$P$18,$M3663+1)/12)*12*D3663</f>
        <v>0</v>
      </c>
      <c r="K3663" s="711"/>
      <c r="M3663" s="62">
        <f t="shared" si="285"/>
        <v>3</v>
      </c>
    </row>
    <row r="3664" spans="1:13">
      <c r="A3664" s="88">
        <f t="shared" si="287"/>
        <v>127</v>
      </c>
      <c r="B3664" s="69" t="s">
        <v>1558</v>
      </c>
      <c r="C3664" s="69">
        <v>9</v>
      </c>
      <c r="D3664" s="89"/>
      <c r="E3664" s="89">
        <v>0</v>
      </c>
      <c r="F3664" s="89"/>
      <c r="G3664" s="89"/>
      <c r="H3664" s="89">
        <v>0</v>
      </c>
      <c r="I3664" s="89"/>
      <c r="J3664" s="710">
        <f>(VLOOKUP($C3664,[2]Sheet1!$A$2:$P$18,$M3664+1)/12)*12*D3664</f>
        <v>0</v>
      </c>
      <c r="K3664" s="711"/>
      <c r="M3664" s="62">
        <f t="shared" si="285"/>
        <v>3</v>
      </c>
    </row>
    <row r="3665" spans="1:13">
      <c r="A3665" s="88">
        <f t="shared" si="287"/>
        <v>128</v>
      </c>
      <c r="B3665" s="69" t="s">
        <v>1560</v>
      </c>
      <c r="C3665" s="69">
        <v>8</v>
      </c>
      <c r="D3665" s="89"/>
      <c r="E3665" s="89">
        <v>0</v>
      </c>
      <c r="F3665" s="89"/>
      <c r="G3665" s="89"/>
      <c r="H3665" s="89">
        <v>0</v>
      </c>
      <c r="I3665" s="89"/>
      <c r="J3665" s="710">
        <f>(VLOOKUP($C3665,[2]Sheet1!$A$2:$P$18,$M3665+1)/12)*12*D3665</f>
        <v>0</v>
      </c>
      <c r="K3665" s="711"/>
      <c r="M3665" s="62">
        <f t="shared" si="285"/>
        <v>3</v>
      </c>
    </row>
    <row r="3666" spans="1:13">
      <c r="A3666" s="88">
        <f t="shared" si="287"/>
        <v>129</v>
      </c>
      <c r="B3666" s="69" t="s">
        <v>1561</v>
      </c>
      <c r="C3666" s="69">
        <v>7</v>
      </c>
      <c r="D3666" s="89"/>
      <c r="E3666" s="89">
        <v>0</v>
      </c>
      <c r="F3666" s="89"/>
      <c r="G3666" s="89"/>
      <c r="H3666" s="89">
        <v>0</v>
      </c>
      <c r="I3666" s="89"/>
      <c r="J3666" s="710">
        <f>(VLOOKUP($C3666,[2]Sheet1!$A$2:$P$18,$M3666+1)/12)*12*D3666</f>
        <v>0</v>
      </c>
      <c r="K3666" s="711"/>
      <c r="M3666" s="62">
        <f t="shared" si="285"/>
        <v>3</v>
      </c>
    </row>
    <row r="3667" spans="1:13" ht="13.5" thickBot="1">
      <c r="A3667" s="88">
        <f t="shared" si="287"/>
        <v>130</v>
      </c>
      <c r="B3667" s="69" t="s">
        <v>2040</v>
      </c>
      <c r="C3667" s="69">
        <v>6</v>
      </c>
      <c r="D3667" s="89"/>
      <c r="E3667" s="89">
        <v>0</v>
      </c>
      <c r="F3667" s="89"/>
      <c r="G3667" s="89"/>
      <c r="H3667" s="89">
        <v>0</v>
      </c>
      <c r="I3667" s="89"/>
      <c r="J3667" s="710">
        <f>(VLOOKUP($C3667,[2]Sheet1!$A$2:$P$18,$M3667+1)/12)*12*D3667</f>
        <v>0</v>
      </c>
      <c r="K3667" s="711"/>
      <c r="M3667" s="62">
        <f t="shared" si="285"/>
        <v>5</v>
      </c>
    </row>
    <row r="3668" spans="1:13" ht="15.75" thickTop="1">
      <c r="A3668" s="1047" t="s">
        <v>2791</v>
      </c>
      <c r="B3668" s="1049" t="s">
        <v>4126</v>
      </c>
      <c r="C3668" s="1049" t="s">
        <v>854</v>
      </c>
      <c r="D3668" s="1040" t="s">
        <v>4127</v>
      </c>
      <c r="E3668" s="1041"/>
      <c r="F3668" s="1041"/>
      <c r="G3668" s="1040" t="s">
        <v>904</v>
      </c>
      <c r="H3668" s="1041"/>
      <c r="I3668" s="1042"/>
      <c r="J3668" s="1035" t="s">
        <v>855</v>
      </c>
      <c r="K3668" s="389"/>
    </row>
    <row r="3669" spans="1:13" ht="26.25" thickBot="1">
      <c r="A3669" s="1048"/>
      <c r="B3669" s="1050"/>
      <c r="C3669" s="1050"/>
      <c r="D3669" s="285" t="s">
        <v>5505</v>
      </c>
      <c r="E3669" s="285" t="s">
        <v>4485</v>
      </c>
      <c r="F3669" s="285" t="s">
        <v>4486</v>
      </c>
      <c r="G3669" s="287" t="s">
        <v>4487</v>
      </c>
      <c r="H3669" s="285" t="s">
        <v>4488</v>
      </c>
      <c r="I3669" s="287" t="s">
        <v>4489</v>
      </c>
      <c r="J3669" s="1036"/>
      <c r="K3669" s="712"/>
    </row>
    <row r="3670" spans="1:13" ht="13.5" thickTop="1">
      <c r="A3670" s="88"/>
      <c r="B3670" s="90" t="s">
        <v>3600</v>
      </c>
      <c r="C3670" s="69"/>
      <c r="D3670" s="89"/>
      <c r="E3670" s="89">
        <v>0</v>
      </c>
      <c r="F3670" s="89"/>
      <c r="G3670" s="89"/>
      <c r="H3670" s="89">
        <v>0</v>
      </c>
      <c r="I3670" s="89"/>
      <c r="J3670" s="710"/>
      <c r="K3670" s="711"/>
      <c r="M3670" s="62">
        <f t="shared" si="285"/>
        <v>5</v>
      </c>
    </row>
    <row r="3671" spans="1:13">
      <c r="A3671" s="88">
        <f>+A3667+1</f>
        <v>131</v>
      </c>
      <c r="B3671" s="69" t="s">
        <v>1256</v>
      </c>
      <c r="C3671" s="69">
        <v>15</v>
      </c>
      <c r="D3671" s="89"/>
      <c r="E3671" s="89">
        <v>0</v>
      </c>
      <c r="F3671" s="89"/>
      <c r="G3671" s="89"/>
      <c r="H3671" s="89">
        <v>0</v>
      </c>
      <c r="I3671" s="89"/>
      <c r="J3671" s="710">
        <f>(VLOOKUP($C3671,[2]Sheet1!$A$2:$P$18,$M3671+1)/12)*12*D3671</f>
        <v>0</v>
      </c>
      <c r="K3671" s="711"/>
      <c r="M3671" s="62">
        <f t="shared" si="285"/>
        <v>3</v>
      </c>
    </row>
    <row r="3672" spans="1:13">
      <c r="A3672" s="88">
        <f t="shared" si="287"/>
        <v>132</v>
      </c>
      <c r="B3672" s="69" t="s">
        <v>3533</v>
      </c>
      <c r="C3672" s="69">
        <v>14</v>
      </c>
      <c r="D3672" s="89"/>
      <c r="E3672" s="89">
        <v>0</v>
      </c>
      <c r="F3672" s="89"/>
      <c r="G3672" s="89"/>
      <c r="H3672" s="89">
        <v>0</v>
      </c>
      <c r="I3672" s="89"/>
      <c r="J3672" s="710">
        <f>(VLOOKUP($C3672,[2]Sheet1!$A$2:$P$18,$M3672+1)/12)*12*D3672</f>
        <v>0</v>
      </c>
      <c r="K3672" s="711"/>
      <c r="M3672" s="62">
        <f t="shared" si="285"/>
        <v>3</v>
      </c>
    </row>
    <row r="3673" spans="1:13">
      <c r="A3673" s="88">
        <f>+A3672+1</f>
        <v>133</v>
      </c>
      <c r="B3673" s="69" t="s">
        <v>1555</v>
      </c>
      <c r="C3673" s="69">
        <v>13</v>
      </c>
      <c r="D3673" s="89">
        <v>0</v>
      </c>
      <c r="E3673" s="89">
        <v>0</v>
      </c>
      <c r="F3673" s="89"/>
      <c r="G3673" s="89"/>
      <c r="H3673" s="89">
        <v>0</v>
      </c>
      <c r="I3673" s="89"/>
      <c r="J3673" s="710">
        <f>(VLOOKUP($C3673,[2]Sheet1!$A$2:$P$18,$M3673+1)/12)*12*D3673</f>
        <v>0</v>
      </c>
      <c r="K3673" s="711"/>
      <c r="M3673" s="62">
        <f t="shared" si="285"/>
        <v>3</v>
      </c>
    </row>
    <row r="3674" spans="1:13">
      <c r="A3674" s="88">
        <f t="shared" si="287"/>
        <v>134</v>
      </c>
      <c r="B3674" s="69" t="s">
        <v>1556</v>
      </c>
      <c r="C3674" s="69">
        <v>12</v>
      </c>
      <c r="D3674" s="89">
        <v>0</v>
      </c>
      <c r="E3674" s="89">
        <v>0</v>
      </c>
      <c r="F3674" s="89"/>
      <c r="G3674" s="89"/>
      <c r="H3674" s="89">
        <v>0</v>
      </c>
      <c r="I3674" s="89"/>
      <c r="J3674" s="710">
        <f>(VLOOKUP($C3674,[2]Sheet1!$A$2:$P$18,$M3674+1)/12)*12*D3674</f>
        <v>0</v>
      </c>
      <c r="K3674" s="711"/>
      <c r="M3674" s="62">
        <f t="shared" si="285"/>
        <v>3</v>
      </c>
    </row>
    <row r="3675" spans="1:13">
      <c r="A3675" s="88">
        <f t="shared" si="287"/>
        <v>135</v>
      </c>
      <c r="B3675" s="69" t="s">
        <v>1557</v>
      </c>
      <c r="C3675" s="69">
        <v>10</v>
      </c>
      <c r="D3675" s="89">
        <v>0</v>
      </c>
      <c r="E3675" s="89">
        <v>0</v>
      </c>
      <c r="F3675" s="89"/>
      <c r="G3675" s="89"/>
      <c r="H3675" s="89">
        <v>0</v>
      </c>
      <c r="I3675" s="89"/>
      <c r="J3675" s="710">
        <f>(VLOOKUP($C3675,[2]Sheet1!$A$2:$P$18,$M3675+1)/12)*12*D3675</f>
        <v>0</v>
      </c>
      <c r="K3675" s="711"/>
      <c r="M3675" s="62">
        <f t="shared" si="285"/>
        <v>3</v>
      </c>
    </row>
    <row r="3676" spans="1:13">
      <c r="A3676" s="88">
        <f t="shared" si="287"/>
        <v>136</v>
      </c>
      <c r="B3676" s="69" t="s">
        <v>1558</v>
      </c>
      <c r="C3676" s="69">
        <v>9</v>
      </c>
      <c r="D3676" s="89">
        <v>0</v>
      </c>
      <c r="E3676" s="89">
        <v>0</v>
      </c>
      <c r="F3676" s="89"/>
      <c r="G3676" s="89"/>
      <c r="H3676" s="89">
        <v>0</v>
      </c>
      <c r="I3676" s="89"/>
      <c r="J3676" s="710">
        <f>(VLOOKUP($C3676,[2]Sheet1!$A$2:$P$18,$M3676+1)/12)*12*D3676</f>
        <v>0</v>
      </c>
      <c r="K3676" s="711"/>
      <c r="M3676" s="62">
        <f t="shared" si="285"/>
        <v>3</v>
      </c>
    </row>
    <row r="3677" spans="1:13">
      <c r="A3677" s="88">
        <f t="shared" si="287"/>
        <v>137</v>
      </c>
      <c r="B3677" s="69" t="s">
        <v>1560</v>
      </c>
      <c r="C3677" s="69">
        <v>8</v>
      </c>
      <c r="D3677" s="89">
        <v>0</v>
      </c>
      <c r="E3677" s="89">
        <v>0</v>
      </c>
      <c r="F3677" s="89"/>
      <c r="G3677" s="89"/>
      <c r="H3677" s="89">
        <v>0</v>
      </c>
      <c r="I3677" s="89"/>
      <c r="J3677" s="710">
        <f>(VLOOKUP($C3677,[2]Sheet1!$A$2:$P$18,$M3677+1)/12)*12*D3677</f>
        <v>0</v>
      </c>
      <c r="K3677" s="711"/>
      <c r="M3677" s="62">
        <f t="shared" si="285"/>
        <v>3</v>
      </c>
    </row>
    <row r="3678" spans="1:13">
      <c r="A3678" s="88">
        <f t="shared" si="287"/>
        <v>138</v>
      </c>
      <c r="B3678" s="69" t="s">
        <v>1561</v>
      </c>
      <c r="C3678" s="69">
        <v>7</v>
      </c>
      <c r="D3678" s="89">
        <v>0</v>
      </c>
      <c r="E3678" s="89">
        <v>0</v>
      </c>
      <c r="F3678" s="89"/>
      <c r="G3678" s="89"/>
      <c r="H3678" s="89">
        <v>0</v>
      </c>
      <c r="I3678" s="89"/>
      <c r="J3678" s="710">
        <f>(VLOOKUP($C3678,[2]Sheet1!$A$2:$P$18,$M3678+1)/12)*12*D3678</f>
        <v>0</v>
      </c>
      <c r="K3678" s="711"/>
      <c r="M3678" s="62">
        <f t="shared" si="285"/>
        <v>3</v>
      </c>
    </row>
    <row r="3679" spans="1:13">
      <c r="A3679" s="88"/>
      <c r="B3679" s="90" t="s">
        <v>2125</v>
      </c>
      <c r="C3679" s="69"/>
      <c r="D3679" s="89"/>
      <c r="E3679" s="89"/>
      <c r="F3679" s="89"/>
      <c r="G3679" s="89"/>
      <c r="H3679" s="89"/>
      <c r="I3679" s="89"/>
      <c r="J3679" s="710"/>
      <c r="K3679" s="711"/>
      <c r="M3679" s="62">
        <f t="shared" si="285"/>
        <v>5</v>
      </c>
    </row>
    <row r="3680" spans="1:13">
      <c r="A3680" s="88">
        <f>+A3678+1</f>
        <v>139</v>
      </c>
      <c r="B3680" s="69" t="s">
        <v>1256</v>
      </c>
      <c r="C3680" s="69">
        <v>15</v>
      </c>
      <c r="D3680" s="89">
        <v>0</v>
      </c>
      <c r="E3680" s="89">
        <v>0</v>
      </c>
      <c r="F3680" s="89"/>
      <c r="G3680" s="89"/>
      <c r="H3680" s="89">
        <v>0</v>
      </c>
      <c r="I3680" s="89"/>
      <c r="J3680" s="710">
        <f>(VLOOKUP($C3680,[2]Sheet1!$A$2:$P$18,$M3680+1)/12)*12*D3680</f>
        <v>0</v>
      </c>
      <c r="K3680" s="711"/>
      <c r="M3680" s="62">
        <f t="shared" si="285"/>
        <v>3</v>
      </c>
    </row>
    <row r="3681" spans="1:13">
      <c r="A3681" s="88">
        <f t="shared" ref="A3681:A3687" si="288">+A3680+1</f>
        <v>140</v>
      </c>
      <c r="B3681" s="69" t="s">
        <v>3533</v>
      </c>
      <c r="C3681" s="69">
        <v>14</v>
      </c>
      <c r="D3681" s="89">
        <v>0</v>
      </c>
      <c r="E3681" s="89">
        <v>0</v>
      </c>
      <c r="F3681" s="89"/>
      <c r="G3681" s="89"/>
      <c r="H3681" s="89">
        <v>0</v>
      </c>
      <c r="I3681" s="89"/>
      <c r="J3681" s="710">
        <f>(VLOOKUP($C3681,[2]Sheet1!$A$2:$P$18,$M3681+1)/12)*12*D3681</f>
        <v>0</v>
      </c>
      <c r="K3681" s="711"/>
      <c r="M3681" s="62">
        <f t="shared" si="285"/>
        <v>3</v>
      </c>
    </row>
    <row r="3682" spans="1:13">
      <c r="A3682" s="88">
        <f t="shared" si="288"/>
        <v>141</v>
      </c>
      <c r="B3682" s="69" t="s">
        <v>1555</v>
      </c>
      <c r="C3682" s="69">
        <v>13</v>
      </c>
      <c r="D3682" s="89">
        <v>0</v>
      </c>
      <c r="E3682" s="89">
        <v>0</v>
      </c>
      <c r="F3682" s="89"/>
      <c r="G3682" s="89"/>
      <c r="H3682" s="89">
        <v>0</v>
      </c>
      <c r="I3682" s="89"/>
      <c r="J3682" s="710">
        <f>(VLOOKUP($C3682,[2]Sheet1!$A$2:$P$18,$M3682+1)/12)*12*D3682</f>
        <v>0</v>
      </c>
      <c r="K3682" s="711"/>
      <c r="M3682" s="62">
        <f t="shared" si="285"/>
        <v>3</v>
      </c>
    </row>
    <row r="3683" spans="1:13">
      <c r="A3683" s="88">
        <f t="shared" si="288"/>
        <v>142</v>
      </c>
      <c r="B3683" s="69" t="s">
        <v>1556</v>
      </c>
      <c r="C3683" s="69">
        <v>12</v>
      </c>
      <c r="D3683" s="89">
        <v>0</v>
      </c>
      <c r="E3683" s="89">
        <v>0</v>
      </c>
      <c r="F3683" s="89"/>
      <c r="G3683" s="89"/>
      <c r="H3683" s="89">
        <v>0</v>
      </c>
      <c r="I3683" s="89"/>
      <c r="J3683" s="710">
        <f>(VLOOKUP($C3683,[2]Sheet1!$A$2:$P$18,$M3683+1)/12)*12*D3683</f>
        <v>0</v>
      </c>
      <c r="K3683" s="711"/>
      <c r="M3683" s="62">
        <f t="shared" si="285"/>
        <v>3</v>
      </c>
    </row>
    <row r="3684" spans="1:13">
      <c r="A3684" s="88">
        <f t="shared" si="288"/>
        <v>143</v>
      </c>
      <c r="B3684" s="69" t="s">
        <v>1557</v>
      </c>
      <c r="C3684" s="69">
        <v>10</v>
      </c>
      <c r="D3684" s="89">
        <v>0</v>
      </c>
      <c r="E3684" s="89">
        <v>0</v>
      </c>
      <c r="F3684" s="89"/>
      <c r="G3684" s="89"/>
      <c r="H3684" s="89">
        <v>0</v>
      </c>
      <c r="I3684" s="89"/>
      <c r="J3684" s="710">
        <f>(VLOOKUP($C3684,[2]Sheet1!$A$2:$P$18,$M3684+1)/12)*12*D3684</f>
        <v>0</v>
      </c>
      <c r="K3684" s="711"/>
      <c r="M3684" s="62">
        <f t="shared" si="285"/>
        <v>3</v>
      </c>
    </row>
    <row r="3685" spans="1:13">
      <c r="A3685" s="88">
        <f t="shared" si="288"/>
        <v>144</v>
      </c>
      <c r="B3685" s="69" t="s">
        <v>1558</v>
      </c>
      <c r="C3685" s="69">
        <v>9</v>
      </c>
      <c r="D3685" s="89">
        <v>0</v>
      </c>
      <c r="E3685" s="89">
        <v>0</v>
      </c>
      <c r="F3685" s="89"/>
      <c r="G3685" s="89"/>
      <c r="H3685" s="89">
        <v>0</v>
      </c>
      <c r="I3685" s="89"/>
      <c r="J3685" s="710">
        <f>(VLOOKUP($C3685,[2]Sheet1!$A$2:$P$18,$M3685+1)/12)*12*D3685</f>
        <v>0</v>
      </c>
      <c r="K3685" s="711"/>
      <c r="M3685" s="62">
        <f t="shared" si="285"/>
        <v>3</v>
      </c>
    </row>
    <row r="3686" spans="1:13">
      <c r="A3686" s="88">
        <f t="shared" si="288"/>
        <v>145</v>
      </c>
      <c r="B3686" s="69" t="s">
        <v>1560</v>
      </c>
      <c r="C3686" s="69">
        <v>8</v>
      </c>
      <c r="D3686" s="89">
        <v>0</v>
      </c>
      <c r="E3686" s="89">
        <v>0</v>
      </c>
      <c r="F3686" s="89"/>
      <c r="G3686" s="89"/>
      <c r="H3686" s="89">
        <v>0</v>
      </c>
      <c r="I3686" s="89"/>
      <c r="J3686" s="710">
        <f>(VLOOKUP($C3686,[2]Sheet1!$A$2:$P$18,$M3686+1)/12)*12*D3686</f>
        <v>0</v>
      </c>
      <c r="K3686" s="711"/>
      <c r="M3686" s="62">
        <f t="shared" si="285"/>
        <v>3</v>
      </c>
    </row>
    <row r="3687" spans="1:13">
      <c r="A3687" s="88">
        <f t="shared" si="288"/>
        <v>146</v>
      </c>
      <c r="B3687" s="69" t="s">
        <v>1561</v>
      </c>
      <c r="C3687" s="69">
        <v>7</v>
      </c>
      <c r="D3687" s="89">
        <v>0</v>
      </c>
      <c r="E3687" s="89">
        <v>0</v>
      </c>
      <c r="F3687" s="89"/>
      <c r="G3687" s="89"/>
      <c r="H3687" s="89">
        <v>0</v>
      </c>
      <c r="I3687" s="89"/>
      <c r="J3687" s="710">
        <f>(VLOOKUP($C3687,[2]Sheet1!$A$2:$P$18,$M3687+1)/12)*12*D3687</f>
        <v>0</v>
      </c>
      <c r="K3687" s="711"/>
      <c r="M3687" s="62">
        <f t="shared" si="285"/>
        <v>3</v>
      </c>
    </row>
    <row r="3688" spans="1:13">
      <c r="A3688" s="88"/>
      <c r="B3688" s="90" t="s">
        <v>3601</v>
      </c>
      <c r="C3688" s="69"/>
      <c r="D3688" s="89"/>
      <c r="E3688" s="89"/>
      <c r="F3688" s="89"/>
      <c r="G3688" s="89"/>
      <c r="H3688" s="89"/>
      <c r="I3688" s="89"/>
      <c r="J3688" s="710"/>
      <c r="K3688" s="711"/>
      <c r="M3688" s="62">
        <f t="shared" si="285"/>
        <v>5</v>
      </c>
    </row>
    <row r="3689" spans="1:13">
      <c r="A3689" s="88">
        <f>+A3687+1</f>
        <v>147</v>
      </c>
      <c r="B3689" s="69" t="s">
        <v>1256</v>
      </c>
      <c r="C3689" s="69">
        <v>15</v>
      </c>
      <c r="D3689" s="89">
        <v>0</v>
      </c>
      <c r="E3689" s="89">
        <v>0</v>
      </c>
      <c r="F3689" s="89"/>
      <c r="G3689" s="89"/>
      <c r="H3689" s="89">
        <v>0</v>
      </c>
      <c r="I3689" s="89"/>
      <c r="J3689" s="710">
        <f>(VLOOKUP($C3689,[2]Sheet1!$A$2:$P$18,$M3689+1)/12)*12*D3689</f>
        <v>0</v>
      </c>
      <c r="K3689" s="711"/>
      <c r="M3689" s="62">
        <f t="shared" si="285"/>
        <v>3</v>
      </c>
    </row>
    <row r="3690" spans="1:13">
      <c r="A3690" s="88">
        <f t="shared" ref="A3690:A3696" si="289">+A3689+1</f>
        <v>148</v>
      </c>
      <c r="B3690" s="69" t="s">
        <v>3533</v>
      </c>
      <c r="C3690" s="69">
        <v>14</v>
      </c>
      <c r="D3690" s="89">
        <v>0</v>
      </c>
      <c r="E3690" s="89">
        <v>0</v>
      </c>
      <c r="F3690" s="89"/>
      <c r="G3690" s="89"/>
      <c r="H3690" s="89">
        <v>0</v>
      </c>
      <c r="I3690" s="89"/>
      <c r="J3690" s="710">
        <f>(VLOOKUP($C3690,[2]Sheet1!$A$2:$P$18,$M3690+1)/12)*12*D3690</f>
        <v>0</v>
      </c>
      <c r="K3690" s="711"/>
      <c r="M3690" s="62">
        <f t="shared" si="285"/>
        <v>3</v>
      </c>
    </row>
    <row r="3691" spans="1:13">
      <c r="A3691" s="88">
        <f t="shared" si="289"/>
        <v>149</v>
      </c>
      <c r="B3691" s="69" t="s">
        <v>1555</v>
      </c>
      <c r="C3691" s="69">
        <v>13</v>
      </c>
      <c r="D3691" s="89">
        <v>0</v>
      </c>
      <c r="E3691" s="89">
        <v>0</v>
      </c>
      <c r="F3691" s="89"/>
      <c r="G3691" s="89"/>
      <c r="H3691" s="89">
        <v>0</v>
      </c>
      <c r="I3691" s="89"/>
      <c r="J3691" s="710">
        <f>(VLOOKUP($C3691,[2]Sheet1!$A$2:$P$18,$M3691+1)/12)*12*D3691</f>
        <v>0</v>
      </c>
      <c r="K3691" s="711"/>
      <c r="M3691" s="62">
        <f t="shared" si="285"/>
        <v>3</v>
      </c>
    </row>
    <row r="3692" spans="1:13">
      <c r="A3692" s="88">
        <f t="shared" si="289"/>
        <v>150</v>
      </c>
      <c r="B3692" s="69" t="s">
        <v>1556</v>
      </c>
      <c r="C3692" s="69">
        <v>12</v>
      </c>
      <c r="D3692" s="89">
        <v>0</v>
      </c>
      <c r="E3692" s="89">
        <v>0</v>
      </c>
      <c r="F3692" s="89"/>
      <c r="G3692" s="89"/>
      <c r="H3692" s="89">
        <v>0</v>
      </c>
      <c r="I3692" s="89"/>
      <c r="J3692" s="710">
        <f>(VLOOKUP($C3692,[2]Sheet1!$A$2:$P$18,$M3692+1)/12)*12*D3692</f>
        <v>0</v>
      </c>
      <c r="K3692" s="711"/>
      <c r="M3692" s="62">
        <f t="shared" si="285"/>
        <v>3</v>
      </c>
    </row>
    <row r="3693" spans="1:13">
      <c r="A3693" s="88">
        <f t="shared" si="289"/>
        <v>151</v>
      </c>
      <c r="B3693" s="69" t="s">
        <v>1557</v>
      </c>
      <c r="C3693" s="69">
        <v>10</v>
      </c>
      <c r="D3693" s="89">
        <v>0</v>
      </c>
      <c r="E3693" s="89">
        <v>0</v>
      </c>
      <c r="F3693" s="89"/>
      <c r="G3693" s="89"/>
      <c r="H3693" s="89">
        <v>0</v>
      </c>
      <c r="I3693" s="89"/>
      <c r="J3693" s="710">
        <f>(VLOOKUP($C3693,[2]Sheet1!$A$2:$P$18,$M3693+1)/12)*12*D3693</f>
        <v>0</v>
      </c>
      <c r="K3693" s="711"/>
      <c r="M3693" s="62">
        <f t="shared" si="285"/>
        <v>3</v>
      </c>
    </row>
    <row r="3694" spans="1:13">
      <c r="A3694" s="88">
        <f t="shared" si="289"/>
        <v>152</v>
      </c>
      <c r="B3694" s="69" t="s">
        <v>1558</v>
      </c>
      <c r="C3694" s="69">
        <v>9</v>
      </c>
      <c r="D3694" s="89">
        <v>0</v>
      </c>
      <c r="E3694" s="89">
        <v>0</v>
      </c>
      <c r="F3694" s="89"/>
      <c r="G3694" s="89"/>
      <c r="H3694" s="89">
        <v>0</v>
      </c>
      <c r="I3694" s="89"/>
      <c r="J3694" s="710">
        <f>(VLOOKUP($C3694,[2]Sheet1!$A$2:$P$18,$M3694+1)/12)*12*D3694</f>
        <v>0</v>
      </c>
      <c r="K3694" s="711"/>
      <c r="M3694" s="62">
        <f t="shared" si="285"/>
        <v>3</v>
      </c>
    </row>
    <row r="3695" spans="1:13">
      <c r="A3695" s="88">
        <f t="shared" si="289"/>
        <v>153</v>
      </c>
      <c r="B3695" s="69" t="s">
        <v>1560</v>
      </c>
      <c r="C3695" s="69">
        <v>8</v>
      </c>
      <c r="D3695" s="89">
        <v>0</v>
      </c>
      <c r="E3695" s="89">
        <v>0</v>
      </c>
      <c r="F3695" s="89"/>
      <c r="G3695" s="89"/>
      <c r="H3695" s="89">
        <v>0</v>
      </c>
      <c r="I3695" s="89"/>
      <c r="J3695" s="710">
        <f>(VLOOKUP($C3695,[2]Sheet1!$A$2:$P$18,$M3695+1)/12)*12*D3695</f>
        <v>0</v>
      </c>
      <c r="K3695" s="711"/>
      <c r="M3695" s="62">
        <f t="shared" si="285"/>
        <v>3</v>
      </c>
    </row>
    <row r="3696" spans="1:13">
      <c r="A3696" s="88">
        <f t="shared" si="289"/>
        <v>154</v>
      </c>
      <c r="B3696" s="69" t="s">
        <v>1561</v>
      </c>
      <c r="C3696" s="69">
        <v>7</v>
      </c>
      <c r="D3696" s="89">
        <v>0</v>
      </c>
      <c r="E3696" s="89">
        <v>0</v>
      </c>
      <c r="F3696" s="89"/>
      <c r="G3696" s="89"/>
      <c r="H3696" s="89">
        <v>0</v>
      </c>
      <c r="I3696" s="89"/>
      <c r="J3696" s="710">
        <f>(VLOOKUP($C3696,[2]Sheet1!$A$2:$P$18,$M3696+1)/12)*12*D3696</f>
        <v>0</v>
      </c>
      <c r="K3696" s="711"/>
      <c r="M3696" s="62">
        <f t="shared" si="285"/>
        <v>3</v>
      </c>
    </row>
    <row r="3697" spans="1:13">
      <c r="A3697" s="88"/>
      <c r="B3697" s="90" t="s">
        <v>107</v>
      </c>
      <c r="C3697" s="69"/>
      <c r="D3697" s="89"/>
      <c r="E3697" s="89"/>
      <c r="F3697" s="89"/>
      <c r="G3697" s="89"/>
      <c r="H3697" s="89"/>
      <c r="I3697" s="89"/>
      <c r="J3697" s="710"/>
      <c r="K3697" s="711"/>
      <c r="M3697" s="62">
        <f t="shared" si="285"/>
        <v>5</v>
      </c>
    </row>
    <row r="3698" spans="1:13">
      <c r="A3698" s="88">
        <f>+A3696+1</f>
        <v>155</v>
      </c>
      <c r="B3698" s="69" t="s">
        <v>1256</v>
      </c>
      <c r="C3698" s="69">
        <v>15</v>
      </c>
      <c r="D3698" s="89">
        <v>0</v>
      </c>
      <c r="E3698" s="89">
        <v>2</v>
      </c>
      <c r="F3698" s="89">
        <v>0</v>
      </c>
      <c r="G3698" s="89">
        <v>0</v>
      </c>
      <c r="H3698" s="89">
        <v>2</v>
      </c>
      <c r="I3698" s="89">
        <v>0</v>
      </c>
      <c r="J3698" s="710">
        <f>(VLOOKUP($C3698,[2]Sheet1!$A$2:$P$18,$M3698+1)/12)*12*D3698</f>
        <v>0</v>
      </c>
      <c r="K3698" s="711"/>
      <c r="M3698" s="62">
        <f t="shared" ref="M3698:M3713" si="290">IF(C3698&gt;6,3,5)</f>
        <v>3</v>
      </c>
    </row>
    <row r="3699" spans="1:13">
      <c r="A3699" s="88">
        <f t="shared" ref="A3699:A3705" si="291">+A3698+1</f>
        <v>156</v>
      </c>
      <c r="B3699" s="69" t="s">
        <v>3533</v>
      </c>
      <c r="C3699" s="69">
        <v>14</v>
      </c>
      <c r="D3699" s="89">
        <v>3</v>
      </c>
      <c r="E3699" s="89">
        <v>4</v>
      </c>
      <c r="F3699" s="89">
        <v>3</v>
      </c>
      <c r="G3699" s="89">
        <v>3</v>
      </c>
      <c r="H3699" s="89">
        <v>4</v>
      </c>
      <c r="I3699" s="89">
        <v>3</v>
      </c>
      <c r="J3699" s="710">
        <f>(VLOOKUP($C3699,[2]Sheet1!$A$2:$P$18,$M3699+1)/12)*12*D3699</f>
        <v>2007298.2247200001</v>
      </c>
      <c r="K3699" s="711"/>
      <c r="M3699" s="62">
        <f t="shared" si="290"/>
        <v>3</v>
      </c>
    </row>
    <row r="3700" spans="1:13">
      <c r="A3700" s="88">
        <f t="shared" si="291"/>
        <v>157</v>
      </c>
      <c r="B3700" s="69" t="s">
        <v>1555</v>
      </c>
      <c r="C3700" s="69">
        <v>13</v>
      </c>
      <c r="D3700" s="89">
        <v>4</v>
      </c>
      <c r="E3700" s="89">
        <v>6</v>
      </c>
      <c r="F3700" s="89">
        <v>4</v>
      </c>
      <c r="G3700" s="89">
        <v>4</v>
      </c>
      <c r="H3700" s="89">
        <v>6</v>
      </c>
      <c r="I3700" s="89">
        <v>4</v>
      </c>
      <c r="J3700" s="710">
        <f>(VLOOKUP($C3700,[2]Sheet1!$A$2:$P$18,$M3700+1)/12)*12*D3700</f>
        <v>2515038.1521600001</v>
      </c>
      <c r="K3700" s="711"/>
      <c r="M3700" s="62">
        <f t="shared" si="290"/>
        <v>3</v>
      </c>
    </row>
    <row r="3701" spans="1:13">
      <c r="A3701" s="88">
        <f t="shared" si="291"/>
        <v>158</v>
      </c>
      <c r="B3701" s="69" t="s">
        <v>1556</v>
      </c>
      <c r="C3701" s="69">
        <v>12</v>
      </c>
      <c r="D3701" s="89">
        <v>8</v>
      </c>
      <c r="E3701" s="89">
        <v>8</v>
      </c>
      <c r="F3701" s="89">
        <v>8</v>
      </c>
      <c r="G3701" s="89">
        <v>8</v>
      </c>
      <c r="H3701" s="89">
        <v>8</v>
      </c>
      <c r="I3701" s="89">
        <v>8</v>
      </c>
      <c r="J3701" s="710">
        <f>(VLOOKUP($C3701,[2]Sheet1!$A$2:$P$18,$M3701+1)/12)*12*D3701</f>
        <v>4421480.4297600016</v>
      </c>
      <c r="K3701" s="711"/>
      <c r="M3701" s="62">
        <f t="shared" si="290"/>
        <v>3</v>
      </c>
    </row>
    <row r="3702" spans="1:13">
      <c r="A3702" s="88">
        <f t="shared" si="291"/>
        <v>159</v>
      </c>
      <c r="B3702" s="69" t="s">
        <v>1557</v>
      </c>
      <c r="C3702" s="69">
        <v>10</v>
      </c>
      <c r="D3702" s="89">
        <v>5</v>
      </c>
      <c r="E3702" s="89">
        <v>5</v>
      </c>
      <c r="F3702" s="89">
        <v>5</v>
      </c>
      <c r="G3702" s="89">
        <v>5</v>
      </c>
      <c r="H3702" s="89">
        <v>5</v>
      </c>
      <c r="I3702" s="89">
        <v>5</v>
      </c>
      <c r="J3702" s="710">
        <f>(VLOOKUP($C3702,[2]Sheet1!$A$2:$P$18,$M3702+1)/12)*12*D3702</f>
        <v>2419872.8436000003</v>
      </c>
      <c r="K3702" s="711"/>
      <c r="M3702" s="62">
        <f t="shared" si="290"/>
        <v>3</v>
      </c>
    </row>
    <row r="3703" spans="1:13">
      <c r="A3703" s="88">
        <f t="shared" si="291"/>
        <v>160</v>
      </c>
      <c r="B3703" s="69" t="s">
        <v>1558</v>
      </c>
      <c r="C3703" s="69">
        <v>9</v>
      </c>
      <c r="D3703" s="89">
        <v>6</v>
      </c>
      <c r="E3703" s="89">
        <v>6</v>
      </c>
      <c r="F3703" s="89">
        <v>6</v>
      </c>
      <c r="G3703" s="89">
        <v>6</v>
      </c>
      <c r="H3703" s="89">
        <v>6</v>
      </c>
      <c r="I3703" s="89">
        <v>6</v>
      </c>
      <c r="J3703" s="710">
        <f>(VLOOKUP($C3703,[2]Sheet1!$A$2:$P$18,$M3703+1)/12)*12*D3703</f>
        <v>2458091.4371999996</v>
      </c>
      <c r="K3703" s="711"/>
      <c r="M3703" s="62">
        <f t="shared" si="290"/>
        <v>3</v>
      </c>
    </row>
    <row r="3704" spans="1:13">
      <c r="A3704" s="88">
        <f t="shared" si="291"/>
        <v>161</v>
      </c>
      <c r="B3704" s="69" t="s">
        <v>1560</v>
      </c>
      <c r="C3704" s="69">
        <v>8</v>
      </c>
      <c r="D3704" s="89">
        <v>10</v>
      </c>
      <c r="E3704" s="89">
        <v>10</v>
      </c>
      <c r="F3704" s="89">
        <v>10</v>
      </c>
      <c r="G3704" s="89">
        <v>10</v>
      </c>
      <c r="H3704" s="89">
        <v>10</v>
      </c>
      <c r="I3704" s="89">
        <v>10</v>
      </c>
      <c r="J3704" s="710">
        <f>(VLOOKUP($C3704,[2]Sheet1!$A$2:$P$18,$M3704+1)/12)*12*D3704</f>
        <v>3421412.7407999998</v>
      </c>
      <c r="K3704" s="711"/>
      <c r="M3704" s="62">
        <f t="shared" si="290"/>
        <v>3</v>
      </c>
    </row>
    <row r="3705" spans="1:13">
      <c r="A3705" s="88">
        <f t="shared" si="291"/>
        <v>162</v>
      </c>
      <c r="B3705" s="69" t="s">
        <v>1561</v>
      </c>
      <c r="C3705" s="69">
        <v>7</v>
      </c>
      <c r="D3705" s="89">
        <v>1</v>
      </c>
      <c r="E3705" s="89">
        <v>1</v>
      </c>
      <c r="F3705" s="89">
        <v>1</v>
      </c>
      <c r="G3705" s="89">
        <v>1</v>
      </c>
      <c r="H3705" s="89">
        <v>1</v>
      </c>
      <c r="I3705" s="89">
        <v>1</v>
      </c>
      <c r="J3705" s="710">
        <f>(VLOOKUP($C3705,[2]Sheet1!$A$2:$P$18,$M3705+1)/12)*12*D3705</f>
        <v>307706.70240000007</v>
      </c>
      <c r="K3705" s="711"/>
      <c r="M3705" s="62">
        <f t="shared" si="290"/>
        <v>3</v>
      </c>
    </row>
    <row r="3706" spans="1:13">
      <c r="A3706" s="88"/>
      <c r="B3706" s="90" t="s">
        <v>3737</v>
      </c>
      <c r="C3706" s="69"/>
      <c r="D3706" s="89"/>
      <c r="E3706" s="89"/>
      <c r="F3706" s="89"/>
      <c r="G3706" s="89"/>
      <c r="H3706" s="89"/>
      <c r="I3706" s="89"/>
      <c r="J3706" s="710"/>
      <c r="K3706" s="711"/>
      <c r="M3706" s="62">
        <f t="shared" si="290"/>
        <v>5</v>
      </c>
    </row>
    <row r="3707" spans="1:13">
      <c r="A3707" s="88">
        <f>+A3705+1</f>
        <v>163</v>
      </c>
      <c r="B3707" s="69" t="s">
        <v>3738</v>
      </c>
      <c r="C3707" s="69">
        <v>16</v>
      </c>
      <c r="D3707" s="89">
        <v>1</v>
      </c>
      <c r="E3707" s="89">
        <v>1</v>
      </c>
      <c r="F3707" s="89">
        <v>1</v>
      </c>
      <c r="G3707" s="89">
        <v>1</v>
      </c>
      <c r="H3707" s="89">
        <v>1</v>
      </c>
      <c r="I3707" s="89">
        <v>1</v>
      </c>
      <c r="J3707" s="710">
        <f>(VLOOKUP($C3707,[2]Sheet1!$A$2:$P$18,$M3707+1)/12)*12*D3707</f>
        <v>677281.26084</v>
      </c>
      <c r="K3707" s="711"/>
      <c r="M3707" s="62">
        <f t="shared" si="290"/>
        <v>3</v>
      </c>
    </row>
    <row r="3708" spans="1:13">
      <c r="A3708" s="88">
        <f>+A3707+1</f>
        <v>164</v>
      </c>
      <c r="B3708" s="69" t="s">
        <v>1256</v>
      </c>
      <c r="C3708" s="69">
        <v>15</v>
      </c>
      <c r="D3708" s="89">
        <v>1</v>
      </c>
      <c r="E3708" s="89">
        <v>1</v>
      </c>
      <c r="F3708" s="89">
        <v>1</v>
      </c>
      <c r="G3708" s="89">
        <v>1</v>
      </c>
      <c r="H3708" s="89">
        <v>1</v>
      </c>
      <c r="I3708" s="89">
        <v>1</v>
      </c>
      <c r="J3708" s="710">
        <f>(VLOOKUP($C3708,[2]Sheet1!$A$2:$P$18,$M3708+1)/12)*12*D3708</f>
        <v>658331.89992</v>
      </c>
      <c r="K3708" s="711"/>
      <c r="M3708" s="62">
        <f t="shared" si="290"/>
        <v>3</v>
      </c>
    </row>
    <row r="3709" spans="1:13">
      <c r="A3709" s="88">
        <f>+A3708+1</f>
        <v>165</v>
      </c>
      <c r="B3709" s="69" t="s">
        <v>3533</v>
      </c>
      <c r="C3709" s="69">
        <v>14</v>
      </c>
      <c r="D3709" s="89">
        <v>1</v>
      </c>
      <c r="E3709" s="89">
        <v>1</v>
      </c>
      <c r="F3709" s="89">
        <v>1</v>
      </c>
      <c r="G3709" s="89">
        <v>1</v>
      </c>
      <c r="H3709" s="89">
        <v>1</v>
      </c>
      <c r="I3709" s="89">
        <v>1</v>
      </c>
      <c r="J3709" s="710">
        <f>(VLOOKUP($C3709,[2]Sheet1!$A$2:$P$18,$M3709+1)/12)*12*D3709</f>
        <v>669099.40824000002</v>
      </c>
      <c r="K3709" s="711"/>
      <c r="M3709" s="62">
        <f t="shared" si="290"/>
        <v>3</v>
      </c>
    </row>
    <row r="3710" spans="1:13">
      <c r="A3710" s="88">
        <f>+A3709+1</f>
        <v>166</v>
      </c>
      <c r="B3710" s="69" t="s">
        <v>1818</v>
      </c>
      <c r="C3710" s="69">
        <v>13</v>
      </c>
      <c r="D3710" s="89">
        <v>1</v>
      </c>
      <c r="E3710" s="89">
        <v>1</v>
      </c>
      <c r="F3710" s="89">
        <v>1</v>
      </c>
      <c r="G3710" s="89">
        <v>1</v>
      </c>
      <c r="H3710" s="89">
        <v>1</v>
      </c>
      <c r="I3710" s="89">
        <v>1</v>
      </c>
      <c r="J3710" s="710">
        <f>(VLOOKUP($C3710,[2]Sheet1!$A$2:$P$18,$M3710+1)/12)*12*D3710</f>
        <v>628759.53804000001</v>
      </c>
      <c r="K3710" s="711"/>
      <c r="M3710" s="62">
        <f t="shared" si="290"/>
        <v>3</v>
      </c>
    </row>
    <row r="3711" spans="1:13">
      <c r="A3711" s="92"/>
      <c r="B3711" s="93" t="s">
        <v>1684</v>
      </c>
      <c r="C3711" s="94"/>
      <c r="D3711" s="123">
        <f t="shared" ref="D3711:J3711" si="292">SUM(D3588:D3710)</f>
        <v>241</v>
      </c>
      <c r="E3711" s="123">
        <f t="shared" si="292"/>
        <v>235</v>
      </c>
      <c r="F3711" s="123">
        <f t="shared" si="292"/>
        <v>222</v>
      </c>
      <c r="G3711" s="123">
        <f>SUM(G3588:G3710)</f>
        <v>222</v>
      </c>
      <c r="H3711" s="123">
        <f t="shared" si="292"/>
        <v>235</v>
      </c>
      <c r="I3711" s="123">
        <f t="shared" si="292"/>
        <v>241</v>
      </c>
      <c r="J3711" s="123">
        <f t="shared" si="292"/>
        <v>80551600.676516354</v>
      </c>
      <c r="K3711" s="378"/>
      <c r="M3711" s="62">
        <f t="shared" si="290"/>
        <v>5</v>
      </c>
    </row>
    <row r="3712" spans="1:13">
      <c r="A3712" s="88" t="s">
        <v>1840</v>
      </c>
      <c r="B3712" s="97" t="s">
        <v>1199</v>
      </c>
      <c r="C3712" s="69"/>
      <c r="D3712" s="89"/>
      <c r="E3712" s="89"/>
      <c r="F3712" s="99"/>
      <c r="G3712" s="240" t="s">
        <v>243</v>
      </c>
      <c r="H3712" s="240" t="s">
        <v>4130</v>
      </c>
      <c r="I3712" s="240" t="s">
        <v>4202</v>
      </c>
      <c r="J3712" s="241" t="s">
        <v>4200</v>
      </c>
      <c r="K3712" s="375"/>
      <c r="M3712" s="62">
        <f t="shared" si="290"/>
        <v>5</v>
      </c>
    </row>
    <row r="3713" spans="1:17">
      <c r="A3713" s="88">
        <v>1</v>
      </c>
      <c r="B3713" s="69" t="s">
        <v>763</v>
      </c>
      <c r="C3713" s="69"/>
      <c r="D3713" s="89"/>
      <c r="E3713" s="89"/>
      <c r="F3713" s="89"/>
      <c r="G3713" s="100">
        <f>J3711*0.2</f>
        <v>16110320.135303272</v>
      </c>
      <c r="H3713" s="100">
        <f t="shared" ref="H3713:I3715" si="293">G3713*1.02</f>
        <v>16432526.538009338</v>
      </c>
      <c r="I3713" s="100">
        <f t="shared" si="293"/>
        <v>16761177.068769526</v>
      </c>
      <c r="J3713" s="100">
        <f>SUM(G3713:I3713)</f>
        <v>49304023.742082134</v>
      </c>
      <c r="K3713" s="114"/>
      <c r="M3713" s="62">
        <f t="shared" si="290"/>
        <v>5</v>
      </c>
    </row>
    <row r="3714" spans="1:17">
      <c r="A3714" s="88">
        <v>2</v>
      </c>
      <c r="B3714" s="69" t="s">
        <v>4254</v>
      </c>
      <c r="C3714" s="69"/>
      <c r="D3714" s="89"/>
      <c r="E3714" s="89"/>
      <c r="F3714" s="89"/>
      <c r="G3714" s="100">
        <f>J3711*0.08</f>
        <v>6444128.054121308</v>
      </c>
      <c r="H3714" s="100">
        <f t="shared" si="293"/>
        <v>6573010.6152037345</v>
      </c>
      <c r="I3714" s="100">
        <f t="shared" si="293"/>
        <v>6704470.8275078097</v>
      </c>
      <c r="J3714" s="100">
        <f>SUM(G3714:I3714)</f>
        <v>19721609.496832851</v>
      </c>
      <c r="K3714" s="114"/>
    </row>
    <row r="3715" spans="1:17">
      <c r="A3715" s="88">
        <v>3</v>
      </c>
      <c r="B3715" s="69" t="s">
        <v>4253</v>
      </c>
      <c r="C3715" s="69"/>
      <c r="D3715" s="89"/>
      <c r="E3715" s="89"/>
      <c r="F3715" s="89"/>
      <c r="G3715" s="100">
        <f>(J3711/3*0.27)+(J3711*0.6*0.125)</f>
        <v>13291014.111625198</v>
      </c>
      <c r="H3715" s="100">
        <f t="shared" si="293"/>
        <v>13556834.393857703</v>
      </c>
      <c r="I3715" s="100">
        <f t="shared" si="293"/>
        <v>13827971.081734857</v>
      </c>
      <c r="J3715" s="100">
        <f>SUM(G3715:I3715)</f>
        <v>40675819.587217756</v>
      </c>
      <c r="K3715" s="114"/>
      <c r="M3715" s="62">
        <f t="shared" ref="M3715:M3724" si="294">IF(C3715&gt;6,3,5)</f>
        <v>5</v>
      </c>
    </row>
    <row r="3716" spans="1:17">
      <c r="A3716" s="92" t="s">
        <v>1840</v>
      </c>
      <c r="B3716" s="93" t="s">
        <v>1529</v>
      </c>
      <c r="C3716" s="94"/>
      <c r="D3716" s="101"/>
      <c r="E3716" s="101"/>
      <c r="F3716" s="123"/>
      <c r="G3716" s="123">
        <f>SUM(G3713:G3715)</f>
        <v>35845462.301049784</v>
      </c>
      <c r="H3716" s="123">
        <f>SUM(H3713:H3715)</f>
        <v>36562371.547070771</v>
      </c>
      <c r="I3716" s="123">
        <f>SUM(I3713:I3715)</f>
        <v>37293618.978012189</v>
      </c>
      <c r="J3716" s="123">
        <f>SUM(J3713:J3715)</f>
        <v>109701452.82613274</v>
      </c>
      <c r="K3716" s="378"/>
      <c r="M3716" s="62">
        <f t="shared" si="294"/>
        <v>5</v>
      </c>
    </row>
    <row r="3717" spans="1:17">
      <c r="A3717" s="88" t="s">
        <v>1840</v>
      </c>
      <c r="B3717" s="69"/>
      <c r="C3717" s="69"/>
      <c r="D3717" s="89"/>
      <c r="E3717" s="89"/>
      <c r="F3717" s="89"/>
      <c r="G3717" s="89"/>
      <c r="H3717" s="89"/>
      <c r="I3717" s="89"/>
      <c r="J3717" s="89"/>
      <c r="K3717" s="114"/>
      <c r="M3717" s="62">
        <f t="shared" si="294"/>
        <v>5</v>
      </c>
    </row>
    <row r="3718" spans="1:17">
      <c r="A3718" s="88" t="s">
        <v>1840</v>
      </c>
      <c r="B3718" s="69" t="s">
        <v>889</v>
      </c>
      <c r="C3718" s="69"/>
      <c r="D3718" s="89"/>
      <c r="E3718" s="89"/>
      <c r="F3718" s="89"/>
      <c r="G3718" s="100">
        <f>G3716+J3711</f>
        <v>116397062.97756614</v>
      </c>
      <c r="H3718" s="100">
        <f>G3718*1.02</f>
        <v>118725004.23711747</v>
      </c>
      <c r="I3718" s="100">
        <f>H3718*1.02</f>
        <v>121099504.32185982</v>
      </c>
      <c r="J3718" s="100">
        <f>SUM(G3718:I3718)</f>
        <v>356221571.53654343</v>
      </c>
      <c r="K3718" s="114"/>
      <c r="L3718" s="112"/>
      <c r="M3718" s="62">
        <f t="shared" si="294"/>
        <v>5</v>
      </c>
    </row>
    <row r="3719" spans="1:17">
      <c r="A3719" s="88" t="s">
        <v>1840</v>
      </c>
      <c r="B3719" s="69" t="s">
        <v>2155</v>
      </c>
      <c r="C3719" s="69"/>
      <c r="D3719" s="89"/>
      <c r="E3719" s="89"/>
      <c r="F3719" s="89"/>
      <c r="G3719" s="89">
        <f>C3753</f>
        <v>331200000</v>
      </c>
      <c r="H3719" s="89">
        <f>D3753</f>
        <v>453700000</v>
      </c>
      <c r="I3719" s="89">
        <f>E3753</f>
        <v>453700000</v>
      </c>
      <c r="J3719" s="100">
        <f>SUM(G3719:I3719)</f>
        <v>1238600000</v>
      </c>
      <c r="K3719" s="114"/>
      <c r="M3719" s="62">
        <f t="shared" si="294"/>
        <v>5</v>
      </c>
    </row>
    <row r="3720" spans="1:17">
      <c r="A3720" s="92" t="s">
        <v>1840</v>
      </c>
      <c r="B3720" s="93" t="s">
        <v>2422</v>
      </c>
      <c r="C3720" s="94"/>
      <c r="D3720" s="101"/>
      <c r="E3720" s="101"/>
      <c r="F3720" s="123"/>
      <c r="G3720" s="123">
        <f>SUM(G3718:G3719)</f>
        <v>447597062.97756612</v>
      </c>
      <c r="H3720" s="123">
        <f>SUM(H3718:H3719)</f>
        <v>572425004.23711753</v>
      </c>
      <c r="I3720" s="123">
        <f>SUM(I3718:I3719)</f>
        <v>574799504.32185984</v>
      </c>
      <c r="J3720" s="123">
        <f>SUM(J3718:J3719)</f>
        <v>1594821571.5365434</v>
      </c>
      <c r="K3720" s="378"/>
      <c r="M3720" s="62">
        <f t="shared" si="294"/>
        <v>5</v>
      </c>
    </row>
    <row r="3721" spans="1:17" ht="15">
      <c r="C3721" s="77"/>
      <c r="D3721" s="78" t="s">
        <v>5434</v>
      </c>
      <c r="J3721" s="584"/>
      <c r="K3721" s="584"/>
      <c r="M3721" s="62">
        <f t="shared" si="294"/>
        <v>5</v>
      </c>
    </row>
    <row r="3722" spans="1:17" ht="15">
      <c r="C3722" s="77"/>
      <c r="D3722" s="78" t="s">
        <v>716</v>
      </c>
      <c r="J3722" s="584"/>
      <c r="K3722" s="584"/>
      <c r="M3722" s="62">
        <f t="shared" si="294"/>
        <v>5</v>
      </c>
    </row>
    <row r="3723" spans="1:17" ht="15">
      <c r="C3723" s="79" t="s">
        <v>717</v>
      </c>
      <c r="D3723" s="78" t="s">
        <v>3151</v>
      </c>
      <c r="J3723" s="584"/>
      <c r="K3723" s="584"/>
      <c r="M3723" s="62">
        <f t="shared" si="294"/>
        <v>3</v>
      </c>
    </row>
    <row r="3724" spans="1:17" ht="15">
      <c r="C3724" s="79" t="s">
        <v>718</v>
      </c>
      <c r="D3724" s="78" t="s">
        <v>3152</v>
      </c>
      <c r="J3724" s="584"/>
      <c r="K3724" s="584"/>
      <c r="M3724" s="62">
        <f t="shared" si="294"/>
        <v>3</v>
      </c>
    </row>
    <row r="3725" spans="1:17" ht="15">
      <c r="A3725" s="634" t="s">
        <v>1839</v>
      </c>
      <c r="B3725" s="635" t="s">
        <v>903</v>
      </c>
      <c r="C3725" s="1037" t="s">
        <v>4127</v>
      </c>
      <c r="D3725" s="1038"/>
      <c r="E3725" s="1039"/>
      <c r="F3725" s="635" t="s">
        <v>1684</v>
      </c>
      <c r="G3725" s="1037" t="s">
        <v>4132</v>
      </c>
      <c r="H3725" s="1038"/>
      <c r="I3725" s="1039"/>
      <c r="J3725" s="726"/>
      <c r="K3725" s="727"/>
    </row>
    <row r="3726" spans="1:17">
      <c r="A3726" s="636" t="s">
        <v>1620</v>
      </c>
      <c r="B3726" s="637"/>
      <c r="C3726" s="635" t="s">
        <v>1841</v>
      </c>
      <c r="D3726" s="635" t="s">
        <v>4133</v>
      </c>
      <c r="E3726" s="635" t="s">
        <v>4133</v>
      </c>
      <c r="F3726" s="1056" t="s">
        <v>4200</v>
      </c>
      <c r="G3726" s="634" t="s">
        <v>4135</v>
      </c>
      <c r="H3726" s="1051" t="s">
        <v>4182</v>
      </c>
      <c r="I3726" s="634" t="s">
        <v>4135</v>
      </c>
      <c r="J3726" s="728" t="s">
        <v>4136</v>
      </c>
      <c r="K3726" s="727"/>
    </row>
    <row r="3727" spans="1:17" ht="12.75" customHeight="1">
      <c r="A3727" s="638" t="s">
        <v>387</v>
      </c>
      <c r="B3727" s="639"/>
      <c r="C3727" s="638">
        <v>2015</v>
      </c>
      <c r="D3727" s="638">
        <v>2016</v>
      </c>
      <c r="E3727" s="638">
        <v>2017</v>
      </c>
      <c r="F3727" s="1057"/>
      <c r="G3727" s="638" t="s">
        <v>4304</v>
      </c>
      <c r="H3727" s="1052"/>
      <c r="I3727" s="638" t="s">
        <v>4303</v>
      </c>
      <c r="J3727" s="639"/>
      <c r="K3727" s="729"/>
    </row>
    <row r="3728" spans="1:17">
      <c r="A3728" s="788">
        <v>2</v>
      </c>
      <c r="B3728" s="775" t="s">
        <v>768</v>
      </c>
      <c r="C3728" s="731">
        <v>10000000</v>
      </c>
      <c r="D3728" s="731">
        <v>5000000</v>
      </c>
      <c r="E3728" s="731">
        <v>5000000</v>
      </c>
      <c r="F3728" s="731">
        <f>SUM(C3728:E3728)</f>
        <v>20000000</v>
      </c>
      <c r="G3728" s="731">
        <v>4300000</v>
      </c>
      <c r="H3728" s="731">
        <v>10000000</v>
      </c>
      <c r="I3728" s="731">
        <v>396325</v>
      </c>
      <c r="J3728" s="731"/>
      <c r="K3728" s="732"/>
      <c r="M3728" s="62" t="e">
        <f>IF(#REF!&gt;6,3,5)</f>
        <v>#REF!</v>
      </c>
      <c r="Q3728" s="183"/>
    </row>
    <row r="3729" spans="1:17">
      <c r="A3729" s="788">
        <f t="shared" ref="A3729:A3752" si="295">+A3728+1</f>
        <v>3</v>
      </c>
      <c r="B3729" s="775" t="s">
        <v>1696</v>
      </c>
      <c r="C3729" s="731" t="s">
        <v>3007</v>
      </c>
      <c r="D3729" s="731" t="s">
        <v>3007</v>
      </c>
      <c r="E3729" s="731" t="s">
        <v>3007</v>
      </c>
      <c r="F3729" s="731">
        <f t="shared" ref="F3729:F3752" si="296">SUM(C3729:E3729)</f>
        <v>0</v>
      </c>
      <c r="G3729" s="731"/>
      <c r="H3729" s="731" t="s">
        <v>3007</v>
      </c>
      <c r="I3729" s="731"/>
      <c r="J3729" s="731"/>
      <c r="K3729" s="732"/>
      <c r="M3729" s="62" t="e">
        <f>IF(#REF!&gt;6,3,5)</f>
        <v>#REF!</v>
      </c>
      <c r="Q3729" s="183"/>
    </row>
    <row r="3730" spans="1:17">
      <c r="A3730" s="788">
        <f t="shared" si="295"/>
        <v>4</v>
      </c>
      <c r="B3730" s="775" t="s">
        <v>1701</v>
      </c>
      <c r="C3730" s="731" t="s">
        <v>3007</v>
      </c>
      <c r="D3730" s="731" t="s">
        <v>3007</v>
      </c>
      <c r="E3730" s="731" t="s">
        <v>3007</v>
      </c>
      <c r="F3730" s="731">
        <f t="shared" si="296"/>
        <v>0</v>
      </c>
      <c r="G3730" s="731"/>
      <c r="H3730" s="731" t="s">
        <v>3007</v>
      </c>
      <c r="I3730" s="731"/>
      <c r="J3730" s="731"/>
      <c r="K3730" s="732"/>
      <c r="M3730" s="62" t="e">
        <f>IF(#REF!&gt;6,3,5)</f>
        <v>#REF!</v>
      </c>
      <c r="Q3730" s="183"/>
    </row>
    <row r="3731" spans="1:17">
      <c r="A3731" s="788">
        <f t="shared" si="295"/>
        <v>5</v>
      </c>
      <c r="B3731" s="775" t="s">
        <v>769</v>
      </c>
      <c r="C3731" s="731">
        <v>7000000</v>
      </c>
      <c r="D3731" s="731">
        <v>1500000</v>
      </c>
      <c r="E3731" s="731">
        <v>1500000</v>
      </c>
      <c r="F3731" s="731">
        <f t="shared" si="296"/>
        <v>10000000</v>
      </c>
      <c r="G3731" s="731">
        <v>9300000</v>
      </c>
      <c r="H3731" s="731">
        <v>7000000</v>
      </c>
      <c r="I3731" s="731">
        <v>30000</v>
      </c>
      <c r="J3731" s="731"/>
      <c r="K3731" s="732"/>
      <c r="M3731" s="62" t="e">
        <f>IF(#REF!&gt;6,3,5)</f>
        <v>#REF!</v>
      </c>
    </row>
    <row r="3732" spans="1:17" ht="25.5">
      <c r="A3732" s="788">
        <f t="shared" si="295"/>
        <v>6</v>
      </c>
      <c r="B3732" s="775" t="s">
        <v>1072</v>
      </c>
      <c r="C3732" s="731">
        <v>1000000</v>
      </c>
      <c r="D3732" s="731">
        <v>1500000</v>
      </c>
      <c r="E3732" s="731">
        <v>1500000</v>
      </c>
      <c r="F3732" s="731">
        <f t="shared" si="296"/>
        <v>4000000</v>
      </c>
      <c r="G3732" s="731">
        <v>150000</v>
      </c>
      <c r="H3732" s="731">
        <v>1000000</v>
      </c>
      <c r="I3732" s="731">
        <v>98900</v>
      </c>
      <c r="J3732" s="731"/>
      <c r="K3732" s="732"/>
      <c r="M3732" s="62" t="e">
        <f>IF(#REF!&gt;6,3,5)</f>
        <v>#REF!</v>
      </c>
    </row>
    <row r="3733" spans="1:17" ht="25.5">
      <c r="A3733" s="788">
        <f t="shared" si="295"/>
        <v>7</v>
      </c>
      <c r="B3733" s="775" t="s">
        <v>1073</v>
      </c>
      <c r="C3733" s="731">
        <v>3000000</v>
      </c>
      <c r="D3733" s="731">
        <v>5000000</v>
      </c>
      <c r="E3733" s="731">
        <v>5000000</v>
      </c>
      <c r="F3733" s="731">
        <f t="shared" si="296"/>
        <v>13000000</v>
      </c>
      <c r="G3733" s="731">
        <v>2200000</v>
      </c>
      <c r="H3733" s="731">
        <v>3000000</v>
      </c>
      <c r="I3733" s="731">
        <v>326000</v>
      </c>
      <c r="J3733" s="731"/>
      <c r="K3733" s="732"/>
      <c r="M3733" s="62" t="e">
        <f>IF(#REF!&gt;6,3,5)</f>
        <v>#REF!</v>
      </c>
    </row>
    <row r="3734" spans="1:17">
      <c r="A3734" s="788">
        <f t="shared" si="295"/>
        <v>8</v>
      </c>
      <c r="B3734" s="775" t="s">
        <v>1385</v>
      </c>
      <c r="C3734" s="731" t="s">
        <v>3007</v>
      </c>
      <c r="D3734" s="731" t="s">
        <v>3007</v>
      </c>
      <c r="E3734" s="731" t="s">
        <v>3007</v>
      </c>
      <c r="F3734" s="731">
        <f t="shared" si="296"/>
        <v>0</v>
      </c>
      <c r="G3734" s="731"/>
      <c r="H3734" s="731" t="s">
        <v>3007</v>
      </c>
      <c r="I3734" s="731"/>
      <c r="J3734" s="731"/>
      <c r="K3734" s="732"/>
      <c r="M3734" s="62" t="e">
        <f>IF(#REF!&gt;6,3,5)</f>
        <v>#REF!</v>
      </c>
    </row>
    <row r="3735" spans="1:17">
      <c r="A3735" s="788">
        <f t="shared" si="295"/>
        <v>9</v>
      </c>
      <c r="B3735" s="775" t="s">
        <v>3153</v>
      </c>
      <c r="C3735" s="731" t="s">
        <v>3007</v>
      </c>
      <c r="D3735" s="731" t="s">
        <v>3007</v>
      </c>
      <c r="E3735" s="731" t="s">
        <v>3007</v>
      </c>
      <c r="F3735" s="731">
        <f t="shared" si="296"/>
        <v>0</v>
      </c>
      <c r="G3735" s="731"/>
      <c r="H3735" s="731" t="s">
        <v>3007</v>
      </c>
      <c r="I3735" s="731"/>
      <c r="J3735" s="731"/>
      <c r="K3735" s="732"/>
      <c r="M3735" s="62" t="e">
        <f>IF(#REF!&gt;6,3,5)</f>
        <v>#REF!</v>
      </c>
    </row>
    <row r="3736" spans="1:17">
      <c r="A3736" s="788">
        <f t="shared" si="295"/>
        <v>10</v>
      </c>
      <c r="B3736" s="775" t="s">
        <v>1716</v>
      </c>
      <c r="C3736" s="731">
        <v>3000000</v>
      </c>
      <c r="D3736" s="731">
        <v>1000000</v>
      </c>
      <c r="E3736" s="731">
        <v>1000000</v>
      </c>
      <c r="F3736" s="731">
        <f t="shared" si="296"/>
        <v>5000000</v>
      </c>
      <c r="G3736" s="731">
        <v>8000000</v>
      </c>
      <c r="H3736" s="731">
        <v>3000000</v>
      </c>
      <c r="I3736" s="731">
        <v>0</v>
      </c>
      <c r="J3736" s="731"/>
      <c r="K3736" s="732"/>
      <c r="M3736" s="62" t="e">
        <f>IF(#REF!&gt;6,3,5)</f>
        <v>#REF!</v>
      </c>
    </row>
    <row r="3737" spans="1:17" ht="25.5">
      <c r="A3737" s="788">
        <f t="shared" si="295"/>
        <v>11</v>
      </c>
      <c r="B3737" s="775" t="s">
        <v>764</v>
      </c>
      <c r="C3737" s="731">
        <v>100000</v>
      </c>
      <c r="D3737" s="731">
        <v>100000</v>
      </c>
      <c r="E3737" s="731">
        <v>100000</v>
      </c>
      <c r="F3737" s="731">
        <f t="shared" si="296"/>
        <v>300000</v>
      </c>
      <c r="G3737" s="731"/>
      <c r="H3737" s="731">
        <v>100000</v>
      </c>
      <c r="I3737" s="731">
        <v>79470</v>
      </c>
      <c r="J3737" s="731"/>
      <c r="K3737" s="732"/>
      <c r="M3737" s="62" t="e">
        <f>IF(#REF!&gt;6,3,5)</f>
        <v>#REF!</v>
      </c>
    </row>
    <row r="3738" spans="1:17">
      <c r="A3738" s="788">
        <f t="shared" si="295"/>
        <v>12</v>
      </c>
      <c r="B3738" s="775" t="s">
        <v>2688</v>
      </c>
      <c r="C3738" s="731">
        <v>16000000</v>
      </c>
      <c r="D3738" s="731">
        <v>15000000</v>
      </c>
      <c r="E3738" s="731">
        <v>15000000</v>
      </c>
      <c r="F3738" s="731">
        <f t="shared" si="296"/>
        <v>46000000</v>
      </c>
      <c r="G3738" s="731">
        <v>7600000</v>
      </c>
      <c r="H3738" s="731">
        <v>16000000</v>
      </c>
      <c r="I3738" s="731">
        <v>4144168</v>
      </c>
      <c r="J3738" s="731"/>
      <c r="K3738" s="732"/>
      <c r="M3738" s="62" t="e">
        <f>IF(#REF!&gt;6,3,5)</f>
        <v>#REF!</v>
      </c>
    </row>
    <row r="3739" spans="1:17">
      <c r="A3739" s="788">
        <f t="shared" si="295"/>
        <v>13</v>
      </c>
      <c r="B3739" s="775" t="s">
        <v>2249</v>
      </c>
      <c r="C3739" s="731">
        <v>100000</v>
      </c>
      <c r="D3739" s="731">
        <v>100000</v>
      </c>
      <c r="E3739" s="731">
        <v>100000</v>
      </c>
      <c r="F3739" s="731">
        <f t="shared" si="296"/>
        <v>300000</v>
      </c>
      <c r="G3739" s="731"/>
      <c r="H3739" s="731">
        <v>100000</v>
      </c>
      <c r="I3739" s="731"/>
      <c r="J3739" s="731"/>
      <c r="K3739" s="732"/>
      <c r="M3739" s="62" t="e">
        <f>IF(#REF!&gt;6,3,5)</f>
        <v>#REF!</v>
      </c>
    </row>
    <row r="3740" spans="1:17">
      <c r="A3740" s="788">
        <f t="shared" si="295"/>
        <v>14</v>
      </c>
      <c r="B3740" s="775" t="s">
        <v>1717</v>
      </c>
      <c r="C3740" s="731">
        <v>3000000</v>
      </c>
      <c r="D3740" s="731">
        <v>3000000</v>
      </c>
      <c r="E3740" s="731">
        <v>3000000</v>
      </c>
      <c r="F3740" s="731">
        <f t="shared" si="296"/>
        <v>9000000</v>
      </c>
      <c r="G3740" s="731">
        <v>1500000</v>
      </c>
      <c r="H3740" s="731">
        <v>3000000</v>
      </c>
      <c r="I3740" s="731">
        <v>0</v>
      </c>
      <c r="J3740" s="731"/>
      <c r="K3740" s="732"/>
      <c r="M3740" s="62" t="e">
        <f>IF(#REF!&gt;6,3,5)</f>
        <v>#REF!</v>
      </c>
    </row>
    <row r="3741" spans="1:17">
      <c r="A3741" s="788">
        <f t="shared" si="295"/>
        <v>15</v>
      </c>
      <c r="B3741" s="775" t="s">
        <v>3971</v>
      </c>
      <c r="C3741" s="731" t="s">
        <v>1386</v>
      </c>
      <c r="D3741" s="731" t="s">
        <v>1386</v>
      </c>
      <c r="E3741" s="731" t="s">
        <v>1386</v>
      </c>
      <c r="F3741" s="731">
        <f t="shared" si="296"/>
        <v>0</v>
      </c>
      <c r="G3741" s="731"/>
      <c r="H3741" s="731" t="s">
        <v>1386</v>
      </c>
      <c r="I3741" s="731"/>
      <c r="J3741" s="731"/>
      <c r="K3741" s="732"/>
      <c r="M3741" s="62" t="e">
        <f>IF(#REF!&gt;6,3,5)</f>
        <v>#REF!</v>
      </c>
    </row>
    <row r="3742" spans="1:17">
      <c r="A3742" s="788">
        <f>+A3741+1</f>
        <v>16</v>
      </c>
      <c r="B3742" s="775" t="s">
        <v>3186</v>
      </c>
      <c r="C3742" s="731" t="s">
        <v>1386</v>
      </c>
      <c r="D3742" s="731" t="s">
        <v>1386</v>
      </c>
      <c r="E3742" s="731" t="s">
        <v>1386</v>
      </c>
      <c r="F3742" s="731">
        <f t="shared" si="296"/>
        <v>0</v>
      </c>
      <c r="G3742" s="731"/>
      <c r="H3742" s="731" t="s">
        <v>1386</v>
      </c>
      <c r="I3742" s="731"/>
      <c r="J3742" s="731"/>
      <c r="K3742" s="732"/>
      <c r="M3742" s="62" t="e">
        <f>IF(#REF!&gt;6,3,5)</f>
        <v>#REF!</v>
      </c>
    </row>
    <row r="3743" spans="1:17">
      <c r="A3743" s="788">
        <f t="shared" si="295"/>
        <v>17</v>
      </c>
      <c r="B3743" s="775" t="s">
        <v>3416</v>
      </c>
      <c r="C3743" s="731">
        <v>120000000</v>
      </c>
      <c r="D3743" s="731">
        <v>150000000</v>
      </c>
      <c r="E3743" s="731">
        <v>150000000</v>
      </c>
      <c r="F3743" s="731">
        <f t="shared" si="296"/>
        <v>420000000</v>
      </c>
      <c r="G3743" s="731">
        <f>72000000+4002950</f>
        <v>76002950</v>
      </c>
      <c r="H3743" s="731">
        <v>120000000</v>
      </c>
      <c r="I3743" s="731">
        <f>391100+5949800+70940000</f>
        <v>77280900</v>
      </c>
      <c r="J3743" s="731"/>
      <c r="K3743" s="732"/>
      <c r="M3743" s="62" t="e">
        <f>IF(#REF!&gt;6,3,5)</f>
        <v>#REF!</v>
      </c>
    </row>
    <row r="3744" spans="1:17" ht="24.75" customHeight="1">
      <c r="A3744" s="788">
        <f t="shared" si="295"/>
        <v>18</v>
      </c>
      <c r="B3744" s="807" t="s">
        <v>3154</v>
      </c>
      <c r="C3744" s="731">
        <v>5000000</v>
      </c>
      <c r="D3744" s="731">
        <v>70000000</v>
      </c>
      <c r="E3744" s="731">
        <v>70000000</v>
      </c>
      <c r="F3744" s="731">
        <f t="shared" si="296"/>
        <v>145000000</v>
      </c>
      <c r="G3744" s="731">
        <v>35000000</v>
      </c>
      <c r="H3744" s="731">
        <v>5000000</v>
      </c>
      <c r="I3744" s="731">
        <v>0</v>
      </c>
      <c r="J3744" s="731"/>
      <c r="K3744" s="732"/>
      <c r="M3744" s="62" t="e">
        <f>IF(#REF!&gt;6,3,5)</f>
        <v>#REF!</v>
      </c>
    </row>
    <row r="3745" spans="1:13">
      <c r="A3745" s="788">
        <f t="shared" si="295"/>
        <v>19</v>
      </c>
      <c r="B3745" s="775" t="s">
        <v>1323</v>
      </c>
      <c r="C3745" s="731">
        <v>2000000</v>
      </c>
      <c r="D3745" s="731">
        <v>5000000</v>
      </c>
      <c r="E3745" s="731">
        <v>5000000</v>
      </c>
      <c r="F3745" s="731">
        <f t="shared" si="296"/>
        <v>12000000</v>
      </c>
      <c r="G3745" s="731">
        <v>2000000</v>
      </c>
      <c r="H3745" s="731">
        <v>2000000</v>
      </c>
      <c r="I3745" s="731">
        <v>0</v>
      </c>
      <c r="J3745" s="731"/>
      <c r="K3745" s="732"/>
      <c r="M3745" s="62" t="e">
        <f>IF(#REF!&gt;6,3,5)</f>
        <v>#REF!</v>
      </c>
    </row>
    <row r="3746" spans="1:13">
      <c r="A3746" s="788">
        <f t="shared" si="295"/>
        <v>20</v>
      </c>
      <c r="B3746" s="775" t="s">
        <v>3155</v>
      </c>
      <c r="C3746" s="731">
        <v>1000000</v>
      </c>
      <c r="D3746" s="731">
        <v>10000000</v>
      </c>
      <c r="E3746" s="731">
        <v>10000000</v>
      </c>
      <c r="F3746" s="731">
        <f t="shared" si="296"/>
        <v>21000000</v>
      </c>
      <c r="G3746" s="731"/>
      <c r="H3746" s="731">
        <v>1000000</v>
      </c>
      <c r="I3746" s="731"/>
      <c r="J3746" s="731"/>
      <c r="K3746" s="732"/>
      <c r="M3746" s="62" t="e">
        <f>IF(#REF!&gt;6,3,5)</f>
        <v>#REF!</v>
      </c>
    </row>
    <row r="3747" spans="1:13">
      <c r="A3747" s="788">
        <f t="shared" si="295"/>
        <v>21</v>
      </c>
      <c r="B3747" s="775" t="s">
        <v>3803</v>
      </c>
      <c r="C3747" s="731">
        <v>3000000</v>
      </c>
      <c r="D3747" s="731">
        <v>10000000</v>
      </c>
      <c r="E3747" s="731">
        <v>10000000</v>
      </c>
      <c r="F3747" s="731">
        <f t="shared" si="296"/>
        <v>23000000</v>
      </c>
      <c r="G3747" s="731">
        <v>500000</v>
      </c>
      <c r="H3747" s="731">
        <v>3000000</v>
      </c>
      <c r="I3747" s="731">
        <v>0</v>
      </c>
      <c r="J3747" s="731"/>
      <c r="K3747" s="732"/>
      <c r="M3747" s="62" t="e">
        <f>IF(#REF!&gt;6,3,5)</f>
        <v>#REF!</v>
      </c>
    </row>
    <row r="3748" spans="1:13">
      <c r="A3748" s="788">
        <f t="shared" si="295"/>
        <v>22</v>
      </c>
      <c r="B3748" s="775" t="s">
        <v>3836</v>
      </c>
      <c r="C3748" s="731">
        <v>8000000</v>
      </c>
      <c r="D3748" s="731">
        <v>15000000</v>
      </c>
      <c r="E3748" s="731">
        <v>15000000</v>
      </c>
      <c r="F3748" s="731">
        <f t="shared" si="296"/>
        <v>38000000</v>
      </c>
      <c r="G3748" s="731">
        <v>7000000</v>
      </c>
      <c r="H3748" s="731">
        <v>8000000</v>
      </c>
      <c r="I3748" s="731">
        <v>0</v>
      </c>
      <c r="J3748" s="731"/>
      <c r="K3748" s="732"/>
      <c r="M3748" s="62" t="e">
        <f>IF(#REF!&gt;6,3,5)</f>
        <v>#REF!</v>
      </c>
    </row>
    <row r="3749" spans="1:13">
      <c r="A3749" s="788">
        <f t="shared" si="295"/>
        <v>23</v>
      </c>
      <c r="B3749" s="775" t="s">
        <v>3837</v>
      </c>
      <c r="C3749" s="731">
        <v>5000000</v>
      </c>
      <c r="D3749" s="731">
        <v>2500000</v>
      </c>
      <c r="E3749" s="731">
        <v>2500000</v>
      </c>
      <c r="F3749" s="731">
        <f t="shared" si="296"/>
        <v>10000000</v>
      </c>
      <c r="G3749" s="731"/>
      <c r="H3749" s="731">
        <v>5000000</v>
      </c>
      <c r="I3749" s="731"/>
      <c r="J3749" s="731"/>
      <c r="K3749" s="732"/>
      <c r="M3749" s="62" t="e">
        <f>IF(#REF!&gt;6,3,5)</f>
        <v>#REF!</v>
      </c>
    </row>
    <row r="3750" spans="1:13">
      <c r="A3750" s="788">
        <f t="shared" si="295"/>
        <v>24</v>
      </c>
      <c r="B3750" s="775" t="s">
        <v>4051</v>
      </c>
      <c r="C3750" s="731">
        <v>10000000</v>
      </c>
      <c r="D3750" s="731">
        <v>7000000</v>
      </c>
      <c r="E3750" s="731">
        <v>7000000</v>
      </c>
      <c r="F3750" s="731">
        <f t="shared" si="296"/>
        <v>24000000</v>
      </c>
      <c r="G3750" s="731">
        <v>2500000</v>
      </c>
      <c r="H3750" s="731">
        <v>14000000</v>
      </c>
      <c r="I3750" s="731">
        <v>0</v>
      </c>
      <c r="J3750" s="731"/>
      <c r="K3750" s="732"/>
      <c r="M3750" s="62" t="e">
        <f>IF(#REF!&gt;6,3,5)</f>
        <v>#REF!</v>
      </c>
    </row>
    <row r="3751" spans="1:13" ht="24.75" customHeight="1">
      <c r="A3751" s="788">
        <f t="shared" si="295"/>
        <v>25</v>
      </c>
      <c r="B3751" s="775" t="s">
        <v>238</v>
      </c>
      <c r="C3751" s="731">
        <v>4000000</v>
      </c>
      <c r="D3751" s="731">
        <v>2000000</v>
      </c>
      <c r="E3751" s="731">
        <v>2000000</v>
      </c>
      <c r="F3751" s="731">
        <f t="shared" si="296"/>
        <v>8000000</v>
      </c>
      <c r="G3751" s="731">
        <v>100000</v>
      </c>
      <c r="H3751" s="731">
        <v>4000000</v>
      </c>
      <c r="I3751" s="731">
        <v>0</v>
      </c>
      <c r="J3751" s="731"/>
      <c r="K3751" s="732"/>
      <c r="M3751" s="62" t="e">
        <f>IF(#REF!&gt;6,3,5)</f>
        <v>#REF!</v>
      </c>
    </row>
    <row r="3752" spans="1:13">
      <c r="A3752" s="788">
        <f t="shared" si="295"/>
        <v>26</v>
      </c>
      <c r="B3752" s="775" t="s">
        <v>3524</v>
      </c>
      <c r="C3752" s="731">
        <v>130000000</v>
      </c>
      <c r="D3752" s="731">
        <v>150000000</v>
      </c>
      <c r="E3752" s="731">
        <v>150000000</v>
      </c>
      <c r="F3752" s="731">
        <f t="shared" si="296"/>
        <v>430000000</v>
      </c>
      <c r="G3752" s="731">
        <v>115000000</v>
      </c>
      <c r="H3752" s="731">
        <v>150000000</v>
      </c>
      <c r="I3752" s="731">
        <v>257000</v>
      </c>
      <c r="J3752" s="731"/>
      <c r="K3752" s="732"/>
      <c r="M3752" s="62" t="e">
        <f>IF(#REF!&gt;6,3,5)</f>
        <v>#REF!</v>
      </c>
    </row>
    <row r="3753" spans="1:13">
      <c r="A3753" s="770"/>
      <c r="B3753" s="770" t="s">
        <v>2241</v>
      </c>
      <c r="C3753" s="739">
        <f t="shared" ref="C3753:I3753" si="297">SUM(C3728:C3752)</f>
        <v>331200000</v>
      </c>
      <c r="D3753" s="739">
        <f t="shared" si="297"/>
        <v>453700000</v>
      </c>
      <c r="E3753" s="739">
        <f t="shared" si="297"/>
        <v>453700000</v>
      </c>
      <c r="F3753" s="739">
        <f t="shared" si="297"/>
        <v>1238600000</v>
      </c>
      <c r="G3753" s="739">
        <f>SUM(G3728:G3752)</f>
        <v>271152950</v>
      </c>
      <c r="H3753" s="739">
        <f>SUM(H3728:H3752)</f>
        <v>355200000</v>
      </c>
      <c r="I3753" s="739">
        <f t="shared" si="297"/>
        <v>82612763</v>
      </c>
      <c r="J3753" s="739"/>
      <c r="K3753" s="740"/>
      <c r="M3753" s="62" t="e">
        <f>IF(#REF!&gt;6,3,5)</f>
        <v>#REF!</v>
      </c>
    </row>
    <row r="3754" spans="1:13" ht="15">
      <c r="A3754" s="62" t="s">
        <v>3556</v>
      </c>
      <c r="C3754" s="77"/>
      <c r="D3754" s="78" t="s">
        <v>5434</v>
      </c>
      <c r="J3754" s="584"/>
      <c r="K3754" s="584"/>
      <c r="M3754" s="62">
        <f>IF(C3754&gt;6,3,5)</f>
        <v>5</v>
      </c>
    </row>
    <row r="3755" spans="1:13" ht="15">
      <c r="C3755" s="77"/>
      <c r="D3755" s="78" t="s">
        <v>1693</v>
      </c>
      <c r="J3755" s="584"/>
      <c r="K3755" s="584"/>
      <c r="M3755" s="62">
        <f t="shared" ref="M3755:M3824" si="298">IF(C3755&gt;6,3,5)</f>
        <v>5</v>
      </c>
    </row>
    <row r="3756" spans="1:13" ht="15">
      <c r="C3756" s="79" t="s">
        <v>717</v>
      </c>
      <c r="D3756" s="78" t="s">
        <v>3555</v>
      </c>
      <c r="J3756" s="584"/>
      <c r="K3756" s="584"/>
      <c r="M3756" s="62">
        <f t="shared" si="298"/>
        <v>3</v>
      </c>
    </row>
    <row r="3757" spans="1:13" ht="15.75" thickBot="1">
      <c r="C3757" s="79" t="s">
        <v>718</v>
      </c>
      <c r="D3757" s="78" t="s">
        <v>3554</v>
      </c>
      <c r="J3757" s="584"/>
      <c r="K3757" s="584"/>
      <c r="M3757" s="62">
        <f t="shared" si="298"/>
        <v>3</v>
      </c>
    </row>
    <row r="3758" spans="1:13" ht="15.75" thickTop="1">
      <c r="A3758" s="1047" t="s">
        <v>2791</v>
      </c>
      <c r="B3758" s="1049" t="s">
        <v>4126</v>
      </c>
      <c r="C3758" s="1049" t="s">
        <v>854</v>
      </c>
      <c r="D3758" s="1040" t="s">
        <v>4127</v>
      </c>
      <c r="E3758" s="1041"/>
      <c r="F3758" s="1041"/>
      <c r="G3758" s="1040" t="s">
        <v>904</v>
      </c>
      <c r="H3758" s="1041"/>
      <c r="I3758" s="1042"/>
      <c r="J3758" s="1035" t="s">
        <v>855</v>
      </c>
      <c r="K3758" s="389"/>
    </row>
    <row r="3759" spans="1:13" ht="26.25" thickBot="1">
      <c r="A3759" s="1048"/>
      <c r="B3759" s="1050"/>
      <c r="C3759" s="1050"/>
      <c r="D3759" s="285" t="s">
        <v>5505</v>
      </c>
      <c r="E3759" s="285" t="s">
        <v>4485</v>
      </c>
      <c r="F3759" s="285" t="s">
        <v>4486</v>
      </c>
      <c r="G3759" s="287" t="s">
        <v>4487</v>
      </c>
      <c r="H3759" s="285" t="s">
        <v>4488</v>
      </c>
      <c r="I3759" s="287" t="s">
        <v>4489</v>
      </c>
      <c r="J3759" s="1036"/>
      <c r="K3759" s="712"/>
    </row>
    <row r="3760" spans="1:13" ht="13.5" thickTop="1">
      <c r="A3760" s="88"/>
      <c r="B3760" s="90" t="s">
        <v>1893</v>
      </c>
      <c r="C3760" s="69"/>
      <c r="D3760" s="89"/>
      <c r="E3760" s="89"/>
      <c r="F3760" s="89"/>
      <c r="G3760" s="89"/>
      <c r="H3760" s="89"/>
      <c r="I3760" s="89"/>
      <c r="J3760" s="713"/>
      <c r="K3760" s="711"/>
      <c r="M3760" s="62">
        <f t="shared" si="298"/>
        <v>5</v>
      </c>
    </row>
    <row r="3761" spans="1:13">
      <c r="A3761" s="88">
        <v>1</v>
      </c>
      <c r="B3761" s="69" t="s">
        <v>2492</v>
      </c>
      <c r="C3761" s="89">
        <v>7</v>
      </c>
      <c r="D3761" s="89">
        <v>1</v>
      </c>
      <c r="E3761" s="89">
        <v>2</v>
      </c>
      <c r="F3761" s="89">
        <v>1</v>
      </c>
      <c r="G3761" s="89">
        <v>1</v>
      </c>
      <c r="H3761" s="89">
        <v>1</v>
      </c>
      <c r="I3761" s="89">
        <v>1</v>
      </c>
      <c r="J3761" s="710">
        <f>(VLOOKUP($C3761,[2]Sheet1!$A$2:$P$18,$M3761+1)/12)*12*D3761</f>
        <v>307706.70240000007</v>
      </c>
      <c r="K3761" s="711"/>
      <c r="M3761" s="62">
        <f t="shared" si="298"/>
        <v>3</v>
      </c>
    </row>
    <row r="3762" spans="1:13">
      <c r="A3762" s="88">
        <f t="shared" ref="A3762:A3830" si="299">+A3761+1</f>
        <v>2</v>
      </c>
      <c r="B3762" s="69" t="s">
        <v>1982</v>
      </c>
      <c r="C3762" s="89">
        <v>6</v>
      </c>
      <c r="D3762" s="89">
        <v>0</v>
      </c>
      <c r="E3762" s="89">
        <v>2</v>
      </c>
      <c r="F3762" s="89">
        <v>0</v>
      </c>
      <c r="G3762" s="89">
        <v>0</v>
      </c>
      <c r="H3762" s="89">
        <v>0</v>
      </c>
      <c r="I3762" s="89">
        <v>0</v>
      </c>
      <c r="J3762" s="710">
        <f>(VLOOKUP($C3762,[2]Sheet1!$A$2:$P$18,$M3762+1)/12)*12*D3762</f>
        <v>0</v>
      </c>
      <c r="K3762" s="711"/>
      <c r="M3762" s="62">
        <f t="shared" si="298"/>
        <v>5</v>
      </c>
    </row>
    <row r="3763" spans="1:13">
      <c r="A3763" s="88">
        <f t="shared" si="299"/>
        <v>3</v>
      </c>
      <c r="B3763" s="69" t="s">
        <v>1250</v>
      </c>
      <c r="C3763" s="89">
        <v>5</v>
      </c>
      <c r="D3763" s="89">
        <v>2</v>
      </c>
      <c r="E3763" s="89">
        <v>3</v>
      </c>
      <c r="F3763" s="89">
        <v>2</v>
      </c>
      <c r="G3763" s="89">
        <v>2</v>
      </c>
      <c r="H3763" s="89">
        <v>2</v>
      </c>
      <c r="I3763" s="89">
        <v>2</v>
      </c>
      <c r="J3763" s="710">
        <f>(VLOOKUP($C3763,[2]Sheet1!$A$2:$P$18,$M3763+1)/12)*12*D3763</f>
        <v>459139.55786072998</v>
      </c>
      <c r="K3763" s="711"/>
      <c r="M3763" s="62">
        <f t="shared" si="298"/>
        <v>5</v>
      </c>
    </row>
    <row r="3764" spans="1:13">
      <c r="A3764" s="88">
        <f t="shared" si="299"/>
        <v>4</v>
      </c>
      <c r="B3764" s="69" t="s">
        <v>2360</v>
      </c>
      <c r="C3764" s="89">
        <v>4</v>
      </c>
      <c r="D3764" s="89">
        <v>3</v>
      </c>
      <c r="E3764" s="89">
        <v>3</v>
      </c>
      <c r="F3764" s="89">
        <v>3</v>
      </c>
      <c r="G3764" s="89">
        <v>3</v>
      </c>
      <c r="H3764" s="89">
        <v>3</v>
      </c>
      <c r="I3764" s="89">
        <v>3</v>
      </c>
      <c r="J3764" s="710">
        <f>(VLOOKUP($C3764,[2]Sheet1!$A$2:$P$18,$M3764+1)/12)*12*D3764</f>
        <v>673628.93679109495</v>
      </c>
      <c r="K3764" s="711"/>
      <c r="M3764" s="62">
        <f t="shared" si="298"/>
        <v>5</v>
      </c>
    </row>
    <row r="3765" spans="1:13">
      <c r="A3765" s="88">
        <f t="shared" si="299"/>
        <v>5</v>
      </c>
      <c r="B3765" s="69" t="s">
        <v>4030</v>
      </c>
      <c r="C3765" s="89">
        <v>3</v>
      </c>
      <c r="D3765" s="89">
        <v>0</v>
      </c>
      <c r="E3765" s="89">
        <v>2</v>
      </c>
      <c r="F3765" s="89">
        <v>0</v>
      </c>
      <c r="G3765" s="89">
        <v>0</v>
      </c>
      <c r="H3765" s="89">
        <v>0</v>
      </c>
      <c r="I3765" s="89">
        <v>0</v>
      </c>
      <c r="J3765" s="710">
        <f>(VLOOKUP($C3765,[2]Sheet1!$A$2:$P$18,$M3765+1)/12)*12*D3765</f>
        <v>0</v>
      </c>
      <c r="K3765" s="711"/>
      <c r="M3765" s="62">
        <f t="shared" si="298"/>
        <v>5</v>
      </c>
    </row>
    <row r="3766" spans="1:13">
      <c r="A3766" s="88">
        <f t="shared" si="299"/>
        <v>6</v>
      </c>
      <c r="B3766" s="69" t="s">
        <v>3645</v>
      </c>
      <c r="C3766" s="89">
        <v>13</v>
      </c>
      <c r="D3766" s="89">
        <v>0</v>
      </c>
      <c r="E3766" s="89"/>
      <c r="F3766" s="89">
        <v>0</v>
      </c>
      <c r="G3766" s="89">
        <v>0</v>
      </c>
      <c r="H3766" s="89">
        <v>0</v>
      </c>
      <c r="I3766" s="89">
        <v>0</v>
      </c>
      <c r="J3766" s="710">
        <f>(VLOOKUP($C3766,[2]Sheet1!$A$2:$P$18,$M3766+1)/12)*12*D3766</f>
        <v>0</v>
      </c>
      <c r="K3766" s="711"/>
      <c r="M3766" s="62">
        <f t="shared" si="298"/>
        <v>3</v>
      </c>
    </row>
    <row r="3767" spans="1:13">
      <c r="A3767" s="88">
        <f t="shared" si="299"/>
        <v>7</v>
      </c>
      <c r="B3767" s="69" t="s">
        <v>3491</v>
      </c>
      <c r="C3767" s="69">
        <v>7</v>
      </c>
      <c r="D3767" s="89">
        <v>0</v>
      </c>
      <c r="E3767" s="89">
        <v>1</v>
      </c>
      <c r="F3767" s="89">
        <v>0</v>
      </c>
      <c r="G3767" s="89">
        <v>0</v>
      </c>
      <c r="H3767" s="89">
        <v>0</v>
      </c>
      <c r="I3767" s="89">
        <v>0</v>
      </c>
      <c r="J3767" s="710">
        <f>(VLOOKUP($C3767,[2]Sheet1!$A$2:$P$18,$M3767+1)/12)*12*D3767</f>
        <v>0</v>
      </c>
      <c r="K3767" s="711"/>
      <c r="M3767" s="62">
        <f t="shared" si="298"/>
        <v>3</v>
      </c>
    </row>
    <row r="3768" spans="1:13">
      <c r="A3768" s="88">
        <f t="shared" si="299"/>
        <v>8</v>
      </c>
      <c r="B3768" s="69" t="s">
        <v>3492</v>
      </c>
      <c r="C3768" s="69">
        <v>6</v>
      </c>
      <c r="D3768" s="89">
        <v>0</v>
      </c>
      <c r="E3768" s="89">
        <v>1</v>
      </c>
      <c r="F3768" s="89">
        <v>0</v>
      </c>
      <c r="G3768" s="89">
        <v>0</v>
      </c>
      <c r="H3768" s="89">
        <v>0</v>
      </c>
      <c r="I3768" s="89">
        <v>0</v>
      </c>
      <c r="J3768" s="710">
        <f>(VLOOKUP($C3768,[2]Sheet1!$A$2:$P$18,$M3768+1)/12)*12*D3768</f>
        <v>0</v>
      </c>
      <c r="K3768" s="711"/>
      <c r="M3768" s="62">
        <f t="shared" si="298"/>
        <v>5</v>
      </c>
    </row>
    <row r="3769" spans="1:13">
      <c r="A3769" s="88">
        <f t="shared" si="299"/>
        <v>9</v>
      </c>
      <c r="B3769" s="69" t="s">
        <v>319</v>
      </c>
      <c r="C3769" s="69">
        <v>9</v>
      </c>
      <c r="D3769" s="89">
        <v>0</v>
      </c>
      <c r="E3769" s="89">
        <v>1</v>
      </c>
      <c r="F3769" s="89">
        <v>0</v>
      </c>
      <c r="G3769" s="89">
        <v>0</v>
      </c>
      <c r="H3769" s="89">
        <v>0</v>
      </c>
      <c r="I3769" s="89">
        <v>0</v>
      </c>
      <c r="J3769" s="710">
        <f>(VLOOKUP($C3769,[2]Sheet1!$A$2:$P$18,$M3769+1)/12)*12*D3769</f>
        <v>0</v>
      </c>
      <c r="K3769" s="711"/>
      <c r="M3769" s="62">
        <f t="shared" si="298"/>
        <v>3</v>
      </c>
    </row>
    <row r="3770" spans="1:13">
      <c r="A3770" s="88">
        <f t="shared" si="299"/>
        <v>10</v>
      </c>
      <c r="B3770" s="69" t="s">
        <v>3493</v>
      </c>
      <c r="C3770" s="69">
        <v>8</v>
      </c>
      <c r="D3770" s="89">
        <v>0</v>
      </c>
      <c r="E3770" s="89">
        <v>1</v>
      </c>
      <c r="F3770" s="89">
        <v>0</v>
      </c>
      <c r="G3770" s="89">
        <v>0</v>
      </c>
      <c r="H3770" s="89">
        <v>0</v>
      </c>
      <c r="I3770" s="89">
        <v>0</v>
      </c>
      <c r="J3770" s="710">
        <f>(VLOOKUP($C3770,[2]Sheet1!$A$2:$P$18,$M3770+1)/12)*12*D3770</f>
        <v>0</v>
      </c>
      <c r="K3770" s="711"/>
      <c r="M3770" s="62">
        <f t="shared" si="298"/>
        <v>3</v>
      </c>
    </row>
    <row r="3771" spans="1:13">
      <c r="A3771" s="88">
        <f t="shared" si="299"/>
        <v>11</v>
      </c>
      <c r="B3771" s="69" t="s">
        <v>3494</v>
      </c>
      <c r="C3771" s="69">
        <v>7</v>
      </c>
      <c r="D3771" s="89">
        <v>0</v>
      </c>
      <c r="E3771" s="89"/>
      <c r="F3771" s="89">
        <v>0</v>
      </c>
      <c r="G3771" s="89">
        <v>0</v>
      </c>
      <c r="H3771" s="89">
        <v>0</v>
      </c>
      <c r="I3771" s="89">
        <v>0</v>
      </c>
      <c r="J3771" s="710">
        <f>(VLOOKUP($C3771,[2]Sheet1!$A$2:$P$18,$M3771+1)/12)*12*D3771</f>
        <v>0</v>
      </c>
      <c r="K3771" s="711"/>
      <c r="M3771" s="62">
        <f t="shared" si="298"/>
        <v>3</v>
      </c>
    </row>
    <row r="3772" spans="1:13">
      <c r="A3772" s="88">
        <f t="shared" si="299"/>
        <v>12</v>
      </c>
      <c r="B3772" s="69" t="s">
        <v>3745</v>
      </c>
      <c r="C3772" s="69">
        <v>5</v>
      </c>
      <c r="D3772" s="89">
        <v>0</v>
      </c>
      <c r="E3772" s="89">
        <v>1</v>
      </c>
      <c r="F3772" s="89">
        <v>0</v>
      </c>
      <c r="G3772" s="89">
        <v>0</v>
      </c>
      <c r="H3772" s="89">
        <v>0</v>
      </c>
      <c r="I3772" s="89">
        <v>0</v>
      </c>
      <c r="J3772" s="710">
        <f>(VLOOKUP($C3772,[2]Sheet1!$A$2:$P$18,$M3772+1)/12)*12*D3772</f>
        <v>0</v>
      </c>
      <c r="K3772" s="711"/>
      <c r="M3772" s="62">
        <f t="shared" si="298"/>
        <v>5</v>
      </c>
    </row>
    <row r="3773" spans="1:13">
      <c r="A3773" s="88">
        <f t="shared" si="299"/>
        <v>13</v>
      </c>
      <c r="B3773" s="69" t="s">
        <v>2906</v>
      </c>
      <c r="C3773" s="69">
        <v>4</v>
      </c>
      <c r="D3773" s="89">
        <v>0</v>
      </c>
      <c r="E3773" s="89">
        <v>2</v>
      </c>
      <c r="F3773" s="89">
        <v>0</v>
      </c>
      <c r="G3773" s="89">
        <v>0</v>
      </c>
      <c r="H3773" s="89">
        <v>0</v>
      </c>
      <c r="I3773" s="89">
        <v>0</v>
      </c>
      <c r="J3773" s="710">
        <f>(VLOOKUP($C3773,[2]Sheet1!$A$2:$P$18,$M3773+1)/12)*12*D3773</f>
        <v>0</v>
      </c>
      <c r="K3773" s="711"/>
      <c r="M3773" s="62">
        <f t="shared" si="298"/>
        <v>5</v>
      </c>
    </row>
    <row r="3774" spans="1:13">
      <c r="A3774" s="88">
        <f t="shared" si="299"/>
        <v>14</v>
      </c>
      <c r="B3774" s="69" t="s">
        <v>207</v>
      </c>
      <c r="C3774" s="69">
        <v>3</v>
      </c>
      <c r="D3774" s="89">
        <v>3</v>
      </c>
      <c r="E3774" s="89">
        <v>3</v>
      </c>
      <c r="F3774" s="89">
        <v>3</v>
      </c>
      <c r="G3774" s="89">
        <v>3</v>
      </c>
      <c r="H3774" s="89">
        <v>3</v>
      </c>
      <c r="I3774" s="89">
        <v>3</v>
      </c>
      <c r="J3774" s="710">
        <f>(VLOOKUP($C3774,[2]Sheet1!$A$2:$P$18,$M3774+1)/12)*12*D3774</f>
        <v>658008.53679109493</v>
      </c>
      <c r="K3774" s="711"/>
      <c r="M3774" s="62">
        <f t="shared" si="298"/>
        <v>5</v>
      </c>
    </row>
    <row r="3775" spans="1:13">
      <c r="A3775" s="88">
        <f t="shared" si="299"/>
        <v>15</v>
      </c>
      <c r="B3775" s="69" t="s">
        <v>3250</v>
      </c>
      <c r="C3775" s="69">
        <v>7</v>
      </c>
      <c r="D3775" s="89">
        <v>2</v>
      </c>
      <c r="E3775" s="89">
        <v>2</v>
      </c>
      <c r="F3775" s="89">
        <v>2</v>
      </c>
      <c r="G3775" s="89">
        <v>2</v>
      </c>
      <c r="H3775" s="89">
        <v>2</v>
      </c>
      <c r="I3775" s="89">
        <v>2</v>
      </c>
      <c r="J3775" s="710">
        <f>(VLOOKUP($C3775,[2]Sheet1!$A$2:$P$18,$M3775+1)/12)*12*D3775</f>
        <v>615413.40480000013</v>
      </c>
      <c r="K3775" s="711"/>
      <c r="M3775" s="62">
        <f t="shared" si="298"/>
        <v>3</v>
      </c>
    </row>
    <row r="3776" spans="1:13">
      <c r="A3776" s="88">
        <f t="shared" si="299"/>
        <v>16</v>
      </c>
      <c r="B3776" s="69" t="s">
        <v>2972</v>
      </c>
      <c r="C3776" s="69">
        <v>6</v>
      </c>
      <c r="D3776" s="89">
        <v>2</v>
      </c>
      <c r="E3776" s="89">
        <v>2</v>
      </c>
      <c r="F3776" s="89">
        <v>2</v>
      </c>
      <c r="G3776" s="89">
        <v>2</v>
      </c>
      <c r="H3776" s="89">
        <v>2</v>
      </c>
      <c r="I3776" s="89">
        <v>2</v>
      </c>
      <c r="J3776" s="710">
        <f>(VLOOKUP($C3776,[2]Sheet1!$A$2:$P$18,$M3776+1)/12)*12*D3776</f>
        <v>476198.75786072994</v>
      </c>
      <c r="K3776" s="711"/>
      <c r="M3776" s="62">
        <f t="shared" si="298"/>
        <v>5</v>
      </c>
    </row>
    <row r="3777" spans="1:13">
      <c r="A3777" s="88">
        <f t="shared" si="299"/>
        <v>17</v>
      </c>
      <c r="B3777" s="69" t="s">
        <v>252</v>
      </c>
      <c r="C3777" s="69">
        <v>4</v>
      </c>
      <c r="D3777" s="89">
        <v>1</v>
      </c>
      <c r="E3777" s="89">
        <v>1</v>
      </c>
      <c r="F3777" s="89">
        <v>1</v>
      </c>
      <c r="G3777" s="89">
        <v>1</v>
      </c>
      <c r="H3777" s="89">
        <v>1</v>
      </c>
      <c r="I3777" s="89">
        <v>1</v>
      </c>
      <c r="J3777" s="710">
        <f>(VLOOKUP($C3777,[2]Sheet1!$A$2:$P$18,$M3777+1)/12)*12*D3777</f>
        <v>224542.978930365</v>
      </c>
      <c r="K3777" s="711"/>
      <c r="M3777" s="62">
        <f t="shared" si="298"/>
        <v>5</v>
      </c>
    </row>
    <row r="3778" spans="1:13">
      <c r="A3778" s="88">
        <f t="shared" si="299"/>
        <v>18</v>
      </c>
      <c r="B3778" s="69" t="s">
        <v>1130</v>
      </c>
      <c r="C3778" s="69">
        <v>3</v>
      </c>
      <c r="D3778" s="89">
        <v>2</v>
      </c>
      <c r="E3778" s="89">
        <v>1</v>
      </c>
      <c r="F3778" s="89">
        <v>2</v>
      </c>
      <c r="G3778" s="89">
        <v>2</v>
      </c>
      <c r="H3778" s="89">
        <v>2</v>
      </c>
      <c r="I3778" s="89">
        <v>2</v>
      </c>
      <c r="J3778" s="710">
        <f>(VLOOKUP($C3778,[2]Sheet1!$A$2:$P$18,$M3778+1)/12)*12*D3778</f>
        <v>438672.35786072997</v>
      </c>
      <c r="K3778" s="711"/>
      <c r="M3778" s="62">
        <f>IF(C3778&gt;6,3,5)</f>
        <v>5</v>
      </c>
    </row>
    <row r="3779" spans="1:13">
      <c r="A3779" s="88">
        <f t="shared" si="299"/>
        <v>19</v>
      </c>
      <c r="B3779" s="69" t="s">
        <v>310</v>
      </c>
      <c r="C3779" s="69">
        <v>7</v>
      </c>
      <c r="D3779" s="89">
        <v>1</v>
      </c>
      <c r="E3779" s="89">
        <v>0</v>
      </c>
      <c r="F3779" s="89">
        <v>1</v>
      </c>
      <c r="G3779" s="89">
        <v>1</v>
      </c>
      <c r="H3779" s="89">
        <v>1</v>
      </c>
      <c r="I3779" s="89">
        <v>1</v>
      </c>
      <c r="J3779" s="710">
        <f>(VLOOKUP($C3779,[2]Sheet1!$A$2:$P$18,$M3779+1)/12)*12*D3779</f>
        <v>307706.70240000007</v>
      </c>
      <c r="K3779" s="711"/>
      <c r="M3779" s="62">
        <f t="shared" si="298"/>
        <v>3</v>
      </c>
    </row>
    <row r="3780" spans="1:13">
      <c r="A3780" s="88">
        <f t="shared" si="299"/>
        <v>20</v>
      </c>
      <c r="B3780" s="69" t="s">
        <v>919</v>
      </c>
      <c r="C3780" s="69">
        <v>6</v>
      </c>
      <c r="D3780" s="89">
        <v>1</v>
      </c>
      <c r="E3780" s="89">
        <v>0</v>
      </c>
      <c r="F3780" s="89">
        <v>1</v>
      </c>
      <c r="G3780" s="89">
        <v>1</v>
      </c>
      <c r="H3780" s="89">
        <v>1</v>
      </c>
      <c r="I3780" s="89">
        <v>1</v>
      </c>
      <c r="J3780" s="710">
        <f>(VLOOKUP($C3780,[2]Sheet1!$A$2:$P$18,$M3780+1)/12)*12*D3780</f>
        <v>238099.37893036497</v>
      </c>
      <c r="K3780" s="711"/>
      <c r="M3780" s="62">
        <f t="shared" si="298"/>
        <v>5</v>
      </c>
    </row>
    <row r="3781" spans="1:13">
      <c r="A3781" s="88">
        <f t="shared" si="299"/>
        <v>21</v>
      </c>
      <c r="B3781" s="69" t="s">
        <v>2179</v>
      </c>
      <c r="C3781" s="69">
        <v>4</v>
      </c>
      <c r="D3781" s="89">
        <v>2</v>
      </c>
      <c r="E3781" s="89">
        <v>5</v>
      </c>
      <c r="F3781" s="89">
        <v>2</v>
      </c>
      <c r="G3781" s="89">
        <v>2</v>
      </c>
      <c r="H3781" s="89">
        <v>2</v>
      </c>
      <c r="I3781" s="89">
        <v>2</v>
      </c>
      <c r="J3781" s="710">
        <f>(VLOOKUP($C3781,[2]Sheet1!$A$2:$P$18,$M3781+1)/12)*12*D3781</f>
        <v>449085.95786073001</v>
      </c>
      <c r="K3781" s="711"/>
      <c r="M3781" s="62">
        <f t="shared" si="298"/>
        <v>5</v>
      </c>
    </row>
    <row r="3782" spans="1:13">
      <c r="A3782" s="88">
        <f t="shared" si="299"/>
        <v>22</v>
      </c>
      <c r="B3782" s="69" t="s">
        <v>2542</v>
      </c>
      <c r="C3782" s="69">
        <v>3</v>
      </c>
      <c r="D3782" s="89">
        <v>2</v>
      </c>
      <c r="E3782" s="89">
        <v>2</v>
      </c>
      <c r="F3782" s="89">
        <v>2</v>
      </c>
      <c r="G3782" s="89">
        <v>2</v>
      </c>
      <c r="H3782" s="89">
        <v>2</v>
      </c>
      <c r="I3782" s="89">
        <v>2</v>
      </c>
      <c r="J3782" s="710">
        <f>(VLOOKUP($C3782,[2]Sheet1!$A$2:$P$18,$M3782+1)/12)*12*D3782</f>
        <v>438672.35786072997</v>
      </c>
      <c r="K3782" s="711"/>
      <c r="M3782" s="62">
        <f t="shared" si="298"/>
        <v>5</v>
      </c>
    </row>
    <row r="3783" spans="1:13">
      <c r="A3783" s="88">
        <f t="shared" si="299"/>
        <v>23</v>
      </c>
      <c r="B3783" s="69" t="s">
        <v>2543</v>
      </c>
      <c r="C3783" s="69">
        <v>2</v>
      </c>
      <c r="D3783" s="89">
        <v>0</v>
      </c>
      <c r="E3783" s="89">
        <v>8</v>
      </c>
      <c r="F3783" s="89">
        <v>0</v>
      </c>
      <c r="G3783" s="89">
        <v>0</v>
      </c>
      <c r="H3783" s="89">
        <v>0</v>
      </c>
      <c r="I3783" s="89">
        <v>0</v>
      </c>
      <c r="J3783" s="710">
        <f>(VLOOKUP($C3783,[2]Sheet1!$A$2:$P$18,$M3783+1)/12)*12*D3783</f>
        <v>0</v>
      </c>
      <c r="K3783" s="711"/>
      <c r="M3783" s="62">
        <f t="shared" si="298"/>
        <v>5</v>
      </c>
    </row>
    <row r="3784" spans="1:13">
      <c r="A3784" s="88">
        <f t="shared" si="299"/>
        <v>24</v>
      </c>
      <c r="B3784" s="69" t="s">
        <v>1132</v>
      </c>
      <c r="C3784" s="154">
        <v>4</v>
      </c>
      <c r="D3784" s="89">
        <v>5</v>
      </c>
      <c r="E3784" s="89">
        <v>0</v>
      </c>
      <c r="F3784" s="89">
        <v>5</v>
      </c>
      <c r="G3784" s="89">
        <v>5</v>
      </c>
      <c r="H3784" s="89">
        <v>5</v>
      </c>
      <c r="I3784" s="89">
        <v>5</v>
      </c>
      <c r="J3784" s="710">
        <f>(VLOOKUP($C3784,[2]Sheet1!$A$2:$P$18,$M3784+1)/12)*12*D3784</f>
        <v>1122714.8946518251</v>
      </c>
      <c r="K3784" s="711"/>
      <c r="M3784" s="62">
        <f t="shared" si="298"/>
        <v>5</v>
      </c>
    </row>
    <row r="3785" spans="1:13">
      <c r="A3785" s="88">
        <f t="shared" si="299"/>
        <v>25</v>
      </c>
      <c r="B3785" s="69" t="s">
        <v>2172</v>
      </c>
      <c r="C3785" s="154">
        <v>2</v>
      </c>
      <c r="D3785" s="89">
        <v>2</v>
      </c>
      <c r="E3785" s="89">
        <v>13</v>
      </c>
      <c r="F3785" s="89">
        <v>2</v>
      </c>
      <c r="G3785" s="89">
        <v>2</v>
      </c>
      <c r="H3785" s="89">
        <v>2</v>
      </c>
      <c r="I3785" s="89">
        <v>2</v>
      </c>
      <c r="J3785" s="710">
        <f>(VLOOKUP($C3785,[2]Sheet1!$A$2:$P$18,$M3785+1)/12)*12*D3785</f>
        <v>429314.75786073005</v>
      </c>
      <c r="K3785" s="711"/>
      <c r="M3785" s="62">
        <f t="shared" si="298"/>
        <v>5</v>
      </c>
    </row>
    <row r="3786" spans="1:13">
      <c r="A3786" s="88">
        <f t="shared" si="299"/>
        <v>26</v>
      </c>
      <c r="B3786" s="69" t="s">
        <v>2172</v>
      </c>
      <c r="C3786" s="154">
        <v>1</v>
      </c>
      <c r="D3786" s="89">
        <v>13</v>
      </c>
      <c r="E3786" s="89">
        <v>20</v>
      </c>
      <c r="F3786" s="89">
        <v>13</v>
      </c>
      <c r="G3786" s="89">
        <v>13</v>
      </c>
      <c r="H3786" s="89">
        <v>13</v>
      </c>
      <c r="I3786" s="89">
        <v>13</v>
      </c>
      <c r="J3786" s="710">
        <f>(VLOOKUP($C3786,[2]Sheet1!$A$2:$P$18,$M3786+1)/12)*12*D3786</f>
        <v>2692398.5260947449</v>
      </c>
      <c r="K3786" s="711"/>
      <c r="M3786" s="62">
        <f>IF(C3786&gt;6,3,5)</f>
        <v>5</v>
      </c>
    </row>
    <row r="3787" spans="1:13">
      <c r="A3787" s="88">
        <f t="shared" si="299"/>
        <v>27</v>
      </c>
      <c r="B3787" s="69" t="s">
        <v>1126</v>
      </c>
      <c r="C3787" s="154">
        <v>13</v>
      </c>
      <c r="D3787" s="89">
        <v>0</v>
      </c>
      <c r="E3787" s="89">
        <v>20</v>
      </c>
      <c r="F3787" s="89">
        <v>0</v>
      </c>
      <c r="G3787" s="89">
        <v>0</v>
      </c>
      <c r="H3787" s="89">
        <v>0</v>
      </c>
      <c r="I3787" s="89">
        <v>0</v>
      </c>
      <c r="J3787" s="710">
        <f>(VLOOKUP($C3787,[2]Sheet1!$A$2:$P$18,$M3787+1)/12)*12*D3787</f>
        <v>0</v>
      </c>
      <c r="K3787" s="711"/>
      <c r="M3787" s="62">
        <f t="shared" si="298"/>
        <v>3</v>
      </c>
    </row>
    <row r="3788" spans="1:13">
      <c r="A3788" s="88">
        <f t="shared" si="299"/>
        <v>28</v>
      </c>
      <c r="B3788" s="69" t="s">
        <v>2612</v>
      </c>
      <c r="C3788" s="154">
        <v>8</v>
      </c>
      <c r="D3788" s="89">
        <v>0</v>
      </c>
      <c r="E3788" s="89">
        <v>10</v>
      </c>
      <c r="F3788" s="89">
        <v>0</v>
      </c>
      <c r="G3788" s="89">
        <v>0</v>
      </c>
      <c r="H3788" s="89">
        <v>0</v>
      </c>
      <c r="I3788" s="89">
        <v>0</v>
      </c>
      <c r="J3788" s="710">
        <f>(VLOOKUP($C3788,[2]Sheet1!$A$2:$P$18,$M3788+1)/12)*12*D3788</f>
        <v>0</v>
      </c>
      <c r="K3788" s="711"/>
      <c r="M3788" s="62">
        <f t="shared" si="298"/>
        <v>3</v>
      </c>
    </row>
    <row r="3789" spans="1:13">
      <c r="A3789" s="88">
        <f t="shared" si="299"/>
        <v>29</v>
      </c>
      <c r="B3789" s="69" t="s">
        <v>3896</v>
      </c>
      <c r="C3789" s="154">
        <v>7</v>
      </c>
      <c r="D3789" s="89">
        <v>1</v>
      </c>
      <c r="E3789" s="89">
        <v>10</v>
      </c>
      <c r="F3789" s="89">
        <v>1</v>
      </c>
      <c r="G3789" s="89">
        <v>1</v>
      </c>
      <c r="H3789" s="89">
        <v>1</v>
      </c>
      <c r="I3789" s="89">
        <v>1</v>
      </c>
      <c r="J3789" s="710">
        <f>(VLOOKUP($C3789,[2]Sheet1!$A$2:$P$18,$M3789+1)/12)*12*D3789</f>
        <v>307706.70240000007</v>
      </c>
      <c r="K3789" s="711"/>
      <c r="M3789" s="62">
        <f t="shared" si="298"/>
        <v>3</v>
      </c>
    </row>
    <row r="3790" spans="1:13">
      <c r="A3790" s="88">
        <f t="shared" si="299"/>
        <v>30</v>
      </c>
      <c r="B3790" s="69" t="s">
        <v>866</v>
      </c>
      <c r="C3790" s="154">
        <v>6</v>
      </c>
      <c r="D3790" s="89"/>
      <c r="E3790" s="89">
        <v>8</v>
      </c>
      <c r="F3790" s="89"/>
      <c r="G3790" s="89"/>
      <c r="H3790" s="89"/>
      <c r="I3790" s="89"/>
      <c r="J3790" s="710">
        <f>(VLOOKUP($C3790,[2]Sheet1!$A$2:$P$18,$M3790+1)/12)*12*D3790</f>
        <v>0</v>
      </c>
      <c r="K3790" s="711"/>
      <c r="M3790" s="62">
        <f>IF(C3790&gt;6,3,5)</f>
        <v>5</v>
      </c>
    </row>
    <row r="3791" spans="1:13">
      <c r="A3791" s="88">
        <f t="shared" si="299"/>
        <v>31</v>
      </c>
      <c r="B3791" s="69" t="s">
        <v>1316</v>
      </c>
      <c r="C3791" s="154">
        <v>3</v>
      </c>
      <c r="D3791" s="89">
        <v>2</v>
      </c>
      <c r="E3791" s="89">
        <v>5</v>
      </c>
      <c r="F3791" s="89">
        <v>2</v>
      </c>
      <c r="G3791" s="89">
        <v>2</v>
      </c>
      <c r="H3791" s="89">
        <v>2</v>
      </c>
      <c r="I3791" s="89">
        <v>2</v>
      </c>
      <c r="J3791" s="710">
        <f>(VLOOKUP($C3791,[2]Sheet1!$A$2:$P$18,$M3791+1)/12)*12*D3791</f>
        <v>438672.35786072997</v>
      </c>
      <c r="K3791" s="711"/>
      <c r="M3791" s="62">
        <f t="shared" si="298"/>
        <v>5</v>
      </c>
    </row>
    <row r="3792" spans="1:13">
      <c r="A3792" s="88">
        <f t="shared" si="299"/>
        <v>32</v>
      </c>
      <c r="B3792" s="69" t="s">
        <v>3674</v>
      </c>
      <c r="C3792" s="69">
        <v>1</v>
      </c>
      <c r="D3792" s="89">
        <v>0</v>
      </c>
      <c r="E3792" s="89">
        <v>5</v>
      </c>
      <c r="F3792" s="89">
        <v>0</v>
      </c>
      <c r="G3792" s="89">
        <v>0</v>
      </c>
      <c r="H3792" s="89">
        <v>0</v>
      </c>
      <c r="I3792" s="89">
        <v>0</v>
      </c>
      <c r="J3792" s="710">
        <f>(VLOOKUP($C3792,[2]Sheet1!$A$2:$P$18,$M3792+1)/12)*12*D3792</f>
        <v>0</v>
      </c>
      <c r="K3792" s="711"/>
      <c r="M3792" s="62">
        <f t="shared" si="298"/>
        <v>5</v>
      </c>
    </row>
    <row r="3793" spans="1:13">
      <c r="A3793" s="88"/>
      <c r="B3793" s="90" t="s">
        <v>2052</v>
      </c>
      <c r="C3793" s="69"/>
      <c r="D3793" s="89"/>
      <c r="E3793" s="89"/>
      <c r="F3793" s="89"/>
      <c r="G3793" s="89"/>
      <c r="H3793" s="89"/>
      <c r="I3793" s="89"/>
      <c r="J3793" s="710"/>
      <c r="K3793" s="711"/>
      <c r="M3793" s="62">
        <f t="shared" si="298"/>
        <v>5</v>
      </c>
    </row>
    <row r="3794" spans="1:13">
      <c r="A3794" s="88">
        <f>+A3792+1</f>
        <v>33</v>
      </c>
      <c r="B3794" s="69" t="s">
        <v>2333</v>
      </c>
      <c r="C3794" s="69">
        <v>14</v>
      </c>
      <c r="D3794" s="89">
        <v>0</v>
      </c>
      <c r="E3794" s="89">
        <v>20</v>
      </c>
      <c r="F3794" s="89">
        <v>0</v>
      </c>
      <c r="G3794" s="89">
        <v>0</v>
      </c>
      <c r="H3794" s="89">
        <v>1</v>
      </c>
      <c r="I3794" s="89">
        <v>0</v>
      </c>
      <c r="J3794" s="710">
        <f>(VLOOKUP($C3794,[2]Sheet1!$A$2:$P$18,$M3794+1)/12)*12*D3794</f>
        <v>0</v>
      </c>
      <c r="K3794" s="711"/>
      <c r="M3794" s="62">
        <f t="shared" si="298"/>
        <v>3</v>
      </c>
    </row>
    <row r="3795" spans="1:13">
      <c r="A3795" s="88">
        <f t="shared" si="299"/>
        <v>34</v>
      </c>
      <c r="B3795" s="69" t="s">
        <v>1547</v>
      </c>
      <c r="C3795" s="69">
        <v>9</v>
      </c>
      <c r="D3795" s="89">
        <v>0</v>
      </c>
      <c r="E3795" s="89">
        <v>10</v>
      </c>
      <c r="F3795" s="89">
        <v>0</v>
      </c>
      <c r="G3795" s="89">
        <v>0</v>
      </c>
      <c r="H3795" s="89">
        <v>1</v>
      </c>
      <c r="I3795" s="89">
        <v>0</v>
      </c>
      <c r="J3795" s="710">
        <f>(VLOOKUP($C3795,[2]Sheet1!$A$2:$P$18,$M3795+1)/12)*12*D3795</f>
        <v>0</v>
      </c>
      <c r="K3795" s="711"/>
      <c r="M3795" s="62">
        <f t="shared" si="298"/>
        <v>3</v>
      </c>
    </row>
    <row r="3796" spans="1:13" ht="13.5" thickBot="1">
      <c r="A3796" s="88">
        <f t="shared" si="299"/>
        <v>35</v>
      </c>
      <c r="B3796" s="69" t="s">
        <v>1548</v>
      </c>
      <c r="C3796" s="69">
        <v>7</v>
      </c>
      <c r="D3796" s="89">
        <v>0</v>
      </c>
      <c r="E3796" s="89"/>
      <c r="F3796" s="89">
        <v>0</v>
      </c>
      <c r="G3796" s="89">
        <v>0</v>
      </c>
      <c r="H3796" s="89"/>
      <c r="I3796" s="89">
        <v>0</v>
      </c>
      <c r="J3796" s="710">
        <f>(VLOOKUP($C3796,[2]Sheet1!$A$2:$P$18,$M3796+1)/12)*12*D3796</f>
        <v>0</v>
      </c>
      <c r="K3796" s="711"/>
      <c r="M3796" s="62">
        <f t="shared" si="298"/>
        <v>3</v>
      </c>
    </row>
    <row r="3797" spans="1:13" ht="15.75" thickTop="1">
      <c r="A3797" s="1047" t="s">
        <v>2791</v>
      </c>
      <c r="B3797" s="1049" t="s">
        <v>4126</v>
      </c>
      <c r="C3797" s="1049" t="s">
        <v>854</v>
      </c>
      <c r="D3797" s="1040" t="s">
        <v>4127</v>
      </c>
      <c r="E3797" s="1041"/>
      <c r="F3797" s="1041"/>
      <c r="G3797" s="1040" t="s">
        <v>904</v>
      </c>
      <c r="H3797" s="1041"/>
      <c r="I3797" s="1042"/>
      <c r="J3797" s="1035" t="s">
        <v>855</v>
      </c>
      <c r="K3797" s="389"/>
    </row>
    <row r="3798" spans="1:13" ht="26.25" thickBot="1">
      <c r="A3798" s="1048"/>
      <c r="B3798" s="1050"/>
      <c r="C3798" s="1050"/>
      <c r="D3798" s="285" t="s">
        <v>5505</v>
      </c>
      <c r="E3798" s="285" t="s">
        <v>4485</v>
      </c>
      <c r="F3798" s="285" t="s">
        <v>4486</v>
      </c>
      <c r="G3798" s="287" t="s">
        <v>4487</v>
      </c>
      <c r="H3798" s="285" t="s">
        <v>4488</v>
      </c>
      <c r="I3798" s="287" t="s">
        <v>4489</v>
      </c>
      <c r="J3798" s="1036"/>
      <c r="K3798" s="712"/>
    </row>
    <row r="3799" spans="1:13" ht="13.5" thickTop="1">
      <c r="A3799" s="88">
        <f>+A3796+1</f>
        <v>36</v>
      </c>
      <c r="B3799" s="69" t="s">
        <v>1549</v>
      </c>
      <c r="C3799" s="69">
        <v>6</v>
      </c>
      <c r="D3799" s="89">
        <v>0</v>
      </c>
      <c r="E3799" s="89">
        <v>8</v>
      </c>
      <c r="F3799" s="89">
        <v>0</v>
      </c>
      <c r="G3799" s="89">
        <v>0</v>
      </c>
      <c r="H3799" s="89">
        <v>1</v>
      </c>
      <c r="I3799" s="89">
        <v>0</v>
      </c>
      <c r="J3799" s="710">
        <f>(VLOOKUP($C3799,[2]Sheet1!$A$2:$P$18,$M3799+1)/12)*12*D3799</f>
        <v>0</v>
      </c>
      <c r="K3799" s="711"/>
      <c r="M3799" s="62">
        <f t="shared" si="298"/>
        <v>5</v>
      </c>
    </row>
    <row r="3800" spans="1:13">
      <c r="A3800" s="88">
        <f>+A3799+1</f>
        <v>37</v>
      </c>
      <c r="B3800" s="69" t="s">
        <v>2360</v>
      </c>
      <c r="C3800" s="69">
        <v>4</v>
      </c>
      <c r="D3800" s="89">
        <v>0</v>
      </c>
      <c r="E3800" s="89">
        <v>1</v>
      </c>
      <c r="F3800" s="89">
        <v>0</v>
      </c>
      <c r="G3800" s="89">
        <v>0</v>
      </c>
      <c r="H3800" s="89">
        <v>1</v>
      </c>
      <c r="I3800" s="89">
        <v>0</v>
      </c>
      <c r="J3800" s="710">
        <f>(VLOOKUP($C3800,[2]Sheet1!$A$2:$P$18,$M3800+1)/12)*12*D3800</f>
        <v>0</v>
      </c>
      <c r="K3800" s="711"/>
      <c r="M3800" s="62">
        <f t="shared" si="298"/>
        <v>5</v>
      </c>
    </row>
    <row r="3801" spans="1:13">
      <c r="A3801" s="88">
        <f t="shared" si="299"/>
        <v>38</v>
      </c>
      <c r="B3801" s="69" t="s">
        <v>2556</v>
      </c>
      <c r="C3801" s="69">
        <v>4</v>
      </c>
      <c r="D3801" s="89">
        <v>0</v>
      </c>
      <c r="E3801" s="89">
        <v>1</v>
      </c>
      <c r="F3801" s="89">
        <v>0</v>
      </c>
      <c r="G3801" s="89">
        <v>0</v>
      </c>
      <c r="H3801" s="89">
        <v>1</v>
      </c>
      <c r="I3801" s="89">
        <v>0</v>
      </c>
      <c r="J3801" s="710">
        <f>(VLOOKUP($C3801,[2]Sheet1!$A$2:$P$18,$M3801+1)/12)*12*D3801</f>
        <v>0</v>
      </c>
      <c r="K3801" s="711"/>
      <c r="M3801" s="62">
        <f t="shared" si="298"/>
        <v>5</v>
      </c>
    </row>
    <row r="3802" spans="1:13">
      <c r="A3802" s="88"/>
      <c r="B3802" s="90" t="s">
        <v>1487</v>
      </c>
      <c r="C3802" s="69"/>
      <c r="D3802" s="89"/>
      <c r="E3802" s="89"/>
      <c r="F3802" s="89"/>
      <c r="G3802" s="89"/>
      <c r="H3802" s="89"/>
      <c r="I3802" s="89"/>
      <c r="J3802" s="710"/>
      <c r="K3802" s="711"/>
      <c r="M3802" s="62">
        <f t="shared" si="298"/>
        <v>5</v>
      </c>
    </row>
    <row r="3803" spans="1:13">
      <c r="A3803" s="88">
        <f>+A3801+1</f>
        <v>39</v>
      </c>
      <c r="B3803" s="69" t="s">
        <v>3532</v>
      </c>
      <c r="C3803" s="69">
        <v>16</v>
      </c>
      <c r="D3803" s="89">
        <v>0</v>
      </c>
      <c r="E3803" s="89">
        <v>0</v>
      </c>
      <c r="F3803" s="89">
        <v>0</v>
      </c>
      <c r="G3803" s="89">
        <v>0</v>
      </c>
      <c r="H3803" s="89">
        <v>0</v>
      </c>
      <c r="I3803" s="89">
        <v>0</v>
      </c>
      <c r="J3803" s="710">
        <f>(VLOOKUP($C3803,[2]Sheet1!$A$2:$P$18,$M3803+1)/12)*12*D3803</f>
        <v>0</v>
      </c>
      <c r="K3803" s="711"/>
      <c r="M3803" s="62">
        <f t="shared" si="298"/>
        <v>3</v>
      </c>
    </row>
    <row r="3804" spans="1:13">
      <c r="A3804" s="88">
        <f t="shared" si="299"/>
        <v>40</v>
      </c>
      <c r="B3804" s="69" t="s">
        <v>1256</v>
      </c>
      <c r="C3804" s="69">
        <v>15</v>
      </c>
      <c r="D3804" s="89">
        <v>1</v>
      </c>
      <c r="E3804" s="89">
        <v>1</v>
      </c>
      <c r="F3804" s="89">
        <v>1</v>
      </c>
      <c r="G3804" s="89">
        <v>1</v>
      </c>
      <c r="H3804" s="89">
        <v>1</v>
      </c>
      <c r="I3804" s="89">
        <v>1</v>
      </c>
      <c r="J3804" s="710">
        <f>(VLOOKUP($C3804,[2]Sheet1!$A$2:$P$18,$M3804+1)/12)*12*D3804</f>
        <v>658331.89992</v>
      </c>
      <c r="K3804" s="711"/>
      <c r="M3804" s="62">
        <f t="shared" si="298"/>
        <v>3</v>
      </c>
    </row>
    <row r="3805" spans="1:13">
      <c r="A3805" s="88">
        <f t="shared" si="299"/>
        <v>41</v>
      </c>
      <c r="B3805" s="69" t="s">
        <v>1550</v>
      </c>
      <c r="C3805" s="69">
        <v>14</v>
      </c>
      <c r="D3805" s="89">
        <v>0</v>
      </c>
      <c r="E3805" s="89">
        <v>0</v>
      </c>
      <c r="F3805" s="89">
        <v>0</v>
      </c>
      <c r="G3805" s="89">
        <v>0</v>
      </c>
      <c r="H3805" s="89">
        <v>0</v>
      </c>
      <c r="I3805" s="89">
        <v>0</v>
      </c>
      <c r="J3805" s="710">
        <f>(VLOOKUP($C3805,[2]Sheet1!$A$2:$P$18,$M3805+1)/12)*12*D3805</f>
        <v>0</v>
      </c>
      <c r="K3805" s="711"/>
      <c r="M3805" s="62">
        <f t="shared" si="298"/>
        <v>3</v>
      </c>
    </row>
    <row r="3806" spans="1:13">
      <c r="A3806" s="88">
        <f t="shared" si="299"/>
        <v>42</v>
      </c>
      <c r="B3806" s="69" t="s">
        <v>3586</v>
      </c>
      <c r="C3806" s="69">
        <v>13</v>
      </c>
      <c r="D3806" s="89">
        <v>1</v>
      </c>
      <c r="E3806" s="89">
        <v>1</v>
      </c>
      <c r="F3806" s="89">
        <v>1</v>
      </c>
      <c r="G3806" s="89">
        <v>1</v>
      </c>
      <c r="H3806" s="89">
        <v>1</v>
      </c>
      <c r="I3806" s="89">
        <v>1</v>
      </c>
      <c r="J3806" s="710">
        <f>(VLOOKUP($C3806,[2]Sheet1!$A$2:$P$18,$M3806+1)/12)*12*D3806</f>
        <v>628759.53804000001</v>
      </c>
      <c r="K3806" s="711"/>
      <c r="M3806" s="62">
        <f t="shared" si="298"/>
        <v>3</v>
      </c>
    </row>
    <row r="3807" spans="1:13">
      <c r="A3807" s="88">
        <f t="shared" si="299"/>
        <v>43</v>
      </c>
      <c r="B3807" s="69" t="s">
        <v>1948</v>
      </c>
      <c r="C3807" s="69">
        <v>12</v>
      </c>
      <c r="D3807" s="89">
        <v>1</v>
      </c>
      <c r="E3807" s="89">
        <v>1</v>
      </c>
      <c r="F3807" s="89">
        <v>1</v>
      </c>
      <c r="G3807" s="89">
        <v>1</v>
      </c>
      <c r="H3807" s="89">
        <v>1</v>
      </c>
      <c r="I3807" s="89">
        <v>1</v>
      </c>
      <c r="J3807" s="710">
        <f>(VLOOKUP($C3807,[2]Sheet1!$A$2:$P$18,$M3807+1)/12)*12*D3807</f>
        <v>552685.0537200002</v>
      </c>
      <c r="K3807" s="711"/>
      <c r="M3807" s="62">
        <f t="shared" si="298"/>
        <v>3</v>
      </c>
    </row>
    <row r="3808" spans="1:13">
      <c r="A3808" s="88">
        <f t="shared" si="299"/>
        <v>44</v>
      </c>
      <c r="B3808" s="69" t="s">
        <v>3142</v>
      </c>
      <c r="C3808" s="69">
        <v>12</v>
      </c>
      <c r="D3808" s="89">
        <v>1</v>
      </c>
      <c r="E3808" s="89">
        <v>1</v>
      </c>
      <c r="F3808" s="89">
        <v>1</v>
      </c>
      <c r="G3808" s="89">
        <v>1</v>
      </c>
      <c r="H3808" s="89">
        <v>1</v>
      </c>
      <c r="I3808" s="89">
        <v>1</v>
      </c>
      <c r="J3808" s="710">
        <f>(VLOOKUP($C3808,[2]Sheet1!$A$2:$P$18,$M3808+1)/12)*12*D3808</f>
        <v>552685.0537200002</v>
      </c>
      <c r="K3808" s="711"/>
      <c r="M3808" s="62">
        <f t="shared" si="298"/>
        <v>3</v>
      </c>
    </row>
    <row r="3809" spans="1:13">
      <c r="A3809" s="88">
        <f t="shared" ref="A3809:A3815" si="300">+A3808+1</f>
        <v>45</v>
      </c>
      <c r="B3809" s="69" t="s">
        <v>1240</v>
      </c>
      <c r="C3809" s="69">
        <v>12</v>
      </c>
      <c r="D3809" s="89">
        <v>0</v>
      </c>
      <c r="E3809" s="89">
        <v>1</v>
      </c>
      <c r="F3809" s="89">
        <v>0</v>
      </c>
      <c r="G3809" s="89">
        <v>0</v>
      </c>
      <c r="H3809" s="89">
        <v>0</v>
      </c>
      <c r="I3809" s="89">
        <v>0</v>
      </c>
      <c r="J3809" s="710">
        <f>(VLOOKUP($C3809,[2]Sheet1!$A$2:$P$18,$M3809+1)/12)*12*D3809</f>
        <v>0</v>
      </c>
      <c r="K3809" s="711"/>
      <c r="M3809" s="62">
        <f>IF(C3809&gt;6,3,5)</f>
        <v>3</v>
      </c>
    </row>
    <row r="3810" spans="1:13">
      <c r="A3810" s="88">
        <f t="shared" si="300"/>
        <v>46</v>
      </c>
      <c r="B3810" s="69" t="s">
        <v>3912</v>
      </c>
      <c r="C3810" s="69">
        <v>10</v>
      </c>
      <c r="D3810" s="89">
        <v>1</v>
      </c>
      <c r="E3810" s="89">
        <v>0</v>
      </c>
      <c r="F3810" s="89">
        <v>1</v>
      </c>
      <c r="G3810" s="89">
        <v>1</v>
      </c>
      <c r="H3810" s="89">
        <v>1</v>
      </c>
      <c r="I3810" s="89">
        <v>1</v>
      </c>
      <c r="J3810" s="710">
        <f>(VLOOKUP($C3810,[2]Sheet1!$A$2:$P$18,$M3810+1)/12)*12*D3810</f>
        <v>483974.5687200001</v>
      </c>
      <c r="K3810" s="711"/>
      <c r="M3810" s="62">
        <f t="shared" si="298"/>
        <v>3</v>
      </c>
    </row>
    <row r="3811" spans="1:13">
      <c r="A3811" s="88">
        <f>+A3810+1</f>
        <v>47</v>
      </c>
      <c r="B3811" s="69" t="s">
        <v>3913</v>
      </c>
      <c r="C3811" s="69">
        <v>8</v>
      </c>
      <c r="D3811" s="89">
        <v>1</v>
      </c>
      <c r="E3811" s="89">
        <v>1</v>
      </c>
      <c r="F3811" s="89">
        <v>1</v>
      </c>
      <c r="G3811" s="89">
        <v>1</v>
      </c>
      <c r="H3811" s="89">
        <v>1</v>
      </c>
      <c r="I3811" s="89">
        <v>1</v>
      </c>
      <c r="J3811" s="710">
        <f>(VLOOKUP($C3811,[2]Sheet1!$A$2:$P$18,$M3811+1)/12)*12*D3811</f>
        <v>342141.27408</v>
      </c>
      <c r="K3811" s="711"/>
      <c r="M3811" s="62">
        <f t="shared" si="298"/>
        <v>3</v>
      </c>
    </row>
    <row r="3812" spans="1:13">
      <c r="A3812" s="88">
        <f t="shared" si="300"/>
        <v>48</v>
      </c>
      <c r="B3812" s="69" t="s">
        <v>3914</v>
      </c>
      <c r="C3812" s="69">
        <v>7</v>
      </c>
      <c r="D3812" s="89">
        <v>0</v>
      </c>
      <c r="E3812" s="89">
        <v>0</v>
      </c>
      <c r="F3812" s="89">
        <v>0</v>
      </c>
      <c r="G3812" s="89">
        <v>0</v>
      </c>
      <c r="H3812" s="89">
        <v>0</v>
      </c>
      <c r="I3812" s="89">
        <v>0</v>
      </c>
      <c r="J3812" s="710">
        <f>(VLOOKUP($C3812,[2]Sheet1!$A$2:$P$18,$M3812+1)/12)*12*D3812</f>
        <v>0</v>
      </c>
      <c r="K3812" s="711"/>
      <c r="M3812" s="62">
        <f t="shared" si="298"/>
        <v>3</v>
      </c>
    </row>
    <row r="3813" spans="1:13">
      <c r="A3813" s="88">
        <f t="shared" si="300"/>
        <v>49</v>
      </c>
      <c r="B3813" s="69" t="s">
        <v>3915</v>
      </c>
      <c r="C3813" s="69">
        <v>6</v>
      </c>
      <c r="D3813" s="89">
        <v>0</v>
      </c>
      <c r="E3813" s="89">
        <v>1</v>
      </c>
      <c r="F3813" s="89">
        <v>0</v>
      </c>
      <c r="G3813" s="89">
        <v>0</v>
      </c>
      <c r="H3813" s="89">
        <v>0</v>
      </c>
      <c r="I3813" s="89">
        <v>0</v>
      </c>
      <c r="J3813" s="710">
        <f>(VLOOKUP($C3813,[2]Sheet1!$A$2:$P$18,$M3813+1)/12)*12*D3813</f>
        <v>0</v>
      </c>
      <c r="K3813" s="711"/>
      <c r="M3813" s="62">
        <f t="shared" si="298"/>
        <v>5</v>
      </c>
    </row>
    <row r="3814" spans="1:13">
      <c r="A3814" s="88">
        <f t="shared" si="300"/>
        <v>50</v>
      </c>
      <c r="B3814" s="69" t="s">
        <v>3916</v>
      </c>
      <c r="C3814" s="69">
        <v>5</v>
      </c>
      <c r="D3814" s="89">
        <v>0</v>
      </c>
      <c r="E3814" s="89">
        <v>0</v>
      </c>
      <c r="F3814" s="89">
        <v>0</v>
      </c>
      <c r="G3814" s="89">
        <v>0</v>
      </c>
      <c r="H3814" s="89">
        <v>0</v>
      </c>
      <c r="I3814" s="89">
        <v>0</v>
      </c>
      <c r="J3814" s="710">
        <f>(VLOOKUP($C3814,[2]Sheet1!$A$2:$P$18,$M3814+1)/12)*12*D3814</f>
        <v>0</v>
      </c>
      <c r="K3814" s="711"/>
      <c r="M3814" s="62">
        <f t="shared" si="298"/>
        <v>5</v>
      </c>
    </row>
    <row r="3815" spans="1:13">
      <c r="A3815" s="88">
        <f t="shared" si="300"/>
        <v>51</v>
      </c>
      <c r="B3815" s="69" t="s">
        <v>262</v>
      </c>
      <c r="C3815" s="69">
        <v>3</v>
      </c>
      <c r="D3815" s="89">
        <v>0</v>
      </c>
      <c r="E3815" s="89">
        <v>0</v>
      </c>
      <c r="F3815" s="89">
        <v>0</v>
      </c>
      <c r="G3815" s="89">
        <v>0</v>
      </c>
      <c r="H3815" s="89">
        <v>0</v>
      </c>
      <c r="I3815" s="89">
        <v>0</v>
      </c>
      <c r="J3815" s="710">
        <f>(VLOOKUP($C3815,[2]Sheet1!$A$2:$P$18,$M3815+1)/12)*12*D3815</f>
        <v>0</v>
      </c>
      <c r="K3815" s="711"/>
      <c r="M3815" s="62">
        <f t="shared" si="298"/>
        <v>5</v>
      </c>
    </row>
    <row r="3816" spans="1:13">
      <c r="A3816" s="88">
        <f t="shared" si="299"/>
        <v>52</v>
      </c>
      <c r="B3816" s="69" t="s">
        <v>263</v>
      </c>
      <c r="C3816" s="69">
        <v>9</v>
      </c>
      <c r="D3816" s="89">
        <v>0</v>
      </c>
      <c r="E3816" s="89">
        <v>1</v>
      </c>
      <c r="F3816" s="89">
        <v>0</v>
      </c>
      <c r="G3816" s="89">
        <v>0</v>
      </c>
      <c r="H3816" s="89">
        <v>0</v>
      </c>
      <c r="I3816" s="89">
        <v>0</v>
      </c>
      <c r="J3816" s="710">
        <f>(VLOOKUP($C3816,[2]Sheet1!$A$2:$P$18,$M3816+1)/12)*12*D3816</f>
        <v>0</v>
      </c>
      <c r="K3816" s="711"/>
      <c r="M3816" s="62">
        <f t="shared" si="298"/>
        <v>3</v>
      </c>
    </row>
    <row r="3817" spans="1:13">
      <c r="A3817" s="88">
        <f t="shared" si="299"/>
        <v>53</v>
      </c>
      <c r="B3817" s="69" t="s">
        <v>1777</v>
      </c>
      <c r="C3817" s="69">
        <v>7</v>
      </c>
      <c r="D3817" s="89">
        <v>0</v>
      </c>
      <c r="E3817" s="89">
        <v>0</v>
      </c>
      <c r="F3817" s="89">
        <v>0</v>
      </c>
      <c r="G3817" s="89">
        <v>0</v>
      </c>
      <c r="H3817" s="89">
        <v>0</v>
      </c>
      <c r="I3817" s="89">
        <v>0</v>
      </c>
      <c r="J3817" s="710">
        <f>(VLOOKUP($C3817,[2]Sheet1!$A$2:$P$18,$M3817+1)/12)*12*D3817</f>
        <v>0</v>
      </c>
      <c r="K3817" s="711"/>
      <c r="M3817" s="62">
        <f t="shared" si="298"/>
        <v>3</v>
      </c>
    </row>
    <row r="3818" spans="1:13">
      <c r="A3818" s="88">
        <f t="shared" si="299"/>
        <v>54</v>
      </c>
      <c r="B3818" s="69" t="s">
        <v>2344</v>
      </c>
      <c r="C3818" s="69">
        <v>6</v>
      </c>
      <c r="D3818" s="89">
        <v>0</v>
      </c>
      <c r="E3818" s="89">
        <v>0</v>
      </c>
      <c r="F3818" s="89">
        <v>0</v>
      </c>
      <c r="G3818" s="89">
        <v>0</v>
      </c>
      <c r="H3818" s="89">
        <v>0</v>
      </c>
      <c r="I3818" s="89">
        <v>0</v>
      </c>
      <c r="J3818" s="710">
        <f>(VLOOKUP($C3818,[2]Sheet1!$A$2:$P$18,$M3818+1)/12)*12*D3818</f>
        <v>0</v>
      </c>
      <c r="K3818" s="711"/>
      <c r="M3818" s="62">
        <f t="shared" si="298"/>
        <v>5</v>
      </c>
    </row>
    <row r="3819" spans="1:13">
      <c r="A3819" s="88"/>
      <c r="B3819" s="90" t="s">
        <v>264</v>
      </c>
      <c r="C3819" s="69"/>
      <c r="D3819" s="89"/>
      <c r="E3819" s="89"/>
      <c r="F3819" s="89"/>
      <c r="G3819" s="89"/>
      <c r="H3819" s="89"/>
      <c r="I3819" s="89"/>
      <c r="J3819" s="710"/>
      <c r="K3819" s="711"/>
      <c r="M3819" s="62">
        <f t="shared" si="298"/>
        <v>5</v>
      </c>
    </row>
    <row r="3820" spans="1:13">
      <c r="A3820" s="88">
        <f>+A3818+1</f>
        <v>55</v>
      </c>
      <c r="B3820" s="69" t="s">
        <v>3532</v>
      </c>
      <c r="C3820" s="69">
        <v>16</v>
      </c>
      <c r="D3820" s="89">
        <v>1</v>
      </c>
      <c r="E3820" s="89">
        <v>1</v>
      </c>
      <c r="F3820" s="89">
        <v>0</v>
      </c>
      <c r="G3820" s="89">
        <v>0</v>
      </c>
      <c r="H3820" s="89">
        <v>1</v>
      </c>
      <c r="I3820" s="89">
        <v>1</v>
      </c>
      <c r="J3820" s="710">
        <f>(VLOOKUP($C3820,[2]Sheet1!$A$2:$P$18,$M3820+1)/12)*12*D3820</f>
        <v>677281.26084</v>
      </c>
      <c r="K3820" s="711"/>
      <c r="M3820" s="62">
        <f t="shared" si="298"/>
        <v>3</v>
      </c>
    </row>
    <row r="3821" spans="1:13">
      <c r="A3821" s="88">
        <f t="shared" si="299"/>
        <v>56</v>
      </c>
      <c r="B3821" s="69" t="s">
        <v>1256</v>
      </c>
      <c r="C3821" s="69">
        <v>15</v>
      </c>
      <c r="D3821" s="89">
        <v>1</v>
      </c>
      <c r="E3821" s="89">
        <v>1</v>
      </c>
      <c r="F3821" s="89">
        <v>1</v>
      </c>
      <c r="G3821" s="89">
        <v>1</v>
      </c>
      <c r="H3821" s="89">
        <v>1</v>
      </c>
      <c r="I3821" s="89">
        <v>1</v>
      </c>
      <c r="J3821" s="710">
        <f>(VLOOKUP($C3821,[2]Sheet1!$A$2:$P$18,$M3821+1)/12)*12*D3821</f>
        <v>658331.89992</v>
      </c>
      <c r="K3821" s="711"/>
      <c r="M3821" s="62">
        <f t="shared" si="298"/>
        <v>3</v>
      </c>
    </row>
    <row r="3822" spans="1:13">
      <c r="A3822" s="88">
        <f>+A3821+1</f>
        <v>57</v>
      </c>
      <c r="B3822" s="69" t="s">
        <v>1239</v>
      </c>
      <c r="C3822" s="69">
        <v>13</v>
      </c>
      <c r="D3822" s="89">
        <v>1</v>
      </c>
      <c r="E3822" s="89">
        <v>2</v>
      </c>
      <c r="F3822" s="89">
        <v>0</v>
      </c>
      <c r="G3822" s="89">
        <v>0</v>
      </c>
      <c r="H3822" s="89">
        <v>0</v>
      </c>
      <c r="I3822" s="89">
        <v>1</v>
      </c>
      <c r="J3822" s="710">
        <f>(VLOOKUP($C3822,[2]Sheet1!$A$2:$P$18,$M3822+1)/12)*12*D3822</f>
        <v>628759.53804000001</v>
      </c>
      <c r="K3822" s="711"/>
      <c r="M3822" s="62">
        <f t="shared" si="298"/>
        <v>3</v>
      </c>
    </row>
    <row r="3823" spans="1:13">
      <c r="A3823" s="88">
        <f>A3822+1</f>
        <v>58</v>
      </c>
      <c r="B3823" s="69" t="s">
        <v>147</v>
      </c>
      <c r="C3823" s="69">
        <v>12</v>
      </c>
      <c r="D3823" s="89">
        <v>2</v>
      </c>
      <c r="E3823" s="89">
        <v>2</v>
      </c>
      <c r="F3823" s="89">
        <v>2</v>
      </c>
      <c r="G3823" s="89">
        <v>2</v>
      </c>
      <c r="H3823" s="89">
        <v>2</v>
      </c>
      <c r="I3823" s="89">
        <v>2</v>
      </c>
      <c r="J3823" s="710">
        <f>(VLOOKUP($C3823,[2]Sheet1!$A$2:$P$18,$M3823+1)/12)*12*D3823</f>
        <v>1105370.1074400004</v>
      </c>
      <c r="K3823" s="711"/>
      <c r="M3823" s="62">
        <f t="shared" si="298"/>
        <v>3</v>
      </c>
    </row>
    <row r="3824" spans="1:13">
      <c r="A3824" s="88">
        <v>55</v>
      </c>
      <c r="B3824" s="69" t="s">
        <v>1949</v>
      </c>
      <c r="C3824" s="69">
        <v>10</v>
      </c>
      <c r="D3824" s="89">
        <v>2</v>
      </c>
      <c r="E3824" s="89">
        <v>5</v>
      </c>
      <c r="F3824" s="89">
        <v>1</v>
      </c>
      <c r="G3824" s="89">
        <v>1</v>
      </c>
      <c r="H3824" s="89">
        <v>1</v>
      </c>
      <c r="I3824" s="89">
        <v>2</v>
      </c>
      <c r="J3824" s="710">
        <f>(VLOOKUP($C3824,[2]Sheet1!$A$2:$P$18,$M3824+1)/12)*12*D3824</f>
        <v>967949.1374400002</v>
      </c>
      <c r="K3824" s="711"/>
      <c r="M3824" s="62">
        <f t="shared" si="298"/>
        <v>3</v>
      </c>
    </row>
    <row r="3825" spans="1:13">
      <c r="A3825" s="88">
        <v>56</v>
      </c>
      <c r="B3825" s="69" t="s">
        <v>1950</v>
      </c>
      <c r="C3825" s="69">
        <v>9</v>
      </c>
      <c r="D3825" s="89">
        <v>0</v>
      </c>
      <c r="E3825" s="89">
        <v>0</v>
      </c>
      <c r="F3825" s="89">
        <v>0</v>
      </c>
      <c r="G3825" s="89">
        <v>0</v>
      </c>
      <c r="H3825" s="89">
        <v>0</v>
      </c>
      <c r="I3825" s="89">
        <v>0</v>
      </c>
      <c r="J3825" s="710">
        <f>(VLOOKUP($C3825,[2]Sheet1!$A$2:$P$18,$M3825+1)/12)*12*D3825</f>
        <v>0</v>
      </c>
      <c r="K3825" s="711"/>
      <c r="M3825" s="62">
        <f t="shared" ref="M3825:M3891" si="301">IF(C3825&gt;6,3,5)</f>
        <v>3</v>
      </c>
    </row>
    <row r="3826" spans="1:13">
      <c r="A3826" s="88">
        <f t="shared" si="299"/>
        <v>57</v>
      </c>
      <c r="B3826" s="69" t="s">
        <v>3913</v>
      </c>
      <c r="C3826" s="69">
        <v>8</v>
      </c>
      <c r="D3826" s="89">
        <v>1</v>
      </c>
      <c r="E3826" s="89">
        <v>2</v>
      </c>
      <c r="F3826" s="89">
        <v>2</v>
      </c>
      <c r="G3826" s="89">
        <v>2</v>
      </c>
      <c r="H3826" s="89">
        <v>2</v>
      </c>
      <c r="I3826" s="89">
        <v>1</v>
      </c>
      <c r="J3826" s="710">
        <f>(VLOOKUP($C3826,[2]Sheet1!$A$2:$P$18,$M3826+1)/12)*12*D3826</f>
        <v>342141.27408</v>
      </c>
      <c r="K3826" s="711"/>
      <c r="M3826" s="62">
        <f t="shared" si="301"/>
        <v>3</v>
      </c>
    </row>
    <row r="3827" spans="1:13">
      <c r="A3827" s="88">
        <f t="shared" si="299"/>
        <v>58</v>
      </c>
      <c r="B3827" s="69" t="s">
        <v>3915</v>
      </c>
      <c r="C3827" s="69">
        <v>6</v>
      </c>
      <c r="D3827" s="89">
        <v>0</v>
      </c>
      <c r="E3827" s="89">
        <v>0</v>
      </c>
      <c r="F3827" s="89">
        <v>0</v>
      </c>
      <c r="G3827" s="89">
        <v>0</v>
      </c>
      <c r="H3827" s="89">
        <v>0</v>
      </c>
      <c r="I3827" s="89">
        <v>0</v>
      </c>
      <c r="J3827" s="710">
        <f>(VLOOKUP($C3827,[2]Sheet1!$A$2:$P$18,$M3827+1)/12)*12*D3827</f>
        <v>0</v>
      </c>
      <c r="K3827" s="711"/>
      <c r="M3827" s="62">
        <f t="shared" si="301"/>
        <v>5</v>
      </c>
    </row>
    <row r="3828" spans="1:13">
      <c r="A3828" s="88">
        <f t="shared" si="299"/>
        <v>59</v>
      </c>
      <c r="B3828" s="69" t="s">
        <v>3916</v>
      </c>
      <c r="C3828" s="69">
        <v>5</v>
      </c>
      <c r="D3828" s="89">
        <v>0</v>
      </c>
      <c r="E3828" s="89">
        <v>0</v>
      </c>
      <c r="F3828" s="89">
        <v>0</v>
      </c>
      <c r="G3828" s="89">
        <v>0</v>
      </c>
      <c r="H3828" s="89">
        <v>0</v>
      </c>
      <c r="I3828" s="89">
        <v>0</v>
      </c>
      <c r="J3828" s="710">
        <f>(VLOOKUP($C3828,[2]Sheet1!$A$2:$P$18,$M3828+1)/12)*12*D3828</f>
        <v>0</v>
      </c>
      <c r="K3828" s="711"/>
      <c r="M3828" s="62">
        <f t="shared" si="301"/>
        <v>5</v>
      </c>
    </row>
    <row r="3829" spans="1:13">
      <c r="A3829" s="88">
        <f t="shared" si="299"/>
        <v>60</v>
      </c>
      <c r="B3829" s="69" t="s">
        <v>1621</v>
      </c>
      <c r="C3829" s="69">
        <v>4</v>
      </c>
      <c r="D3829" s="89">
        <v>0</v>
      </c>
      <c r="E3829" s="89">
        <v>0</v>
      </c>
      <c r="F3829" s="89">
        <v>0</v>
      </c>
      <c r="G3829" s="89">
        <v>0</v>
      </c>
      <c r="H3829" s="89">
        <v>0</v>
      </c>
      <c r="I3829" s="89">
        <v>0</v>
      </c>
      <c r="J3829" s="710">
        <f>(VLOOKUP($C3829,[2]Sheet1!$A$2:$P$18,$M3829+1)/12)*12*D3829</f>
        <v>0</v>
      </c>
      <c r="K3829" s="711"/>
      <c r="M3829" s="62">
        <f t="shared" si="301"/>
        <v>5</v>
      </c>
    </row>
    <row r="3830" spans="1:13">
      <c r="A3830" s="88">
        <f t="shared" si="299"/>
        <v>61</v>
      </c>
      <c r="B3830" s="69" t="s">
        <v>3896</v>
      </c>
      <c r="C3830" s="69">
        <v>6</v>
      </c>
      <c r="D3830" s="89">
        <v>0</v>
      </c>
      <c r="E3830" s="89">
        <v>0</v>
      </c>
      <c r="F3830" s="89">
        <v>0</v>
      </c>
      <c r="G3830" s="89">
        <v>0</v>
      </c>
      <c r="H3830" s="89">
        <v>0</v>
      </c>
      <c r="I3830" s="89">
        <v>0</v>
      </c>
      <c r="J3830" s="710">
        <f>(VLOOKUP($C3830,[2]Sheet1!$A$2:$P$18,$M3830+1)/12)*12*D3830</f>
        <v>0</v>
      </c>
      <c r="K3830" s="711"/>
      <c r="M3830" s="62">
        <f t="shared" si="301"/>
        <v>5</v>
      </c>
    </row>
    <row r="3831" spans="1:13">
      <c r="A3831" s="88"/>
      <c r="B3831" s="90" t="s">
        <v>1978</v>
      </c>
      <c r="C3831" s="69"/>
      <c r="D3831" s="89"/>
      <c r="E3831" s="89"/>
      <c r="F3831" s="89"/>
      <c r="G3831" s="89"/>
      <c r="H3831" s="89"/>
      <c r="I3831" s="89"/>
      <c r="J3831" s="710"/>
      <c r="K3831" s="711"/>
      <c r="M3831" s="62">
        <f t="shared" si="301"/>
        <v>5</v>
      </c>
    </row>
    <row r="3832" spans="1:13">
      <c r="A3832" s="88">
        <f>+A3830+1</f>
        <v>62</v>
      </c>
      <c r="B3832" s="69" t="s">
        <v>1113</v>
      </c>
      <c r="C3832" s="69" t="s">
        <v>2335</v>
      </c>
      <c r="D3832" s="89">
        <v>1</v>
      </c>
      <c r="E3832" s="89">
        <v>1</v>
      </c>
      <c r="F3832" s="89">
        <v>1</v>
      </c>
      <c r="G3832" s="89">
        <v>1</v>
      </c>
      <c r="H3832" s="89">
        <v>1</v>
      </c>
      <c r="I3832" s="89">
        <v>1</v>
      </c>
      <c r="J3832" s="710"/>
      <c r="K3832" s="711"/>
      <c r="M3832" s="62">
        <f t="shared" si="301"/>
        <v>3</v>
      </c>
    </row>
    <row r="3833" spans="1:13">
      <c r="A3833" s="88">
        <v>63</v>
      </c>
      <c r="B3833" s="69" t="s">
        <v>3587</v>
      </c>
      <c r="C3833" s="69" t="s">
        <v>2335</v>
      </c>
      <c r="D3833" s="89">
        <v>1</v>
      </c>
      <c r="E3833" s="89">
        <v>1</v>
      </c>
      <c r="F3833" s="89">
        <v>1</v>
      </c>
      <c r="G3833" s="89">
        <v>1</v>
      </c>
      <c r="H3833" s="89">
        <v>1</v>
      </c>
      <c r="I3833" s="89">
        <v>1</v>
      </c>
      <c r="J3833" s="710"/>
      <c r="K3833" s="711"/>
      <c r="M3833" s="62">
        <f>IF(C3833&gt;6,3,5)</f>
        <v>3</v>
      </c>
    </row>
    <row r="3834" spans="1:13">
      <c r="A3834" s="88">
        <v>64</v>
      </c>
      <c r="B3834" s="69" t="s">
        <v>3532</v>
      </c>
      <c r="C3834" s="69">
        <v>16</v>
      </c>
      <c r="D3834" s="89">
        <v>0</v>
      </c>
      <c r="E3834" s="89">
        <v>2</v>
      </c>
      <c r="F3834" s="89">
        <v>0</v>
      </c>
      <c r="G3834" s="89">
        <v>0</v>
      </c>
      <c r="H3834" s="89">
        <v>0</v>
      </c>
      <c r="I3834" s="89">
        <v>0</v>
      </c>
      <c r="J3834" s="710">
        <f>(VLOOKUP($C3834,[2]Sheet1!$A$2:$P$18,$M3834+1)/12)*12*D3834</f>
        <v>0</v>
      </c>
      <c r="K3834" s="711"/>
      <c r="M3834" s="62">
        <f t="shared" si="301"/>
        <v>3</v>
      </c>
    </row>
    <row r="3835" spans="1:13">
      <c r="A3835" s="88">
        <v>65</v>
      </c>
      <c r="B3835" s="69" t="s">
        <v>1256</v>
      </c>
      <c r="C3835" s="69">
        <v>15</v>
      </c>
      <c r="D3835" s="89">
        <v>19</v>
      </c>
      <c r="E3835" s="89">
        <v>9</v>
      </c>
      <c r="F3835" s="89">
        <v>2</v>
      </c>
      <c r="G3835" s="89">
        <v>2</v>
      </c>
      <c r="H3835" s="89">
        <v>6</v>
      </c>
      <c r="I3835" s="89">
        <v>19</v>
      </c>
      <c r="J3835" s="710">
        <f>(VLOOKUP($C3835,[2]Sheet1!$A$2:$P$18,$M3835+1)/12)*12*D3835</f>
        <v>12508306.098479999</v>
      </c>
      <c r="K3835" s="711"/>
      <c r="M3835" s="62">
        <f t="shared" si="301"/>
        <v>3</v>
      </c>
    </row>
    <row r="3836" spans="1:13">
      <c r="A3836" s="88">
        <f>A3835+1</f>
        <v>66</v>
      </c>
      <c r="B3836" s="69" t="s">
        <v>1239</v>
      </c>
      <c r="C3836" s="69">
        <v>14</v>
      </c>
      <c r="D3836" s="89">
        <v>16</v>
      </c>
      <c r="E3836" s="89">
        <v>30</v>
      </c>
      <c r="F3836" s="89">
        <v>18</v>
      </c>
      <c r="G3836" s="89">
        <v>18</v>
      </c>
      <c r="H3836" s="89">
        <v>18</v>
      </c>
      <c r="I3836" s="89">
        <v>16</v>
      </c>
      <c r="J3836" s="710">
        <f>(VLOOKUP($C3836,[2]Sheet1!$A$2:$P$18,$M3836+1)/12)*12*D3836</f>
        <v>10705590.53184</v>
      </c>
      <c r="K3836" s="711"/>
      <c r="M3836" s="62">
        <f t="shared" si="301"/>
        <v>3</v>
      </c>
    </row>
    <row r="3837" spans="1:13">
      <c r="A3837" s="88">
        <f t="shared" ref="A3837:A3847" si="302">A3836+1</f>
        <v>67</v>
      </c>
      <c r="B3837" s="69" t="s">
        <v>1550</v>
      </c>
      <c r="C3837" s="69">
        <v>14</v>
      </c>
      <c r="D3837" s="89">
        <v>34</v>
      </c>
      <c r="E3837" s="89">
        <v>30</v>
      </c>
      <c r="F3837" s="89">
        <v>23</v>
      </c>
      <c r="G3837" s="89">
        <v>23</v>
      </c>
      <c r="H3837" s="89">
        <v>26</v>
      </c>
      <c r="I3837" s="89">
        <v>34</v>
      </c>
      <c r="J3837" s="710">
        <f>(VLOOKUP($C3837,[2]Sheet1!$A$2:$P$18,$M3837+1)/12)*12*D3837</f>
        <v>22749379.88016</v>
      </c>
      <c r="K3837" s="711"/>
      <c r="M3837" s="62">
        <f t="shared" si="301"/>
        <v>3</v>
      </c>
    </row>
    <row r="3838" spans="1:13">
      <c r="A3838" s="88">
        <f t="shared" si="302"/>
        <v>68</v>
      </c>
      <c r="B3838" s="69" t="s">
        <v>3586</v>
      </c>
      <c r="C3838" s="69">
        <v>13</v>
      </c>
      <c r="D3838" s="89">
        <v>17</v>
      </c>
      <c r="E3838" s="89">
        <v>69</v>
      </c>
      <c r="F3838" s="89">
        <v>12</v>
      </c>
      <c r="G3838" s="89">
        <v>12</v>
      </c>
      <c r="H3838" s="89">
        <v>16</v>
      </c>
      <c r="I3838" s="89">
        <v>17</v>
      </c>
      <c r="J3838" s="710">
        <f>(VLOOKUP($C3838,[2]Sheet1!$A$2:$P$18,$M3838+1)/12)*12*D3838</f>
        <v>10688912.146680001</v>
      </c>
      <c r="K3838" s="711"/>
      <c r="M3838" s="62">
        <f t="shared" si="301"/>
        <v>3</v>
      </c>
    </row>
    <row r="3839" spans="1:13" ht="13.5" thickBot="1">
      <c r="A3839" s="88">
        <f t="shared" si="302"/>
        <v>69</v>
      </c>
      <c r="B3839" s="69" t="s">
        <v>1948</v>
      </c>
      <c r="C3839" s="69">
        <v>12</v>
      </c>
      <c r="D3839" s="89">
        <v>35</v>
      </c>
      <c r="E3839" s="89">
        <v>40</v>
      </c>
      <c r="F3839" s="89">
        <v>26</v>
      </c>
      <c r="G3839" s="89">
        <v>26</v>
      </c>
      <c r="H3839" s="89">
        <v>28</v>
      </c>
      <c r="I3839" s="89">
        <v>35</v>
      </c>
      <c r="J3839" s="710">
        <f>(VLOOKUP($C3839,[2]Sheet1!$A$2:$P$18,$M3839+1)/12)*12*D3839</f>
        <v>19343976.880200006</v>
      </c>
      <c r="K3839" s="711"/>
      <c r="M3839" s="62">
        <f t="shared" si="301"/>
        <v>3</v>
      </c>
    </row>
    <row r="3840" spans="1:13" ht="15.75" thickTop="1">
      <c r="A3840" s="1047" t="s">
        <v>2791</v>
      </c>
      <c r="B3840" s="1049" t="s">
        <v>4126</v>
      </c>
      <c r="C3840" s="1049" t="s">
        <v>854</v>
      </c>
      <c r="D3840" s="1040" t="s">
        <v>4127</v>
      </c>
      <c r="E3840" s="1041"/>
      <c r="F3840" s="1041"/>
      <c r="G3840" s="1040" t="s">
        <v>904</v>
      </c>
      <c r="H3840" s="1041"/>
      <c r="I3840" s="1042"/>
      <c r="J3840" s="1035" t="s">
        <v>855</v>
      </c>
      <c r="K3840" s="389"/>
    </row>
    <row r="3841" spans="1:13" ht="26.25" thickBot="1">
      <c r="A3841" s="1048"/>
      <c r="B3841" s="1050"/>
      <c r="C3841" s="1050"/>
      <c r="D3841" s="285" t="s">
        <v>5505</v>
      </c>
      <c r="E3841" s="285" t="s">
        <v>4485</v>
      </c>
      <c r="F3841" s="285" t="s">
        <v>4486</v>
      </c>
      <c r="G3841" s="287" t="s">
        <v>4487</v>
      </c>
      <c r="H3841" s="285" t="s">
        <v>4488</v>
      </c>
      <c r="I3841" s="287" t="s">
        <v>4489</v>
      </c>
      <c r="J3841" s="1036"/>
      <c r="K3841" s="712"/>
    </row>
    <row r="3842" spans="1:13" ht="13.5" thickTop="1">
      <c r="A3842" s="88">
        <f>A3839+1</f>
        <v>70</v>
      </c>
      <c r="B3842" s="69" t="s">
        <v>1949</v>
      </c>
      <c r="C3842" s="69">
        <v>10</v>
      </c>
      <c r="D3842" s="89">
        <v>41</v>
      </c>
      <c r="E3842" s="89">
        <v>40</v>
      </c>
      <c r="F3842" s="89">
        <v>31</v>
      </c>
      <c r="G3842" s="89">
        <v>31</v>
      </c>
      <c r="H3842" s="89">
        <v>35</v>
      </c>
      <c r="I3842" s="89">
        <v>41</v>
      </c>
      <c r="J3842" s="710">
        <f>(VLOOKUP($C3842,[2]Sheet1!$A$2:$P$18,$M3842+1)/12)*12*D3842</f>
        <v>19842957.317520004</v>
      </c>
      <c r="K3842" s="711"/>
      <c r="M3842" s="62">
        <f t="shared" si="301"/>
        <v>3</v>
      </c>
    </row>
    <row r="3843" spans="1:13">
      <c r="A3843" s="88">
        <f>A3842+1</f>
        <v>71</v>
      </c>
      <c r="B3843" s="69" t="s">
        <v>1950</v>
      </c>
      <c r="C3843" s="69">
        <v>9</v>
      </c>
      <c r="D3843" s="89">
        <v>4</v>
      </c>
      <c r="E3843" s="89">
        <v>8</v>
      </c>
      <c r="F3843" s="89">
        <v>1</v>
      </c>
      <c r="G3843" s="89">
        <v>1</v>
      </c>
      <c r="H3843" s="89">
        <v>4</v>
      </c>
      <c r="I3843" s="89">
        <v>4</v>
      </c>
      <c r="J3843" s="710">
        <f>(VLOOKUP($C3843,[2]Sheet1!$A$2:$P$18,$M3843+1)/12)*12*D3843</f>
        <v>1638727.6247999999</v>
      </c>
      <c r="K3843" s="711"/>
      <c r="M3843" s="62">
        <f t="shared" si="301"/>
        <v>3</v>
      </c>
    </row>
    <row r="3844" spans="1:13">
      <c r="A3844" s="88">
        <f t="shared" si="302"/>
        <v>72</v>
      </c>
      <c r="B3844" s="69" t="s">
        <v>2425</v>
      </c>
      <c r="C3844" s="69">
        <v>8</v>
      </c>
      <c r="D3844" s="89">
        <v>2</v>
      </c>
      <c r="E3844" s="89">
        <v>10</v>
      </c>
      <c r="F3844" s="89">
        <v>7</v>
      </c>
      <c r="G3844" s="89">
        <v>7</v>
      </c>
      <c r="H3844" s="89">
        <v>7</v>
      </c>
      <c r="I3844" s="89">
        <v>2</v>
      </c>
      <c r="J3844" s="710">
        <f>(VLOOKUP($C3844,[2]Sheet1!$A$2:$P$18,$M3844+1)/12)*12*D3844</f>
        <v>684282.54816000001</v>
      </c>
      <c r="K3844" s="711"/>
      <c r="M3844" s="62">
        <f t="shared" si="301"/>
        <v>3</v>
      </c>
    </row>
    <row r="3845" spans="1:13">
      <c r="A3845" s="88">
        <f>A3844+1</f>
        <v>73</v>
      </c>
      <c r="B3845" s="69" t="s">
        <v>3141</v>
      </c>
      <c r="C3845" s="69">
        <v>13</v>
      </c>
      <c r="D3845" s="89">
        <v>101</v>
      </c>
      <c r="E3845" s="89">
        <v>100</v>
      </c>
      <c r="F3845" s="89">
        <v>84</v>
      </c>
      <c r="G3845" s="89">
        <v>84</v>
      </c>
      <c r="H3845" s="89">
        <v>84</v>
      </c>
      <c r="I3845" s="89">
        <v>101</v>
      </c>
      <c r="J3845" s="710">
        <f>(VLOOKUP($C3845,[2]Sheet1!$A$2:$P$18,$M3845+1)/12)*12*D3845</f>
        <v>63504713.342040002</v>
      </c>
      <c r="K3845" s="711"/>
      <c r="M3845" s="62">
        <f t="shared" si="301"/>
        <v>3</v>
      </c>
    </row>
    <row r="3846" spans="1:13">
      <c r="A3846" s="88">
        <f t="shared" si="302"/>
        <v>74</v>
      </c>
      <c r="B3846" s="69" t="s">
        <v>3142</v>
      </c>
      <c r="C3846" s="69">
        <v>12</v>
      </c>
      <c r="D3846" s="89">
        <v>73</v>
      </c>
      <c r="E3846" s="89">
        <v>100</v>
      </c>
      <c r="F3846" s="89">
        <v>77</v>
      </c>
      <c r="G3846" s="89">
        <v>77</v>
      </c>
      <c r="H3846" s="89">
        <v>77</v>
      </c>
      <c r="I3846" s="89">
        <v>73</v>
      </c>
      <c r="J3846" s="710">
        <f>(VLOOKUP($C3846,[2]Sheet1!$A$2:$P$18,$M3846+1)/12)*12*D3846</f>
        <v>40346008.921560012</v>
      </c>
      <c r="K3846" s="711"/>
      <c r="M3846" s="62">
        <f t="shared" si="301"/>
        <v>3</v>
      </c>
    </row>
    <row r="3847" spans="1:13">
      <c r="A3847" s="88">
        <f t="shared" si="302"/>
        <v>75</v>
      </c>
      <c r="B3847" s="69" t="s">
        <v>1240</v>
      </c>
      <c r="C3847" s="69">
        <v>10</v>
      </c>
      <c r="D3847" s="89">
        <v>55</v>
      </c>
      <c r="E3847" s="89">
        <v>140</v>
      </c>
      <c r="F3847" s="89">
        <v>84</v>
      </c>
      <c r="G3847" s="89">
        <v>84</v>
      </c>
      <c r="H3847" s="89">
        <v>84</v>
      </c>
      <c r="I3847" s="89">
        <v>55</v>
      </c>
      <c r="J3847" s="710">
        <f>(VLOOKUP($C3847,[2]Sheet1!$A$2:$P$18,$M3847+1)/12)*12*D3847</f>
        <v>26618601.279600006</v>
      </c>
      <c r="K3847" s="711"/>
      <c r="M3847" s="62">
        <f t="shared" si="301"/>
        <v>3</v>
      </c>
    </row>
    <row r="3848" spans="1:13">
      <c r="A3848" s="88">
        <f t="shared" ref="A3848:A3899" si="303">+A3847+1</f>
        <v>76</v>
      </c>
      <c r="B3848" s="69" t="s">
        <v>3912</v>
      </c>
      <c r="C3848" s="69">
        <v>9</v>
      </c>
      <c r="D3848" s="89">
        <v>76</v>
      </c>
      <c r="E3848" s="89">
        <v>100</v>
      </c>
      <c r="F3848" s="89">
        <v>65</v>
      </c>
      <c r="G3848" s="89">
        <v>65</v>
      </c>
      <c r="H3848" s="89">
        <v>65</v>
      </c>
      <c r="I3848" s="89">
        <v>76</v>
      </c>
      <c r="J3848" s="710">
        <f>(VLOOKUP($C3848,[2]Sheet1!$A$2:$P$18,$M3848+1)/12)*12*D3848</f>
        <v>31135824.871199999</v>
      </c>
      <c r="K3848" s="711"/>
      <c r="M3848" s="62">
        <f t="shared" si="301"/>
        <v>3</v>
      </c>
    </row>
    <row r="3849" spans="1:13">
      <c r="A3849" s="88">
        <f t="shared" si="303"/>
        <v>77</v>
      </c>
      <c r="B3849" s="69" t="s">
        <v>3913</v>
      </c>
      <c r="C3849" s="69">
        <v>8</v>
      </c>
      <c r="D3849" s="89">
        <v>39</v>
      </c>
      <c r="E3849" s="89">
        <v>101</v>
      </c>
      <c r="F3849" s="89">
        <v>95</v>
      </c>
      <c r="G3849" s="89">
        <v>95</v>
      </c>
      <c r="H3849" s="89">
        <v>95</v>
      </c>
      <c r="I3849" s="89">
        <v>39</v>
      </c>
      <c r="J3849" s="710">
        <f>(VLOOKUP($C3849,[2]Sheet1!$A$2:$P$18,$M3849+1)/12)*12*D3849</f>
        <v>13343509.68912</v>
      </c>
      <c r="K3849" s="711"/>
      <c r="M3849" s="62">
        <f t="shared" si="301"/>
        <v>3</v>
      </c>
    </row>
    <row r="3850" spans="1:13">
      <c r="A3850" s="88">
        <f t="shared" si="303"/>
        <v>78</v>
      </c>
      <c r="B3850" s="69" t="s">
        <v>3914</v>
      </c>
      <c r="C3850" s="69">
        <v>7</v>
      </c>
      <c r="D3850" s="89">
        <v>9</v>
      </c>
      <c r="E3850" s="89">
        <v>30</v>
      </c>
      <c r="F3850" s="89">
        <v>25</v>
      </c>
      <c r="G3850" s="89">
        <v>25</v>
      </c>
      <c r="H3850" s="89">
        <v>25</v>
      </c>
      <c r="I3850" s="89">
        <v>9</v>
      </c>
      <c r="J3850" s="710">
        <f>(VLOOKUP($C3850,[2]Sheet1!$A$2:$P$18,$M3850+1)/12)*12*D3850</f>
        <v>2769360.3216000004</v>
      </c>
      <c r="K3850" s="711"/>
      <c r="M3850" s="62">
        <f t="shared" si="301"/>
        <v>3</v>
      </c>
    </row>
    <row r="3851" spans="1:13">
      <c r="A3851" s="88">
        <f t="shared" si="303"/>
        <v>79</v>
      </c>
      <c r="B3851" s="69" t="s">
        <v>3915</v>
      </c>
      <c r="C3851" s="69">
        <v>6</v>
      </c>
      <c r="D3851" s="89">
        <v>4</v>
      </c>
      <c r="E3851" s="89">
        <v>8</v>
      </c>
      <c r="F3851" s="89">
        <v>6</v>
      </c>
      <c r="G3851" s="89">
        <v>6</v>
      </c>
      <c r="H3851" s="89">
        <v>6</v>
      </c>
      <c r="I3851" s="89">
        <v>4</v>
      </c>
      <c r="J3851" s="710">
        <f>(VLOOKUP($C3851,[2]Sheet1!$A$2:$P$18,$M3851+1)/12)*12*D3851</f>
        <v>952397.51572145987</v>
      </c>
      <c r="K3851" s="711"/>
      <c r="M3851" s="62">
        <f t="shared" si="301"/>
        <v>5</v>
      </c>
    </row>
    <row r="3852" spans="1:13">
      <c r="A3852" s="88">
        <f t="shared" si="303"/>
        <v>80</v>
      </c>
      <c r="B3852" s="69" t="s">
        <v>3143</v>
      </c>
      <c r="C3852" s="69">
        <v>7</v>
      </c>
      <c r="D3852" s="89">
        <v>2</v>
      </c>
      <c r="E3852" s="89">
        <v>2</v>
      </c>
      <c r="F3852" s="89">
        <v>2</v>
      </c>
      <c r="G3852" s="89">
        <v>2</v>
      </c>
      <c r="H3852" s="89">
        <v>2</v>
      </c>
      <c r="I3852" s="89">
        <v>2</v>
      </c>
      <c r="J3852" s="710">
        <f>(VLOOKUP($C3852,[2]Sheet1!$A$2:$P$18,$M3852+1)/12)*12*D3852</f>
        <v>615413.40480000013</v>
      </c>
      <c r="K3852" s="711"/>
      <c r="M3852" s="62">
        <f t="shared" si="301"/>
        <v>3</v>
      </c>
    </row>
    <row r="3853" spans="1:13">
      <c r="A3853" s="88">
        <f t="shared" si="303"/>
        <v>81</v>
      </c>
      <c r="B3853" s="69" t="s">
        <v>3916</v>
      </c>
      <c r="C3853" s="69">
        <v>5</v>
      </c>
      <c r="D3853" s="89">
        <v>0</v>
      </c>
      <c r="E3853" s="89">
        <v>0</v>
      </c>
      <c r="F3853" s="89">
        <v>0</v>
      </c>
      <c r="G3853" s="89">
        <v>0</v>
      </c>
      <c r="H3853" s="89">
        <v>0</v>
      </c>
      <c r="I3853" s="89">
        <v>0</v>
      </c>
      <c r="J3853" s="710">
        <f>(VLOOKUP($C3853,[2]Sheet1!$A$2:$P$18,$M3853+1)/12)*12*D3853</f>
        <v>0</v>
      </c>
      <c r="K3853" s="711"/>
      <c r="M3853" s="62">
        <f t="shared" si="301"/>
        <v>5</v>
      </c>
    </row>
    <row r="3854" spans="1:13">
      <c r="A3854" s="88">
        <f t="shared" si="303"/>
        <v>82</v>
      </c>
      <c r="B3854" s="69" t="s">
        <v>1621</v>
      </c>
      <c r="C3854" s="69">
        <v>4</v>
      </c>
      <c r="D3854" s="89">
        <v>0</v>
      </c>
      <c r="E3854" s="89">
        <v>0</v>
      </c>
      <c r="F3854" s="89">
        <v>0</v>
      </c>
      <c r="G3854" s="89">
        <v>0</v>
      </c>
      <c r="H3854" s="89">
        <v>0</v>
      </c>
      <c r="I3854" s="89">
        <v>0</v>
      </c>
      <c r="J3854" s="710">
        <f>(VLOOKUP($C3854,[2]Sheet1!$A$2:$P$18,$M3854+1)/12)*12*D3854</f>
        <v>0</v>
      </c>
      <c r="K3854" s="711"/>
      <c r="M3854" s="62">
        <f t="shared" si="301"/>
        <v>5</v>
      </c>
    </row>
    <row r="3855" spans="1:13">
      <c r="A3855" s="88">
        <f t="shared" si="303"/>
        <v>83</v>
      </c>
      <c r="B3855" s="69" t="s">
        <v>3774</v>
      </c>
      <c r="C3855" s="69">
        <v>3</v>
      </c>
      <c r="D3855" s="89">
        <v>0</v>
      </c>
      <c r="E3855" s="89">
        <v>0</v>
      </c>
      <c r="F3855" s="89">
        <v>0</v>
      </c>
      <c r="G3855" s="89">
        <v>0</v>
      </c>
      <c r="H3855" s="89">
        <v>0</v>
      </c>
      <c r="I3855" s="89">
        <v>0</v>
      </c>
      <c r="J3855" s="710">
        <f>(VLOOKUP($C3855,[2]Sheet1!$A$2:$P$18,$M3855+1)/12)*12*D3855</f>
        <v>0</v>
      </c>
      <c r="K3855" s="711"/>
      <c r="M3855" s="62">
        <f t="shared" si="301"/>
        <v>5</v>
      </c>
    </row>
    <row r="3856" spans="1:13">
      <c r="A3856" s="88"/>
      <c r="B3856" s="90" t="s">
        <v>3775</v>
      </c>
      <c r="C3856" s="69"/>
      <c r="D3856" s="89"/>
      <c r="E3856" s="89"/>
      <c r="F3856" s="89"/>
      <c r="G3856" s="89"/>
      <c r="H3856" s="89"/>
      <c r="I3856" s="89"/>
      <c r="J3856" s="710"/>
      <c r="K3856" s="711"/>
      <c r="M3856" s="62">
        <f t="shared" si="301"/>
        <v>5</v>
      </c>
    </row>
    <row r="3857" spans="1:13">
      <c r="A3857" s="88">
        <f>+A3855+1</f>
        <v>84</v>
      </c>
      <c r="B3857" s="69" t="s">
        <v>1256</v>
      </c>
      <c r="C3857" s="69">
        <v>15</v>
      </c>
      <c r="D3857" s="89">
        <v>1</v>
      </c>
      <c r="E3857" s="89">
        <v>0</v>
      </c>
      <c r="F3857" s="89">
        <v>0</v>
      </c>
      <c r="G3857" s="89">
        <v>0</v>
      </c>
      <c r="H3857" s="89">
        <v>0</v>
      </c>
      <c r="I3857" s="89">
        <v>1</v>
      </c>
      <c r="J3857" s="710">
        <f>(VLOOKUP($C3857,[2]Sheet1!$A$2:$P$18,$M3857+1)/12)*12*D3857</f>
        <v>658331.89992</v>
      </c>
      <c r="K3857" s="711"/>
      <c r="M3857" s="62">
        <f t="shared" si="301"/>
        <v>3</v>
      </c>
    </row>
    <row r="3858" spans="1:13">
      <c r="A3858" s="88">
        <f t="shared" si="303"/>
        <v>85</v>
      </c>
      <c r="B3858" s="69" t="s">
        <v>1239</v>
      </c>
      <c r="C3858" s="69">
        <v>14</v>
      </c>
      <c r="D3858" s="89">
        <v>0</v>
      </c>
      <c r="E3858" s="89">
        <v>1</v>
      </c>
      <c r="F3858" s="89">
        <v>0</v>
      </c>
      <c r="G3858" s="89">
        <v>0</v>
      </c>
      <c r="H3858" s="89">
        <v>1</v>
      </c>
      <c r="I3858" s="89">
        <v>0</v>
      </c>
      <c r="J3858" s="710">
        <f>(VLOOKUP($C3858,[2]Sheet1!$A$2:$P$18,$M3858+1)/12)*12*D3858</f>
        <v>0</v>
      </c>
      <c r="K3858" s="711"/>
      <c r="M3858" s="62">
        <f t="shared" si="301"/>
        <v>3</v>
      </c>
    </row>
    <row r="3859" spans="1:13">
      <c r="A3859" s="88">
        <f t="shared" si="303"/>
        <v>86</v>
      </c>
      <c r="B3859" s="69" t="s">
        <v>3586</v>
      </c>
      <c r="C3859" s="69">
        <v>13</v>
      </c>
      <c r="D3859" s="89">
        <v>0</v>
      </c>
      <c r="E3859" s="89">
        <v>1</v>
      </c>
      <c r="F3859" s="89">
        <v>1</v>
      </c>
      <c r="G3859" s="89">
        <v>1</v>
      </c>
      <c r="H3859" s="89">
        <v>1</v>
      </c>
      <c r="I3859" s="89">
        <v>0</v>
      </c>
      <c r="J3859" s="710">
        <f>(VLOOKUP($C3859,[2]Sheet1!$A$2:$P$18,$M3859+1)/12)*12*D3859</f>
        <v>0</v>
      </c>
      <c r="K3859" s="711"/>
      <c r="M3859" s="62">
        <f>IF(C3859&gt;6,3,5)</f>
        <v>3</v>
      </c>
    </row>
    <row r="3860" spans="1:13">
      <c r="A3860" s="88">
        <f t="shared" si="303"/>
        <v>87</v>
      </c>
      <c r="B3860" s="69" t="s">
        <v>253</v>
      </c>
      <c r="C3860" s="69">
        <v>13</v>
      </c>
      <c r="D3860" s="89">
        <v>1</v>
      </c>
      <c r="E3860" s="89">
        <v>1</v>
      </c>
      <c r="F3860" s="89">
        <v>1</v>
      </c>
      <c r="G3860" s="89">
        <v>1</v>
      </c>
      <c r="H3860" s="89">
        <v>1</v>
      </c>
      <c r="I3860" s="89">
        <v>1</v>
      </c>
      <c r="J3860" s="710">
        <f>(VLOOKUP($C3860,[2]Sheet1!$A$2:$P$18,$M3860+1)/12)*12*D3860</f>
        <v>628759.53804000001</v>
      </c>
      <c r="K3860" s="711"/>
      <c r="M3860" s="62">
        <f>IF(C3860&gt;6,3,5)</f>
        <v>3</v>
      </c>
    </row>
    <row r="3861" spans="1:13">
      <c r="A3861" s="88">
        <f t="shared" si="303"/>
        <v>88</v>
      </c>
      <c r="B3861" s="69" t="s">
        <v>1948</v>
      </c>
      <c r="C3861" s="69">
        <v>12</v>
      </c>
      <c r="D3861" s="89">
        <v>0</v>
      </c>
      <c r="E3861" s="89">
        <v>0</v>
      </c>
      <c r="F3861" s="89">
        <v>0</v>
      </c>
      <c r="G3861" s="89">
        <v>0</v>
      </c>
      <c r="H3861" s="89">
        <v>0</v>
      </c>
      <c r="I3861" s="89">
        <v>0</v>
      </c>
      <c r="J3861" s="710">
        <f>(VLOOKUP($C3861,[2]Sheet1!$A$2:$P$18,$M3861+1)/12)*12*D3861</f>
        <v>0</v>
      </c>
      <c r="K3861" s="711"/>
      <c r="M3861" s="62">
        <f t="shared" si="301"/>
        <v>3</v>
      </c>
    </row>
    <row r="3862" spans="1:13">
      <c r="A3862" s="88">
        <f t="shared" si="303"/>
        <v>89</v>
      </c>
      <c r="B3862" s="69" t="s">
        <v>1949</v>
      </c>
      <c r="C3862" s="69">
        <v>10</v>
      </c>
      <c r="D3862" s="89">
        <v>1</v>
      </c>
      <c r="E3862" s="89">
        <v>1</v>
      </c>
      <c r="F3862" s="89">
        <v>1</v>
      </c>
      <c r="G3862" s="89">
        <v>1</v>
      </c>
      <c r="H3862" s="89">
        <v>1</v>
      </c>
      <c r="I3862" s="89">
        <v>1</v>
      </c>
      <c r="J3862" s="710">
        <f>(VLOOKUP($C3862,[2]Sheet1!$A$2:$P$18,$M3862+1)/12)*12*D3862</f>
        <v>483974.5687200001</v>
      </c>
      <c r="K3862" s="711"/>
      <c r="M3862" s="62">
        <f t="shared" si="301"/>
        <v>3</v>
      </c>
    </row>
    <row r="3863" spans="1:13">
      <c r="A3863" s="88">
        <f t="shared" si="303"/>
        <v>90</v>
      </c>
      <c r="B3863" s="69" t="s">
        <v>3912</v>
      </c>
      <c r="C3863" s="69">
        <v>9</v>
      </c>
      <c r="D3863" s="89">
        <v>2</v>
      </c>
      <c r="E3863" s="89">
        <v>0</v>
      </c>
      <c r="F3863" s="89">
        <v>2</v>
      </c>
      <c r="G3863" s="89">
        <v>2</v>
      </c>
      <c r="H3863" s="89">
        <v>2</v>
      </c>
      <c r="I3863" s="89">
        <v>2</v>
      </c>
      <c r="J3863" s="710">
        <f>(VLOOKUP($C3863,[2]Sheet1!$A$2:$P$18,$M3863+1)/12)*12*D3863</f>
        <v>819363.81239999994</v>
      </c>
      <c r="K3863" s="711"/>
      <c r="M3863" s="62">
        <f t="shared" si="301"/>
        <v>3</v>
      </c>
    </row>
    <row r="3864" spans="1:13">
      <c r="A3864" s="88">
        <f t="shared" si="303"/>
        <v>91</v>
      </c>
      <c r="B3864" s="69" t="s">
        <v>3913</v>
      </c>
      <c r="C3864" s="69">
        <v>8</v>
      </c>
      <c r="D3864" s="89">
        <v>1</v>
      </c>
      <c r="E3864" s="89">
        <v>0</v>
      </c>
      <c r="F3864" s="89">
        <v>1</v>
      </c>
      <c r="G3864" s="89">
        <v>1</v>
      </c>
      <c r="H3864" s="89">
        <v>1</v>
      </c>
      <c r="I3864" s="89">
        <v>1</v>
      </c>
      <c r="J3864" s="710">
        <f>(VLOOKUP($C3864,[2]Sheet1!$A$2:$P$18,$M3864+1)/12)*12*D3864</f>
        <v>342141.27408</v>
      </c>
      <c r="K3864" s="711"/>
      <c r="M3864" s="62">
        <f t="shared" si="301"/>
        <v>3</v>
      </c>
    </row>
    <row r="3865" spans="1:13">
      <c r="A3865" s="88">
        <f>+A3864+1</f>
        <v>92</v>
      </c>
      <c r="B3865" s="69" t="s">
        <v>3914</v>
      </c>
      <c r="C3865" s="69">
        <v>7</v>
      </c>
      <c r="D3865" s="89">
        <v>0</v>
      </c>
      <c r="E3865" s="89">
        <v>0</v>
      </c>
      <c r="F3865" s="89">
        <v>0</v>
      </c>
      <c r="G3865" s="89">
        <v>0</v>
      </c>
      <c r="H3865" s="89">
        <v>0</v>
      </c>
      <c r="I3865" s="89">
        <v>0</v>
      </c>
      <c r="J3865" s="710">
        <f>(VLOOKUP($C3865,[2]Sheet1!$A$2:$P$18,$M3865+1)/12)*12*D3865</f>
        <v>0</v>
      </c>
      <c r="K3865" s="711"/>
      <c r="M3865" s="62">
        <f t="shared" si="301"/>
        <v>3</v>
      </c>
    </row>
    <row r="3866" spans="1:13">
      <c r="A3866" s="88">
        <f t="shared" si="303"/>
        <v>93</v>
      </c>
      <c r="B3866" s="69" t="s">
        <v>3915</v>
      </c>
      <c r="C3866" s="69">
        <v>6</v>
      </c>
      <c r="D3866" s="89">
        <v>1</v>
      </c>
      <c r="E3866" s="89">
        <v>1</v>
      </c>
      <c r="F3866" s="89">
        <v>1</v>
      </c>
      <c r="G3866" s="89">
        <v>1</v>
      </c>
      <c r="H3866" s="89">
        <v>1</v>
      </c>
      <c r="I3866" s="89">
        <v>1</v>
      </c>
      <c r="J3866" s="710">
        <f>(VLOOKUP($C3866,[2]Sheet1!$A$2:$P$18,$M3866+1)/12)*12*D3866</f>
        <v>238099.37893036497</v>
      </c>
      <c r="K3866" s="711"/>
      <c r="M3866" s="62">
        <f t="shared" si="301"/>
        <v>5</v>
      </c>
    </row>
    <row r="3867" spans="1:13">
      <c r="A3867" s="88">
        <f t="shared" si="303"/>
        <v>94</v>
      </c>
      <c r="B3867" s="69" t="s">
        <v>3916</v>
      </c>
      <c r="C3867" s="69">
        <v>5</v>
      </c>
      <c r="D3867" s="89">
        <v>0</v>
      </c>
      <c r="E3867" s="89">
        <v>0</v>
      </c>
      <c r="F3867" s="89">
        <v>0</v>
      </c>
      <c r="G3867" s="89">
        <v>0</v>
      </c>
      <c r="H3867" s="89">
        <v>0</v>
      </c>
      <c r="I3867" s="89">
        <v>0</v>
      </c>
      <c r="J3867" s="710">
        <f>(VLOOKUP($C3867,[2]Sheet1!$A$2:$P$18,$M3867+1)/12)*12*D3867</f>
        <v>0</v>
      </c>
      <c r="K3867" s="711"/>
      <c r="M3867" s="62">
        <f t="shared" si="301"/>
        <v>5</v>
      </c>
    </row>
    <row r="3868" spans="1:13">
      <c r="A3868" s="88">
        <f t="shared" si="303"/>
        <v>95</v>
      </c>
      <c r="B3868" s="69" t="s">
        <v>1621</v>
      </c>
      <c r="C3868" s="69">
        <v>4</v>
      </c>
      <c r="D3868" s="89">
        <v>0</v>
      </c>
      <c r="E3868" s="89">
        <v>0</v>
      </c>
      <c r="F3868" s="89">
        <v>0</v>
      </c>
      <c r="G3868" s="89">
        <v>0</v>
      </c>
      <c r="H3868" s="89">
        <v>0</v>
      </c>
      <c r="I3868" s="89">
        <v>0</v>
      </c>
      <c r="J3868" s="710">
        <f>(VLOOKUP($C3868,[2]Sheet1!$A$2:$P$18,$M3868+1)/12)*12*D3868</f>
        <v>0</v>
      </c>
      <c r="K3868" s="711"/>
      <c r="M3868" s="62">
        <f t="shared" si="301"/>
        <v>5</v>
      </c>
    </row>
    <row r="3869" spans="1:13">
      <c r="A3869" s="88">
        <f t="shared" si="303"/>
        <v>96</v>
      </c>
      <c r="B3869" s="69" t="s">
        <v>3306</v>
      </c>
      <c r="C3869" s="69">
        <v>13</v>
      </c>
      <c r="D3869" s="89">
        <v>0</v>
      </c>
      <c r="E3869" s="89">
        <v>0</v>
      </c>
      <c r="F3869" s="89">
        <v>0</v>
      </c>
      <c r="G3869" s="89">
        <v>0</v>
      </c>
      <c r="H3869" s="89">
        <v>0</v>
      </c>
      <c r="I3869" s="89">
        <v>0</v>
      </c>
      <c r="J3869" s="710">
        <f>(VLOOKUP($C3869,[2]Sheet1!$A$2:$P$18,$M3869+1)/12)*12*D3869</f>
        <v>0</v>
      </c>
      <c r="K3869" s="711"/>
      <c r="M3869" s="62">
        <f t="shared" si="301"/>
        <v>3</v>
      </c>
    </row>
    <row r="3870" spans="1:13">
      <c r="A3870" s="88">
        <f t="shared" si="303"/>
        <v>97</v>
      </c>
      <c r="B3870" s="69" t="s">
        <v>3776</v>
      </c>
      <c r="C3870" s="69">
        <v>12</v>
      </c>
      <c r="D3870" s="89">
        <v>0</v>
      </c>
      <c r="E3870" s="89">
        <v>0</v>
      </c>
      <c r="F3870" s="89">
        <v>0</v>
      </c>
      <c r="G3870" s="89">
        <v>0</v>
      </c>
      <c r="H3870" s="89">
        <v>0</v>
      </c>
      <c r="I3870" s="89">
        <v>0</v>
      </c>
      <c r="J3870" s="710">
        <f>(VLOOKUP($C3870,[2]Sheet1!$A$2:$P$18,$M3870+1)/12)*12*D3870</f>
        <v>0</v>
      </c>
      <c r="K3870" s="711"/>
      <c r="M3870" s="62">
        <f t="shared" si="301"/>
        <v>3</v>
      </c>
    </row>
    <row r="3871" spans="1:13">
      <c r="A3871" s="88">
        <f t="shared" si="303"/>
        <v>98</v>
      </c>
      <c r="B3871" s="69" t="s">
        <v>2579</v>
      </c>
      <c r="C3871" s="69">
        <v>10</v>
      </c>
      <c r="D3871" s="89">
        <v>0</v>
      </c>
      <c r="E3871" s="89">
        <v>0</v>
      </c>
      <c r="F3871" s="89">
        <v>0</v>
      </c>
      <c r="G3871" s="89">
        <v>0</v>
      </c>
      <c r="H3871" s="89">
        <v>0</v>
      </c>
      <c r="I3871" s="89">
        <v>0</v>
      </c>
      <c r="J3871" s="710">
        <f>(VLOOKUP($C3871,[2]Sheet1!$A$2:$P$18,$M3871+1)/12)*12*D3871</f>
        <v>0</v>
      </c>
      <c r="K3871" s="711"/>
      <c r="M3871" s="62">
        <f t="shared" si="301"/>
        <v>3</v>
      </c>
    </row>
    <row r="3872" spans="1:13">
      <c r="A3872" s="88">
        <f>+A3871+1</f>
        <v>99</v>
      </c>
      <c r="B3872" s="69" t="s">
        <v>3896</v>
      </c>
      <c r="C3872" s="69">
        <v>9</v>
      </c>
      <c r="D3872" s="89">
        <v>0</v>
      </c>
      <c r="E3872" s="89">
        <v>1</v>
      </c>
      <c r="F3872" s="89">
        <v>0</v>
      </c>
      <c r="G3872" s="89">
        <v>0</v>
      </c>
      <c r="H3872" s="89">
        <v>0</v>
      </c>
      <c r="I3872" s="89">
        <v>0</v>
      </c>
      <c r="J3872" s="710">
        <f>(VLOOKUP($C3872,[2]Sheet1!$A$2:$P$18,$M3872+1)/12)*12*D3872</f>
        <v>0</v>
      </c>
      <c r="K3872" s="711"/>
      <c r="M3872" s="62">
        <f t="shared" si="301"/>
        <v>3</v>
      </c>
    </row>
    <row r="3873" spans="1:13">
      <c r="A3873" s="88"/>
      <c r="B3873" s="90" t="s">
        <v>3777</v>
      </c>
      <c r="C3873" s="69"/>
      <c r="D3873" s="89"/>
      <c r="E3873" s="89"/>
      <c r="F3873" s="89"/>
      <c r="G3873" s="89"/>
      <c r="H3873" s="89"/>
      <c r="I3873" s="89"/>
      <c r="J3873" s="710"/>
      <c r="K3873" s="711"/>
      <c r="M3873" s="62">
        <f t="shared" si="301"/>
        <v>5</v>
      </c>
    </row>
    <row r="3874" spans="1:13">
      <c r="A3874" s="88">
        <f>+A3872+1</f>
        <v>100</v>
      </c>
      <c r="B3874" s="69" t="s">
        <v>3532</v>
      </c>
      <c r="C3874" s="69">
        <v>16</v>
      </c>
      <c r="D3874" s="89">
        <v>0</v>
      </c>
      <c r="E3874" s="89"/>
      <c r="F3874" s="89">
        <v>0</v>
      </c>
      <c r="G3874" s="89">
        <v>0</v>
      </c>
      <c r="H3874" s="89">
        <v>0</v>
      </c>
      <c r="I3874" s="89">
        <v>0</v>
      </c>
      <c r="J3874" s="710">
        <f>(VLOOKUP($C3874,[2]Sheet1!$A$2:$P$18,$M3874+1)/12)*12*D3874</f>
        <v>0</v>
      </c>
      <c r="K3874" s="711"/>
      <c r="M3874" s="62">
        <f t="shared" si="301"/>
        <v>3</v>
      </c>
    </row>
    <row r="3875" spans="1:13">
      <c r="A3875" s="88">
        <f t="shared" si="303"/>
        <v>101</v>
      </c>
      <c r="B3875" s="69" t="s">
        <v>1256</v>
      </c>
      <c r="C3875" s="69">
        <v>15</v>
      </c>
      <c r="D3875" s="89">
        <v>0</v>
      </c>
      <c r="E3875" s="89">
        <v>2</v>
      </c>
      <c r="F3875" s="89">
        <v>0</v>
      </c>
      <c r="G3875" s="89">
        <v>0</v>
      </c>
      <c r="H3875" s="89">
        <v>1</v>
      </c>
      <c r="I3875" s="89">
        <v>0</v>
      </c>
      <c r="J3875" s="710">
        <f>(VLOOKUP($C3875,[2]Sheet1!$A$2:$P$18,$M3875+1)/12)*12*D3875</f>
        <v>0</v>
      </c>
      <c r="K3875" s="711"/>
      <c r="M3875" s="62">
        <f t="shared" si="301"/>
        <v>3</v>
      </c>
    </row>
    <row r="3876" spans="1:13">
      <c r="A3876" s="88">
        <f t="shared" si="303"/>
        <v>102</v>
      </c>
      <c r="B3876" s="69" t="s">
        <v>3480</v>
      </c>
      <c r="C3876" s="69">
        <v>14</v>
      </c>
      <c r="D3876" s="89">
        <v>9</v>
      </c>
      <c r="E3876" s="89">
        <v>10</v>
      </c>
      <c r="F3876" s="89">
        <v>6</v>
      </c>
      <c r="G3876" s="89">
        <v>6</v>
      </c>
      <c r="H3876" s="89">
        <v>6</v>
      </c>
      <c r="I3876" s="89">
        <v>9</v>
      </c>
      <c r="J3876" s="710">
        <f>(VLOOKUP($C3876,[2]Sheet1!$A$2:$P$18,$M3876+1)/12)*12*D3876</f>
        <v>6021894.6741599999</v>
      </c>
      <c r="K3876" s="711"/>
      <c r="M3876" s="62">
        <f t="shared" si="301"/>
        <v>3</v>
      </c>
    </row>
    <row r="3877" spans="1:13">
      <c r="A3877" s="88">
        <f t="shared" si="303"/>
        <v>103</v>
      </c>
      <c r="B3877" s="69" t="s">
        <v>3481</v>
      </c>
      <c r="C3877" s="69">
        <v>13</v>
      </c>
      <c r="D3877" s="89">
        <v>13</v>
      </c>
      <c r="E3877" s="89">
        <v>10</v>
      </c>
      <c r="F3877" s="89">
        <v>7</v>
      </c>
      <c r="G3877" s="89">
        <v>7</v>
      </c>
      <c r="H3877" s="89">
        <v>7</v>
      </c>
      <c r="I3877" s="89">
        <v>13</v>
      </c>
      <c r="J3877" s="710">
        <f>(VLOOKUP($C3877,[2]Sheet1!$A$2:$P$18,$M3877+1)/12)*12*D3877</f>
        <v>8173873.9945200002</v>
      </c>
      <c r="K3877" s="711"/>
      <c r="M3877" s="62">
        <f t="shared" si="301"/>
        <v>3</v>
      </c>
    </row>
    <row r="3878" spans="1:13">
      <c r="A3878" s="88">
        <f t="shared" si="303"/>
        <v>104</v>
      </c>
      <c r="B3878" s="69" t="s">
        <v>3482</v>
      </c>
      <c r="C3878" s="69">
        <v>12</v>
      </c>
      <c r="D3878" s="89">
        <v>6</v>
      </c>
      <c r="E3878" s="89">
        <v>15</v>
      </c>
      <c r="F3878" s="89">
        <v>7</v>
      </c>
      <c r="G3878" s="89">
        <v>7</v>
      </c>
      <c r="H3878" s="89">
        <v>7</v>
      </c>
      <c r="I3878" s="89">
        <v>6</v>
      </c>
      <c r="J3878" s="710">
        <f>(VLOOKUP($C3878,[2]Sheet1!$A$2:$P$18,$M3878+1)/12)*12*D3878</f>
        <v>3316110.3223200012</v>
      </c>
      <c r="K3878" s="711"/>
      <c r="M3878" s="62">
        <f t="shared" si="301"/>
        <v>3</v>
      </c>
    </row>
    <row r="3879" spans="1:13">
      <c r="A3879" s="88">
        <f t="shared" si="303"/>
        <v>105</v>
      </c>
      <c r="B3879" s="69" t="s">
        <v>3782</v>
      </c>
      <c r="C3879" s="69">
        <v>10</v>
      </c>
      <c r="D3879" s="89">
        <v>6</v>
      </c>
      <c r="E3879" s="89">
        <v>20</v>
      </c>
      <c r="F3879" s="89">
        <v>16</v>
      </c>
      <c r="G3879" s="89">
        <v>16</v>
      </c>
      <c r="H3879" s="89">
        <v>16</v>
      </c>
      <c r="I3879" s="89">
        <v>6</v>
      </c>
      <c r="J3879" s="710">
        <f>(VLOOKUP($C3879,[2]Sheet1!$A$2:$P$18,$M3879+1)/12)*12*D3879</f>
        <v>2903847.4123200006</v>
      </c>
      <c r="K3879" s="711"/>
      <c r="M3879" s="62">
        <f t="shared" si="301"/>
        <v>3</v>
      </c>
    </row>
    <row r="3880" spans="1:13">
      <c r="A3880" s="88">
        <f t="shared" si="303"/>
        <v>106</v>
      </c>
      <c r="B3880" s="69" t="s">
        <v>3783</v>
      </c>
      <c r="C3880" s="69">
        <v>9</v>
      </c>
      <c r="D3880" s="89">
        <v>2</v>
      </c>
      <c r="E3880" s="89">
        <v>30</v>
      </c>
      <c r="F3880" s="89">
        <v>11</v>
      </c>
      <c r="G3880" s="89">
        <v>11</v>
      </c>
      <c r="H3880" s="89">
        <v>11</v>
      </c>
      <c r="I3880" s="89">
        <v>2</v>
      </c>
      <c r="J3880" s="710">
        <f>(VLOOKUP($C3880,[2]Sheet1!$A$2:$P$18,$M3880+1)/12)*12*D3880</f>
        <v>819363.81239999994</v>
      </c>
      <c r="K3880" s="711"/>
      <c r="M3880" s="62">
        <f t="shared" si="301"/>
        <v>3</v>
      </c>
    </row>
    <row r="3881" spans="1:13">
      <c r="A3881" s="88">
        <f t="shared" si="303"/>
        <v>107</v>
      </c>
      <c r="B3881" s="69" t="s">
        <v>3784</v>
      </c>
      <c r="C3881" s="69">
        <v>8</v>
      </c>
      <c r="D3881" s="89">
        <v>2</v>
      </c>
      <c r="E3881" s="89">
        <v>30</v>
      </c>
      <c r="F3881" s="89">
        <v>17</v>
      </c>
      <c r="G3881" s="89">
        <v>17</v>
      </c>
      <c r="H3881" s="89">
        <v>17</v>
      </c>
      <c r="I3881" s="89">
        <v>2</v>
      </c>
      <c r="J3881" s="710">
        <f>(VLOOKUP($C3881,[2]Sheet1!$A$2:$P$18,$M3881+1)/12)*12*D3881</f>
        <v>684282.54816000001</v>
      </c>
      <c r="K3881" s="711"/>
      <c r="M3881" s="62">
        <f t="shared" si="301"/>
        <v>3</v>
      </c>
    </row>
    <row r="3882" spans="1:13" ht="13.5" thickBot="1">
      <c r="A3882" s="88">
        <f t="shared" si="303"/>
        <v>108</v>
      </c>
      <c r="B3882" s="69" t="s">
        <v>3487</v>
      </c>
      <c r="C3882" s="69">
        <v>7</v>
      </c>
      <c r="D3882" s="89">
        <v>3</v>
      </c>
      <c r="E3882" s="89">
        <v>45</v>
      </c>
      <c r="F3882" s="89">
        <v>21</v>
      </c>
      <c r="G3882" s="89">
        <v>21</v>
      </c>
      <c r="H3882" s="89">
        <v>21</v>
      </c>
      <c r="I3882" s="89">
        <v>3</v>
      </c>
      <c r="J3882" s="710">
        <f>(VLOOKUP($C3882,[2]Sheet1!$A$2:$P$18,$M3882+1)/12)*12*D3882</f>
        <v>923120.1072000002</v>
      </c>
      <c r="K3882" s="711"/>
      <c r="M3882" s="62">
        <f t="shared" si="301"/>
        <v>3</v>
      </c>
    </row>
    <row r="3883" spans="1:13" ht="15.75" thickTop="1">
      <c r="A3883" s="1047" t="s">
        <v>2791</v>
      </c>
      <c r="B3883" s="1049" t="s">
        <v>4126</v>
      </c>
      <c r="C3883" s="1049" t="s">
        <v>854</v>
      </c>
      <c r="D3883" s="1040" t="s">
        <v>4127</v>
      </c>
      <c r="E3883" s="1041"/>
      <c r="F3883" s="1041"/>
      <c r="G3883" s="1040" t="s">
        <v>904</v>
      </c>
      <c r="H3883" s="1041"/>
      <c r="I3883" s="1042"/>
      <c r="J3883" s="1035" t="s">
        <v>855</v>
      </c>
      <c r="K3883" s="389"/>
    </row>
    <row r="3884" spans="1:13" ht="26.25" thickBot="1">
      <c r="A3884" s="1048"/>
      <c r="B3884" s="1050"/>
      <c r="C3884" s="1050"/>
      <c r="D3884" s="285" t="s">
        <v>5505</v>
      </c>
      <c r="E3884" s="285" t="s">
        <v>4485</v>
      </c>
      <c r="F3884" s="285" t="s">
        <v>4486</v>
      </c>
      <c r="G3884" s="287" t="s">
        <v>4487</v>
      </c>
      <c r="H3884" s="285" t="s">
        <v>4488</v>
      </c>
      <c r="I3884" s="287" t="s">
        <v>4489</v>
      </c>
      <c r="J3884" s="1036"/>
      <c r="K3884" s="712"/>
    </row>
    <row r="3885" spans="1:13" ht="13.5" thickTop="1">
      <c r="A3885" s="88">
        <f>+A3882+1</f>
        <v>109</v>
      </c>
      <c r="B3885" s="69" t="s">
        <v>2344</v>
      </c>
      <c r="C3885" s="69">
        <v>6</v>
      </c>
      <c r="D3885" s="89">
        <v>2</v>
      </c>
      <c r="E3885" s="89">
        <v>30</v>
      </c>
      <c r="F3885" s="89">
        <v>22</v>
      </c>
      <c r="G3885" s="89">
        <v>22</v>
      </c>
      <c r="H3885" s="89">
        <v>22</v>
      </c>
      <c r="I3885" s="89">
        <v>2</v>
      </c>
      <c r="J3885" s="710">
        <f>(VLOOKUP($C3885,[2]Sheet1!$A$2:$P$18,$M3885+1)/12)*12*D3885</f>
        <v>476198.75786072994</v>
      </c>
      <c r="K3885" s="711"/>
      <c r="M3885" s="62">
        <f t="shared" si="301"/>
        <v>5</v>
      </c>
    </row>
    <row r="3886" spans="1:13">
      <c r="A3886" s="88">
        <f>+A3885+1</f>
        <v>110</v>
      </c>
      <c r="B3886" s="69" t="s">
        <v>3488</v>
      </c>
      <c r="C3886" s="69">
        <v>5</v>
      </c>
      <c r="D3886" s="89">
        <v>0</v>
      </c>
      <c r="E3886" s="89">
        <v>2</v>
      </c>
      <c r="F3886" s="89">
        <v>1</v>
      </c>
      <c r="G3886" s="89">
        <v>1</v>
      </c>
      <c r="H3886" s="89">
        <v>1</v>
      </c>
      <c r="I3886" s="89">
        <v>0</v>
      </c>
      <c r="J3886" s="710">
        <f>(VLOOKUP($C3886,[2]Sheet1!$A$2:$P$18,$M3886+1)/12)*12*D3886</f>
        <v>0</v>
      </c>
      <c r="K3886" s="711"/>
      <c r="M3886" s="62">
        <f t="shared" si="301"/>
        <v>5</v>
      </c>
    </row>
    <row r="3887" spans="1:13">
      <c r="A3887" s="88">
        <f>+A3886+1</f>
        <v>111</v>
      </c>
      <c r="B3887" s="69" t="s">
        <v>2874</v>
      </c>
      <c r="C3887" s="69">
        <v>4</v>
      </c>
      <c r="D3887" s="89">
        <v>0</v>
      </c>
      <c r="E3887" s="89">
        <v>3</v>
      </c>
      <c r="F3887" s="89">
        <v>1</v>
      </c>
      <c r="G3887" s="89">
        <v>1</v>
      </c>
      <c r="H3887" s="89">
        <v>1</v>
      </c>
      <c r="I3887" s="89">
        <v>0</v>
      </c>
      <c r="J3887" s="710">
        <f>(VLOOKUP($C3887,[2]Sheet1!$A$2:$P$18,$M3887+1)/12)*12*D3887</f>
        <v>0</v>
      </c>
      <c r="K3887" s="711"/>
      <c r="M3887" s="62">
        <f t="shared" si="301"/>
        <v>5</v>
      </c>
    </row>
    <row r="3888" spans="1:13">
      <c r="A3888" s="88">
        <f t="shared" si="303"/>
        <v>112</v>
      </c>
      <c r="B3888" s="69" t="s">
        <v>2416</v>
      </c>
      <c r="C3888" s="69">
        <v>3</v>
      </c>
      <c r="D3888" s="89">
        <v>0</v>
      </c>
      <c r="E3888" s="89">
        <v>0</v>
      </c>
      <c r="F3888" s="89">
        <v>0</v>
      </c>
      <c r="G3888" s="89">
        <v>0</v>
      </c>
      <c r="H3888" s="89">
        <v>0</v>
      </c>
      <c r="I3888" s="89">
        <v>0</v>
      </c>
      <c r="J3888" s="710">
        <f>(VLOOKUP($C3888,[2]Sheet1!$A$2:$P$18,$M3888+1)/12)*12*D3888</f>
        <v>0</v>
      </c>
      <c r="K3888" s="711"/>
      <c r="M3888" s="62">
        <f t="shared" si="301"/>
        <v>5</v>
      </c>
    </row>
    <row r="3889" spans="1:13">
      <c r="A3889" s="88">
        <f t="shared" si="303"/>
        <v>113</v>
      </c>
      <c r="B3889" s="69" t="s">
        <v>2416</v>
      </c>
      <c r="C3889" s="69">
        <v>4</v>
      </c>
      <c r="D3889" s="89">
        <v>0</v>
      </c>
      <c r="E3889" s="89">
        <v>0</v>
      </c>
      <c r="F3889" s="89">
        <v>0</v>
      </c>
      <c r="G3889" s="89">
        <v>0</v>
      </c>
      <c r="H3889" s="89">
        <v>0</v>
      </c>
      <c r="I3889" s="89">
        <v>0</v>
      </c>
      <c r="J3889" s="710">
        <f>(VLOOKUP($C3889,[2]Sheet1!$A$2:$P$18,$M3889+1)/12)*12*D3889</f>
        <v>0</v>
      </c>
      <c r="K3889" s="711"/>
      <c r="M3889" s="62">
        <f t="shared" si="301"/>
        <v>5</v>
      </c>
    </row>
    <row r="3890" spans="1:13">
      <c r="A3890" s="88">
        <f>+A3889+1</f>
        <v>114</v>
      </c>
      <c r="B3890" s="69" t="s">
        <v>282</v>
      </c>
      <c r="C3890" s="69">
        <v>7</v>
      </c>
      <c r="D3890" s="89">
        <v>0</v>
      </c>
      <c r="E3890" s="89">
        <v>0</v>
      </c>
      <c r="F3890" s="89">
        <v>0</v>
      </c>
      <c r="G3890" s="89">
        <v>0</v>
      </c>
      <c r="H3890" s="89">
        <v>0</v>
      </c>
      <c r="I3890" s="89">
        <v>0</v>
      </c>
      <c r="J3890" s="710">
        <f>(VLOOKUP($C3890,[2]Sheet1!$A$2:$P$18,$M3890+1)/12)*12*D3890</f>
        <v>0</v>
      </c>
      <c r="K3890" s="711"/>
      <c r="M3890" s="62">
        <f t="shared" si="301"/>
        <v>3</v>
      </c>
    </row>
    <row r="3891" spans="1:13">
      <c r="A3891" s="88">
        <f t="shared" si="303"/>
        <v>115</v>
      </c>
      <c r="B3891" s="69" t="s">
        <v>283</v>
      </c>
      <c r="C3891" s="69">
        <v>6</v>
      </c>
      <c r="D3891" s="89">
        <v>0</v>
      </c>
      <c r="E3891" s="89">
        <v>0</v>
      </c>
      <c r="F3891" s="89">
        <v>0</v>
      </c>
      <c r="G3891" s="89">
        <v>0</v>
      </c>
      <c r="H3891" s="89">
        <v>0</v>
      </c>
      <c r="I3891" s="89">
        <v>0</v>
      </c>
      <c r="J3891" s="710">
        <f>(VLOOKUP($C3891,[2]Sheet1!$A$2:$P$18,$M3891+1)/12)*12*D3891</f>
        <v>0</v>
      </c>
      <c r="K3891" s="711"/>
      <c r="M3891" s="62">
        <f t="shared" si="301"/>
        <v>5</v>
      </c>
    </row>
    <row r="3892" spans="1:13">
      <c r="A3892" s="88"/>
      <c r="B3892" s="90" t="s">
        <v>284</v>
      </c>
      <c r="C3892" s="69"/>
      <c r="D3892" s="89"/>
      <c r="E3892" s="89"/>
      <c r="F3892" s="89"/>
      <c r="G3892" s="89"/>
      <c r="H3892" s="89"/>
      <c r="I3892" s="89"/>
      <c r="J3892" s="710"/>
      <c r="K3892" s="711"/>
      <c r="M3892" s="62">
        <f t="shared" ref="M3892:M3915" si="304">IF(C3892&gt;6,3,5)</f>
        <v>5</v>
      </c>
    </row>
    <row r="3893" spans="1:13">
      <c r="A3893" s="88">
        <f>+A3891+1</f>
        <v>116</v>
      </c>
      <c r="B3893" s="69" t="s">
        <v>2970</v>
      </c>
      <c r="C3893" s="69" t="s">
        <v>2335</v>
      </c>
      <c r="D3893" s="89">
        <v>1</v>
      </c>
      <c r="E3893" s="89">
        <v>1</v>
      </c>
      <c r="F3893" s="89">
        <v>1</v>
      </c>
      <c r="G3893" s="89">
        <v>1</v>
      </c>
      <c r="H3893" s="89">
        <v>1</v>
      </c>
      <c r="I3893" s="89">
        <v>1</v>
      </c>
      <c r="J3893" s="710"/>
      <c r="K3893" s="711"/>
      <c r="M3893" s="62">
        <f t="shared" si="304"/>
        <v>3</v>
      </c>
    </row>
    <row r="3894" spans="1:13">
      <c r="A3894" s="88">
        <f t="shared" si="303"/>
        <v>117</v>
      </c>
      <c r="B3894" s="69" t="s">
        <v>285</v>
      </c>
      <c r="C3894" s="69">
        <v>14</v>
      </c>
      <c r="D3894" s="89">
        <v>1</v>
      </c>
      <c r="E3894" s="89">
        <v>1</v>
      </c>
      <c r="F3894" s="89">
        <v>0</v>
      </c>
      <c r="G3894" s="89">
        <v>0</v>
      </c>
      <c r="H3894" s="89">
        <v>1</v>
      </c>
      <c r="I3894" s="89">
        <v>1</v>
      </c>
      <c r="J3894" s="710">
        <f>(VLOOKUP($C3894,[2]Sheet1!$A$2:$P$18,$M3894+1)/12)*12*D3894</f>
        <v>669099.40824000002</v>
      </c>
      <c r="K3894" s="711"/>
      <c r="M3894" s="62">
        <f t="shared" si="304"/>
        <v>3</v>
      </c>
    </row>
    <row r="3895" spans="1:13">
      <c r="A3895" s="88">
        <f t="shared" si="303"/>
        <v>118</v>
      </c>
      <c r="B3895" s="69" t="s">
        <v>3644</v>
      </c>
      <c r="C3895" s="69">
        <v>12</v>
      </c>
      <c r="D3895" s="89">
        <v>0</v>
      </c>
      <c r="E3895" s="89">
        <v>0</v>
      </c>
      <c r="F3895" s="89">
        <v>0</v>
      </c>
      <c r="G3895" s="89">
        <v>0</v>
      </c>
      <c r="H3895" s="89">
        <v>0</v>
      </c>
      <c r="I3895" s="89">
        <v>0</v>
      </c>
      <c r="J3895" s="710">
        <f>(VLOOKUP($C3895,[2]Sheet1!$A$2:$P$18,$M3895+1)/12)*12*D3895</f>
        <v>0</v>
      </c>
      <c r="K3895" s="711"/>
      <c r="M3895" s="62">
        <f t="shared" si="304"/>
        <v>3</v>
      </c>
    </row>
    <row r="3896" spans="1:13">
      <c r="A3896" s="88">
        <f t="shared" si="303"/>
        <v>119</v>
      </c>
      <c r="B3896" s="69" t="s">
        <v>1129</v>
      </c>
      <c r="C3896" s="69">
        <v>9</v>
      </c>
      <c r="D3896" s="89">
        <v>0</v>
      </c>
      <c r="E3896" s="89">
        <v>0</v>
      </c>
      <c r="F3896" s="89">
        <v>0</v>
      </c>
      <c r="G3896" s="89">
        <v>0</v>
      </c>
      <c r="H3896" s="89">
        <v>0</v>
      </c>
      <c r="I3896" s="89">
        <v>0</v>
      </c>
      <c r="J3896" s="710">
        <f>(VLOOKUP($C3896,[2]Sheet1!$A$2:$P$18,$M3896+1)/12)*12*D3896</f>
        <v>0</v>
      </c>
      <c r="K3896" s="711"/>
      <c r="M3896" s="62">
        <f t="shared" si="304"/>
        <v>3</v>
      </c>
    </row>
    <row r="3897" spans="1:13">
      <c r="A3897" s="88">
        <f t="shared" si="303"/>
        <v>120</v>
      </c>
      <c r="B3897" s="69" t="s">
        <v>2710</v>
      </c>
      <c r="C3897" s="69">
        <v>8</v>
      </c>
      <c r="D3897" s="89">
        <v>0</v>
      </c>
      <c r="E3897" s="89"/>
      <c r="F3897" s="89">
        <v>0</v>
      </c>
      <c r="G3897" s="89">
        <v>0</v>
      </c>
      <c r="H3897" s="89"/>
      <c r="I3897" s="89">
        <v>0</v>
      </c>
      <c r="J3897" s="710">
        <f>(VLOOKUP($C3897,[2]Sheet1!$A$2:$P$18,$M3897+1)/12)*12*D3897</f>
        <v>0</v>
      </c>
      <c r="K3897" s="711"/>
      <c r="M3897" s="62">
        <f t="shared" si="304"/>
        <v>3</v>
      </c>
    </row>
    <row r="3898" spans="1:13">
      <c r="A3898" s="88">
        <f t="shared" si="303"/>
        <v>121</v>
      </c>
      <c r="B3898" s="69" t="s">
        <v>2711</v>
      </c>
      <c r="C3898" s="69">
        <v>7</v>
      </c>
      <c r="D3898" s="89">
        <v>0</v>
      </c>
      <c r="E3898" s="89"/>
      <c r="F3898" s="89">
        <v>0</v>
      </c>
      <c r="G3898" s="89">
        <v>0</v>
      </c>
      <c r="H3898" s="89"/>
      <c r="I3898" s="89">
        <v>0</v>
      </c>
      <c r="J3898" s="710">
        <f>(VLOOKUP($C3898,[2]Sheet1!$A$2:$P$18,$M3898+1)/12)*12*D3898</f>
        <v>0</v>
      </c>
      <c r="K3898" s="711"/>
      <c r="M3898" s="62">
        <f t="shared" si="304"/>
        <v>3</v>
      </c>
    </row>
    <row r="3899" spans="1:13">
      <c r="A3899" s="88">
        <f t="shared" si="303"/>
        <v>122</v>
      </c>
      <c r="B3899" s="69" t="s">
        <v>2712</v>
      </c>
      <c r="C3899" s="69">
        <v>6</v>
      </c>
      <c r="D3899" s="89">
        <v>0</v>
      </c>
      <c r="E3899" s="89">
        <v>0</v>
      </c>
      <c r="F3899" s="89">
        <v>0</v>
      </c>
      <c r="G3899" s="89">
        <v>0</v>
      </c>
      <c r="H3899" s="89">
        <v>0</v>
      </c>
      <c r="I3899" s="89">
        <v>0</v>
      </c>
      <c r="J3899" s="710">
        <f>(VLOOKUP($C3899,[2]Sheet1!$A$2:$P$18,$M3899+1)/12)*12*D3899</f>
        <v>0</v>
      </c>
      <c r="K3899" s="711"/>
      <c r="M3899" s="62">
        <f t="shared" si="304"/>
        <v>5</v>
      </c>
    </row>
    <row r="3900" spans="1:13">
      <c r="A3900" s="88">
        <f>+A3899+1</f>
        <v>123</v>
      </c>
      <c r="B3900" s="69" t="s">
        <v>3761</v>
      </c>
      <c r="C3900" s="69">
        <v>5</v>
      </c>
      <c r="D3900" s="89">
        <v>0</v>
      </c>
      <c r="E3900" s="89">
        <v>0</v>
      </c>
      <c r="F3900" s="89">
        <v>0</v>
      </c>
      <c r="G3900" s="89">
        <v>0</v>
      </c>
      <c r="H3900" s="89">
        <v>0</v>
      </c>
      <c r="I3900" s="89">
        <v>0</v>
      </c>
      <c r="J3900" s="710">
        <f>(VLOOKUP($C3900,[2]Sheet1!$A$2:$P$18,$M3900+1)/12)*12*D3900</f>
        <v>0</v>
      </c>
      <c r="K3900" s="711"/>
      <c r="M3900" s="62">
        <f t="shared" si="304"/>
        <v>5</v>
      </c>
    </row>
    <row r="3901" spans="1:13">
      <c r="A3901" s="88">
        <f>+A3900+1</f>
        <v>124</v>
      </c>
      <c r="B3901" s="69" t="s">
        <v>2713</v>
      </c>
      <c r="C3901" s="69">
        <v>4</v>
      </c>
      <c r="D3901" s="89">
        <v>0</v>
      </c>
      <c r="E3901" s="89"/>
      <c r="F3901" s="89">
        <v>0</v>
      </c>
      <c r="G3901" s="89">
        <v>0</v>
      </c>
      <c r="H3901" s="89"/>
      <c r="I3901" s="89">
        <v>0</v>
      </c>
      <c r="J3901" s="710">
        <f>(VLOOKUP($C3901,[2]Sheet1!$A$2:$P$18,$M3901+1)/12)*12*D3901</f>
        <v>0</v>
      </c>
      <c r="K3901" s="711"/>
      <c r="M3901" s="62">
        <f t="shared" si="304"/>
        <v>5</v>
      </c>
    </row>
    <row r="3902" spans="1:13">
      <c r="A3902" s="88">
        <f>+A3901+1</f>
        <v>125</v>
      </c>
      <c r="B3902" s="69" t="s">
        <v>2034</v>
      </c>
      <c r="C3902" s="69">
        <v>3</v>
      </c>
      <c r="D3902" s="89">
        <v>0</v>
      </c>
      <c r="E3902" s="89">
        <v>0</v>
      </c>
      <c r="F3902" s="89">
        <v>0</v>
      </c>
      <c r="G3902" s="89">
        <v>0</v>
      </c>
      <c r="H3902" s="89">
        <v>0</v>
      </c>
      <c r="I3902" s="89">
        <v>0</v>
      </c>
      <c r="J3902" s="710">
        <f>(VLOOKUP($C3902,[2]Sheet1!$A$2:$P$18,$M3902+1)/12)*12*D3902</f>
        <v>0</v>
      </c>
      <c r="K3902" s="711"/>
      <c r="M3902" s="62">
        <f t="shared" si="304"/>
        <v>5</v>
      </c>
    </row>
    <row r="3903" spans="1:13">
      <c r="A3903" s="92" t="s">
        <v>1840</v>
      </c>
      <c r="B3903" s="93" t="s">
        <v>1684</v>
      </c>
      <c r="C3903" s="94"/>
      <c r="D3903" s="123">
        <f t="shared" ref="D3903:J3903" si="305">SUM(D3760:D3902)</f>
        <v>640</v>
      </c>
      <c r="E3903" s="123">
        <f t="shared" si="305"/>
        <v>1221</v>
      </c>
      <c r="F3903" s="123">
        <f t="shared" si="305"/>
        <v>734</v>
      </c>
      <c r="G3903" s="123">
        <f>SUM(G3760:G3902)</f>
        <v>734</v>
      </c>
      <c r="H3903" s="123">
        <f t="shared" si="305"/>
        <v>763</v>
      </c>
      <c r="I3903" s="123">
        <f t="shared" si="305"/>
        <v>640</v>
      </c>
      <c r="J3903" s="123">
        <f t="shared" si="305"/>
        <v>322482517.3579272</v>
      </c>
      <c r="K3903" s="378"/>
      <c r="M3903" s="62">
        <f t="shared" si="304"/>
        <v>5</v>
      </c>
    </row>
    <row r="3904" spans="1:13">
      <c r="A3904" s="88" t="s">
        <v>1840</v>
      </c>
      <c r="B3904" s="97" t="s">
        <v>1199</v>
      </c>
      <c r="C3904" s="69"/>
      <c r="D3904" s="89"/>
      <c r="E3904" s="89"/>
      <c r="F3904" s="99"/>
      <c r="G3904" s="240" t="s">
        <v>243</v>
      </c>
      <c r="H3904" s="240" t="s">
        <v>4130</v>
      </c>
      <c r="I3904" s="240" t="s">
        <v>4202</v>
      </c>
      <c r="J3904" s="241" t="s">
        <v>4200</v>
      </c>
      <c r="K3904" s="375"/>
      <c r="M3904" s="62">
        <f t="shared" si="304"/>
        <v>5</v>
      </c>
    </row>
    <row r="3905" spans="1:13">
      <c r="A3905" s="88">
        <v>1</v>
      </c>
      <c r="B3905" s="69" t="s">
        <v>4289</v>
      </c>
      <c r="C3905" s="69"/>
      <c r="D3905" s="89"/>
      <c r="E3905" s="89"/>
      <c r="F3905" s="89"/>
      <c r="G3905" s="100">
        <f>J3903*0.2</f>
        <v>64496503.471585445</v>
      </c>
      <c r="H3905" s="100">
        <f>G3905*1.02</f>
        <v>65786433.541017152</v>
      </c>
      <c r="I3905" s="100">
        <f>H3905*1.02</f>
        <v>67102162.211837493</v>
      </c>
      <c r="J3905" s="100">
        <f>SUM(G3905:I3905)</f>
        <v>197385099.2244401</v>
      </c>
      <c r="K3905" s="114"/>
      <c r="M3905" s="62">
        <f t="shared" si="304"/>
        <v>5</v>
      </c>
    </row>
    <row r="3906" spans="1:13">
      <c r="A3906" s="88">
        <v>2</v>
      </c>
      <c r="B3906" s="69" t="s">
        <v>1342</v>
      </c>
      <c r="C3906" s="69"/>
      <c r="D3906" s="89"/>
      <c r="E3906" s="89"/>
      <c r="F3906" s="89"/>
      <c r="G3906" s="100">
        <f>G3905/3</f>
        <v>21498834.490528483</v>
      </c>
      <c r="H3906" s="100">
        <f>G3906*1.02</f>
        <v>21928811.180339053</v>
      </c>
      <c r="I3906" s="100">
        <f>H3906*1.02</f>
        <v>22367387.403945833</v>
      </c>
      <c r="J3906" s="100">
        <f>SUM(G3906:I3906)</f>
        <v>65795033.074813366</v>
      </c>
      <c r="K3906" s="114"/>
      <c r="M3906" s="62">
        <f t="shared" si="304"/>
        <v>5</v>
      </c>
    </row>
    <row r="3907" spans="1:13">
      <c r="A3907" s="92" t="s">
        <v>1840</v>
      </c>
      <c r="B3907" s="93" t="s">
        <v>1684</v>
      </c>
      <c r="C3907" s="94"/>
      <c r="D3907" s="101"/>
      <c r="E3907" s="101"/>
      <c r="F3907" s="123"/>
      <c r="G3907" s="123">
        <f>SUM(G3905:G3906)</f>
        <v>85995337.962113932</v>
      </c>
      <c r="H3907" s="123">
        <f>SUM(H3905:H3906)</f>
        <v>87715244.721356213</v>
      </c>
      <c r="I3907" s="123">
        <f>SUM(I3905:I3906)</f>
        <v>89469549.615783334</v>
      </c>
      <c r="J3907" s="123">
        <f>SUM(J3905:J3906)</f>
        <v>263180132.29925346</v>
      </c>
      <c r="K3907" s="378"/>
      <c r="M3907" s="62">
        <f t="shared" si="304"/>
        <v>5</v>
      </c>
    </row>
    <row r="3908" spans="1:13">
      <c r="A3908" s="88" t="s">
        <v>1840</v>
      </c>
      <c r="B3908" s="69" t="s">
        <v>1119</v>
      </c>
      <c r="C3908" s="69"/>
      <c r="D3908" s="89"/>
      <c r="E3908" s="89"/>
      <c r="F3908" s="89"/>
      <c r="G3908" s="100">
        <f>G3907+J3903</f>
        <v>408477855.32004112</v>
      </c>
      <c r="H3908" s="100">
        <f>G3908*1.02</f>
        <v>416647412.42644197</v>
      </c>
      <c r="I3908" s="100">
        <f>H3908*1.02</f>
        <v>424980360.67497081</v>
      </c>
      <c r="J3908" s="100">
        <f>SUM(G3908:I3908)</f>
        <v>1250105628.421454</v>
      </c>
      <c r="K3908" s="114"/>
      <c r="L3908" s="112"/>
      <c r="M3908" s="62">
        <f t="shared" si="304"/>
        <v>5</v>
      </c>
    </row>
    <row r="3909" spans="1:13" ht="38.25">
      <c r="A3909" s="88"/>
      <c r="B3909" s="195" t="s">
        <v>1296</v>
      </c>
      <c r="C3909" s="69"/>
      <c r="D3909" s="89"/>
      <c r="E3909" s="89"/>
      <c r="F3909" s="89"/>
      <c r="G3909" s="100">
        <v>0</v>
      </c>
      <c r="H3909" s="100">
        <f>G3909*1.02</f>
        <v>0</v>
      </c>
      <c r="I3909" s="100">
        <f>H3909*1.02</f>
        <v>0</v>
      </c>
      <c r="J3909" s="100">
        <f>SUM(G3909:I3909)</f>
        <v>0</v>
      </c>
      <c r="K3909" s="114"/>
      <c r="M3909" s="62">
        <f t="shared" si="304"/>
        <v>5</v>
      </c>
    </row>
    <row r="3910" spans="1:13">
      <c r="A3910" s="88" t="s">
        <v>1840</v>
      </c>
      <c r="B3910" s="69" t="s">
        <v>3944</v>
      </c>
      <c r="C3910" s="69"/>
      <c r="D3910" s="89"/>
      <c r="E3910" s="89"/>
      <c r="F3910" s="89"/>
      <c r="G3910" s="89">
        <f>C3945</f>
        <v>670200000</v>
      </c>
      <c r="H3910" s="89">
        <f>D3945</f>
        <v>648200000</v>
      </c>
      <c r="I3910" s="89">
        <f>E3945</f>
        <v>648200000</v>
      </c>
      <c r="J3910" s="100">
        <f>SUM(G3910:I3910)</f>
        <v>1966600000</v>
      </c>
      <c r="K3910" s="114"/>
      <c r="M3910" s="62">
        <f t="shared" si="304"/>
        <v>5</v>
      </c>
    </row>
    <row r="3911" spans="1:13">
      <c r="A3911" s="92" t="s">
        <v>1840</v>
      </c>
      <c r="B3911" s="93" t="s">
        <v>2843</v>
      </c>
      <c r="C3911" s="94"/>
      <c r="D3911" s="101"/>
      <c r="E3911" s="101"/>
      <c r="F3911" s="123"/>
      <c r="G3911" s="123">
        <f>SUM(G3908:G3910)</f>
        <v>1078677855.3200412</v>
      </c>
      <c r="H3911" s="123">
        <f>SUM(H3908:H3910)</f>
        <v>1064847412.4264419</v>
      </c>
      <c r="I3911" s="123">
        <f>SUM(I3908:I3910)</f>
        <v>1073180360.6749709</v>
      </c>
      <c r="J3911" s="123">
        <f>SUM(J3908:J3910)</f>
        <v>3216705628.421454</v>
      </c>
      <c r="K3911" s="378"/>
      <c r="M3911" s="62">
        <f t="shared" si="304"/>
        <v>5</v>
      </c>
    </row>
    <row r="3912" spans="1:13" ht="15">
      <c r="A3912" s="62" t="s">
        <v>3556</v>
      </c>
      <c r="C3912" s="77"/>
      <c r="D3912" s="78" t="s">
        <v>5434</v>
      </c>
      <c r="J3912" s="584"/>
      <c r="K3912" s="584"/>
      <c r="M3912" s="62">
        <f t="shared" si="304"/>
        <v>5</v>
      </c>
    </row>
    <row r="3913" spans="1:13" ht="15">
      <c r="C3913" s="77"/>
      <c r="D3913" s="78" t="s">
        <v>716</v>
      </c>
      <c r="J3913" s="584"/>
      <c r="K3913" s="584"/>
      <c r="M3913" s="62">
        <f t="shared" si="304"/>
        <v>5</v>
      </c>
    </row>
    <row r="3914" spans="1:13" ht="15">
      <c r="C3914" s="79" t="s">
        <v>717</v>
      </c>
      <c r="D3914" s="78" t="s">
        <v>3555</v>
      </c>
      <c r="J3914" s="584"/>
      <c r="K3914" s="584"/>
      <c r="M3914" s="62">
        <f t="shared" si="304"/>
        <v>3</v>
      </c>
    </row>
    <row r="3915" spans="1:13" ht="15">
      <c r="C3915" s="79" t="s">
        <v>718</v>
      </c>
      <c r="D3915" s="78" t="s">
        <v>3554</v>
      </c>
      <c r="J3915" s="584"/>
      <c r="K3915" s="584"/>
      <c r="M3915" s="62">
        <f t="shared" si="304"/>
        <v>3</v>
      </c>
    </row>
    <row r="3916" spans="1:13" ht="15">
      <c r="A3916" s="634" t="s">
        <v>1839</v>
      </c>
      <c r="B3916" s="635" t="s">
        <v>903</v>
      </c>
      <c r="C3916" s="1037" t="s">
        <v>4127</v>
      </c>
      <c r="D3916" s="1038"/>
      <c r="E3916" s="1039"/>
      <c r="F3916" s="635" t="s">
        <v>1684</v>
      </c>
      <c r="G3916" s="1037" t="s">
        <v>4132</v>
      </c>
      <c r="H3916" s="1038"/>
      <c r="I3916" s="1039"/>
      <c r="J3916" s="726"/>
      <c r="K3916" s="727"/>
    </row>
    <row r="3917" spans="1:13">
      <c r="A3917" s="636" t="s">
        <v>1620</v>
      </c>
      <c r="B3917" s="637"/>
      <c r="C3917" s="635" t="s">
        <v>1841</v>
      </c>
      <c r="D3917" s="635" t="s">
        <v>4133</v>
      </c>
      <c r="E3917" s="635" t="s">
        <v>4133</v>
      </c>
      <c r="F3917" s="1056" t="s">
        <v>4200</v>
      </c>
      <c r="G3917" s="634" t="s">
        <v>4135</v>
      </c>
      <c r="H3917" s="1051" t="s">
        <v>4182</v>
      </c>
      <c r="I3917" s="634" t="s">
        <v>4135</v>
      </c>
      <c r="J3917" s="728" t="s">
        <v>4136</v>
      </c>
      <c r="K3917" s="727"/>
    </row>
    <row r="3918" spans="1:13" ht="12.75" customHeight="1">
      <c r="A3918" s="638" t="s">
        <v>387</v>
      </c>
      <c r="B3918" s="639"/>
      <c r="C3918" s="638">
        <v>2015</v>
      </c>
      <c r="D3918" s="638">
        <v>2016</v>
      </c>
      <c r="E3918" s="638">
        <v>2017</v>
      </c>
      <c r="F3918" s="1057"/>
      <c r="G3918" s="638" t="s">
        <v>4304</v>
      </c>
      <c r="H3918" s="1052"/>
      <c r="I3918" s="638" t="s">
        <v>4303</v>
      </c>
      <c r="J3918" s="639"/>
      <c r="K3918" s="729"/>
    </row>
    <row r="3919" spans="1:13" ht="18" customHeight="1">
      <c r="A3919" s="768">
        <v>2</v>
      </c>
      <c r="B3919" s="768" t="s">
        <v>2722</v>
      </c>
      <c r="C3919" s="751">
        <v>5000000</v>
      </c>
      <c r="D3919" s="751">
        <v>4500000</v>
      </c>
      <c r="E3919" s="751">
        <v>4500000</v>
      </c>
      <c r="F3919" s="751">
        <f>SUM(C3919:E3919)</f>
        <v>14000000</v>
      </c>
      <c r="G3919" s="390">
        <v>3204450</v>
      </c>
      <c r="H3919" s="390">
        <v>5000000</v>
      </c>
      <c r="I3919" s="751">
        <v>3306500</v>
      </c>
      <c r="J3919" s="751"/>
      <c r="K3919" s="754"/>
      <c r="M3919" s="62" t="e">
        <f>IF(#REF!&gt;6,3,5)</f>
        <v>#REF!</v>
      </c>
    </row>
    <row r="3920" spans="1:13" ht="18" customHeight="1">
      <c r="A3920" s="768">
        <f t="shared" ref="A3920:A3944" si="306">+A3919+1</f>
        <v>3</v>
      </c>
      <c r="B3920" s="768" t="s">
        <v>1696</v>
      </c>
      <c r="C3920" s="751" t="s">
        <v>1386</v>
      </c>
      <c r="D3920" s="751" t="s">
        <v>1386</v>
      </c>
      <c r="E3920" s="751" t="s">
        <v>1386</v>
      </c>
      <c r="F3920" s="751">
        <f t="shared" ref="F3920:F3943" si="307">SUM(C3920:E3920)</f>
        <v>0</v>
      </c>
      <c r="G3920" s="390"/>
      <c r="H3920" s="751" t="s">
        <v>1386</v>
      </c>
      <c r="I3920" s="751"/>
      <c r="J3920" s="751"/>
      <c r="K3920" s="754"/>
      <c r="M3920" s="62" t="e">
        <f>IF(#REF!&gt;6,3,5)</f>
        <v>#REF!</v>
      </c>
    </row>
    <row r="3921" spans="1:13" ht="18" customHeight="1">
      <c r="A3921" s="768">
        <f t="shared" si="306"/>
        <v>4</v>
      </c>
      <c r="B3921" s="768" t="s">
        <v>1701</v>
      </c>
      <c r="C3921" s="751" t="s">
        <v>1386</v>
      </c>
      <c r="D3921" s="751" t="s">
        <v>1386</v>
      </c>
      <c r="E3921" s="751" t="s">
        <v>1386</v>
      </c>
      <c r="F3921" s="751">
        <f t="shared" si="307"/>
        <v>0</v>
      </c>
      <c r="G3921" s="390"/>
      <c r="H3921" s="751" t="s">
        <v>1386</v>
      </c>
      <c r="I3921" s="751"/>
      <c r="J3921" s="751"/>
      <c r="K3921" s="754"/>
      <c r="M3921" s="62" t="e">
        <f>IF(#REF!&gt;6,3,5)</f>
        <v>#REF!</v>
      </c>
    </row>
    <row r="3922" spans="1:13" ht="18" customHeight="1">
      <c r="A3922" s="768">
        <f t="shared" si="306"/>
        <v>5</v>
      </c>
      <c r="B3922" s="768" t="s">
        <v>2723</v>
      </c>
      <c r="C3922" s="751">
        <v>10000000</v>
      </c>
      <c r="D3922" s="751">
        <v>13000000</v>
      </c>
      <c r="E3922" s="751">
        <v>13000000</v>
      </c>
      <c r="F3922" s="751">
        <f t="shared" si="307"/>
        <v>36000000</v>
      </c>
      <c r="G3922" s="390">
        <v>7311105</v>
      </c>
      <c r="H3922" s="390">
        <v>10000000</v>
      </c>
      <c r="I3922" s="76">
        <f>659750+2500000</f>
        <v>3159750</v>
      </c>
      <c r="J3922" s="751">
        <v>4619150</v>
      </c>
      <c r="K3922" s="754"/>
      <c r="M3922" s="62" t="e">
        <f>IF(#REF!&gt;6,3,5)</f>
        <v>#REF!</v>
      </c>
    </row>
    <row r="3923" spans="1:13" ht="18" customHeight="1">
      <c r="A3923" s="768">
        <f t="shared" si="306"/>
        <v>6</v>
      </c>
      <c r="B3923" s="768" t="s">
        <v>1072</v>
      </c>
      <c r="C3923" s="751">
        <v>1000000</v>
      </c>
      <c r="D3923" s="751">
        <v>1000000</v>
      </c>
      <c r="E3923" s="751">
        <v>1000000</v>
      </c>
      <c r="F3923" s="751">
        <f t="shared" si="307"/>
        <v>3000000</v>
      </c>
      <c r="G3923" s="390">
        <v>657500</v>
      </c>
      <c r="H3923" s="390">
        <v>1000000</v>
      </c>
      <c r="I3923" s="390">
        <v>696900</v>
      </c>
      <c r="J3923" s="751"/>
      <c r="K3923" s="754"/>
      <c r="M3923" s="62" t="e">
        <f>IF(#REF!&gt;6,3,5)</f>
        <v>#REF!</v>
      </c>
    </row>
    <row r="3924" spans="1:13" ht="18" customHeight="1">
      <c r="A3924" s="768">
        <f t="shared" si="306"/>
        <v>7</v>
      </c>
      <c r="B3924" s="768" t="s">
        <v>2975</v>
      </c>
      <c r="C3924" s="751">
        <v>3000000</v>
      </c>
      <c r="D3924" s="751">
        <v>3000000</v>
      </c>
      <c r="E3924" s="751">
        <v>3000000</v>
      </c>
      <c r="F3924" s="751">
        <f t="shared" si="307"/>
        <v>9000000</v>
      </c>
      <c r="G3924" s="390">
        <v>1713000</v>
      </c>
      <c r="H3924" s="390">
        <v>3000000</v>
      </c>
      <c r="I3924" s="390">
        <v>2064500</v>
      </c>
      <c r="J3924" s="751"/>
      <c r="K3924" s="754"/>
      <c r="M3924" s="62" t="e">
        <f>IF(#REF!&gt;6,3,5)</f>
        <v>#REF!</v>
      </c>
    </row>
    <row r="3925" spans="1:13" ht="18" customHeight="1">
      <c r="A3925" s="768">
        <f t="shared" si="306"/>
        <v>8</v>
      </c>
      <c r="B3925" s="768" t="s">
        <v>1385</v>
      </c>
      <c r="C3925" s="390" t="s">
        <v>3007</v>
      </c>
      <c r="D3925" s="390" t="s">
        <v>3007</v>
      </c>
      <c r="E3925" s="390" t="s">
        <v>3007</v>
      </c>
      <c r="F3925" s="751">
        <f t="shared" si="307"/>
        <v>0</v>
      </c>
      <c r="G3925" s="390"/>
      <c r="H3925" s="390" t="s">
        <v>3007</v>
      </c>
      <c r="I3925" s="390"/>
      <c r="J3925" s="751"/>
      <c r="K3925" s="754"/>
      <c r="M3925" s="62" t="e">
        <f>IF(#REF!&gt;6,3,5)</f>
        <v>#REF!</v>
      </c>
    </row>
    <row r="3926" spans="1:13" ht="18" customHeight="1">
      <c r="A3926" s="768">
        <f t="shared" si="306"/>
        <v>9</v>
      </c>
      <c r="B3926" s="768" t="s">
        <v>755</v>
      </c>
      <c r="C3926" s="390" t="s">
        <v>3007</v>
      </c>
      <c r="D3926" s="390" t="s">
        <v>3007</v>
      </c>
      <c r="E3926" s="390" t="s">
        <v>3007</v>
      </c>
      <c r="F3926" s="751">
        <f t="shared" si="307"/>
        <v>0</v>
      </c>
      <c r="G3926" s="390"/>
      <c r="H3926" s="390" t="s">
        <v>3007</v>
      </c>
      <c r="I3926" s="390"/>
      <c r="J3926" s="751"/>
      <c r="K3926" s="754"/>
      <c r="M3926" s="62" t="e">
        <f>IF(#REF!&gt;6,3,5)</f>
        <v>#REF!</v>
      </c>
    </row>
    <row r="3927" spans="1:13" ht="18" customHeight="1">
      <c r="A3927" s="768">
        <f t="shared" si="306"/>
        <v>10</v>
      </c>
      <c r="B3927" s="773" t="s">
        <v>1790</v>
      </c>
      <c r="C3927" s="751">
        <v>3000000</v>
      </c>
      <c r="D3927" s="751">
        <v>3000000</v>
      </c>
      <c r="E3927" s="751">
        <v>3000000</v>
      </c>
      <c r="F3927" s="751">
        <f t="shared" si="307"/>
        <v>9000000</v>
      </c>
      <c r="G3927" s="390">
        <f>2305600+2100000+202750</f>
        <v>4608350</v>
      </c>
      <c r="H3927" s="390">
        <v>5000000</v>
      </c>
      <c r="I3927" s="390">
        <f>2728750+1796250</f>
        <v>4525000</v>
      </c>
      <c r="J3927" s="751"/>
      <c r="K3927" s="754"/>
      <c r="M3927" s="62" t="e">
        <f>IF(#REF!&gt;6,3,5)</f>
        <v>#REF!</v>
      </c>
    </row>
    <row r="3928" spans="1:13" ht="18" customHeight="1">
      <c r="A3928" s="768">
        <f t="shared" si="306"/>
        <v>11</v>
      </c>
      <c r="B3928" s="773" t="s">
        <v>764</v>
      </c>
      <c r="C3928" s="751">
        <v>100000</v>
      </c>
      <c r="D3928" s="751">
        <v>100000</v>
      </c>
      <c r="E3928" s="751">
        <v>100000</v>
      </c>
      <c r="F3928" s="751">
        <f t="shared" si="307"/>
        <v>300000</v>
      </c>
      <c r="G3928" s="390">
        <f>805400+3000000</f>
        <v>3805400</v>
      </c>
      <c r="H3928" s="390">
        <v>1000000</v>
      </c>
      <c r="I3928" s="390">
        <v>1103750</v>
      </c>
      <c r="J3928" s="751"/>
      <c r="K3928" s="754"/>
      <c r="M3928" s="62" t="e">
        <f>IF(#REF!&gt;6,3,5)</f>
        <v>#REF!</v>
      </c>
    </row>
    <row r="3929" spans="1:13" ht="18" customHeight="1">
      <c r="A3929" s="768">
        <f t="shared" si="306"/>
        <v>12</v>
      </c>
      <c r="B3929" s="773" t="s">
        <v>895</v>
      </c>
      <c r="C3929" s="751">
        <v>18000000</v>
      </c>
      <c r="D3929" s="751">
        <v>15000000</v>
      </c>
      <c r="E3929" s="751">
        <v>15000000</v>
      </c>
      <c r="F3929" s="751">
        <f t="shared" si="307"/>
        <v>48000000</v>
      </c>
      <c r="G3929" s="390">
        <v>12102000</v>
      </c>
      <c r="H3929" s="390">
        <v>18000000</v>
      </c>
      <c r="I3929" s="390">
        <f>10682550+2460000+1500000</f>
        <v>14642550</v>
      </c>
      <c r="J3929" s="751"/>
      <c r="K3929" s="754"/>
      <c r="M3929" s="62" t="e">
        <f>IF(#REF!&gt;6,3,5)</f>
        <v>#REF!</v>
      </c>
    </row>
    <row r="3930" spans="1:13" ht="18" customHeight="1">
      <c r="A3930" s="768">
        <f t="shared" si="306"/>
        <v>13</v>
      </c>
      <c r="B3930" s="773" t="s">
        <v>2249</v>
      </c>
      <c r="C3930" s="751">
        <v>100000</v>
      </c>
      <c r="D3930" s="751">
        <v>100000</v>
      </c>
      <c r="E3930" s="751">
        <v>100000</v>
      </c>
      <c r="F3930" s="751">
        <f t="shared" si="307"/>
        <v>300000</v>
      </c>
      <c r="G3930" s="390">
        <v>65450</v>
      </c>
      <c r="H3930" s="390">
        <v>100000</v>
      </c>
      <c r="I3930" s="751">
        <v>0</v>
      </c>
      <c r="J3930" s="751"/>
      <c r="K3930" s="754"/>
      <c r="M3930" s="62" t="e">
        <f>IF(#REF!&gt;6,3,5)</f>
        <v>#REF!</v>
      </c>
    </row>
    <row r="3931" spans="1:13" ht="18" customHeight="1">
      <c r="A3931" s="768">
        <f t="shared" si="306"/>
        <v>14</v>
      </c>
      <c r="B3931" s="773" t="s">
        <v>756</v>
      </c>
      <c r="C3931" s="751">
        <v>4500000</v>
      </c>
      <c r="D3931" s="751">
        <v>10000000</v>
      </c>
      <c r="E3931" s="751">
        <v>10000000</v>
      </c>
      <c r="F3931" s="751">
        <f t="shared" si="307"/>
        <v>24500000</v>
      </c>
      <c r="G3931" s="390">
        <v>3201000</v>
      </c>
      <c r="H3931" s="390">
        <v>5000000</v>
      </c>
      <c r="I3931" s="390">
        <f>3526600+340000</f>
        <v>3866600</v>
      </c>
      <c r="J3931" s="390">
        <v>3526600</v>
      </c>
      <c r="K3931" s="754"/>
      <c r="M3931" s="62" t="e">
        <f>IF(#REF!&gt;6,3,5)</f>
        <v>#REF!</v>
      </c>
    </row>
    <row r="3932" spans="1:13" ht="18" customHeight="1">
      <c r="A3932" s="768">
        <f t="shared" si="306"/>
        <v>15</v>
      </c>
      <c r="B3932" s="773" t="s">
        <v>2415</v>
      </c>
      <c r="C3932" s="390">
        <v>60000000</v>
      </c>
      <c r="D3932" s="751">
        <v>100000000</v>
      </c>
      <c r="E3932" s="751">
        <v>100000000</v>
      </c>
      <c r="F3932" s="751">
        <f t="shared" si="307"/>
        <v>260000000</v>
      </c>
      <c r="G3932" s="390">
        <f>62770000+1080000</f>
        <v>63850000</v>
      </c>
      <c r="H3932" s="390">
        <v>80000000</v>
      </c>
      <c r="I3932" s="390">
        <v>15275600</v>
      </c>
      <c r="J3932" s="751"/>
      <c r="K3932" s="754"/>
      <c r="M3932" s="62" t="e">
        <f>IF(#REF!&gt;6,3,5)</f>
        <v>#REF!</v>
      </c>
    </row>
    <row r="3933" spans="1:13" ht="18" customHeight="1">
      <c r="A3933" s="768">
        <f t="shared" si="306"/>
        <v>16</v>
      </c>
      <c r="B3933" s="773" t="s">
        <v>3134</v>
      </c>
      <c r="C3933" s="390">
        <v>100000000</v>
      </c>
      <c r="D3933" s="751">
        <v>100000000</v>
      </c>
      <c r="E3933" s="751">
        <v>100000000</v>
      </c>
      <c r="F3933" s="751">
        <f t="shared" si="307"/>
        <v>300000000</v>
      </c>
      <c r="G3933" s="390">
        <v>86603957</v>
      </c>
      <c r="H3933" s="390">
        <v>100000000</v>
      </c>
      <c r="I3933" s="76">
        <f xml:space="preserve"> 10082162+6700000+133400000+16782162+5720660+638250+17000000+967000+20593276+20244000</f>
        <v>232127510</v>
      </c>
      <c r="J3933" s="390">
        <v>222863371</v>
      </c>
      <c r="K3933" s="754"/>
      <c r="M3933" s="62" t="e">
        <f>IF(#REF!&gt;6,3,5)</f>
        <v>#REF!</v>
      </c>
    </row>
    <row r="3934" spans="1:13" ht="18" customHeight="1">
      <c r="A3934" s="768">
        <f t="shared" si="306"/>
        <v>17</v>
      </c>
      <c r="B3934" s="773" t="s">
        <v>3149</v>
      </c>
      <c r="C3934" s="390">
        <v>250000000</v>
      </c>
      <c r="D3934" s="751">
        <v>250000000</v>
      </c>
      <c r="E3934" s="751">
        <v>250000000</v>
      </c>
      <c r="F3934" s="751">
        <f t="shared" si="307"/>
        <v>750000000</v>
      </c>
      <c r="G3934" s="390">
        <f>190364459+3209000</f>
        <v>193573459</v>
      </c>
      <c r="H3934" s="390">
        <v>250000000</v>
      </c>
      <c r="I3934" s="390">
        <f>205195476+2650000+702000+32624400+10293900+46000000+4000000+9225000+5250000+3500000+18795644+12862332+7990000</f>
        <v>359088752</v>
      </c>
      <c r="J3934" s="390"/>
      <c r="K3934" s="754"/>
      <c r="M3934" s="62" t="e">
        <f>IF(#REF!&gt;6,3,5)</f>
        <v>#REF!</v>
      </c>
    </row>
    <row r="3935" spans="1:13" ht="18" customHeight="1">
      <c r="A3935" s="768">
        <f t="shared" si="306"/>
        <v>18</v>
      </c>
      <c r="B3935" s="773" t="s">
        <v>648</v>
      </c>
      <c r="C3935" s="751">
        <v>500000</v>
      </c>
      <c r="D3935" s="751">
        <v>500000</v>
      </c>
      <c r="E3935" s="751">
        <v>500000</v>
      </c>
      <c r="F3935" s="751">
        <f t="shared" si="307"/>
        <v>1500000</v>
      </c>
      <c r="G3935" s="390">
        <v>111000</v>
      </c>
      <c r="H3935" s="390">
        <v>150000</v>
      </c>
      <c r="I3935" s="751">
        <v>0</v>
      </c>
      <c r="J3935" s="390"/>
      <c r="K3935" s="754"/>
      <c r="M3935" s="62" t="e">
        <f>IF(#REF!&gt;6,3,5)</f>
        <v>#REF!</v>
      </c>
    </row>
    <row r="3936" spans="1:13" ht="18" customHeight="1">
      <c r="A3936" s="768">
        <f t="shared" si="306"/>
        <v>19</v>
      </c>
      <c r="B3936" s="773" t="s">
        <v>3953</v>
      </c>
      <c r="C3936" s="751">
        <v>5000000</v>
      </c>
      <c r="D3936" s="751">
        <v>2000000</v>
      </c>
      <c r="E3936" s="751">
        <v>2000000</v>
      </c>
      <c r="F3936" s="751">
        <f t="shared" si="307"/>
        <v>9000000</v>
      </c>
      <c r="G3936" s="390">
        <f>1235000+538500+232730</f>
        <v>2006230</v>
      </c>
      <c r="H3936" s="390">
        <v>2500000</v>
      </c>
      <c r="I3936" s="76">
        <f>403924+403924</f>
        <v>807848</v>
      </c>
      <c r="J3936" s="390">
        <v>11869594</v>
      </c>
      <c r="K3936" s="754"/>
      <c r="M3936" s="62" t="e">
        <f>IF(#REF!&gt;6,3,5)</f>
        <v>#REF!</v>
      </c>
    </row>
    <row r="3937" spans="1:13" ht="18" customHeight="1">
      <c r="A3937" s="768">
        <f t="shared" si="306"/>
        <v>20</v>
      </c>
      <c r="B3937" s="773" t="s">
        <v>3954</v>
      </c>
      <c r="C3937" s="751">
        <v>130000000</v>
      </c>
      <c r="D3937" s="751">
        <v>70000000</v>
      </c>
      <c r="E3937" s="751">
        <v>70000000</v>
      </c>
      <c r="F3937" s="751">
        <f t="shared" si="307"/>
        <v>270000000</v>
      </c>
      <c r="G3937" s="390">
        <f>78706522+20000000</f>
        <v>98706522</v>
      </c>
      <c r="H3937" s="390">
        <v>150000000</v>
      </c>
      <c r="I3937" s="390">
        <f>40000000+14996907.33+12705592.79+12987908.03+1500000+14996907.33+12705592.79+12987908.03+40000000+8656735.7+13632824.55</f>
        <v>185170376.55000001</v>
      </c>
      <c r="J3937" s="390"/>
      <c r="K3937" s="754"/>
      <c r="M3937" s="62" t="e">
        <f>IF(#REF!&gt;6,3,5)</f>
        <v>#REF!</v>
      </c>
    </row>
    <row r="3938" spans="1:13" ht="18" customHeight="1">
      <c r="A3938" s="768">
        <f t="shared" si="306"/>
        <v>21</v>
      </c>
      <c r="B3938" s="773" t="s">
        <v>1272</v>
      </c>
      <c r="C3938" s="751">
        <v>50000000</v>
      </c>
      <c r="D3938" s="751">
        <v>60000000</v>
      </c>
      <c r="E3938" s="751">
        <v>60000000</v>
      </c>
      <c r="F3938" s="751">
        <f t="shared" si="307"/>
        <v>170000000</v>
      </c>
      <c r="G3938" s="390">
        <f>34915000+350000+350000+1500000+8400000</f>
        <v>45515000</v>
      </c>
      <c r="H3938" s="390">
        <v>60000000</v>
      </c>
      <c r="I3938" s="390">
        <f>31536000+3150000+1500000+200000+5100000+1500000+350000</f>
        <v>43336000</v>
      </c>
      <c r="J3938" s="390"/>
      <c r="K3938" s="754"/>
      <c r="M3938" s="62" t="e">
        <f>IF(#REF!&gt;6,3,5)</f>
        <v>#REF!</v>
      </c>
    </row>
    <row r="3939" spans="1:13" ht="18" customHeight="1">
      <c r="A3939" s="768">
        <f t="shared" si="306"/>
        <v>22</v>
      </c>
      <c r="B3939" s="773" t="s">
        <v>1273</v>
      </c>
      <c r="C3939" s="751" t="s">
        <v>1386</v>
      </c>
      <c r="D3939" s="751">
        <v>2000000</v>
      </c>
      <c r="E3939" s="751">
        <v>2000000</v>
      </c>
      <c r="F3939" s="751">
        <f t="shared" si="307"/>
        <v>4000000</v>
      </c>
      <c r="G3939" s="390">
        <v>1215000</v>
      </c>
      <c r="H3939" s="390" t="s">
        <v>1386</v>
      </c>
      <c r="I3939" s="751">
        <v>0</v>
      </c>
      <c r="J3939" s="390"/>
      <c r="K3939" s="754"/>
      <c r="M3939" s="62" t="e">
        <f>IF(#REF!&gt;6,3,5)</f>
        <v>#REF!</v>
      </c>
    </row>
    <row r="3940" spans="1:13" ht="18" customHeight="1">
      <c r="A3940" s="768">
        <f t="shared" si="306"/>
        <v>23</v>
      </c>
      <c r="B3940" s="773" t="s">
        <v>784</v>
      </c>
      <c r="C3940" s="751">
        <v>9000000</v>
      </c>
      <c r="D3940" s="751">
        <v>5000000</v>
      </c>
      <c r="E3940" s="751">
        <v>5000000</v>
      </c>
      <c r="F3940" s="751">
        <f t="shared" si="307"/>
        <v>19000000</v>
      </c>
      <c r="G3940" s="390">
        <f>4750000+475000</f>
        <v>5225000</v>
      </c>
      <c r="H3940" s="390">
        <v>10000000</v>
      </c>
      <c r="I3940" s="76">
        <f>3090000+80960000+8750000+1875000</f>
        <v>94675000</v>
      </c>
      <c r="J3940" s="390">
        <v>7065000</v>
      </c>
      <c r="K3940" s="754"/>
      <c r="M3940" s="62" t="e">
        <f>IF(#REF!&gt;6,3,5)</f>
        <v>#REF!</v>
      </c>
    </row>
    <row r="3941" spans="1:13" ht="23.25" customHeight="1">
      <c r="A3941" s="768">
        <f t="shared" si="306"/>
        <v>24</v>
      </c>
      <c r="B3941" s="808" t="s">
        <v>1071</v>
      </c>
      <c r="C3941" s="731" t="s">
        <v>3007</v>
      </c>
      <c r="D3941" s="731" t="s">
        <v>3007</v>
      </c>
      <c r="E3941" s="731" t="s">
        <v>3007</v>
      </c>
      <c r="F3941" s="751">
        <f t="shared" si="307"/>
        <v>0</v>
      </c>
      <c r="G3941" s="731"/>
      <c r="H3941" s="731" t="s">
        <v>3007</v>
      </c>
      <c r="I3941" s="731"/>
      <c r="J3941" s="390"/>
      <c r="K3941" s="754"/>
      <c r="M3941" s="62" t="e">
        <f>IF(#REF!&gt;6,3,5)</f>
        <v>#REF!</v>
      </c>
    </row>
    <row r="3942" spans="1:13" ht="18" customHeight="1">
      <c r="A3942" s="768">
        <f t="shared" si="306"/>
        <v>25</v>
      </c>
      <c r="B3942" s="768" t="s">
        <v>3089</v>
      </c>
      <c r="C3942" s="751">
        <v>15000000</v>
      </c>
      <c r="D3942" s="751">
        <v>4000000</v>
      </c>
      <c r="E3942" s="751">
        <v>4000000</v>
      </c>
      <c r="F3942" s="751">
        <f t="shared" si="307"/>
        <v>23000000</v>
      </c>
      <c r="G3942" s="390">
        <f>1800000+5544560</f>
        <v>7344560</v>
      </c>
      <c r="H3942" s="390">
        <v>22000000</v>
      </c>
      <c r="I3942" s="76">
        <f>802000+250000+250000</f>
        <v>1302000</v>
      </c>
      <c r="J3942" s="390">
        <v>11918000</v>
      </c>
      <c r="K3942" s="754"/>
      <c r="M3942" s="62" t="e">
        <f>IF(#REF!&gt;6,3,5)</f>
        <v>#REF!</v>
      </c>
    </row>
    <row r="3943" spans="1:13" ht="18" customHeight="1">
      <c r="A3943" s="768">
        <f t="shared" si="306"/>
        <v>26</v>
      </c>
      <c r="B3943" s="768" t="s">
        <v>254</v>
      </c>
      <c r="C3943" s="809">
        <v>6000000</v>
      </c>
      <c r="D3943" s="809">
        <v>5000000</v>
      </c>
      <c r="E3943" s="809">
        <v>5000000</v>
      </c>
      <c r="F3943" s="751">
        <f t="shared" si="307"/>
        <v>16000000</v>
      </c>
      <c r="G3943" s="766">
        <v>3000000</v>
      </c>
      <c r="H3943" s="766">
        <v>6000000</v>
      </c>
      <c r="I3943" s="766">
        <v>3000000</v>
      </c>
      <c r="J3943" s="809"/>
      <c r="K3943" s="810"/>
      <c r="M3943" s="62" t="e">
        <f>IF(#REF!&gt;6,3,5)</f>
        <v>#REF!</v>
      </c>
    </row>
    <row r="3944" spans="1:13" ht="18" customHeight="1">
      <c r="A3944" s="768">
        <f t="shared" si="306"/>
        <v>27</v>
      </c>
      <c r="B3944" s="768" t="s">
        <v>4249</v>
      </c>
      <c r="C3944" s="809">
        <v>250000000</v>
      </c>
      <c r="D3944" s="809">
        <v>200000000</v>
      </c>
      <c r="E3944" s="809">
        <v>250000000</v>
      </c>
      <c r="F3944" s="751">
        <f>SUM(C3944:E3944)</f>
        <v>700000000</v>
      </c>
      <c r="G3944" s="766">
        <v>0</v>
      </c>
      <c r="H3944" s="766">
        <v>0</v>
      </c>
      <c r="I3944" s="809">
        <v>0</v>
      </c>
      <c r="J3944" s="809"/>
      <c r="K3944" s="810"/>
      <c r="M3944" s="62" t="e">
        <f>IF(#REF!&gt;6,3,5)</f>
        <v>#REF!</v>
      </c>
    </row>
    <row r="3945" spans="1:13" ht="18" customHeight="1">
      <c r="A3945" s="811"/>
      <c r="B3945" s="812" t="s">
        <v>1684</v>
      </c>
      <c r="C3945" s="805">
        <f t="shared" ref="C3945:I3945" si="308">SUM(C3919:C3943)</f>
        <v>670200000</v>
      </c>
      <c r="D3945" s="805">
        <f t="shared" si="308"/>
        <v>648200000</v>
      </c>
      <c r="E3945" s="805">
        <f t="shared" si="308"/>
        <v>648200000</v>
      </c>
      <c r="F3945" s="805">
        <f t="shared" si="308"/>
        <v>1966600000</v>
      </c>
      <c r="G3945" s="805">
        <f>SUM(G3919:G3943)</f>
        <v>543818983</v>
      </c>
      <c r="H3945" s="805">
        <f t="shared" si="308"/>
        <v>728750000</v>
      </c>
      <c r="I3945" s="805">
        <f t="shared" si="308"/>
        <v>968148636.54999995</v>
      </c>
      <c r="J3945" s="805"/>
      <c r="K3945" s="806"/>
      <c r="L3945" s="112"/>
      <c r="M3945" s="62" t="e">
        <f>IF(#REF!&gt;6,3,5)</f>
        <v>#REF!</v>
      </c>
    </row>
    <row r="3946" spans="1:13" ht="15">
      <c r="B3946" s="183"/>
      <c r="C3946" s="77"/>
      <c r="D3946" s="78" t="s">
        <v>5434</v>
      </c>
      <c r="J3946" s="584"/>
      <c r="K3946" s="584"/>
      <c r="M3946" s="62">
        <f t="shared" ref="M3946:M3996" si="309">IF(C3946&gt;6,3,5)</f>
        <v>5</v>
      </c>
    </row>
    <row r="3947" spans="1:13" ht="15">
      <c r="C3947" s="77"/>
      <c r="D3947" s="78" t="s">
        <v>1693</v>
      </c>
      <c r="J3947" s="584"/>
      <c r="K3947" s="584"/>
      <c r="M3947" s="62">
        <f t="shared" si="309"/>
        <v>5</v>
      </c>
    </row>
    <row r="3948" spans="1:13" ht="15">
      <c r="C3948" s="79" t="s">
        <v>717</v>
      </c>
      <c r="D3948" s="78" t="s">
        <v>1274</v>
      </c>
      <c r="J3948" s="584"/>
      <c r="K3948" s="584"/>
      <c r="M3948" s="62">
        <f t="shared" si="309"/>
        <v>3</v>
      </c>
    </row>
    <row r="3949" spans="1:13" ht="15.75" thickBot="1">
      <c r="C3949" s="79" t="s">
        <v>718</v>
      </c>
      <c r="D3949" s="78" t="s">
        <v>1275</v>
      </c>
      <c r="J3949" s="584"/>
      <c r="K3949" s="584"/>
      <c r="M3949" s="62">
        <f t="shared" si="309"/>
        <v>3</v>
      </c>
    </row>
    <row r="3950" spans="1:13" ht="15.75" thickTop="1">
      <c r="A3950" s="1047" t="s">
        <v>2791</v>
      </c>
      <c r="B3950" s="1049" t="s">
        <v>4126</v>
      </c>
      <c r="C3950" s="1049" t="s">
        <v>854</v>
      </c>
      <c r="D3950" s="1040" t="s">
        <v>4127</v>
      </c>
      <c r="E3950" s="1041"/>
      <c r="F3950" s="1041"/>
      <c r="G3950" s="1040" t="s">
        <v>904</v>
      </c>
      <c r="H3950" s="1041"/>
      <c r="I3950" s="1042"/>
      <c r="J3950" s="1035" t="s">
        <v>855</v>
      </c>
      <c r="K3950" s="389"/>
    </row>
    <row r="3951" spans="1:13" ht="26.25" thickBot="1">
      <c r="A3951" s="1048"/>
      <c r="B3951" s="1050"/>
      <c r="C3951" s="1050"/>
      <c r="D3951" s="285" t="s">
        <v>5505</v>
      </c>
      <c r="E3951" s="285" t="s">
        <v>4485</v>
      </c>
      <c r="F3951" s="285" t="s">
        <v>4486</v>
      </c>
      <c r="G3951" s="287" t="s">
        <v>4487</v>
      </c>
      <c r="H3951" s="285" t="s">
        <v>4488</v>
      </c>
      <c r="I3951" s="287" t="s">
        <v>4489</v>
      </c>
      <c r="J3951" s="1036"/>
      <c r="K3951" s="712"/>
    </row>
    <row r="3952" spans="1:13" ht="13.5" thickTop="1">
      <c r="A3952" s="88" t="s">
        <v>1840</v>
      </c>
      <c r="B3952" s="90" t="s">
        <v>1893</v>
      </c>
      <c r="C3952" s="69"/>
      <c r="D3952" s="89"/>
      <c r="E3952" s="89"/>
      <c r="F3952" s="89"/>
      <c r="G3952" s="89"/>
      <c r="H3952" s="89"/>
      <c r="I3952" s="89"/>
      <c r="J3952" s="713"/>
      <c r="K3952" s="711"/>
      <c r="M3952" s="62">
        <f t="shared" si="309"/>
        <v>5</v>
      </c>
    </row>
    <row r="3953" spans="1:13">
      <c r="A3953" s="88">
        <v>1</v>
      </c>
      <c r="B3953" s="69" t="s">
        <v>2443</v>
      </c>
      <c r="C3953" s="69">
        <v>6</v>
      </c>
      <c r="D3953" s="89">
        <v>6</v>
      </c>
      <c r="E3953" s="89">
        <v>6</v>
      </c>
      <c r="F3953" s="89">
        <v>0</v>
      </c>
      <c r="G3953" s="89">
        <v>0</v>
      </c>
      <c r="H3953" s="89">
        <v>1</v>
      </c>
      <c r="I3953" s="89">
        <v>0</v>
      </c>
      <c r="J3953" s="710">
        <f>(VLOOKUP($C3953,[2]Sheet1!$A$2:$P$18,$M3953+1)/12)*12*D3953</f>
        <v>1428596.2735821898</v>
      </c>
      <c r="K3953" s="711"/>
      <c r="M3953" s="62">
        <f t="shared" si="309"/>
        <v>5</v>
      </c>
    </row>
    <row r="3954" spans="1:13">
      <c r="A3954" s="88">
        <f t="shared" ref="A3954:A4023" si="310">+A3953+1</f>
        <v>2</v>
      </c>
      <c r="B3954" s="69" t="s">
        <v>3796</v>
      </c>
      <c r="C3954" s="69">
        <v>5</v>
      </c>
      <c r="D3954" s="89">
        <v>3</v>
      </c>
      <c r="E3954" s="89">
        <v>0</v>
      </c>
      <c r="F3954" s="89">
        <v>1</v>
      </c>
      <c r="G3954" s="89">
        <v>1</v>
      </c>
      <c r="H3954" s="89">
        <v>0</v>
      </c>
      <c r="I3954" s="89">
        <v>1</v>
      </c>
      <c r="J3954" s="710">
        <f>(VLOOKUP($C3954,[2]Sheet1!$A$2:$P$18,$M3954+1)/12)*12*D3954</f>
        <v>688709.33679109497</v>
      </c>
      <c r="K3954" s="711"/>
      <c r="M3954" s="62">
        <f t="shared" si="309"/>
        <v>5</v>
      </c>
    </row>
    <row r="3955" spans="1:13">
      <c r="A3955" s="88">
        <f t="shared" si="310"/>
        <v>3</v>
      </c>
      <c r="B3955" s="69" t="s">
        <v>3797</v>
      </c>
      <c r="C3955" s="69">
        <v>4</v>
      </c>
      <c r="D3955" s="89">
        <v>3</v>
      </c>
      <c r="E3955" s="89">
        <v>0</v>
      </c>
      <c r="F3955" s="89">
        <v>0</v>
      </c>
      <c r="G3955" s="89">
        <v>0</v>
      </c>
      <c r="H3955" s="89">
        <v>0</v>
      </c>
      <c r="I3955" s="89">
        <v>0</v>
      </c>
      <c r="J3955" s="710">
        <f>(VLOOKUP($C3955,[2]Sheet1!$A$2:$P$18,$M3955+1)/12)*12*D3955</f>
        <v>673628.93679109495</v>
      </c>
      <c r="K3955" s="711"/>
      <c r="M3955" s="62">
        <f t="shared" si="309"/>
        <v>5</v>
      </c>
    </row>
    <row r="3956" spans="1:13">
      <c r="A3956" s="88">
        <f t="shared" si="310"/>
        <v>4</v>
      </c>
      <c r="B3956" s="69" t="s">
        <v>3250</v>
      </c>
      <c r="C3956" s="69">
        <v>7</v>
      </c>
      <c r="D3956" s="89">
        <v>2</v>
      </c>
      <c r="E3956" s="89">
        <v>2</v>
      </c>
      <c r="F3956" s="89">
        <v>2</v>
      </c>
      <c r="G3956" s="89">
        <v>2</v>
      </c>
      <c r="H3956" s="89">
        <v>2</v>
      </c>
      <c r="I3956" s="89">
        <v>2</v>
      </c>
      <c r="J3956" s="710">
        <f>(VLOOKUP($C3956,[2]Sheet1!$A$2:$P$18,$M3956+1)/12)*12*D3956</f>
        <v>615413.40480000013</v>
      </c>
      <c r="K3956" s="711"/>
      <c r="M3956" s="62">
        <f t="shared" si="309"/>
        <v>3</v>
      </c>
    </row>
    <row r="3957" spans="1:13">
      <c r="A3957" s="88">
        <f t="shared" si="310"/>
        <v>5</v>
      </c>
      <c r="B3957" s="69" t="s">
        <v>2442</v>
      </c>
      <c r="C3957" s="69">
        <v>6</v>
      </c>
      <c r="D3957" s="89">
        <v>3</v>
      </c>
      <c r="E3957" s="89">
        <v>1</v>
      </c>
      <c r="F3957" s="89">
        <v>1</v>
      </c>
      <c r="G3957" s="89">
        <v>1</v>
      </c>
      <c r="H3957" s="89">
        <v>1</v>
      </c>
      <c r="I3957" s="89">
        <v>1</v>
      </c>
      <c r="J3957" s="710">
        <f>(VLOOKUP($C3957,[2]Sheet1!$A$2:$P$18,$M3957+1)/12)*12*D3957</f>
        <v>714298.1367910949</v>
      </c>
      <c r="K3957" s="711"/>
      <c r="M3957" s="62">
        <f t="shared" si="309"/>
        <v>5</v>
      </c>
    </row>
    <row r="3958" spans="1:13">
      <c r="A3958" s="88">
        <f t="shared" si="310"/>
        <v>6</v>
      </c>
      <c r="B3958" s="69" t="s">
        <v>3252</v>
      </c>
      <c r="C3958" s="69">
        <v>3</v>
      </c>
      <c r="D3958" s="89">
        <v>4</v>
      </c>
      <c r="E3958" s="89">
        <v>3</v>
      </c>
      <c r="F3958" s="89">
        <v>2</v>
      </c>
      <c r="G3958" s="89">
        <v>2</v>
      </c>
      <c r="H3958" s="89">
        <v>3</v>
      </c>
      <c r="I3958" s="89">
        <v>2</v>
      </c>
      <c r="J3958" s="710">
        <f>(VLOOKUP($C3958,[2]Sheet1!$A$2:$P$18,$M3958+1)/12)*12*D3958</f>
        <v>877344.71572145994</v>
      </c>
      <c r="K3958" s="711"/>
      <c r="M3958" s="62">
        <f t="shared" si="309"/>
        <v>5</v>
      </c>
    </row>
    <row r="3959" spans="1:13">
      <c r="A3959" s="88">
        <f t="shared" si="310"/>
        <v>7</v>
      </c>
      <c r="B3959" s="69" t="s">
        <v>3896</v>
      </c>
      <c r="C3959" s="69">
        <v>6</v>
      </c>
      <c r="D3959" s="89">
        <v>3</v>
      </c>
      <c r="E3959" s="89">
        <v>1</v>
      </c>
      <c r="F3959" s="89">
        <v>0</v>
      </c>
      <c r="G3959" s="89">
        <v>0</v>
      </c>
      <c r="H3959" s="89">
        <v>1</v>
      </c>
      <c r="I3959" s="89">
        <v>0</v>
      </c>
      <c r="J3959" s="710">
        <f>(VLOOKUP($C3959,[2]Sheet1!$A$2:$P$18,$M3959+1)/12)*12*D3959</f>
        <v>714298.1367910949</v>
      </c>
      <c r="K3959" s="711"/>
      <c r="M3959" s="62">
        <f t="shared" si="309"/>
        <v>5</v>
      </c>
    </row>
    <row r="3960" spans="1:13">
      <c r="A3960" s="88">
        <f t="shared" si="310"/>
        <v>8</v>
      </c>
      <c r="B3960" s="69" t="s">
        <v>2179</v>
      </c>
      <c r="C3960" s="69">
        <v>4</v>
      </c>
      <c r="D3960" s="89">
        <v>1</v>
      </c>
      <c r="E3960" s="89">
        <v>1</v>
      </c>
      <c r="F3960" s="89">
        <v>1</v>
      </c>
      <c r="G3960" s="89">
        <v>1</v>
      </c>
      <c r="H3960" s="89">
        <v>1</v>
      </c>
      <c r="I3960" s="89">
        <v>1</v>
      </c>
      <c r="J3960" s="710">
        <f>(VLOOKUP($C3960,[2]Sheet1!$A$2:$P$18,$M3960+1)/12)*12*D3960</f>
        <v>224542.978930365</v>
      </c>
      <c r="K3960" s="711"/>
      <c r="M3960" s="62">
        <f t="shared" si="309"/>
        <v>5</v>
      </c>
    </row>
    <row r="3961" spans="1:13">
      <c r="A3961" s="88">
        <f t="shared" si="310"/>
        <v>9</v>
      </c>
      <c r="B3961" s="69" t="s">
        <v>2439</v>
      </c>
      <c r="C3961" s="69">
        <v>2</v>
      </c>
      <c r="D3961" s="89">
        <v>1</v>
      </c>
      <c r="E3961" s="89">
        <v>5</v>
      </c>
      <c r="F3961" s="89">
        <v>3</v>
      </c>
      <c r="G3961" s="89">
        <v>3</v>
      </c>
      <c r="H3961" s="89">
        <v>4</v>
      </c>
      <c r="I3961" s="89">
        <v>3</v>
      </c>
      <c r="J3961" s="710">
        <f>(VLOOKUP($C3961,[2]Sheet1!$A$2:$P$18,$M3961+1)/12)*12*D3961</f>
        <v>214657.37893036503</v>
      </c>
      <c r="K3961" s="711"/>
      <c r="M3961" s="62">
        <f t="shared" si="309"/>
        <v>5</v>
      </c>
    </row>
    <row r="3962" spans="1:13">
      <c r="A3962" s="88">
        <f t="shared" si="310"/>
        <v>10</v>
      </c>
      <c r="B3962" s="69" t="s">
        <v>3847</v>
      </c>
      <c r="C3962" s="69">
        <v>3</v>
      </c>
      <c r="D3962" s="89">
        <v>3</v>
      </c>
      <c r="E3962" s="89">
        <v>5</v>
      </c>
      <c r="F3962" s="89">
        <v>3</v>
      </c>
      <c r="G3962" s="89">
        <v>3</v>
      </c>
      <c r="H3962" s="89">
        <v>4</v>
      </c>
      <c r="I3962" s="89">
        <v>3</v>
      </c>
      <c r="J3962" s="710">
        <f>(VLOOKUP($C3962,[2]Sheet1!$A$2:$P$18,$M3962+1)/12)*12*D3962</f>
        <v>658008.53679109493</v>
      </c>
      <c r="K3962" s="711"/>
      <c r="M3962" s="62">
        <f t="shared" si="309"/>
        <v>5</v>
      </c>
    </row>
    <row r="3963" spans="1:13">
      <c r="A3963" s="88">
        <f t="shared" si="310"/>
        <v>11</v>
      </c>
      <c r="B3963" s="69" t="s">
        <v>3858</v>
      </c>
      <c r="C3963" s="69">
        <v>2</v>
      </c>
      <c r="D3963" s="89">
        <v>4</v>
      </c>
      <c r="E3963" s="89">
        <v>5</v>
      </c>
      <c r="F3963" s="89">
        <v>5</v>
      </c>
      <c r="G3963" s="89">
        <v>5</v>
      </c>
      <c r="H3963" s="89">
        <v>4</v>
      </c>
      <c r="I3963" s="89">
        <v>5</v>
      </c>
      <c r="J3963" s="710">
        <f>(VLOOKUP($C3963,[2]Sheet1!$A$2:$P$18,$M3963+1)/12)*12*D3963</f>
        <v>858629.51572146011</v>
      </c>
      <c r="K3963" s="711"/>
      <c r="M3963" s="62">
        <f t="shared" si="309"/>
        <v>5</v>
      </c>
    </row>
    <row r="3964" spans="1:13">
      <c r="A3964" s="88">
        <f t="shared" si="310"/>
        <v>12</v>
      </c>
      <c r="B3964" s="69" t="s">
        <v>3861</v>
      </c>
      <c r="C3964" s="69">
        <v>1</v>
      </c>
      <c r="D3964" s="89">
        <v>5</v>
      </c>
      <c r="E3964" s="89">
        <v>3</v>
      </c>
      <c r="F3964" s="89">
        <v>3</v>
      </c>
      <c r="G3964" s="89">
        <v>3</v>
      </c>
      <c r="H3964" s="89">
        <v>3</v>
      </c>
      <c r="I3964" s="89">
        <v>3</v>
      </c>
      <c r="J3964" s="710">
        <f>(VLOOKUP($C3964,[2]Sheet1!$A$2:$P$18,$M3964+1)/12)*12*D3964</f>
        <v>1035537.8946518248</v>
      </c>
      <c r="K3964" s="711"/>
      <c r="M3964" s="62">
        <f t="shared" si="309"/>
        <v>5</v>
      </c>
    </row>
    <row r="3965" spans="1:13">
      <c r="A3965" s="88">
        <v>13</v>
      </c>
      <c r="B3965" s="69" t="s">
        <v>2908</v>
      </c>
      <c r="C3965" s="69">
        <v>3</v>
      </c>
      <c r="D3965" s="89">
        <v>5</v>
      </c>
      <c r="E3965" s="89">
        <v>1</v>
      </c>
      <c r="F3965" s="89">
        <v>1</v>
      </c>
      <c r="G3965" s="89">
        <v>1</v>
      </c>
      <c r="H3965" s="89">
        <v>2</v>
      </c>
      <c r="I3965" s="89">
        <v>1</v>
      </c>
      <c r="J3965" s="710">
        <f>(VLOOKUP($C3965,[2]Sheet1!$A$2:$P$18,$M3965+1)/12)*12*D3965</f>
        <v>1096680.8946518248</v>
      </c>
      <c r="K3965" s="711"/>
      <c r="M3965" s="62">
        <f t="shared" si="309"/>
        <v>5</v>
      </c>
    </row>
    <row r="3966" spans="1:13">
      <c r="A3966" s="88"/>
      <c r="B3966" s="90" t="s">
        <v>1487</v>
      </c>
      <c r="C3966" s="69"/>
      <c r="D3966" s="89"/>
      <c r="E3966" s="89"/>
      <c r="F3966" s="89"/>
      <c r="G3966" s="89"/>
      <c r="H3966" s="89"/>
      <c r="I3966" s="89"/>
      <c r="J3966" s="710"/>
      <c r="K3966" s="711"/>
      <c r="M3966" s="62">
        <f t="shared" si="309"/>
        <v>5</v>
      </c>
    </row>
    <row r="3967" spans="1:13">
      <c r="A3967" s="88">
        <f>+A3964+1</f>
        <v>13</v>
      </c>
      <c r="B3967" s="69" t="s">
        <v>2909</v>
      </c>
      <c r="C3967" s="69">
        <v>6</v>
      </c>
      <c r="D3967" s="89">
        <v>2</v>
      </c>
      <c r="E3967" s="89">
        <v>1</v>
      </c>
      <c r="F3967" s="89">
        <v>1</v>
      </c>
      <c r="G3967" s="89">
        <v>1</v>
      </c>
      <c r="H3967" s="89">
        <v>1</v>
      </c>
      <c r="I3967" s="89">
        <v>1</v>
      </c>
      <c r="J3967" s="710">
        <f>(VLOOKUP($C3967,[2]Sheet1!$A$2:$P$18,$M3967+1)/12)*12*D3967</f>
        <v>476198.75786072994</v>
      </c>
      <c r="K3967" s="711"/>
      <c r="M3967" s="62">
        <f t="shared" si="309"/>
        <v>5</v>
      </c>
    </row>
    <row r="3968" spans="1:13">
      <c r="A3968" s="88">
        <f t="shared" si="310"/>
        <v>14</v>
      </c>
      <c r="B3968" s="69" t="s">
        <v>3064</v>
      </c>
      <c r="C3968" s="69">
        <v>5</v>
      </c>
      <c r="D3968" s="89">
        <v>3</v>
      </c>
      <c r="E3968" s="89">
        <v>1</v>
      </c>
      <c r="F3968" s="89">
        <v>0</v>
      </c>
      <c r="G3968" s="89">
        <v>0</v>
      </c>
      <c r="H3968" s="89">
        <v>1</v>
      </c>
      <c r="I3968" s="89">
        <v>0</v>
      </c>
      <c r="J3968" s="710">
        <f>(VLOOKUP($C3968,[2]Sheet1!$A$2:$P$18,$M3968+1)/12)*12*D3968</f>
        <v>688709.33679109497</v>
      </c>
      <c r="K3968" s="711"/>
      <c r="M3968" s="62">
        <f t="shared" si="309"/>
        <v>5</v>
      </c>
    </row>
    <row r="3969" spans="1:13">
      <c r="A3969" s="88">
        <f t="shared" si="310"/>
        <v>15</v>
      </c>
      <c r="B3969" s="69" t="s">
        <v>1133</v>
      </c>
      <c r="C3969" s="69">
        <v>4</v>
      </c>
      <c r="D3969" s="89">
        <v>4</v>
      </c>
      <c r="E3969" s="89">
        <v>1</v>
      </c>
      <c r="F3969" s="89">
        <v>0</v>
      </c>
      <c r="G3969" s="89">
        <v>0</v>
      </c>
      <c r="H3969" s="89">
        <v>1</v>
      </c>
      <c r="I3969" s="89">
        <v>0</v>
      </c>
      <c r="J3969" s="710">
        <f>(VLOOKUP($C3969,[2]Sheet1!$A$2:$P$18,$M3969+1)/12)*12*D3969</f>
        <v>898171.91572146001</v>
      </c>
      <c r="K3969" s="711"/>
      <c r="M3969" s="62">
        <f t="shared" si="309"/>
        <v>5</v>
      </c>
    </row>
    <row r="3970" spans="1:13">
      <c r="A3970" s="88">
        <f t="shared" si="310"/>
        <v>16</v>
      </c>
      <c r="B3970" s="69" t="s">
        <v>2050</v>
      </c>
      <c r="C3970" s="69">
        <v>7</v>
      </c>
      <c r="D3970" s="89">
        <v>6</v>
      </c>
      <c r="E3970" s="89">
        <v>0</v>
      </c>
      <c r="F3970" s="89">
        <v>0</v>
      </c>
      <c r="G3970" s="89">
        <v>0</v>
      </c>
      <c r="H3970" s="89">
        <v>0</v>
      </c>
      <c r="I3970" s="89">
        <v>0</v>
      </c>
      <c r="J3970" s="710">
        <f>(VLOOKUP($C3970,[2]Sheet1!$A$2:$P$18,$M3970+1)/12)*12*D3970</f>
        <v>1846240.2144000004</v>
      </c>
      <c r="K3970" s="711"/>
      <c r="M3970" s="62">
        <f t="shared" si="309"/>
        <v>3</v>
      </c>
    </row>
    <row r="3971" spans="1:13">
      <c r="A3971" s="88">
        <f t="shared" si="310"/>
        <v>17</v>
      </c>
      <c r="B3971" s="69" t="s">
        <v>1904</v>
      </c>
      <c r="C3971" s="69">
        <v>3</v>
      </c>
      <c r="D3971" s="89">
        <v>3</v>
      </c>
      <c r="E3971" s="89">
        <v>2</v>
      </c>
      <c r="F3971" s="89">
        <v>1</v>
      </c>
      <c r="G3971" s="89">
        <v>1</v>
      </c>
      <c r="H3971" s="89">
        <v>2</v>
      </c>
      <c r="I3971" s="89">
        <v>1</v>
      </c>
      <c r="J3971" s="710">
        <f>(VLOOKUP($C3971,[2]Sheet1!$A$2:$P$18,$M3971+1)/12)*12*D3971</f>
        <v>658008.53679109493</v>
      </c>
      <c r="K3971" s="711"/>
      <c r="M3971" s="62">
        <f t="shared" si="309"/>
        <v>5</v>
      </c>
    </row>
    <row r="3972" spans="1:13">
      <c r="A3972" s="88"/>
      <c r="B3972" s="90" t="s">
        <v>406</v>
      </c>
      <c r="C3972" s="69"/>
      <c r="D3972" s="89"/>
      <c r="E3972" s="89"/>
      <c r="F3972" s="89"/>
      <c r="G3972" s="89"/>
      <c r="H3972" s="89"/>
      <c r="I3972" s="89"/>
      <c r="J3972" s="710"/>
      <c r="K3972" s="711"/>
      <c r="M3972" s="62">
        <f t="shared" si="309"/>
        <v>5</v>
      </c>
    </row>
    <row r="3973" spans="1:13">
      <c r="A3973" s="88">
        <f>+A3971+1</f>
        <v>18</v>
      </c>
      <c r="B3973" s="69" t="s">
        <v>3532</v>
      </c>
      <c r="C3973" s="69">
        <v>16</v>
      </c>
      <c r="D3973" s="91">
        <v>1</v>
      </c>
      <c r="E3973" s="91">
        <v>0</v>
      </c>
      <c r="F3973" s="89">
        <v>0</v>
      </c>
      <c r="G3973" s="89">
        <v>0</v>
      </c>
      <c r="H3973" s="91">
        <v>0</v>
      </c>
      <c r="I3973" s="89">
        <v>0</v>
      </c>
      <c r="J3973" s="710">
        <f>(VLOOKUP($C3973,[2]Sheet1!$A$2:$P$18,$M3973+1)/12)*12*D3973</f>
        <v>677281.26084</v>
      </c>
      <c r="K3973" s="711"/>
      <c r="M3973" s="62">
        <f t="shared" si="309"/>
        <v>3</v>
      </c>
    </row>
    <row r="3974" spans="1:13">
      <c r="A3974" s="88">
        <f t="shared" si="310"/>
        <v>19</v>
      </c>
      <c r="B3974" s="69" t="s">
        <v>1256</v>
      </c>
      <c r="C3974" s="69">
        <v>15</v>
      </c>
      <c r="D3974" s="91">
        <v>1</v>
      </c>
      <c r="E3974" s="91">
        <v>1</v>
      </c>
      <c r="F3974" s="89">
        <v>0</v>
      </c>
      <c r="G3974" s="89">
        <v>0</v>
      </c>
      <c r="H3974" s="91">
        <v>1</v>
      </c>
      <c r="I3974" s="89">
        <v>0</v>
      </c>
      <c r="J3974" s="710">
        <f>(VLOOKUP($C3974,[2]Sheet1!$A$2:$P$18,$M3974+1)/12)*12*D3974</f>
        <v>658331.89992</v>
      </c>
      <c r="K3974" s="711"/>
      <c r="M3974" s="62">
        <f t="shared" si="309"/>
        <v>3</v>
      </c>
    </row>
    <row r="3975" spans="1:13">
      <c r="A3975" s="88">
        <f t="shared" si="310"/>
        <v>20</v>
      </c>
      <c r="B3975" s="69" t="s">
        <v>3533</v>
      </c>
      <c r="C3975" s="69">
        <v>14</v>
      </c>
      <c r="D3975" s="91">
        <v>1</v>
      </c>
      <c r="E3975" s="91">
        <v>1</v>
      </c>
      <c r="F3975" s="89">
        <v>1</v>
      </c>
      <c r="G3975" s="89">
        <v>1</v>
      </c>
      <c r="H3975" s="91">
        <v>1</v>
      </c>
      <c r="I3975" s="89">
        <v>1</v>
      </c>
      <c r="J3975" s="710">
        <f>(VLOOKUP($C3975,[2]Sheet1!$A$2:$P$18,$M3975+1)/12)*12*D3975</f>
        <v>669099.40824000002</v>
      </c>
      <c r="K3975" s="711"/>
      <c r="M3975" s="62">
        <f t="shared" si="309"/>
        <v>3</v>
      </c>
    </row>
    <row r="3976" spans="1:13">
      <c r="A3976" s="88">
        <f t="shared" si="310"/>
        <v>21</v>
      </c>
      <c r="B3976" s="69" t="s">
        <v>560</v>
      </c>
      <c r="C3976" s="69">
        <v>13</v>
      </c>
      <c r="D3976" s="89">
        <v>6</v>
      </c>
      <c r="E3976" s="89">
        <v>1</v>
      </c>
      <c r="F3976" s="89">
        <v>1</v>
      </c>
      <c r="G3976" s="89">
        <v>1</v>
      </c>
      <c r="H3976" s="89">
        <v>1</v>
      </c>
      <c r="I3976" s="89">
        <v>1</v>
      </c>
      <c r="J3976" s="710">
        <f>(VLOOKUP($C3976,[2]Sheet1!$A$2:$P$18,$M3976+1)/12)*12*D3976</f>
        <v>3772557.2282400001</v>
      </c>
      <c r="K3976" s="711"/>
      <c r="M3976" s="62">
        <f t="shared" si="309"/>
        <v>3</v>
      </c>
    </row>
    <row r="3977" spans="1:13">
      <c r="A3977" s="88">
        <f t="shared" si="310"/>
        <v>22</v>
      </c>
      <c r="B3977" s="69" t="s">
        <v>561</v>
      </c>
      <c r="C3977" s="69">
        <v>12</v>
      </c>
      <c r="D3977" s="89">
        <v>5</v>
      </c>
      <c r="E3977" s="89">
        <v>1</v>
      </c>
      <c r="F3977" s="89">
        <v>1</v>
      </c>
      <c r="G3977" s="89">
        <v>1</v>
      </c>
      <c r="H3977" s="89">
        <v>1</v>
      </c>
      <c r="I3977" s="89">
        <v>1</v>
      </c>
      <c r="J3977" s="710">
        <f>(VLOOKUP($C3977,[2]Sheet1!$A$2:$P$18,$M3977+1)/12)*12*D3977</f>
        <v>2763425.268600001</v>
      </c>
      <c r="K3977" s="711"/>
      <c r="M3977" s="62">
        <f t="shared" si="309"/>
        <v>3</v>
      </c>
    </row>
    <row r="3978" spans="1:13">
      <c r="A3978" s="88">
        <f t="shared" si="310"/>
        <v>23</v>
      </c>
      <c r="B3978" s="69" t="s">
        <v>562</v>
      </c>
      <c r="C3978" s="69">
        <v>10</v>
      </c>
      <c r="D3978" s="89">
        <v>54</v>
      </c>
      <c r="E3978" s="89">
        <v>3</v>
      </c>
      <c r="F3978" s="89">
        <v>1</v>
      </c>
      <c r="G3978" s="89">
        <v>1</v>
      </c>
      <c r="H3978" s="89">
        <v>3</v>
      </c>
      <c r="I3978" s="89">
        <v>1</v>
      </c>
      <c r="J3978" s="710">
        <f>(VLOOKUP($C3978,[2]Sheet1!$A$2:$P$18,$M3978+1)/12)*12*D3978</f>
        <v>26134626.710880004</v>
      </c>
      <c r="K3978" s="711"/>
      <c r="M3978" s="62">
        <f t="shared" si="309"/>
        <v>3</v>
      </c>
    </row>
    <row r="3979" spans="1:13">
      <c r="A3979" s="88">
        <f t="shared" si="310"/>
        <v>24</v>
      </c>
      <c r="B3979" s="69" t="s">
        <v>2331</v>
      </c>
      <c r="C3979" s="69">
        <v>9</v>
      </c>
      <c r="D3979" s="89">
        <v>12</v>
      </c>
      <c r="E3979" s="89">
        <v>2</v>
      </c>
      <c r="F3979" s="89">
        <v>1</v>
      </c>
      <c r="G3979" s="89">
        <v>1</v>
      </c>
      <c r="H3979" s="89">
        <v>2</v>
      </c>
      <c r="I3979" s="89">
        <v>1</v>
      </c>
      <c r="J3979" s="710">
        <f>(VLOOKUP($C3979,[2]Sheet1!$A$2:$P$18,$M3979+1)/12)*12*D3979</f>
        <v>4916182.8743999992</v>
      </c>
      <c r="K3979" s="711"/>
      <c r="M3979" s="62">
        <f t="shared" si="309"/>
        <v>3</v>
      </c>
    </row>
    <row r="3980" spans="1:13">
      <c r="A3980" s="88">
        <f t="shared" si="310"/>
        <v>25</v>
      </c>
      <c r="B3980" s="69" t="s">
        <v>389</v>
      </c>
      <c r="C3980" s="69">
        <v>8</v>
      </c>
      <c r="D3980" s="89">
        <v>4</v>
      </c>
      <c r="E3980" s="89">
        <v>2</v>
      </c>
      <c r="F3980" s="89">
        <v>0</v>
      </c>
      <c r="G3980" s="89">
        <v>0</v>
      </c>
      <c r="H3980" s="89">
        <v>2</v>
      </c>
      <c r="I3980" s="89">
        <v>0</v>
      </c>
      <c r="J3980" s="710">
        <f>(VLOOKUP($C3980,[2]Sheet1!$A$2:$P$18,$M3980+1)/12)*12*D3980</f>
        <v>1368565.09632</v>
      </c>
      <c r="K3980" s="711"/>
      <c r="M3980" s="62">
        <f t="shared" si="309"/>
        <v>3</v>
      </c>
    </row>
    <row r="3981" spans="1:13">
      <c r="A3981" s="88">
        <f t="shared" si="310"/>
        <v>26</v>
      </c>
      <c r="B3981" s="69" t="s">
        <v>563</v>
      </c>
      <c r="C3981" s="69">
        <v>10</v>
      </c>
      <c r="D3981" s="89">
        <v>3</v>
      </c>
      <c r="E3981" s="89">
        <v>3</v>
      </c>
      <c r="F3981" s="89">
        <v>2</v>
      </c>
      <c r="G3981" s="89">
        <v>2</v>
      </c>
      <c r="H3981" s="89">
        <v>3</v>
      </c>
      <c r="I3981" s="89">
        <v>2</v>
      </c>
      <c r="J3981" s="710">
        <f>(VLOOKUP($C3981,[2]Sheet1!$A$2:$P$18,$M3981+1)/12)*12*D3981</f>
        <v>1451923.7061600003</v>
      </c>
      <c r="K3981" s="711"/>
      <c r="M3981" s="62">
        <f t="shared" si="309"/>
        <v>3</v>
      </c>
    </row>
    <row r="3982" spans="1:13">
      <c r="A3982" s="88">
        <f t="shared" si="310"/>
        <v>27</v>
      </c>
      <c r="B3982" s="69" t="s">
        <v>3237</v>
      </c>
      <c r="C3982" s="69">
        <v>9</v>
      </c>
      <c r="D3982" s="89">
        <v>4</v>
      </c>
      <c r="E3982" s="89">
        <v>3</v>
      </c>
      <c r="F3982" s="89">
        <v>2</v>
      </c>
      <c r="G3982" s="89">
        <v>2</v>
      </c>
      <c r="H3982" s="89">
        <v>3</v>
      </c>
      <c r="I3982" s="89">
        <v>2</v>
      </c>
      <c r="J3982" s="710">
        <f>(VLOOKUP($C3982,[2]Sheet1!$A$2:$P$18,$M3982+1)/12)*12*D3982</f>
        <v>1638727.6247999999</v>
      </c>
      <c r="K3982" s="711"/>
      <c r="M3982" s="62">
        <f t="shared" si="309"/>
        <v>3</v>
      </c>
    </row>
    <row r="3983" spans="1:13">
      <c r="A3983" s="88">
        <f t="shared" si="310"/>
        <v>28</v>
      </c>
      <c r="B3983" s="69" t="s">
        <v>2048</v>
      </c>
      <c r="C3983" s="69">
        <v>8</v>
      </c>
      <c r="D3983" s="89">
        <v>3</v>
      </c>
      <c r="E3983" s="89">
        <v>2</v>
      </c>
      <c r="F3983" s="89">
        <v>1</v>
      </c>
      <c r="G3983" s="89">
        <v>1</v>
      </c>
      <c r="H3983" s="89">
        <v>2</v>
      </c>
      <c r="I3983" s="89">
        <v>1</v>
      </c>
      <c r="J3983" s="710">
        <f>(VLOOKUP($C3983,[2]Sheet1!$A$2:$P$18,$M3983+1)/12)*12*D3983</f>
        <v>1026423.82224</v>
      </c>
      <c r="K3983" s="711"/>
      <c r="M3983" s="62">
        <f t="shared" si="309"/>
        <v>3</v>
      </c>
    </row>
    <row r="3984" spans="1:13">
      <c r="A3984" s="88">
        <f t="shared" si="310"/>
        <v>29</v>
      </c>
      <c r="B3984" s="69" t="s">
        <v>2049</v>
      </c>
      <c r="C3984" s="69">
        <v>7</v>
      </c>
      <c r="D3984" s="89">
        <v>2</v>
      </c>
      <c r="E3984" s="89">
        <v>4</v>
      </c>
      <c r="F3984" s="89">
        <v>3</v>
      </c>
      <c r="G3984" s="89">
        <v>3</v>
      </c>
      <c r="H3984" s="89">
        <v>4</v>
      </c>
      <c r="I3984" s="89">
        <v>3</v>
      </c>
      <c r="J3984" s="710">
        <f>(VLOOKUP($C3984,[2]Sheet1!$A$2:$P$18,$M3984+1)/12)*12*D3984</f>
        <v>615413.40480000013</v>
      </c>
      <c r="K3984" s="711"/>
      <c r="M3984" s="62">
        <f t="shared" si="309"/>
        <v>3</v>
      </c>
    </row>
    <row r="3985" spans="1:13">
      <c r="A3985" s="88">
        <f t="shared" si="310"/>
        <v>30</v>
      </c>
      <c r="B3985" s="69" t="s">
        <v>1679</v>
      </c>
      <c r="C3985" s="69">
        <v>6</v>
      </c>
      <c r="D3985" s="89">
        <v>2</v>
      </c>
      <c r="E3985" s="89">
        <v>3</v>
      </c>
      <c r="F3985" s="89">
        <v>2</v>
      </c>
      <c r="G3985" s="89">
        <v>2</v>
      </c>
      <c r="H3985" s="89">
        <v>2</v>
      </c>
      <c r="I3985" s="89">
        <v>2</v>
      </c>
      <c r="J3985" s="710">
        <f>(VLOOKUP($C3985,[2]Sheet1!$A$2:$P$18,$M3985+1)/12)*12*D3985</f>
        <v>476198.75786072994</v>
      </c>
      <c r="K3985" s="711"/>
      <c r="M3985" s="62">
        <f t="shared" si="309"/>
        <v>5</v>
      </c>
    </row>
    <row r="3986" spans="1:13">
      <c r="A3986" s="88">
        <f t="shared" si="310"/>
        <v>31</v>
      </c>
      <c r="B3986" s="69" t="s">
        <v>1823</v>
      </c>
      <c r="C3986" s="69">
        <v>7</v>
      </c>
      <c r="D3986" s="89">
        <v>2</v>
      </c>
      <c r="E3986" s="89">
        <v>1</v>
      </c>
      <c r="F3986" s="89">
        <v>1</v>
      </c>
      <c r="G3986" s="89">
        <v>1</v>
      </c>
      <c r="H3986" s="89">
        <v>1</v>
      </c>
      <c r="I3986" s="89">
        <v>1</v>
      </c>
      <c r="J3986" s="710">
        <f>(VLOOKUP($C3986,[2]Sheet1!$A$2:$P$18,$M3986+1)/12)*12*D3986</f>
        <v>615413.40480000013</v>
      </c>
      <c r="K3986" s="711"/>
      <c r="M3986" s="62">
        <f t="shared" si="309"/>
        <v>3</v>
      </c>
    </row>
    <row r="3987" spans="1:13">
      <c r="A3987" s="88">
        <f t="shared" si="310"/>
        <v>32</v>
      </c>
      <c r="B3987" s="69" t="s">
        <v>1513</v>
      </c>
      <c r="C3987" s="69">
        <v>5</v>
      </c>
      <c r="D3987" s="89">
        <v>2</v>
      </c>
      <c r="E3987" s="89">
        <v>2</v>
      </c>
      <c r="F3987" s="89">
        <v>2</v>
      </c>
      <c r="G3987" s="89">
        <v>2</v>
      </c>
      <c r="H3987" s="89">
        <v>2</v>
      </c>
      <c r="I3987" s="89">
        <v>2</v>
      </c>
      <c r="J3987" s="710">
        <f>(VLOOKUP($C3987,[2]Sheet1!$A$2:$P$18,$M3987+1)/12)*12*D3987</f>
        <v>459139.55786072998</v>
      </c>
      <c r="K3987" s="711"/>
      <c r="M3987" s="62">
        <f t="shared" si="309"/>
        <v>5</v>
      </c>
    </row>
    <row r="3988" spans="1:13" ht="13.5" thickBot="1">
      <c r="A3988" s="88">
        <f t="shared" si="310"/>
        <v>33</v>
      </c>
      <c r="B3988" s="69" t="s">
        <v>3742</v>
      </c>
      <c r="C3988" s="69">
        <v>4</v>
      </c>
      <c r="D3988" s="89">
        <v>5</v>
      </c>
      <c r="E3988" s="89">
        <v>2</v>
      </c>
      <c r="F3988" s="89">
        <v>1</v>
      </c>
      <c r="G3988" s="89">
        <v>1</v>
      </c>
      <c r="H3988" s="89">
        <v>2</v>
      </c>
      <c r="I3988" s="89">
        <v>1</v>
      </c>
      <c r="J3988" s="710">
        <f>(VLOOKUP($C3988,[2]Sheet1!$A$2:$P$18,$M3988+1)/12)*12*D3988</f>
        <v>1122714.8946518251</v>
      </c>
      <c r="K3988" s="711"/>
      <c r="M3988" s="62">
        <f t="shared" si="309"/>
        <v>5</v>
      </c>
    </row>
    <row r="3989" spans="1:13" ht="15.75" thickTop="1">
      <c r="A3989" s="1047" t="s">
        <v>2791</v>
      </c>
      <c r="B3989" s="1049" t="s">
        <v>4126</v>
      </c>
      <c r="C3989" s="1049" t="s">
        <v>854</v>
      </c>
      <c r="D3989" s="1040" t="s">
        <v>4127</v>
      </c>
      <c r="E3989" s="1041"/>
      <c r="F3989" s="1041"/>
      <c r="G3989" s="1040" t="s">
        <v>904</v>
      </c>
      <c r="H3989" s="1041"/>
      <c r="I3989" s="1042"/>
      <c r="J3989" s="1035" t="s">
        <v>855</v>
      </c>
      <c r="K3989" s="389"/>
    </row>
    <row r="3990" spans="1:13" ht="26.25" thickBot="1">
      <c r="A3990" s="1048"/>
      <c r="B3990" s="1050"/>
      <c r="C3990" s="1050"/>
      <c r="D3990" s="285" t="s">
        <v>5505</v>
      </c>
      <c r="E3990" s="285" t="s">
        <v>4485</v>
      </c>
      <c r="F3990" s="285" t="s">
        <v>4486</v>
      </c>
      <c r="G3990" s="287" t="s">
        <v>4487</v>
      </c>
      <c r="H3990" s="285" t="s">
        <v>4488</v>
      </c>
      <c r="I3990" s="287" t="s">
        <v>4489</v>
      </c>
      <c r="J3990" s="1036"/>
      <c r="K3990" s="712"/>
    </row>
    <row r="3991" spans="1:13" ht="13.5" thickTop="1">
      <c r="A3991" s="88">
        <f>+A3988+1</f>
        <v>34</v>
      </c>
      <c r="B3991" s="69" t="s">
        <v>1514</v>
      </c>
      <c r="C3991" s="69">
        <v>3</v>
      </c>
      <c r="D3991" s="89">
        <v>3</v>
      </c>
      <c r="E3991" s="89">
        <v>2</v>
      </c>
      <c r="F3991" s="89">
        <v>2</v>
      </c>
      <c r="G3991" s="89">
        <v>2</v>
      </c>
      <c r="H3991" s="89">
        <v>2</v>
      </c>
      <c r="I3991" s="89">
        <v>2</v>
      </c>
      <c r="J3991" s="710">
        <f>(VLOOKUP($C3991,[2]Sheet1!$A$2:$P$18,$M3991+1)/12)*12*D3991</f>
        <v>658008.53679109493</v>
      </c>
      <c r="K3991" s="711"/>
      <c r="M3991" s="62">
        <f t="shared" si="309"/>
        <v>5</v>
      </c>
    </row>
    <row r="3992" spans="1:13">
      <c r="A3992" s="88">
        <f t="shared" si="310"/>
        <v>35</v>
      </c>
      <c r="B3992" s="69" t="s">
        <v>3657</v>
      </c>
      <c r="C3992" s="69">
        <v>5</v>
      </c>
      <c r="D3992" s="89">
        <v>3</v>
      </c>
      <c r="E3992" s="89">
        <v>0</v>
      </c>
      <c r="F3992" s="89">
        <v>0</v>
      </c>
      <c r="G3992" s="89">
        <v>0</v>
      </c>
      <c r="H3992" s="89">
        <v>0</v>
      </c>
      <c r="I3992" s="89">
        <v>0</v>
      </c>
      <c r="J3992" s="710">
        <f>(VLOOKUP($C3992,[2]Sheet1!$A$2:$P$18,$M3992+1)/12)*12*D3992</f>
        <v>688709.33679109497</v>
      </c>
      <c r="K3992" s="711"/>
      <c r="M3992" s="62">
        <f t="shared" si="309"/>
        <v>5</v>
      </c>
    </row>
    <row r="3993" spans="1:13">
      <c r="A3993" s="88">
        <f t="shared" si="310"/>
        <v>36</v>
      </c>
      <c r="B3993" s="69" t="s">
        <v>1622</v>
      </c>
      <c r="C3993" s="69">
        <v>4</v>
      </c>
      <c r="D3993" s="89">
        <v>3</v>
      </c>
      <c r="E3993" s="89">
        <v>0</v>
      </c>
      <c r="F3993" s="89">
        <v>0</v>
      </c>
      <c r="G3993" s="89">
        <v>0</v>
      </c>
      <c r="H3993" s="89">
        <v>0</v>
      </c>
      <c r="I3993" s="89">
        <v>0</v>
      </c>
      <c r="J3993" s="710">
        <f>(VLOOKUP($C3993,[2]Sheet1!$A$2:$P$18,$M3993+1)/12)*12*D3993</f>
        <v>673628.93679109495</v>
      </c>
      <c r="K3993" s="711"/>
      <c r="M3993" s="62">
        <f t="shared" si="309"/>
        <v>5</v>
      </c>
    </row>
    <row r="3994" spans="1:13">
      <c r="A3994" s="88">
        <f t="shared" si="310"/>
        <v>37</v>
      </c>
      <c r="B3994" s="69" t="s">
        <v>1457</v>
      </c>
      <c r="C3994" s="69">
        <v>3</v>
      </c>
      <c r="D3994" s="89">
        <v>2</v>
      </c>
      <c r="E3994" s="89">
        <v>0</v>
      </c>
      <c r="F3994" s="89">
        <v>0</v>
      </c>
      <c r="G3994" s="89">
        <v>0</v>
      </c>
      <c r="H3994" s="89">
        <v>0</v>
      </c>
      <c r="I3994" s="89">
        <v>0</v>
      </c>
      <c r="J3994" s="710">
        <f>(VLOOKUP($C3994,[2]Sheet1!$A$2:$P$18,$M3994+1)/12)*12*D3994</f>
        <v>438672.35786072997</v>
      </c>
      <c r="K3994" s="711"/>
      <c r="M3994" s="62">
        <f t="shared" si="309"/>
        <v>5</v>
      </c>
    </row>
    <row r="3995" spans="1:13">
      <c r="A3995" s="88">
        <f t="shared" si="310"/>
        <v>38</v>
      </c>
      <c r="B3995" s="69" t="s">
        <v>1459</v>
      </c>
      <c r="C3995" s="69">
        <v>2</v>
      </c>
      <c r="D3995" s="89">
        <v>0</v>
      </c>
      <c r="E3995" s="89">
        <v>0</v>
      </c>
      <c r="F3995" s="89">
        <v>0</v>
      </c>
      <c r="G3995" s="89">
        <v>0</v>
      </c>
      <c r="H3995" s="89">
        <v>0</v>
      </c>
      <c r="I3995" s="89">
        <v>0</v>
      </c>
      <c r="J3995" s="710">
        <f>(VLOOKUP($C3995,[2]Sheet1!$A$2:$P$18,$M3995+1)/12)*12*D3995</f>
        <v>0</v>
      </c>
      <c r="K3995" s="711"/>
      <c r="M3995" s="62">
        <f t="shared" si="309"/>
        <v>5</v>
      </c>
    </row>
    <row r="3996" spans="1:13">
      <c r="A3996" s="88"/>
      <c r="B3996" s="90" t="s">
        <v>3507</v>
      </c>
      <c r="C3996" s="69"/>
      <c r="D3996" s="89"/>
      <c r="E3996" s="89"/>
      <c r="F3996" s="89"/>
      <c r="G3996" s="89"/>
      <c r="H3996" s="89"/>
      <c r="I3996" s="89"/>
      <c r="J3996" s="710"/>
      <c r="K3996" s="711"/>
      <c r="M3996" s="62">
        <f t="shared" si="309"/>
        <v>5</v>
      </c>
    </row>
    <row r="3997" spans="1:13">
      <c r="A3997" s="88">
        <f>+A3995+1</f>
        <v>39</v>
      </c>
      <c r="B3997" s="69" t="s">
        <v>3532</v>
      </c>
      <c r="C3997" s="69">
        <v>16</v>
      </c>
      <c r="D3997" s="91">
        <v>2</v>
      </c>
      <c r="E3997" s="91" t="s">
        <v>3007</v>
      </c>
      <c r="F3997" s="89">
        <v>0</v>
      </c>
      <c r="G3997" s="89">
        <v>0</v>
      </c>
      <c r="H3997" s="91" t="s">
        <v>3007</v>
      </c>
      <c r="I3997" s="89">
        <v>0</v>
      </c>
      <c r="J3997" s="710">
        <f>(VLOOKUP($C3997,[2]Sheet1!$A$2:$P$18,$M3997+1)/12)*12*D3997</f>
        <v>1354562.52168</v>
      </c>
      <c r="K3997" s="711"/>
      <c r="M3997" s="62">
        <f t="shared" ref="M3997:M4046" si="311">IF(C3997&gt;6,3,5)</f>
        <v>3</v>
      </c>
    </row>
    <row r="3998" spans="1:13">
      <c r="A3998" s="88">
        <f t="shared" si="310"/>
        <v>40</v>
      </c>
      <c r="B3998" s="69" t="s">
        <v>1256</v>
      </c>
      <c r="C3998" s="69">
        <v>15</v>
      </c>
      <c r="D3998" s="91">
        <v>1</v>
      </c>
      <c r="E3998" s="91">
        <v>1</v>
      </c>
      <c r="F3998" s="89">
        <v>1</v>
      </c>
      <c r="G3998" s="89">
        <v>1</v>
      </c>
      <c r="H3998" s="91">
        <v>1</v>
      </c>
      <c r="I3998" s="89">
        <v>1</v>
      </c>
      <c r="J3998" s="710">
        <f>(VLOOKUP($C3998,[2]Sheet1!$A$2:$P$18,$M3998+1)/12)*12*D3998</f>
        <v>658331.89992</v>
      </c>
      <c r="K3998" s="711"/>
      <c r="M3998" s="62">
        <f>IF(C3998&gt;6,3,5)</f>
        <v>3</v>
      </c>
    </row>
    <row r="3999" spans="1:13">
      <c r="A3999" s="88">
        <f t="shared" si="310"/>
        <v>41</v>
      </c>
      <c r="B3999" s="69" t="s">
        <v>3533</v>
      </c>
      <c r="C3999" s="69">
        <v>14</v>
      </c>
      <c r="D3999" s="91">
        <v>1</v>
      </c>
      <c r="E3999" s="91">
        <v>1</v>
      </c>
      <c r="F3999" s="89">
        <v>0</v>
      </c>
      <c r="G3999" s="89">
        <v>0</v>
      </c>
      <c r="H3999" s="91">
        <v>0</v>
      </c>
      <c r="I3999" s="89">
        <v>0</v>
      </c>
      <c r="J3999" s="710">
        <f>(VLOOKUP($C3999,[2]Sheet1!$A$2:$P$18,$M3999+1)/12)*12*D3999</f>
        <v>669099.40824000002</v>
      </c>
      <c r="K3999" s="711"/>
      <c r="M3999" s="62">
        <f t="shared" si="311"/>
        <v>3</v>
      </c>
    </row>
    <row r="4000" spans="1:13">
      <c r="A4000" s="88">
        <f t="shared" si="310"/>
        <v>42</v>
      </c>
      <c r="B4000" s="69" t="s">
        <v>537</v>
      </c>
      <c r="C4000" s="69">
        <v>13</v>
      </c>
      <c r="D4000" s="89">
        <v>5</v>
      </c>
      <c r="E4000" s="89">
        <v>0</v>
      </c>
      <c r="F4000" s="89">
        <v>0</v>
      </c>
      <c r="G4000" s="89">
        <v>0</v>
      </c>
      <c r="H4000" s="89">
        <v>2</v>
      </c>
      <c r="I4000" s="89">
        <v>0</v>
      </c>
      <c r="J4000" s="710">
        <f>(VLOOKUP($C4000,[2]Sheet1!$A$2:$P$18,$M4000+1)/12)*12*D4000</f>
        <v>3143797.6902000001</v>
      </c>
      <c r="K4000" s="711"/>
      <c r="M4000" s="62">
        <f t="shared" si="311"/>
        <v>3</v>
      </c>
    </row>
    <row r="4001" spans="1:13">
      <c r="A4001" s="88">
        <f>+A4000+1</f>
        <v>43</v>
      </c>
      <c r="B4001" s="69" t="s">
        <v>1447</v>
      </c>
      <c r="C4001" s="69">
        <v>12</v>
      </c>
      <c r="D4001" s="89">
        <v>4</v>
      </c>
      <c r="E4001" s="89">
        <v>2</v>
      </c>
      <c r="F4001" s="89">
        <v>2</v>
      </c>
      <c r="G4001" s="89">
        <v>2</v>
      </c>
      <c r="H4001" s="89">
        <v>3</v>
      </c>
      <c r="I4001" s="89">
        <v>2</v>
      </c>
      <c r="J4001" s="710">
        <f>(VLOOKUP($C4001,[2]Sheet1!$A$2:$P$18,$M4001+1)/12)*12*D4001</f>
        <v>2210740.2148800008</v>
      </c>
      <c r="K4001" s="711"/>
      <c r="M4001" s="62">
        <f t="shared" si="311"/>
        <v>3</v>
      </c>
    </row>
    <row r="4002" spans="1:13">
      <c r="A4002" s="88">
        <f t="shared" si="310"/>
        <v>44</v>
      </c>
      <c r="B4002" s="69" t="s">
        <v>139</v>
      </c>
      <c r="C4002" s="69">
        <v>10</v>
      </c>
      <c r="D4002" s="89">
        <v>2</v>
      </c>
      <c r="E4002" s="89">
        <v>3</v>
      </c>
      <c r="F4002" s="89">
        <v>2</v>
      </c>
      <c r="G4002" s="89">
        <v>2</v>
      </c>
      <c r="H4002" s="89">
        <v>3</v>
      </c>
      <c r="I4002" s="89">
        <v>2</v>
      </c>
      <c r="J4002" s="710">
        <f>(VLOOKUP($C4002,[2]Sheet1!$A$2:$P$18,$M4002+1)/12)*12*D4002</f>
        <v>967949.1374400002</v>
      </c>
      <c r="K4002" s="711"/>
      <c r="M4002" s="62">
        <f t="shared" si="311"/>
        <v>3</v>
      </c>
    </row>
    <row r="4003" spans="1:13">
      <c r="A4003" s="88">
        <f t="shared" si="310"/>
        <v>45</v>
      </c>
      <c r="B4003" s="69" t="s">
        <v>229</v>
      </c>
      <c r="C4003" s="69">
        <v>9</v>
      </c>
      <c r="D4003" s="89">
        <v>2</v>
      </c>
      <c r="E4003" s="89">
        <v>3</v>
      </c>
      <c r="F4003" s="89">
        <v>3</v>
      </c>
      <c r="G4003" s="89">
        <v>3</v>
      </c>
      <c r="H4003" s="89">
        <v>3</v>
      </c>
      <c r="I4003" s="89">
        <v>3</v>
      </c>
      <c r="J4003" s="710">
        <f>(VLOOKUP($C4003,[2]Sheet1!$A$2:$P$18,$M4003+1)/12)*12*D4003</f>
        <v>819363.81239999994</v>
      </c>
      <c r="K4003" s="711"/>
      <c r="M4003" s="62">
        <f t="shared" si="311"/>
        <v>3</v>
      </c>
    </row>
    <row r="4004" spans="1:13">
      <c r="A4004" s="88">
        <f t="shared" si="310"/>
        <v>46</v>
      </c>
      <c r="B4004" s="69" t="s">
        <v>2561</v>
      </c>
      <c r="C4004" s="69">
        <v>8</v>
      </c>
      <c r="D4004" s="89">
        <v>5</v>
      </c>
      <c r="E4004" s="89">
        <v>3</v>
      </c>
      <c r="F4004" s="89">
        <v>1</v>
      </c>
      <c r="G4004" s="89">
        <v>1</v>
      </c>
      <c r="H4004" s="89">
        <v>1</v>
      </c>
      <c r="I4004" s="89">
        <v>1</v>
      </c>
      <c r="J4004" s="710">
        <f>(VLOOKUP($C4004,[2]Sheet1!$A$2:$P$18,$M4004+1)/12)*12*D4004</f>
        <v>1710706.3703999999</v>
      </c>
      <c r="K4004" s="711"/>
      <c r="M4004" s="62">
        <f t="shared" si="311"/>
        <v>3</v>
      </c>
    </row>
    <row r="4005" spans="1:13">
      <c r="A4005" s="88">
        <f t="shared" si="310"/>
        <v>47</v>
      </c>
      <c r="B4005" s="69" t="s">
        <v>2562</v>
      </c>
      <c r="C4005" s="69">
        <v>7</v>
      </c>
      <c r="D4005" s="89">
        <v>4</v>
      </c>
      <c r="E4005" s="89">
        <v>4</v>
      </c>
      <c r="F4005" s="89">
        <v>0</v>
      </c>
      <c r="G4005" s="89">
        <v>0</v>
      </c>
      <c r="H4005" s="89">
        <v>1</v>
      </c>
      <c r="I4005" s="89">
        <v>0</v>
      </c>
      <c r="J4005" s="710">
        <f>(VLOOKUP($C4005,[2]Sheet1!$A$2:$P$18,$M4005+1)/12)*12*D4005</f>
        <v>1230826.8096000003</v>
      </c>
      <c r="K4005" s="711"/>
      <c r="M4005" s="62">
        <f t="shared" si="311"/>
        <v>3</v>
      </c>
    </row>
    <row r="4006" spans="1:13">
      <c r="A4006" s="88">
        <f t="shared" si="310"/>
        <v>48</v>
      </c>
      <c r="B4006" s="69" t="s">
        <v>858</v>
      </c>
      <c r="C4006" s="69">
        <v>6</v>
      </c>
      <c r="D4006" s="89">
        <v>5</v>
      </c>
      <c r="E4006" s="89">
        <v>3</v>
      </c>
      <c r="F4006" s="89">
        <v>3</v>
      </c>
      <c r="G4006" s="89">
        <v>3</v>
      </c>
      <c r="H4006" s="89">
        <v>3</v>
      </c>
      <c r="I4006" s="89">
        <v>3</v>
      </c>
      <c r="J4006" s="710">
        <f>(VLOOKUP($C4006,[2]Sheet1!$A$2:$P$18,$M4006+1)/12)*12*D4006</f>
        <v>1190496.8946518248</v>
      </c>
      <c r="K4006" s="711"/>
      <c r="M4006" s="62">
        <f t="shared" si="311"/>
        <v>5</v>
      </c>
    </row>
    <row r="4007" spans="1:13">
      <c r="A4007" s="88">
        <f t="shared" si="310"/>
        <v>49</v>
      </c>
      <c r="B4007" s="69" t="s">
        <v>3696</v>
      </c>
      <c r="C4007" s="69">
        <v>5</v>
      </c>
      <c r="D4007" s="89">
        <v>3</v>
      </c>
      <c r="E4007" s="89">
        <v>1</v>
      </c>
      <c r="F4007" s="89">
        <v>0</v>
      </c>
      <c r="G4007" s="89">
        <v>0</v>
      </c>
      <c r="H4007" s="89">
        <v>0</v>
      </c>
      <c r="I4007" s="89">
        <v>0</v>
      </c>
      <c r="J4007" s="710">
        <f>(VLOOKUP($C4007,[2]Sheet1!$A$2:$P$18,$M4007+1)/12)*12*D4007</f>
        <v>688709.33679109497</v>
      </c>
      <c r="K4007" s="711"/>
      <c r="M4007" s="62">
        <f t="shared" si="311"/>
        <v>5</v>
      </c>
    </row>
    <row r="4008" spans="1:13">
      <c r="A4008" s="88">
        <f>+A4007+1</f>
        <v>50</v>
      </c>
      <c r="B4008" s="69" t="s">
        <v>3023</v>
      </c>
      <c r="C4008" s="69">
        <v>10</v>
      </c>
      <c r="D4008" s="89">
        <v>3</v>
      </c>
      <c r="E4008" s="89">
        <v>1</v>
      </c>
      <c r="F4008" s="89">
        <v>0</v>
      </c>
      <c r="G4008" s="89">
        <v>0</v>
      </c>
      <c r="H4008" s="89">
        <v>0</v>
      </c>
      <c r="I4008" s="89">
        <v>0</v>
      </c>
      <c r="J4008" s="710">
        <f>(VLOOKUP($C4008,[2]Sheet1!$A$2:$P$18,$M4008+1)/12)*12*D4008</f>
        <v>1451923.7061600003</v>
      </c>
      <c r="K4008" s="711"/>
      <c r="M4008" s="62">
        <f>IF(C4008&gt;6,3,5)</f>
        <v>3</v>
      </c>
    </row>
    <row r="4009" spans="1:13">
      <c r="A4009" s="88">
        <f t="shared" ref="A4009:A4017" si="312">+A4008+1</f>
        <v>51</v>
      </c>
      <c r="B4009" s="69" t="s">
        <v>4149</v>
      </c>
      <c r="C4009" s="69">
        <v>12</v>
      </c>
      <c r="D4009" s="89">
        <v>1</v>
      </c>
      <c r="E4009" s="89">
        <v>1</v>
      </c>
      <c r="F4009" s="89">
        <v>0</v>
      </c>
      <c r="G4009" s="89">
        <v>0</v>
      </c>
      <c r="H4009" s="89">
        <v>0</v>
      </c>
      <c r="I4009" s="89">
        <v>0</v>
      </c>
      <c r="J4009" s="710">
        <f>(VLOOKUP($C4009,[2]Sheet1!$A$2:$P$18,$M4009+1)/12)*12*D4009</f>
        <v>12</v>
      </c>
      <c r="K4009" s="711"/>
    </row>
    <row r="4010" spans="1:13">
      <c r="A4010" s="88">
        <f t="shared" si="312"/>
        <v>52</v>
      </c>
      <c r="B4010" s="69" t="s">
        <v>4079</v>
      </c>
      <c r="C4010" s="69">
        <v>9</v>
      </c>
      <c r="D4010" s="89">
        <v>2</v>
      </c>
      <c r="E4010" s="89">
        <v>1</v>
      </c>
      <c r="F4010" s="89">
        <v>1</v>
      </c>
      <c r="G4010" s="89">
        <v>1</v>
      </c>
      <c r="H4010" s="89">
        <v>1</v>
      </c>
      <c r="I4010" s="89">
        <v>1</v>
      </c>
      <c r="J4010" s="710">
        <f>(VLOOKUP($C4010,[2]Sheet1!$A$2:$P$18,$M4010+1)/12)*12*D4010</f>
        <v>819363.81239999994</v>
      </c>
      <c r="K4010" s="711"/>
      <c r="M4010" s="62">
        <f t="shared" si="311"/>
        <v>3</v>
      </c>
    </row>
    <row r="4011" spans="1:13">
      <c r="A4011" s="88">
        <f t="shared" si="312"/>
        <v>53</v>
      </c>
      <c r="B4011" s="69" t="s">
        <v>4148</v>
      </c>
      <c r="C4011" s="69">
        <v>8</v>
      </c>
      <c r="D4011" s="89">
        <v>3</v>
      </c>
      <c r="E4011" s="89">
        <v>1</v>
      </c>
      <c r="F4011" s="89">
        <v>0</v>
      </c>
      <c r="G4011" s="89">
        <v>0</v>
      </c>
      <c r="H4011" s="89">
        <v>0</v>
      </c>
      <c r="I4011" s="89">
        <v>0</v>
      </c>
      <c r="J4011" s="710">
        <f>(VLOOKUP($C4011,[2]Sheet1!$A$2:$P$18,$M4011+1)/12)*12*D4011</f>
        <v>1026423.82224</v>
      </c>
      <c r="K4011" s="711"/>
      <c r="M4011" s="62">
        <f t="shared" si="311"/>
        <v>3</v>
      </c>
    </row>
    <row r="4012" spans="1:13">
      <c r="A4012" s="88">
        <f t="shared" si="312"/>
        <v>54</v>
      </c>
      <c r="B4012" s="69" t="s">
        <v>833</v>
      </c>
      <c r="C4012" s="69">
        <v>6</v>
      </c>
      <c r="D4012" s="89">
        <v>1</v>
      </c>
      <c r="E4012" s="89">
        <v>1</v>
      </c>
      <c r="F4012" s="89">
        <v>0</v>
      </c>
      <c r="G4012" s="89">
        <v>0</v>
      </c>
      <c r="H4012" s="89">
        <v>0</v>
      </c>
      <c r="I4012" s="89">
        <v>0</v>
      </c>
      <c r="J4012" s="710">
        <f>(VLOOKUP($C4012,[2]Sheet1!$A$2:$P$18,$M4012+1)/12)*12*D4012</f>
        <v>238099.37893036497</v>
      </c>
      <c r="K4012" s="711"/>
      <c r="M4012" s="62">
        <f t="shared" si="311"/>
        <v>5</v>
      </c>
    </row>
    <row r="4013" spans="1:13">
      <c r="A4013" s="88">
        <f t="shared" si="312"/>
        <v>55</v>
      </c>
      <c r="B4013" s="69" t="s">
        <v>1855</v>
      </c>
      <c r="C4013" s="69">
        <v>13</v>
      </c>
      <c r="D4013" s="89">
        <v>1</v>
      </c>
      <c r="E4013" s="89">
        <v>1</v>
      </c>
      <c r="F4013" s="89">
        <v>1</v>
      </c>
      <c r="G4013" s="89">
        <v>1</v>
      </c>
      <c r="H4013" s="89">
        <v>1</v>
      </c>
      <c r="I4013" s="89">
        <v>1</v>
      </c>
      <c r="J4013" s="710">
        <f>(VLOOKUP($C4013,[2]Sheet1!$A$2:$P$18,$M4013+1)/12)*12*D4013</f>
        <v>628759.53804000001</v>
      </c>
      <c r="K4013" s="711"/>
      <c r="M4013" s="62">
        <f t="shared" si="311"/>
        <v>3</v>
      </c>
    </row>
    <row r="4014" spans="1:13">
      <c r="A4014" s="88">
        <f t="shared" si="312"/>
        <v>56</v>
      </c>
      <c r="B4014" s="69" t="s">
        <v>65</v>
      </c>
      <c r="C4014" s="69">
        <v>3</v>
      </c>
      <c r="D4014" s="89">
        <v>0</v>
      </c>
      <c r="E4014" s="89">
        <v>0</v>
      </c>
      <c r="F4014" s="89">
        <v>0</v>
      </c>
      <c r="G4014" s="89">
        <v>0</v>
      </c>
      <c r="H4014" s="89">
        <v>0</v>
      </c>
      <c r="I4014" s="89">
        <v>0</v>
      </c>
      <c r="J4014" s="710">
        <f>(VLOOKUP($C4014,[2]Sheet1!$A$2:$P$18,$M4014+1)/12)*12*D4014</f>
        <v>0</v>
      </c>
      <c r="K4014" s="711"/>
    </row>
    <row r="4015" spans="1:13">
      <c r="A4015" s="88">
        <f t="shared" si="312"/>
        <v>57</v>
      </c>
      <c r="B4015" s="69" t="s">
        <v>3937</v>
      </c>
      <c r="C4015" s="69">
        <v>12</v>
      </c>
      <c r="D4015" s="89">
        <v>2</v>
      </c>
      <c r="E4015" s="89">
        <v>4</v>
      </c>
      <c r="F4015" s="89">
        <v>0</v>
      </c>
      <c r="G4015" s="89">
        <v>1</v>
      </c>
      <c r="H4015" s="89">
        <v>0</v>
      </c>
      <c r="I4015" s="89">
        <v>1</v>
      </c>
      <c r="J4015" s="710">
        <f>(VLOOKUP($C4015,[2]Sheet1!$A$2:$P$18,$M4015+1)/12)*12*D4015</f>
        <v>1105370.1074400004</v>
      </c>
      <c r="K4015" s="711"/>
      <c r="M4015" s="62">
        <f>IF(C4015&gt;6,3,5)</f>
        <v>3</v>
      </c>
    </row>
    <row r="4016" spans="1:13">
      <c r="A4016" s="88">
        <f t="shared" si="312"/>
        <v>58</v>
      </c>
      <c r="B4016" s="69" t="s">
        <v>3938</v>
      </c>
      <c r="C4016" s="69">
        <v>10</v>
      </c>
      <c r="D4016" s="89">
        <v>1</v>
      </c>
      <c r="E4016" s="89">
        <v>0</v>
      </c>
      <c r="F4016" s="89">
        <v>1</v>
      </c>
      <c r="G4016" s="89">
        <v>1</v>
      </c>
      <c r="H4016" s="89">
        <v>2</v>
      </c>
      <c r="I4016" s="89">
        <v>1</v>
      </c>
      <c r="J4016" s="710">
        <f>(VLOOKUP($C4016,[2]Sheet1!$A$2:$P$18,$M4016+1)/12)*12*D4016</f>
        <v>483974.5687200001</v>
      </c>
      <c r="K4016" s="711"/>
      <c r="M4016" s="62">
        <f t="shared" si="311"/>
        <v>3</v>
      </c>
    </row>
    <row r="4017" spans="1:13">
      <c r="A4017" s="88">
        <f t="shared" si="312"/>
        <v>59</v>
      </c>
      <c r="B4017" s="69" t="s">
        <v>2144</v>
      </c>
      <c r="C4017" s="69">
        <v>8</v>
      </c>
      <c r="D4017" s="89">
        <v>3</v>
      </c>
      <c r="E4017" s="89">
        <v>2</v>
      </c>
      <c r="F4017" s="89">
        <v>1</v>
      </c>
      <c r="G4017" s="89">
        <v>1</v>
      </c>
      <c r="H4017" s="89">
        <v>2</v>
      </c>
      <c r="I4017" s="89">
        <v>1</v>
      </c>
      <c r="J4017" s="710">
        <f>(VLOOKUP($C4017,[2]Sheet1!$A$2:$P$18,$M4017+1)/12)*12*D4017</f>
        <v>1026423.82224</v>
      </c>
      <c r="K4017" s="711"/>
      <c r="M4017" s="62">
        <f t="shared" si="311"/>
        <v>3</v>
      </c>
    </row>
    <row r="4018" spans="1:13">
      <c r="A4018" s="88">
        <f t="shared" si="310"/>
        <v>60</v>
      </c>
      <c r="B4018" s="69" t="s">
        <v>1995</v>
      </c>
      <c r="C4018" s="69">
        <v>9</v>
      </c>
      <c r="D4018" s="89">
        <v>3</v>
      </c>
      <c r="E4018" s="89">
        <v>2</v>
      </c>
      <c r="F4018" s="89">
        <v>1</v>
      </c>
      <c r="G4018" s="89">
        <v>1</v>
      </c>
      <c r="H4018" s="89">
        <v>2</v>
      </c>
      <c r="I4018" s="89">
        <v>1</v>
      </c>
      <c r="J4018" s="710">
        <f>(VLOOKUP($C4018,[2]Sheet1!$A$2:$P$18,$M4018+1)/12)*12*D4018</f>
        <v>1229045.7185999998</v>
      </c>
      <c r="K4018" s="711"/>
      <c r="M4018" s="62">
        <f t="shared" si="311"/>
        <v>3</v>
      </c>
    </row>
    <row r="4019" spans="1:13">
      <c r="A4019" s="88"/>
      <c r="B4019" s="90" t="s">
        <v>3691</v>
      </c>
      <c r="C4019" s="69"/>
      <c r="D4019" s="89"/>
      <c r="E4019" s="89"/>
      <c r="F4019" s="89"/>
      <c r="G4019" s="89"/>
      <c r="H4019" s="89"/>
      <c r="I4019" s="89"/>
      <c r="J4019" s="710"/>
      <c r="K4019" s="711"/>
      <c r="M4019" s="62">
        <f t="shared" si="311"/>
        <v>5</v>
      </c>
    </row>
    <row r="4020" spans="1:13">
      <c r="A4020" s="88">
        <f>+A4013+1</f>
        <v>56</v>
      </c>
      <c r="B4020" s="69" t="s">
        <v>3532</v>
      </c>
      <c r="C4020" s="69">
        <v>16</v>
      </c>
      <c r="D4020" s="91">
        <v>1</v>
      </c>
      <c r="E4020" s="91">
        <v>1</v>
      </c>
      <c r="F4020" s="89">
        <v>0</v>
      </c>
      <c r="G4020" s="89">
        <v>0</v>
      </c>
      <c r="H4020" s="89">
        <v>0</v>
      </c>
      <c r="I4020" s="89">
        <v>0</v>
      </c>
      <c r="J4020" s="710">
        <f>(VLOOKUP($C4020,[2]Sheet1!$A$2:$P$18,$M4020+1)/12)*12*D4020</f>
        <v>677281.26084</v>
      </c>
      <c r="K4020" s="711"/>
      <c r="M4020" s="62">
        <f t="shared" si="311"/>
        <v>3</v>
      </c>
    </row>
    <row r="4021" spans="1:13">
      <c r="A4021" s="88">
        <f t="shared" si="310"/>
        <v>57</v>
      </c>
      <c r="B4021" s="69" t="s">
        <v>1256</v>
      </c>
      <c r="C4021" s="69">
        <v>15</v>
      </c>
      <c r="D4021" s="91">
        <v>1</v>
      </c>
      <c r="E4021" s="91">
        <v>2</v>
      </c>
      <c r="F4021" s="89">
        <v>1</v>
      </c>
      <c r="G4021" s="89">
        <v>1</v>
      </c>
      <c r="H4021" s="89">
        <v>1</v>
      </c>
      <c r="I4021" s="89">
        <v>1</v>
      </c>
      <c r="J4021" s="710">
        <f>(VLOOKUP($C4021,[2]Sheet1!$A$2:$P$18,$M4021+1)/12)*12*D4021</f>
        <v>658331.89992</v>
      </c>
      <c r="K4021" s="711"/>
      <c r="M4021" s="62">
        <f t="shared" si="311"/>
        <v>3</v>
      </c>
    </row>
    <row r="4022" spans="1:13">
      <c r="A4022" s="88">
        <f t="shared" si="310"/>
        <v>58</v>
      </c>
      <c r="B4022" s="69" t="s">
        <v>1775</v>
      </c>
      <c r="C4022" s="69">
        <v>14</v>
      </c>
      <c r="D4022" s="91">
        <v>1</v>
      </c>
      <c r="E4022" s="91">
        <v>2</v>
      </c>
      <c r="F4022" s="89">
        <v>1</v>
      </c>
      <c r="G4022" s="89">
        <v>1</v>
      </c>
      <c r="H4022" s="89">
        <v>1</v>
      </c>
      <c r="I4022" s="89">
        <v>1</v>
      </c>
      <c r="J4022" s="710">
        <f>(VLOOKUP($C4022,[2]Sheet1!$A$2:$P$18,$M4022+1)/12)*12*D4022</f>
        <v>669099.40824000002</v>
      </c>
      <c r="K4022" s="711"/>
      <c r="M4022" s="62">
        <f>IF(C4022&gt;6,3,5)</f>
        <v>3</v>
      </c>
    </row>
    <row r="4023" spans="1:13">
      <c r="A4023" s="88">
        <f t="shared" si="310"/>
        <v>59</v>
      </c>
      <c r="B4023" s="69" t="s">
        <v>1734</v>
      </c>
      <c r="C4023" s="69">
        <v>13</v>
      </c>
      <c r="D4023" s="89">
        <v>1</v>
      </c>
      <c r="E4023" s="89">
        <v>2</v>
      </c>
      <c r="F4023" s="89">
        <v>1</v>
      </c>
      <c r="G4023" s="89">
        <v>1</v>
      </c>
      <c r="H4023" s="89">
        <v>1</v>
      </c>
      <c r="I4023" s="89">
        <v>1</v>
      </c>
      <c r="J4023" s="710">
        <f>(VLOOKUP($C4023,[2]Sheet1!$A$2:$P$18,$M4023+1)/12)*12*D4023</f>
        <v>628759.53804000001</v>
      </c>
      <c r="K4023" s="711"/>
      <c r="M4023" s="62">
        <f t="shared" si="311"/>
        <v>3</v>
      </c>
    </row>
    <row r="4024" spans="1:13">
      <c r="A4024" s="88">
        <f t="shared" ref="A4024:A4032" si="313">+A4023+1</f>
        <v>60</v>
      </c>
      <c r="B4024" s="69" t="s">
        <v>1731</v>
      </c>
      <c r="C4024" s="69">
        <v>12</v>
      </c>
      <c r="D4024" s="89">
        <v>3</v>
      </c>
      <c r="E4024" s="89">
        <v>1</v>
      </c>
      <c r="F4024" s="89">
        <v>0</v>
      </c>
      <c r="G4024" s="89">
        <v>0</v>
      </c>
      <c r="H4024" s="89">
        <v>0</v>
      </c>
      <c r="I4024" s="89">
        <v>0</v>
      </c>
      <c r="J4024" s="710">
        <f>(VLOOKUP($C4024,[2]Sheet1!$A$2:$P$18,$M4024+1)/12)*12*D4024</f>
        <v>1658055.1611600006</v>
      </c>
      <c r="K4024" s="711"/>
      <c r="M4024" s="62">
        <f t="shared" si="311"/>
        <v>3</v>
      </c>
    </row>
    <row r="4025" spans="1:13">
      <c r="A4025" s="88">
        <f t="shared" si="313"/>
        <v>61</v>
      </c>
      <c r="B4025" s="69" t="s">
        <v>4149</v>
      </c>
      <c r="C4025" s="69">
        <v>13</v>
      </c>
      <c r="D4025" s="89">
        <v>4</v>
      </c>
      <c r="E4025" s="89">
        <v>1</v>
      </c>
      <c r="F4025" s="89">
        <v>0</v>
      </c>
      <c r="G4025" s="89">
        <v>0</v>
      </c>
      <c r="H4025" s="89">
        <v>0</v>
      </c>
      <c r="I4025" s="89">
        <v>0</v>
      </c>
      <c r="J4025" s="710">
        <f>(VLOOKUP($C4025,[2]Sheet1!$A$2:$P$18,$M4025+1)/12)*12*D4025</f>
        <v>2515038.1521600001</v>
      </c>
      <c r="K4025" s="711"/>
      <c r="M4025" s="62">
        <f>IF(C4025&gt;6,3,5)</f>
        <v>3</v>
      </c>
    </row>
    <row r="4026" spans="1:13">
      <c r="A4026" s="88">
        <f t="shared" si="313"/>
        <v>62</v>
      </c>
      <c r="B4026" s="69" t="s">
        <v>1732</v>
      </c>
      <c r="C4026" s="69">
        <v>12</v>
      </c>
      <c r="D4026" s="89">
        <v>2</v>
      </c>
      <c r="E4026" s="89">
        <v>2</v>
      </c>
      <c r="F4026" s="89">
        <v>4</v>
      </c>
      <c r="G4026" s="89">
        <v>4</v>
      </c>
      <c r="H4026" s="89">
        <v>4</v>
      </c>
      <c r="I4026" s="89">
        <v>4</v>
      </c>
      <c r="J4026" s="710">
        <f>(VLOOKUP($C4026,[2]Sheet1!$A$2:$P$18,$M4026+1)/12)*12*D4026</f>
        <v>1105370.1074400004</v>
      </c>
      <c r="K4026" s="711"/>
      <c r="M4026" s="62">
        <f t="shared" si="311"/>
        <v>3</v>
      </c>
    </row>
    <row r="4027" spans="1:13">
      <c r="A4027" s="88">
        <f t="shared" si="313"/>
        <v>63</v>
      </c>
      <c r="B4027" s="69" t="s">
        <v>1733</v>
      </c>
      <c r="C4027" s="69">
        <v>10</v>
      </c>
      <c r="D4027" s="89">
        <v>2</v>
      </c>
      <c r="E4027" s="89">
        <v>2</v>
      </c>
      <c r="F4027" s="89">
        <v>3</v>
      </c>
      <c r="G4027" s="89">
        <v>3</v>
      </c>
      <c r="H4027" s="89">
        <v>3</v>
      </c>
      <c r="I4027" s="89">
        <v>3</v>
      </c>
      <c r="J4027" s="710">
        <f>(VLOOKUP($C4027,[2]Sheet1!$A$2:$P$18,$M4027+1)/12)*12*D4027</f>
        <v>967949.1374400002</v>
      </c>
      <c r="K4027" s="711"/>
      <c r="M4027" s="62">
        <f t="shared" si="311"/>
        <v>3</v>
      </c>
    </row>
    <row r="4028" spans="1:13">
      <c r="A4028" s="88">
        <f t="shared" si="313"/>
        <v>64</v>
      </c>
      <c r="B4028" s="69" t="s">
        <v>2575</v>
      </c>
      <c r="C4028" s="69">
        <v>9</v>
      </c>
      <c r="D4028" s="89">
        <v>2</v>
      </c>
      <c r="E4028" s="89">
        <v>2</v>
      </c>
      <c r="F4028" s="89">
        <v>1</v>
      </c>
      <c r="G4028" s="89">
        <v>1</v>
      </c>
      <c r="H4028" s="89">
        <v>1</v>
      </c>
      <c r="I4028" s="89">
        <v>1</v>
      </c>
      <c r="J4028" s="710">
        <f>(VLOOKUP($C4028,[2]Sheet1!$A$2:$P$18,$M4028+1)/12)*12*D4028</f>
        <v>819363.81239999994</v>
      </c>
      <c r="K4028" s="711"/>
      <c r="M4028" s="62">
        <f t="shared" si="311"/>
        <v>3</v>
      </c>
    </row>
    <row r="4029" spans="1:13">
      <c r="A4029" s="88">
        <f t="shared" si="313"/>
        <v>65</v>
      </c>
      <c r="B4029" s="69" t="s">
        <v>3044</v>
      </c>
      <c r="C4029" s="69">
        <v>8</v>
      </c>
      <c r="D4029" s="89">
        <v>1</v>
      </c>
      <c r="E4029" s="89">
        <v>1</v>
      </c>
      <c r="F4029" s="89">
        <v>4</v>
      </c>
      <c r="G4029" s="89">
        <v>4</v>
      </c>
      <c r="H4029" s="89">
        <v>4</v>
      </c>
      <c r="I4029" s="89">
        <v>4</v>
      </c>
      <c r="J4029" s="710">
        <f>(VLOOKUP($C4029,[2]Sheet1!$A$2:$P$18,$M4029+1)/12)*12*D4029</f>
        <v>342141.27408</v>
      </c>
      <c r="K4029" s="711"/>
      <c r="M4029" s="62">
        <f t="shared" si="311"/>
        <v>3</v>
      </c>
    </row>
    <row r="4030" spans="1:13">
      <c r="A4030" s="88">
        <f t="shared" si="313"/>
        <v>66</v>
      </c>
      <c r="B4030" s="69" t="s">
        <v>1736</v>
      </c>
      <c r="C4030" s="69">
        <v>8</v>
      </c>
      <c r="D4030" s="89">
        <v>0</v>
      </c>
      <c r="E4030" s="89">
        <v>0</v>
      </c>
      <c r="F4030" s="89">
        <v>0</v>
      </c>
      <c r="G4030" s="89">
        <v>0</v>
      </c>
      <c r="H4030" s="89">
        <v>0</v>
      </c>
      <c r="I4030" s="89">
        <v>0</v>
      </c>
      <c r="J4030" s="710">
        <f>(VLOOKUP($C4030,[2]Sheet1!$A$2:$P$18,$M4030+1)/12)*12*D4030</f>
        <v>0</v>
      </c>
      <c r="K4030" s="711"/>
      <c r="M4030" s="62">
        <f t="shared" si="311"/>
        <v>3</v>
      </c>
    </row>
    <row r="4031" spans="1:13">
      <c r="A4031" s="88">
        <f t="shared" si="313"/>
        <v>67</v>
      </c>
      <c r="B4031" s="69" t="s">
        <v>866</v>
      </c>
      <c r="C4031" s="69">
        <v>7</v>
      </c>
      <c r="D4031" s="89">
        <v>0</v>
      </c>
      <c r="E4031" s="89">
        <v>0</v>
      </c>
      <c r="F4031" s="89">
        <v>0</v>
      </c>
      <c r="G4031" s="89">
        <v>0</v>
      </c>
      <c r="H4031" s="89">
        <v>0</v>
      </c>
      <c r="I4031" s="89">
        <v>0</v>
      </c>
      <c r="J4031" s="710">
        <f>(VLOOKUP($C4031,[2]Sheet1!$A$2:$P$18,$M4031+1)/12)*12*D4031</f>
        <v>0</v>
      </c>
      <c r="K4031" s="711"/>
      <c r="M4031" s="62">
        <f t="shared" si="311"/>
        <v>3</v>
      </c>
    </row>
    <row r="4032" spans="1:13">
      <c r="A4032" s="88">
        <f t="shared" si="313"/>
        <v>68</v>
      </c>
      <c r="B4032" s="69" t="s">
        <v>919</v>
      </c>
      <c r="C4032" s="69">
        <v>6</v>
      </c>
      <c r="D4032" s="89">
        <v>0</v>
      </c>
      <c r="E4032" s="89">
        <v>0</v>
      </c>
      <c r="F4032" s="89">
        <v>0</v>
      </c>
      <c r="G4032" s="89">
        <v>0</v>
      </c>
      <c r="H4032" s="89">
        <v>0</v>
      </c>
      <c r="I4032" s="89">
        <v>0</v>
      </c>
      <c r="J4032" s="710">
        <f>(VLOOKUP($C4032,[2]Sheet1!$A$2:$P$18,$M4032+1)/12)*12*D4032</f>
        <v>0</v>
      </c>
      <c r="K4032" s="711"/>
      <c r="M4032" s="62">
        <f t="shared" si="311"/>
        <v>5</v>
      </c>
    </row>
    <row r="4033" spans="1:13">
      <c r="A4033" s="92" t="s">
        <v>1840</v>
      </c>
      <c r="B4033" s="93" t="s">
        <v>1684</v>
      </c>
      <c r="C4033" s="94"/>
      <c r="D4033" s="123">
        <f t="shared" ref="D4033:J4033" si="314">SUM(D3952:D4032)</f>
        <v>251</v>
      </c>
      <c r="E4033" s="123">
        <f t="shared" si="314"/>
        <v>122</v>
      </c>
      <c r="F4033" s="123">
        <f t="shared" si="314"/>
        <v>77</v>
      </c>
      <c r="G4033" s="123">
        <f>SUM(G3952:G4032)</f>
        <v>78</v>
      </c>
      <c r="H4033" s="123">
        <f t="shared" si="314"/>
        <v>103</v>
      </c>
      <c r="I4033" s="123">
        <f t="shared" si="314"/>
        <v>78</v>
      </c>
      <c r="J4033" s="123">
        <f t="shared" si="314"/>
        <v>97888089.3140499</v>
      </c>
      <c r="K4033" s="378"/>
      <c r="M4033" s="62">
        <f t="shared" si="311"/>
        <v>5</v>
      </c>
    </row>
    <row r="4034" spans="1:13">
      <c r="A4034" s="88" t="s">
        <v>1840</v>
      </c>
      <c r="B4034" s="97" t="s">
        <v>1199</v>
      </c>
      <c r="C4034" s="69"/>
      <c r="D4034" s="89"/>
      <c r="E4034" s="89"/>
      <c r="F4034" s="99"/>
      <c r="G4034" s="240" t="s">
        <v>243</v>
      </c>
      <c r="H4034" s="240" t="s">
        <v>4130</v>
      </c>
      <c r="I4034" s="240" t="s">
        <v>4202</v>
      </c>
      <c r="J4034" s="241" t="s">
        <v>4200</v>
      </c>
      <c r="K4034" s="375"/>
      <c r="M4034" s="62">
        <f t="shared" si="311"/>
        <v>5</v>
      </c>
    </row>
    <row r="4035" spans="1:13">
      <c r="A4035" s="88">
        <v>1</v>
      </c>
      <c r="B4035" s="69" t="s">
        <v>2786</v>
      </c>
      <c r="C4035" s="69"/>
      <c r="D4035" s="89"/>
      <c r="E4035" s="89"/>
      <c r="F4035" s="89"/>
      <c r="G4035" s="100">
        <f>J4033*0.2</f>
        <v>19577617.862809982</v>
      </c>
      <c r="H4035" s="100">
        <f>G4035*1.02</f>
        <v>19969170.220066182</v>
      </c>
      <c r="I4035" s="100">
        <f>H4035*1.02</f>
        <v>20368553.624467507</v>
      </c>
      <c r="J4035" s="100">
        <f>SUM(G4035:I4035)</f>
        <v>59915341.707343668</v>
      </c>
      <c r="K4035" s="114"/>
      <c r="M4035" s="62">
        <f t="shared" si="311"/>
        <v>5</v>
      </c>
    </row>
    <row r="4036" spans="1:13">
      <c r="A4036" s="88">
        <v>2</v>
      </c>
      <c r="B4036" s="69" t="s">
        <v>1506</v>
      </c>
      <c r="C4036" s="69"/>
      <c r="D4036" s="89"/>
      <c r="E4036" s="89"/>
      <c r="F4036" s="89"/>
      <c r="G4036" s="100">
        <f>G4035/3</f>
        <v>6525872.620936661</v>
      </c>
      <c r="H4036" s="100">
        <f>G4036*1.02</f>
        <v>6656390.0733553944</v>
      </c>
      <c r="I4036" s="100">
        <f>H4036*1.02</f>
        <v>6789517.874822502</v>
      </c>
      <c r="J4036" s="100">
        <f>SUM(G4036:I4036)</f>
        <v>19971780.569114558</v>
      </c>
      <c r="K4036" s="114"/>
      <c r="M4036" s="62">
        <f t="shared" si="311"/>
        <v>5</v>
      </c>
    </row>
    <row r="4037" spans="1:13">
      <c r="A4037" s="92" t="s">
        <v>1840</v>
      </c>
      <c r="B4037" s="93" t="s">
        <v>1684</v>
      </c>
      <c r="C4037" s="94"/>
      <c r="D4037" s="101"/>
      <c r="E4037" s="101"/>
      <c r="F4037" s="123"/>
      <c r="G4037" s="123">
        <f>SUM(G4035:G4036)</f>
        <v>26103490.483746644</v>
      </c>
      <c r="H4037" s="123">
        <f>SUM(H4035:H4036)</f>
        <v>26625560.293421578</v>
      </c>
      <c r="I4037" s="123">
        <f>SUM(I4035:I4036)</f>
        <v>27158071.499290008</v>
      </c>
      <c r="J4037" s="123">
        <f>SUM(J4035:J4036)</f>
        <v>79887122.276458234</v>
      </c>
      <c r="K4037" s="378"/>
      <c r="M4037" s="62">
        <f t="shared" si="311"/>
        <v>5</v>
      </c>
    </row>
    <row r="4038" spans="1:13">
      <c r="A4038" s="88"/>
      <c r="B4038" s="97"/>
      <c r="C4038" s="69"/>
      <c r="D4038" s="89"/>
      <c r="E4038" s="89"/>
      <c r="F4038" s="126"/>
      <c r="G4038" s="126"/>
      <c r="H4038" s="126"/>
      <c r="I4038" s="126"/>
      <c r="J4038" s="126"/>
      <c r="K4038" s="132"/>
      <c r="M4038" s="62">
        <f t="shared" si="311"/>
        <v>5</v>
      </c>
    </row>
    <row r="4039" spans="1:13">
      <c r="A4039" s="88" t="s">
        <v>1840</v>
      </c>
      <c r="B4039" s="69" t="s">
        <v>1119</v>
      </c>
      <c r="C4039" s="69"/>
      <c r="D4039" s="89"/>
      <c r="E4039" s="89"/>
      <c r="F4039" s="89"/>
      <c r="G4039" s="100">
        <f>G4037+J4033</f>
        <v>123991579.79779655</v>
      </c>
      <c r="H4039" s="100">
        <f>G4039*1.02</f>
        <v>126471411.39375249</v>
      </c>
      <c r="I4039" s="100">
        <f>H4039*1.02</f>
        <v>129000839.62162754</v>
      </c>
      <c r="J4039" s="100">
        <f>SUM(G4039:I4039)</f>
        <v>379463830.81317657</v>
      </c>
      <c r="K4039" s="114"/>
      <c r="M4039" s="62">
        <f t="shared" si="311"/>
        <v>5</v>
      </c>
    </row>
    <row r="4040" spans="1:13">
      <c r="A4040" s="88" t="s">
        <v>1840</v>
      </c>
      <c r="B4040" s="69" t="s">
        <v>3944</v>
      </c>
      <c r="C4040" s="69"/>
      <c r="D4040" s="89"/>
      <c r="E4040" s="89"/>
      <c r="F4040" s="89"/>
      <c r="G4040" s="89">
        <f>C4075</f>
        <v>238300000</v>
      </c>
      <c r="H4040" s="89">
        <f>D4075</f>
        <v>418700000</v>
      </c>
      <c r="I4040" s="89">
        <f>E4075</f>
        <v>468700000</v>
      </c>
      <c r="J4040" s="100">
        <f>SUM(G4040:I4040)</f>
        <v>1125700000</v>
      </c>
      <c r="K4040" s="114"/>
      <c r="M4040" s="62">
        <f t="shared" si="311"/>
        <v>5</v>
      </c>
    </row>
    <row r="4041" spans="1:13">
      <c r="A4041" s="92" t="s">
        <v>1840</v>
      </c>
      <c r="B4041" s="93" t="s">
        <v>2843</v>
      </c>
      <c r="C4041" s="94"/>
      <c r="D4041" s="101"/>
      <c r="E4041" s="101"/>
      <c r="F4041" s="123"/>
      <c r="G4041" s="123">
        <f>SUM(G4039:G4040)</f>
        <v>362291579.79779655</v>
      </c>
      <c r="H4041" s="123">
        <f>SUM(H4039:H4040)</f>
        <v>545171411.39375246</v>
      </c>
      <c r="I4041" s="123">
        <f>SUM(I4039:I4040)</f>
        <v>597700839.62162757</v>
      </c>
      <c r="J4041" s="123">
        <f>SUM(J4039:J4040)</f>
        <v>1505163830.8131766</v>
      </c>
      <c r="K4041" s="378"/>
      <c r="M4041" s="62">
        <f t="shared" si="311"/>
        <v>5</v>
      </c>
    </row>
    <row r="4042" spans="1:13">
      <c r="D4042" s="62"/>
      <c r="E4042" s="62"/>
      <c r="F4042" s="62"/>
      <c r="G4042" s="62"/>
      <c r="H4042" s="62"/>
      <c r="I4042" s="62"/>
    </row>
    <row r="4043" spans="1:13" ht="15">
      <c r="C4043" s="77"/>
      <c r="D4043" s="78" t="s">
        <v>5434</v>
      </c>
      <c r="J4043" s="584"/>
      <c r="K4043" s="584"/>
      <c r="M4043" s="62">
        <f t="shared" si="311"/>
        <v>5</v>
      </c>
    </row>
    <row r="4044" spans="1:13" ht="15">
      <c r="C4044" s="77"/>
      <c r="D4044" s="78" t="s">
        <v>716</v>
      </c>
      <c r="J4044" s="584"/>
      <c r="K4044" s="584"/>
      <c r="M4044" s="62">
        <f t="shared" si="311"/>
        <v>5</v>
      </c>
    </row>
    <row r="4045" spans="1:13" ht="15">
      <c r="C4045" s="79" t="s">
        <v>717</v>
      </c>
      <c r="D4045" s="78" t="s">
        <v>1274</v>
      </c>
      <c r="J4045" s="584"/>
      <c r="K4045" s="584"/>
      <c r="M4045" s="62">
        <f t="shared" si="311"/>
        <v>3</v>
      </c>
    </row>
    <row r="4046" spans="1:13" ht="15">
      <c r="C4046" s="79" t="s">
        <v>718</v>
      </c>
      <c r="D4046" s="78" t="s">
        <v>1275</v>
      </c>
      <c r="J4046" s="584"/>
      <c r="K4046" s="584"/>
      <c r="M4046" s="62">
        <f t="shared" si="311"/>
        <v>3</v>
      </c>
    </row>
    <row r="4047" spans="1:13" ht="15">
      <c r="A4047" s="634" t="s">
        <v>1839</v>
      </c>
      <c r="B4047" s="635" t="s">
        <v>903</v>
      </c>
      <c r="C4047" s="1037" t="s">
        <v>4127</v>
      </c>
      <c r="D4047" s="1038"/>
      <c r="E4047" s="1039"/>
      <c r="F4047" s="635" t="s">
        <v>1684</v>
      </c>
      <c r="G4047" s="1037" t="s">
        <v>4132</v>
      </c>
      <c r="H4047" s="1038"/>
      <c r="I4047" s="1039"/>
      <c r="J4047" s="726"/>
      <c r="K4047" s="727"/>
    </row>
    <row r="4048" spans="1:13">
      <c r="A4048" s="636" t="s">
        <v>1620</v>
      </c>
      <c r="B4048" s="637"/>
      <c r="C4048" s="635" t="s">
        <v>1841</v>
      </c>
      <c r="D4048" s="635" t="s">
        <v>4133</v>
      </c>
      <c r="E4048" s="635" t="s">
        <v>4133</v>
      </c>
      <c r="F4048" s="1056" t="s">
        <v>4200</v>
      </c>
      <c r="G4048" s="634" t="s">
        <v>4135</v>
      </c>
      <c r="H4048" s="1051" t="s">
        <v>4182</v>
      </c>
      <c r="I4048" s="634" t="s">
        <v>4135</v>
      </c>
      <c r="J4048" s="728" t="s">
        <v>4136</v>
      </c>
      <c r="K4048" s="727"/>
    </row>
    <row r="4049" spans="1:13" ht="12.75" customHeight="1">
      <c r="A4049" s="638" t="s">
        <v>387</v>
      </c>
      <c r="B4049" s="639"/>
      <c r="C4049" s="638">
        <v>2015</v>
      </c>
      <c r="D4049" s="638">
        <v>2016</v>
      </c>
      <c r="E4049" s="638">
        <v>2017</v>
      </c>
      <c r="F4049" s="1057"/>
      <c r="G4049" s="638" t="s">
        <v>4304</v>
      </c>
      <c r="H4049" s="1052"/>
      <c r="I4049" s="638" t="s">
        <v>4303</v>
      </c>
      <c r="J4049" s="639"/>
      <c r="K4049" s="729"/>
    </row>
    <row r="4050" spans="1:13">
      <c r="A4050" s="768"/>
      <c r="B4050" s="768"/>
      <c r="C4050" s="751"/>
      <c r="D4050" s="751"/>
      <c r="E4050" s="751"/>
      <c r="F4050" s="751"/>
      <c r="G4050" s="751"/>
      <c r="H4050" s="751"/>
      <c r="I4050" s="751"/>
      <c r="J4050" s="751"/>
      <c r="K4050" s="754"/>
      <c r="M4050" s="62" t="e">
        <f>IF(#REF!&gt;6,3,5)</f>
        <v>#REF!</v>
      </c>
    </row>
    <row r="4051" spans="1:13">
      <c r="A4051" s="768">
        <v>2</v>
      </c>
      <c r="B4051" s="768" t="s">
        <v>2722</v>
      </c>
      <c r="C4051" s="751">
        <v>4000000</v>
      </c>
      <c r="D4051" s="751">
        <v>3000000</v>
      </c>
      <c r="E4051" s="751">
        <v>3000000</v>
      </c>
      <c r="F4051" s="751">
        <f>SUM(C4051:E4051)</f>
        <v>10000000</v>
      </c>
      <c r="G4051" s="751">
        <v>1810000</v>
      </c>
      <c r="H4051" s="751">
        <v>4000000</v>
      </c>
      <c r="I4051" s="751">
        <v>1774000</v>
      </c>
      <c r="J4051" s="751">
        <v>1774000</v>
      </c>
      <c r="K4051" s="754"/>
      <c r="M4051" s="62" t="e">
        <f>IF(#REF!&gt;6,3,5)</f>
        <v>#REF!</v>
      </c>
    </row>
    <row r="4052" spans="1:13">
      <c r="A4052" s="768">
        <f t="shared" ref="A4052:A4073" si="315">+A4051+1</f>
        <v>3</v>
      </c>
      <c r="B4052" s="768" t="s">
        <v>1696</v>
      </c>
      <c r="C4052" s="751" t="s">
        <v>3007</v>
      </c>
      <c r="D4052" s="751">
        <v>300000</v>
      </c>
      <c r="E4052" s="751">
        <v>300000</v>
      </c>
      <c r="F4052" s="751">
        <f t="shared" ref="F4052:F4071" si="316">SUM(C4052:E4052)</f>
        <v>600000</v>
      </c>
      <c r="G4052" s="751"/>
      <c r="H4052" s="751" t="s">
        <v>3007</v>
      </c>
      <c r="I4052" s="751"/>
      <c r="J4052" s="751"/>
      <c r="K4052" s="754"/>
      <c r="M4052" s="62" t="e">
        <f>IF(#REF!&gt;6,3,5)</f>
        <v>#REF!</v>
      </c>
    </row>
    <row r="4053" spans="1:13">
      <c r="A4053" s="768">
        <f t="shared" si="315"/>
        <v>4</v>
      </c>
      <c r="B4053" s="768" t="s">
        <v>1701</v>
      </c>
      <c r="C4053" s="751" t="s">
        <v>3007</v>
      </c>
      <c r="D4053" s="751" t="s">
        <v>3007</v>
      </c>
      <c r="E4053" s="751" t="s">
        <v>3007</v>
      </c>
      <c r="F4053" s="751">
        <f t="shared" si="316"/>
        <v>0</v>
      </c>
      <c r="G4053" s="751"/>
      <c r="H4053" s="751" t="s">
        <v>3007</v>
      </c>
      <c r="I4053" s="751"/>
      <c r="J4053" s="751"/>
      <c r="K4053" s="754"/>
      <c r="M4053" s="62" t="e">
        <f>IF(#REF!&gt;6,3,5)</f>
        <v>#REF!</v>
      </c>
    </row>
    <row r="4054" spans="1:13">
      <c r="A4054" s="768">
        <f t="shared" si="315"/>
        <v>5</v>
      </c>
      <c r="B4054" s="768" t="s">
        <v>2723</v>
      </c>
      <c r="C4054" s="751">
        <v>2000000</v>
      </c>
      <c r="D4054" s="751">
        <v>2000000</v>
      </c>
      <c r="E4054" s="751">
        <v>2000000</v>
      </c>
      <c r="F4054" s="751">
        <f t="shared" si="316"/>
        <v>6000000</v>
      </c>
      <c r="G4054" s="751"/>
      <c r="H4054" s="751">
        <v>500000</v>
      </c>
      <c r="I4054" s="751"/>
      <c r="J4054" s="751"/>
      <c r="K4054" s="754"/>
      <c r="M4054" s="62" t="e">
        <f>IF(#REF!&gt;6,3,5)</f>
        <v>#REF!</v>
      </c>
    </row>
    <row r="4055" spans="1:13" ht="25.5">
      <c r="A4055" s="768">
        <f t="shared" si="315"/>
        <v>6</v>
      </c>
      <c r="B4055" s="773" t="s">
        <v>1072</v>
      </c>
      <c r="C4055" s="751">
        <v>1000000</v>
      </c>
      <c r="D4055" s="751">
        <v>500000</v>
      </c>
      <c r="E4055" s="751">
        <v>500000</v>
      </c>
      <c r="F4055" s="751">
        <f t="shared" si="316"/>
        <v>2000000</v>
      </c>
      <c r="G4055" s="751"/>
      <c r="H4055" s="751">
        <v>500000</v>
      </c>
      <c r="I4055" s="751"/>
      <c r="J4055" s="751"/>
      <c r="K4055" s="754"/>
      <c r="M4055" s="62" t="e">
        <f>IF(#REF!&gt;6,3,5)</f>
        <v>#REF!</v>
      </c>
    </row>
    <row r="4056" spans="1:13">
      <c r="A4056" s="768">
        <f t="shared" si="315"/>
        <v>7</v>
      </c>
      <c r="B4056" s="773" t="s">
        <v>2975</v>
      </c>
      <c r="C4056" s="751">
        <v>2000000</v>
      </c>
      <c r="D4056" s="751">
        <v>2500000</v>
      </c>
      <c r="E4056" s="751">
        <v>2500000</v>
      </c>
      <c r="F4056" s="751">
        <f t="shared" si="316"/>
        <v>7000000</v>
      </c>
      <c r="G4056" s="751">
        <v>950000</v>
      </c>
      <c r="H4056" s="751">
        <v>2000000</v>
      </c>
      <c r="I4056" s="751">
        <v>780000</v>
      </c>
      <c r="J4056" s="751">
        <v>780000</v>
      </c>
      <c r="K4056" s="754"/>
      <c r="M4056" s="62" t="e">
        <f>IF(#REF!&gt;6,3,5)</f>
        <v>#REF!</v>
      </c>
    </row>
    <row r="4057" spans="1:13">
      <c r="A4057" s="768">
        <f t="shared" si="315"/>
        <v>8</v>
      </c>
      <c r="B4057" s="768" t="s">
        <v>1385</v>
      </c>
      <c r="C4057" s="751" t="s">
        <v>1386</v>
      </c>
      <c r="D4057" s="751">
        <v>0</v>
      </c>
      <c r="E4057" s="751">
        <v>0</v>
      </c>
      <c r="F4057" s="751">
        <f t="shared" si="316"/>
        <v>0</v>
      </c>
      <c r="G4057" s="751"/>
      <c r="H4057" s="751" t="s">
        <v>1386</v>
      </c>
      <c r="I4057" s="751"/>
      <c r="J4057" s="751"/>
      <c r="K4057" s="754"/>
      <c r="M4057" s="62" t="e">
        <f>IF(#REF!&gt;6,3,5)</f>
        <v>#REF!</v>
      </c>
    </row>
    <row r="4058" spans="1:13">
      <c r="A4058" s="768">
        <f t="shared" si="315"/>
        <v>9</v>
      </c>
      <c r="B4058" s="768" t="s">
        <v>755</v>
      </c>
      <c r="C4058" s="751" t="s">
        <v>1386</v>
      </c>
      <c r="D4058" s="751">
        <v>0</v>
      </c>
      <c r="E4058" s="751">
        <v>0</v>
      </c>
      <c r="F4058" s="751">
        <f t="shared" si="316"/>
        <v>0</v>
      </c>
      <c r="G4058" s="751"/>
      <c r="H4058" s="751" t="s">
        <v>1386</v>
      </c>
      <c r="I4058" s="751"/>
      <c r="J4058" s="751"/>
      <c r="K4058" s="754"/>
      <c r="M4058" s="62" t="e">
        <f>IF(#REF!&gt;6,3,5)</f>
        <v>#REF!</v>
      </c>
    </row>
    <row r="4059" spans="1:13" ht="25.5">
      <c r="A4059" s="768">
        <f t="shared" si="315"/>
        <v>10</v>
      </c>
      <c r="B4059" s="773" t="s">
        <v>1790</v>
      </c>
      <c r="C4059" s="751">
        <v>2000000</v>
      </c>
      <c r="D4059" s="751">
        <v>2000000</v>
      </c>
      <c r="E4059" s="751">
        <v>2000000</v>
      </c>
      <c r="F4059" s="751">
        <f t="shared" si="316"/>
        <v>6000000</v>
      </c>
      <c r="G4059" s="751"/>
      <c r="H4059" s="751">
        <v>500000</v>
      </c>
      <c r="I4059" s="751"/>
      <c r="J4059" s="751"/>
      <c r="K4059" s="754"/>
      <c r="M4059" s="62" t="e">
        <f>IF(#REF!&gt;6,3,5)</f>
        <v>#REF!</v>
      </c>
    </row>
    <row r="4060" spans="1:13" ht="25.5">
      <c r="A4060" s="768">
        <f t="shared" si="315"/>
        <v>11</v>
      </c>
      <c r="B4060" s="773" t="s">
        <v>764</v>
      </c>
      <c r="C4060" s="751">
        <v>100000</v>
      </c>
      <c r="D4060" s="751">
        <v>200000</v>
      </c>
      <c r="E4060" s="751">
        <v>200000</v>
      </c>
      <c r="F4060" s="751">
        <f t="shared" si="316"/>
        <v>500000</v>
      </c>
      <c r="G4060" s="751">
        <v>12500</v>
      </c>
      <c r="H4060" s="751">
        <v>100000</v>
      </c>
      <c r="I4060" s="751">
        <v>0</v>
      </c>
      <c r="J4060" s="751">
        <v>0</v>
      </c>
      <c r="K4060" s="754"/>
      <c r="M4060" s="62" t="e">
        <f>IF(#REF!&gt;6,3,5)</f>
        <v>#REF!</v>
      </c>
    </row>
    <row r="4061" spans="1:13">
      <c r="A4061" s="768">
        <f t="shared" si="315"/>
        <v>12</v>
      </c>
      <c r="B4061" s="768" t="s">
        <v>895</v>
      </c>
      <c r="C4061" s="751">
        <v>4000000</v>
      </c>
      <c r="D4061" s="751">
        <v>4000000</v>
      </c>
      <c r="E4061" s="751">
        <v>4000000</v>
      </c>
      <c r="F4061" s="751">
        <f t="shared" si="316"/>
        <v>12000000</v>
      </c>
      <c r="G4061" s="751">
        <v>1063000</v>
      </c>
      <c r="H4061" s="751">
        <v>3500000</v>
      </c>
      <c r="I4061" s="751">
        <v>1339364</v>
      </c>
      <c r="J4061" s="751">
        <v>1339364</v>
      </c>
      <c r="K4061" s="754"/>
      <c r="M4061" s="62" t="e">
        <f>IF(#REF!&gt;6,3,5)</f>
        <v>#REF!</v>
      </c>
    </row>
    <row r="4062" spans="1:13">
      <c r="A4062" s="768">
        <f t="shared" si="315"/>
        <v>13</v>
      </c>
      <c r="B4062" s="768" t="s">
        <v>2249</v>
      </c>
      <c r="C4062" s="751">
        <v>200000</v>
      </c>
      <c r="D4062" s="751">
        <v>200000</v>
      </c>
      <c r="E4062" s="751">
        <v>200000</v>
      </c>
      <c r="F4062" s="751">
        <f t="shared" si="316"/>
        <v>600000</v>
      </c>
      <c r="G4062" s="751"/>
      <c r="H4062" s="751">
        <v>100000</v>
      </c>
      <c r="I4062" s="751"/>
      <c r="J4062" s="751"/>
      <c r="K4062" s="754"/>
      <c r="M4062" s="62" t="e">
        <f>IF(#REF!&gt;6,3,5)</f>
        <v>#REF!</v>
      </c>
    </row>
    <row r="4063" spans="1:13">
      <c r="A4063" s="768">
        <f t="shared" si="315"/>
        <v>14</v>
      </c>
      <c r="B4063" s="768" t="s">
        <v>756</v>
      </c>
      <c r="C4063" s="751">
        <v>4000000</v>
      </c>
      <c r="D4063" s="751">
        <v>2000000</v>
      </c>
      <c r="E4063" s="751">
        <v>2000000</v>
      </c>
      <c r="F4063" s="751">
        <f t="shared" si="316"/>
        <v>8000000</v>
      </c>
      <c r="G4063" s="751">
        <v>781500</v>
      </c>
      <c r="H4063" s="751">
        <v>2000000</v>
      </c>
      <c r="I4063" s="751">
        <v>1202000</v>
      </c>
      <c r="J4063" s="751">
        <v>1202000</v>
      </c>
      <c r="K4063" s="754"/>
      <c r="M4063" s="62" t="e">
        <f>IF(#REF!&gt;6,3,5)</f>
        <v>#REF!</v>
      </c>
    </row>
    <row r="4064" spans="1:13">
      <c r="A4064" s="768">
        <f t="shared" si="315"/>
        <v>15</v>
      </c>
      <c r="B4064" s="768" t="s">
        <v>2415</v>
      </c>
      <c r="C4064" s="751" t="s">
        <v>3007</v>
      </c>
      <c r="D4064" s="751" t="s">
        <v>3007</v>
      </c>
      <c r="E4064" s="751" t="s">
        <v>3007</v>
      </c>
      <c r="F4064" s="751">
        <f t="shared" si="316"/>
        <v>0</v>
      </c>
      <c r="G4064" s="751"/>
      <c r="H4064" s="751" t="s">
        <v>3007</v>
      </c>
      <c r="I4064" s="751"/>
      <c r="J4064" s="751"/>
      <c r="K4064" s="754"/>
      <c r="M4064" s="62" t="e">
        <f>IF(#REF!&gt;6,3,5)</f>
        <v>#REF!</v>
      </c>
    </row>
    <row r="4065" spans="1:13">
      <c r="A4065" s="768">
        <f t="shared" si="315"/>
        <v>16</v>
      </c>
      <c r="B4065" s="768" t="s">
        <v>3149</v>
      </c>
      <c r="C4065" s="751">
        <v>7000000</v>
      </c>
      <c r="D4065" s="751">
        <v>7000000</v>
      </c>
      <c r="E4065" s="751">
        <v>7000000</v>
      </c>
      <c r="F4065" s="751">
        <f t="shared" si="316"/>
        <v>21000000</v>
      </c>
      <c r="G4065" s="751">
        <v>1832000</v>
      </c>
      <c r="H4065" s="751">
        <v>4000000</v>
      </c>
      <c r="I4065" s="751">
        <v>1815000</v>
      </c>
      <c r="J4065" s="751">
        <v>1815000</v>
      </c>
      <c r="K4065" s="754"/>
      <c r="M4065" s="62" t="e">
        <f>IF(#REF!&gt;6,3,5)</f>
        <v>#REF!</v>
      </c>
    </row>
    <row r="4066" spans="1:13" ht="25.5">
      <c r="A4066" s="768">
        <f t="shared" si="315"/>
        <v>17</v>
      </c>
      <c r="B4066" s="773" t="s">
        <v>4044</v>
      </c>
      <c r="C4066" s="751">
        <v>22000000</v>
      </c>
      <c r="D4066" s="751">
        <v>22000000</v>
      </c>
      <c r="E4066" s="751">
        <v>22000000</v>
      </c>
      <c r="F4066" s="751">
        <f t="shared" si="316"/>
        <v>66000000</v>
      </c>
      <c r="G4066" s="751">
        <v>9819000</v>
      </c>
      <c r="H4066" s="751">
        <v>15000000</v>
      </c>
      <c r="I4066" s="751">
        <v>10000000</v>
      </c>
      <c r="J4066" s="751">
        <v>10000000</v>
      </c>
      <c r="K4066" s="754"/>
      <c r="M4066" s="62" t="e">
        <f>IF(#REF!&gt;6,3,5)</f>
        <v>#REF!</v>
      </c>
    </row>
    <row r="4067" spans="1:13">
      <c r="A4067" s="768">
        <f t="shared" si="315"/>
        <v>18</v>
      </c>
      <c r="B4067" s="768" t="s">
        <v>2202</v>
      </c>
      <c r="C4067" s="751">
        <v>12000000</v>
      </c>
      <c r="D4067" s="751">
        <v>12000000</v>
      </c>
      <c r="E4067" s="751">
        <v>12000000</v>
      </c>
      <c r="F4067" s="751">
        <f t="shared" si="316"/>
        <v>36000000</v>
      </c>
      <c r="G4067" s="751">
        <v>6000000</v>
      </c>
      <c r="H4067" s="751">
        <v>15000000</v>
      </c>
      <c r="I4067" s="751">
        <v>6000000</v>
      </c>
      <c r="J4067" s="751">
        <v>6000000</v>
      </c>
      <c r="K4067" s="754"/>
      <c r="M4067" s="62" t="e">
        <f>IF(#REF!&gt;6,3,5)</f>
        <v>#REF!</v>
      </c>
    </row>
    <row r="4068" spans="1:13">
      <c r="A4068" s="768">
        <f t="shared" si="315"/>
        <v>19</v>
      </c>
      <c r="B4068" s="773" t="s">
        <v>3953</v>
      </c>
      <c r="C4068" s="751">
        <v>1000000</v>
      </c>
      <c r="D4068" s="751">
        <v>1000000</v>
      </c>
      <c r="E4068" s="751">
        <v>1000000</v>
      </c>
      <c r="F4068" s="751">
        <f t="shared" si="316"/>
        <v>3000000</v>
      </c>
      <c r="G4068" s="751"/>
      <c r="H4068" s="751">
        <v>1000000</v>
      </c>
      <c r="I4068" s="751">
        <v>450000</v>
      </c>
      <c r="J4068" s="751">
        <v>450000</v>
      </c>
      <c r="K4068" s="754"/>
      <c r="M4068" s="62" t="e">
        <f>IF(#REF!&gt;6,3,5)</f>
        <v>#REF!</v>
      </c>
    </row>
    <row r="4069" spans="1:13" ht="25.5">
      <c r="A4069" s="768">
        <f t="shared" si="315"/>
        <v>20</v>
      </c>
      <c r="B4069" s="773" t="s">
        <v>1103</v>
      </c>
      <c r="C4069" s="751">
        <v>10000000</v>
      </c>
      <c r="D4069" s="751">
        <v>10000000</v>
      </c>
      <c r="E4069" s="751">
        <v>10000000</v>
      </c>
      <c r="F4069" s="751">
        <f t="shared" si="316"/>
        <v>30000000</v>
      </c>
      <c r="G4069" s="751"/>
      <c r="H4069" s="751">
        <v>4000000</v>
      </c>
      <c r="I4069" s="751"/>
      <c r="J4069" s="751"/>
      <c r="K4069" s="754"/>
      <c r="M4069" s="62" t="e">
        <f>IF(#REF!&gt;6,3,5)</f>
        <v>#REF!</v>
      </c>
    </row>
    <row r="4070" spans="1:13">
      <c r="A4070" s="768">
        <f t="shared" si="315"/>
        <v>21</v>
      </c>
      <c r="B4070" s="768" t="s">
        <v>3701</v>
      </c>
      <c r="C4070" s="751">
        <v>30000000</v>
      </c>
      <c r="D4070" s="751">
        <v>40000000</v>
      </c>
      <c r="E4070" s="751">
        <v>40000000</v>
      </c>
      <c r="F4070" s="751">
        <f t="shared" si="316"/>
        <v>110000000</v>
      </c>
      <c r="G4070" s="751"/>
      <c r="H4070" s="751">
        <v>20000000</v>
      </c>
      <c r="I4070" s="751"/>
      <c r="J4070" s="751"/>
      <c r="K4070" s="754"/>
      <c r="M4070" s="62" t="e">
        <f>IF(#REF!&gt;6,3,5)</f>
        <v>#REF!</v>
      </c>
    </row>
    <row r="4071" spans="1:13">
      <c r="A4071" s="768">
        <f t="shared" si="315"/>
        <v>22</v>
      </c>
      <c r="B4071" s="768" t="s">
        <v>3702</v>
      </c>
      <c r="C4071" s="751">
        <v>22000000</v>
      </c>
      <c r="D4071" s="751">
        <v>25000000</v>
      </c>
      <c r="E4071" s="751">
        <v>25000000</v>
      </c>
      <c r="F4071" s="751">
        <f t="shared" si="316"/>
        <v>72000000</v>
      </c>
      <c r="G4071" s="751"/>
      <c r="H4071" s="751">
        <v>5000000</v>
      </c>
      <c r="I4071" s="751"/>
      <c r="J4071" s="751"/>
      <c r="K4071" s="754"/>
      <c r="M4071" s="62" t="e">
        <f>IF(#REF!&gt;6,3,5)</f>
        <v>#REF!</v>
      </c>
    </row>
    <row r="4072" spans="1:13">
      <c r="A4072" s="768">
        <f t="shared" si="315"/>
        <v>23</v>
      </c>
      <c r="B4072" s="768" t="s">
        <v>3508</v>
      </c>
      <c r="C4072" s="751">
        <v>15000000</v>
      </c>
      <c r="D4072" s="751">
        <v>35000000</v>
      </c>
      <c r="E4072" s="751">
        <v>35000000</v>
      </c>
      <c r="F4072" s="751">
        <f>SUM(C4072:E4072)</f>
        <v>85000000</v>
      </c>
      <c r="G4072" s="751"/>
      <c r="H4072" s="751">
        <v>30000000</v>
      </c>
      <c r="I4072" s="751"/>
      <c r="J4072" s="751"/>
      <c r="K4072" s="754"/>
      <c r="M4072" s="62" t="e">
        <f>IF(#REF!&gt;6,3,5)</f>
        <v>#REF!</v>
      </c>
    </row>
    <row r="4073" spans="1:13">
      <c r="A4073" s="768">
        <f t="shared" si="315"/>
        <v>24</v>
      </c>
      <c r="B4073" s="768" t="s">
        <v>4192</v>
      </c>
      <c r="C4073" s="751">
        <v>100000000</v>
      </c>
      <c r="D4073" s="751">
        <v>250000000</v>
      </c>
      <c r="E4073" s="751">
        <v>300000000</v>
      </c>
      <c r="F4073" s="751">
        <f>SUM(C4073:E4073)</f>
        <v>650000000</v>
      </c>
      <c r="G4073" s="751"/>
      <c r="H4073" s="751">
        <v>200000000</v>
      </c>
      <c r="I4073" s="751"/>
      <c r="J4073" s="751"/>
      <c r="K4073" s="754"/>
    </row>
    <row r="4074" spans="1:13">
      <c r="A4074" s="768"/>
      <c r="B4074" s="768"/>
      <c r="C4074" s="751"/>
      <c r="D4074" s="751"/>
      <c r="E4074" s="751"/>
      <c r="F4074" s="751"/>
      <c r="G4074" s="751"/>
      <c r="H4074" s="751"/>
      <c r="I4074" s="751"/>
      <c r="J4074" s="751"/>
      <c r="K4074" s="754"/>
      <c r="M4074" s="62" t="e">
        <f>IF(#REF!&gt;6,3,5)</f>
        <v>#REF!</v>
      </c>
    </row>
    <row r="4075" spans="1:13">
      <c r="A4075" s="811"/>
      <c r="B4075" s="812" t="s">
        <v>1684</v>
      </c>
      <c r="C4075" s="739">
        <f t="shared" ref="C4075:I4075" si="317">SUM(C4050:C4074)</f>
        <v>238300000</v>
      </c>
      <c r="D4075" s="739">
        <f t="shared" si="317"/>
        <v>418700000</v>
      </c>
      <c r="E4075" s="739">
        <f t="shared" si="317"/>
        <v>468700000</v>
      </c>
      <c r="F4075" s="739">
        <f t="shared" si="317"/>
        <v>1125700000</v>
      </c>
      <c r="G4075" s="739">
        <f>SUM(G4050:G4074)</f>
        <v>22268000</v>
      </c>
      <c r="H4075" s="739">
        <f t="shared" si="317"/>
        <v>307200000</v>
      </c>
      <c r="I4075" s="739">
        <f t="shared" si="317"/>
        <v>23360364</v>
      </c>
      <c r="J4075" s="739"/>
      <c r="K4075" s="740"/>
      <c r="M4075" s="62" t="e">
        <f>IF(#REF!&gt;6,3,5)</f>
        <v>#REF!</v>
      </c>
    </row>
    <row r="4076" spans="1:13" ht="15">
      <c r="B4076" s="183"/>
      <c r="C4076" s="77"/>
      <c r="D4076" s="78" t="s">
        <v>5434</v>
      </c>
      <c r="J4076" s="584"/>
      <c r="K4076" s="584"/>
      <c r="M4076" s="62">
        <f t="shared" ref="M4076:M4127" si="318">IF(C4076&gt;6,3,5)</f>
        <v>5</v>
      </c>
    </row>
    <row r="4077" spans="1:13" ht="15">
      <c r="C4077" s="77"/>
      <c r="D4077" s="78" t="s">
        <v>1693</v>
      </c>
      <c r="J4077" s="584"/>
      <c r="K4077" s="584"/>
      <c r="M4077" s="62">
        <f t="shared" si="318"/>
        <v>5</v>
      </c>
    </row>
    <row r="4078" spans="1:13" ht="15">
      <c r="C4078" s="79" t="s">
        <v>717</v>
      </c>
      <c r="D4078" s="78" t="s">
        <v>15</v>
      </c>
      <c r="J4078" s="584"/>
      <c r="K4078" s="584"/>
      <c r="M4078" s="62">
        <f t="shared" si="318"/>
        <v>3</v>
      </c>
    </row>
    <row r="4079" spans="1:13" ht="15.75" thickBot="1">
      <c r="C4079" s="79" t="s">
        <v>718</v>
      </c>
      <c r="D4079" s="78" t="s">
        <v>16</v>
      </c>
      <c r="J4079" s="584"/>
      <c r="K4079" s="584"/>
      <c r="M4079" s="62">
        <f t="shared" si="318"/>
        <v>3</v>
      </c>
    </row>
    <row r="4080" spans="1:13" ht="15.75" thickTop="1">
      <c r="A4080" s="1047" t="s">
        <v>2791</v>
      </c>
      <c r="B4080" s="1049" t="s">
        <v>4126</v>
      </c>
      <c r="C4080" s="1049" t="s">
        <v>854</v>
      </c>
      <c r="D4080" s="1040" t="s">
        <v>4127</v>
      </c>
      <c r="E4080" s="1041"/>
      <c r="F4080" s="1041"/>
      <c r="G4080" s="1040" t="s">
        <v>904</v>
      </c>
      <c r="H4080" s="1041"/>
      <c r="I4080" s="1042"/>
      <c r="J4080" s="1035" t="s">
        <v>855</v>
      </c>
      <c r="K4080" s="389"/>
    </row>
    <row r="4081" spans="1:13" ht="26.25" thickBot="1">
      <c r="A4081" s="1048"/>
      <c r="B4081" s="1050"/>
      <c r="C4081" s="1050"/>
      <c r="D4081" s="285" t="s">
        <v>5505</v>
      </c>
      <c r="E4081" s="285" t="s">
        <v>4485</v>
      </c>
      <c r="F4081" s="285" t="s">
        <v>4486</v>
      </c>
      <c r="G4081" s="287" t="s">
        <v>4487</v>
      </c>
      <c r="H4081" s="285" t="s">
        <v>4488</v>
      </c>
      <c r="I4081" s="287" t="s">
        <v>4489</v>
      </c>
      <c r="J4081" s="1036"/>
      <c r="K4081" s="712"/>
    </row>
    <row r="4082" spans="1:13" ht="13.5" thickTop="1">
      <c r="A4082" s="88" t="s">
        <v>1840</v>
      </c>
      <c r="B4082" s="90" t="s">
        <v>1893</v>
      </c>
      <c r="C4082" s="69"/>
      <c r="D4082" s="89"/>
      <c r="E4082" s="89"/>
      <c r="F4082" s="89"/>
      <c r="G4082" s="89"/>
      <c r="H4082" s="89"/>
      <c r="I4082" s="89"/>
      <c r="J4082" s="713"/>
      <c r="K4082" s="711"/>
      <c r="M4082" s="62">
        <f t="shared" si="318"/>
        <v>5</v>
      </c>
    </row>
    <row r="4083" spans="1:13">
      <c r="A4083" s="88">
        <v>1</v>
      </c>
      <c r="B4083" s="69" t="s">
        <v>2443</v>
      </c>
      <c r="C4083" s="69">
        <v>6</v>
      </c>
      <c r="D4083" s="89">
        <v>0</v>
      </c>
      <c r="E4083" s="89">
        <v>6</v>
      </c>
      <c r="F4083" s="89">
        <v>0</v>
      </c>
      <c r="G4083" s="89">
        <v>0</v>
      </c>
      <c r="H4083" s="89">
        <v>1</v>
      </c>
      <c r="I4083" s="89">
        <v>0</v>
      </c>
      <c r="J4083" s="710">
        <f>(VLOOKUP($C4083,[2]Sheet1!$A$2:$P$18,$M4083+1)/12)*12*D4083</f>
        <v>0</v>
      </c>
      <c r="K4083" s="711"/>
      <c r="M4083" s="62">
        <f t="shared" si="318"/>
        <v>5</v>
      </c>
    </row>
    <row r="4084" spans="1:13">
      <c r="A4084" s="88">
        <f t="shared" ref="A4084:A4125" si="319">+A4083+1</f>
        <v>2</v>
      </c>
      <c r="B4084" s="69" t="s">
        <v>3796</v>
      </c>
      <c r="C4084" s="69">
        <v>5</v>
      </c>
      <c r="D4084" s="89">
        <v>0</v>
      </c>
      <c r="E4084" s="89">
        <v>0</v>
      </c>
      <c r="F4084" s="89">
        <v>0</v>
      </c>
      <c r="G4084" s="89">
        <v>0</v>
      </c>
      <c r="H4084" s="89">
        <v>0</v>
      </c>
      <c r="I4084" s="89">
        <v>0</v>
      </c>
      <c r="J4084" s="710">
        <f>(VLOOKUP($C4084,[2]Sheet1!$A$2:$P$18,$M4084+1)/12)*12*D4084</f>
        <v>0</v>
      </c>
      <c r="K4084" s="711"/>
      <c r="M4084" s="62">
        <f t="shared" si="318"/>
        <v>5</v>
      </c>
    </row>
    <row r="4085" spans="1:13">
      <c r="A4085" s="88">
        <f t="shared" si="319"/>
        <v>3</v>
      </c>
      <c r="B4085" s="69" t="s">
        <v>3797</v>
      </c>
      <c r="C4085" s="69">
        <v>4</v>
      </c>
      <c r="D4085" s="89">
        <v>0</v>
      </c>
      <c r="E4085" s="89">
        <v>0</v>
      </c>
      <c r="F4085" s="89">
        <v>0</v>
      </c>
      <c r="G4085" s="89">
        <v>0</v>
      </c>
      <c r="H4085" s="89">
        <v>0</v>
      </c>
      <c r="I4085" s="89">
        <v>0</v>
      </c>
      <c r="J4085" s="710">
        <f>(VLOOKUP($C4085,[2]Sheet1!$A$2:$P$18,$M4085+1)/12)*12*D4085</f>
        <v>0</v>
      </c>
      <c r="K4085" s="711"/>
      <c r="M4085" s="62">
        <f t="shared" si="318"/>
        <v>5</v>
      </c>
    </row>
    <row r="4086" spans="1:13">
      <c r="A4086" s="88">
        <f t="shared" si="319"/>
        <v>4</v>
      </c>
      <c r="B4086" s="69" t="s">
        <v>17</v>
      </c>
      <c r="C4086" s="69">
        <v>7</v>
      </c>
      <c r="D4086" s="89">
        <v>1</v>
      </c>
      <c r="E4086" s="89">
        <v>2</v>
      </c>
      <c r="F4086" s="89">
        <v>1</v>
      </c>
      <c r="G4086" s="89">
        <v>1</v>
      </c>
      <c r="H4086" s="89">
        <v>1</v>
      </c>
      <c r="I4086" s="89">
        <v>1</v>
      </c>
      <c r="J4086" s="710">
        <f>(VLOOKUP($C4086,[2]Sheet1!$A$2:$P$18,$M4086+1)/12)*12*D4086</f>
        <v>307706.70240000007</v>
      </c>
      <c r="K4086" s="711"/>
      <c r="M4086" s="62">
        <f t="shared" si="318"/>
        <v>3</v>
      </c>
    </row>
    <row r="4087" spans="1:13">
      <c r="A4087" s="88">
        <f t="shared" si="319"/>
        <v>5</v>
      </c>
      <c r="B4087" s="69" t="s">
        <v>2442</v>
      </c>
      <c r="C4087" s="69">
        <v>6</v>
      </c>
      <c r="D4087" s="89">
        <v>0</v>
      </c>
      <c r="E4087" s="89">
        <v>1</v>
      </c>
      <c r="F4087" s="89">
        <v>0</v>
      </c>
      <c r="G4087" s="89">
        <v>0</v>
      </c>
      <c r="H4087" s="89">
        <v>1</v>
      </c>
      <c r="I4087" s="89">
        <v>0</v>
      </c>
      <c r="J4087" s="710">
        <f>(VLOOKUP($C4087,[2]Sheet1!$A$2:$P$18,$M4087+1)/12)*12*D4087</f>
        <v>0</v>
      </c>
      <c r="K4087" s="711"/>
      <c r="M4087" s="62">
        <f t="shared" si="318"/>
        <v>5</v>
      </c>
    </row>
    <row r="4088" spans="1:13">
      <c r="A4088" s="88">
        <f t="shared" si="319"/>
        <v>6</v>
      </c>
      <c r="B4088" s="69" t="s">
        <v>3252</v>
      </c>
      <c r="C4088" s="69">
        <v>3</v>
      </c>
      <c r="D4088" s="89">
        <v>0</v>
      </c>
      <c r="E4088" s="89">
        <v>3</v>
      </c>
      <c r="F4088" s="89">
        <v>0</v>
      </c>
      <c r="G4088" s="89">
        <v>0</v>
      </c>
      <c r="H4088" s="89">
        <v>2</v>
      </c>
      <c r="I4088" s="89">
        <v>0</v>
      </c>
      <c r="J4088" s="710">
        <f>(VLOOKUP($C4088,[2]Sheet1!$A$2:$P$18,$M4088+1)/12)*12*D4088</f>
        <v>0</v>
      </c>
      <c r="K4088" s="711"/>
      <c r="M4088" s="62">
        <f t="shared" si="318"/>
        <v>5</v>
      </c>
    </row>
    <row r="4089" spans="1:13">
      <c r="A4089" s="88">
        <f t="shared" si="319"/>
        <v>7</v>
      </c>
      <c r="B4089" s="69" t="s">
        <v>3896</v>
      </c>
      <c r="C4089" s="69">
        <v>6</v>
      </c>
      <c r="D4089" s="89">
        <v>0</v>
      </c>
      <c r="E4089" s="89">
        <v>1</v>
      </c>
      <c r="F4089" s="89">
        <v>0</v>
      </c>
      <c r="G4089" s="89">
        <v>0</v>
      </c>
      <c r="H4089" s="89">
        <v>1</v>
      </c>
      <c r="I4089" s="89">
        <v>0</v>
      </c>
      <c r="J4089" s="710">
        <f>(VLOOKUP($C4089,[2]Sheet1!$A$2:$P$18,$M4089+1)/12)*12*D4089</f>
        <v>0</v>
      </c>
      <c r="K4089" s="711"/>
      <c r="M4089" s="62">
        <f t="shared" si="318"/>
        <v>5</v>
      </c>
    </row>
    <row r="4090" spans="1:13">
      <c r="A4090" s="88">
        <f t="shared" si="319"/>
        <v>8</v>
      </c>
      <c r="B4090" s="69" t="s">
        <v>2179</v>
      </c>
      <c r="C4090" s="69">
        <v>4</v>
      </c>
      <c r="D4090" s="89">
        <v>0</v>
      </c>
      <c r="E4090" s="89">
        <v>1</v>
      </c>
      <c r="F4090" s="89">
        <v>0</v>
      </c>
      <c r="G4090" s="89">
        <v>0</v>
      </c>
      <c r="H4090" s="89">
        <v>1</v>
      </c>
      <c r="I4090" s="89">
        <v>0</v>
      </c>
      <c r="J4090" s="710">
        <f>(VLOOKUP($C4090,[2]Sheet1!$A$2:$P$18,$M4090+1)/12)*12*D4090</f>
        <v>0</v>
      </c>
      <c r="K4090" s="711"/>
      <c r="M4090" s="62">
        <f t="shared" si="318"/>
        <v>5</v>
      </c>
    </row>
    <row r="4091" spans="1:13">
      <c r="A4091" s="88">
        <f t="shared" si="319"/>
        <v>9</v>
      </c>
      <c r="B4091" s="69" t="s">
        <v>2439</v>
      </c>
      <c r="C4091" s="69">
        <v>2</v>
      </c>
      <c r="D4091" s="89">
        <v>0</v>
      </c>
      <c r="E4091" s="89">
        <v>5</v>
      </c>
      <c r="F4091" s="89">
        <v>0</v>
      </c>
      <c r="G4091" s="89">
        <v>0</v>
      </c>
      <c r="H4091" s="89">
        <v>5</v>
      </c>
      <c r="I4091" s="89">
        <v>0</v>
      </c>
      <c r="J4091" s="710">
        <f>(VLOOKUP($C4091,[2]Sheet1!$A$2:$P$18,$M4091+1)/12)*12*D4091</f>
        <v>0</v>
      </c>
      <c r="K4091" s="711"/>
      <c r="M4091" s="62">
        <f t="shared" si="318"/>
        <v>5</v>
      </c>
    </row>
    <row r="4092" spans="1:13">
      <c r="A4092" s="88">
        <f t="shared" si="319"/>
        <v>10</v>
      </c>
      <c r="B4092" s="69" t="s">
        <v>3847</v>
      </c>
      <c r="C4092" s="69">
        <v>3</v>
      </c>
      <c r="D4092" s="89">
        <v>0</v>
      </c>
      <c r="E4092" s="89">
        <v>5</v>
      </c>
      <c r="F4092" s="89">
        <v>0</v>
      </c>
      <c r="G4092" s="89">
        <v>0</v>
      </c>
      <c r="H4092" s="89">
        <v>5</v>
      </c>
      <c r="I4092" s="89">
        <v>0</v>
      </c>
      <c r="J4092" s="710">
        <f>(VLOOKUP($C4092,[2]Sheet1!$A$2:$P$18,$M4092+1)/12)*12*D4092</f>
        <v>0</v>
      </c>
      <c r="K4092" s="711"/>
      <c r="M4092" s="62">
        <f t="shared" si="318"/>
        <v>5</v>
      </c>
    </row>
    <row r="4093" spans="1:13">
      <c r="A4093" s="88">
        <f t="shared" si="319"/>
        <v>11</v>
      </c>
      <c r="B4093" s="69" t="s">
        <v>3858</v>
      </c>
      <c r="C4093" s="69">
        <v>2</v>
      </c>
      <c r="D4093" s="89">
        <v>0</v>
      </c>
      <c r="E4093" s="89">
        <v>5</v>
      </c>
      <c r="F4093" s="89">
        <v>0</v>
      </c>
      <c r="G4093" s="89">
        <v>0</v>
      </c>
      <c r="H4093" s="89">
        <v>5</v>
      </c>
      <c r="I4093" s="89">
        <v>0</v>
      </c>
      <c r="J4093" s="710">
        <f>(VLOOKUP($C4093,[2]Sheet1!$A$2:$P$18,$M4093+1)/12)*12*D4093</f>
        <v>0</v>
      </c>
      <c r="K4093" s="711"/>
      <c r="M4093" s="62">
        <f t="shared" si="318"/>
        <v>5</v>
      </c>
    </row>
    <row r="4094" spans="1:13">
      <c r="A4094" s="88">
        <f t="shared" si="319"/>
        <v>12</v>
      </c>
      <c r="B4094" s="69" t="s">
        <v>3861</v>
      </c>
      <c r="C4094" s="69">
        <v>1</v>
      </c>
      <c r="D4094" s="89">
        <v>0</v>
      </c>
      <c r="E4094" s="89">
        <v>3</v>
      </c>
      <c r="F4094" s="89">
        <v>0</v>
      </c>
      <c r="G4094" s="89">
        <v>0</v>
      </c>
      <c r="H4094" s="89">
        <v>3</v>
      </c>
      <c r="I4094" s="89">
        <v>0</v>
      </c>
      <c r="J4094" s="710">
        <f>(VLOOKUP($C4094,[2]Sheet1!$A$2:$P$18,$M4094+1)/12)*12*D4094</f>
        <v>0</v>
      </c>
      <c r="K4094" s="711"/>
      <c r="M4094" s="62">
        <f t="shared" si="318"/>
        <v>5</v>
      </c>
    </row>
    <row r="4095" spans="1:13">
      <c r="A4095" s="88">
        <v>13</v>
      </c>
      <c r="B4095" s="69" t="s">
        <v>2908</v>
      </c>
      <c r="C4095" s="69">
        <v>3</v>
      </c>
      <c r="D4095" s="89">
        <v>0</v>
      </c>
      <c r="E4095" s="89">
        <v>1</v>
      </c>
      <c r="F4095" s="89">
        <v>0</v>
      </c>
      <c r="G4095" s="89">
        <v>0</v>
      </c>
      <c r="H4095" s="89">
        <v>4</v>
      </c>
      <c r="I4095" s="89">
        <v>0</v>
      </c>
      <c r="J4095" s="710">
        <f>(VLOOKUP($C4095,[2]Sheet1!$A$2:$P$18,$M4095+1)/12)*12*D4095</f>
        <v>0</v>
      </c>
      <c r="K4095" s="711"/>
      <c r="M4095" s="62">
        <f t="shared" si="318"/>
        <v>5</v>
      </c>
    </row>
    <row r="4096" spans="1:13">
      <c r="A4096" s="88"/>
      <c r="B4096" s="90" t="s">
        <v>1487</v>
      </c>
      <c r="C4096" s="69"/>
      <c r="D4096" s="89"/>
      <c r="E4096" s="89"/>
      <c r="F4096" s="89"/>
      <c r="G4096" s="89"/>
      <c r="H4096" s="89"/>
      <c r="I4096" s="89"/>
      <c r="J4096" s="710"/>
      <c r="K4096" s="711"/>
      <c r="M4096" s="62">
        <f t="shared" si="318"/>
        <v>5</v>
      </c>
    </row>
    <row r="4097" spans="1:13">
      <c r="A4097" s="88">
        <f>+A4094+1</f>
        <v>13</v>
      </c>
      <c r="B4097" s="69" t="s">
        <v>2909</v>
      </c>
      <c r="C4097" s="69">
        <v>6</v>
      </c>
      <c r="D4097" s="89">
        <v>0</v>
      </c>
      <c r="E4097" s="89">
        <v>1</v>
      </c>
      <c r="F4097" s="89">
        <v>0</v>
      </c>
      <c r="G4097" s="89">
        <v>0</v>
      </c>
      <c r="H4097" s="89">
        <v>1</v>
      </c>
      <c r="I4097" s="89">
        <v>0</v>
      </c>
      <c r="J4097" s="710">
        <f>(VLOOKUP($C4097,[2]Sheet1!$A$2:$P$18,$M4097+1)/12)*12*D4097</f>
        <v>0</v>
      </c>
      <c r="K4097" s="711"/>
      <c r="M4097" s="62">
        <f t="shared" si="318"/>
        <v>5</v>
      </c>
    </row>
    <row r="4098" spans="1:13">
      <c r="A4098" s="88">
        <f t="shared" si="319"/>
        <v>14</v>
      </c>
      <c r="B4098" s="69" t="s">
        <v>3064</v>
      </c>
      <c r="C4098" s="69">
        <v>5</v>
      </c>
      <c r="D4098" s="89">
        <v>0</v>
      </c>
      <c r="E4098" s="89">
        <v>1</v>
      </c>
      <c r="F4098" s="89">
        <v>0</v>
      </c>
      <c r="G4098" s="89">
        <v>0</v>
      </c>
      <c r="H4098" s="89">
        <v>1</v>
      </c>
      <c r="I4098" s="89">
        <v>0</v>
      </c>
      <c r="J4098" s="710">
        <f>(VLOOKUP($C4098,[2]Sheet1!$A$2:$P$18,$M4098+1)/12)*12*D4098</f>
        <v>0</v>
      </c>
      <c r="K4098" s="711"/>
      <c r="M4098" s="62">
        <f t="shared" si="318"/>
        <v>5</v>
      </c>
    </row>
    <row r="4099" spans="1:13">
      <c r="A4099" s="88">
        <f t="shared" si="319"/>
        <v>15</v>
      </c>
      <c r="B4099" s="69" t="s">
        <v>1133</v>
      </c>
      <c r="C4099" s="69">
        <v>4</v>
      </c>
      <c r="D4099" s="89">
        <v>0</v>
      </c>
      <c r="E4099" s="89">
        <v>1</v>
      </c>
      <c r="F4099" s="89">
        <v>0</v>
      </c>
      <c r="G4099" s="89">
        <v>0</v>
      </c>
      <c r="H4099" s="89">
        <v>1</v>
      </c>
      <c r="I4099" s="89">
        <v>0</v>
      </c>
      <c r="J4099" s="710">
        <f>(VLOOKUP($C4099,[2]Sheet1!$A$2:$P$18,$M4099+1)/12)*12*D4099</f>
        <v>0</v>
      </c>
      <c r="K4099" s="711"/>
      <c r="M4099" s="62">
        <f t="shared" si="318"/>
        <v>5</v>
      </c>
    </row>
    <row r="4100" spans="1:13">
      <c r="A4100" s="88">
        <f t="shared" si="319"/>
        <v>16</v>
      </c>
      <c r="B4100" s="69" t="s">
        <v>2050</v>
      </c>
      <c r="C4100" s="69">
        <v>7</v>
      </c>
      <c r="D4100" s="89">
        <v>0</v>
      </c>
      <c r="E4100" s="89">
        <v>0</v>
      </c>
      <c r="F4100" s="89">
        <v>0</v>
      </c>
      <c r="G4100" s="89">
        <v>0</v>
      </c>
      <c r="H4100" s="89">
        <v>0</v>
      </c>
      <c r="I4100" s="89">
        <v>0</v>
      </c>
      <c r="J4100" s="710">
        <f>(VLOOKUP($C4100,[2]Sheet1!$A$2:$P$18,$M4100+1)/12)*12*D4100</f>
        <v>0</v>
      </c>
      <c r="K4100" s="711"/>
      <c r="M4100" s="62">
        <f t="shared" si="318"/>
        <v>3</v>
      </c>
    </row>
    <row r="4101" spans="1:13">
      <c r="A4101" s="88">
        <f t="shared" si="319"/>
        <v>17</v>
      </c>
      <c r="B4101" s="69" t="s">
        <v>1904</v>
      </c>
      <c r="C4101" s="69">
        <v>3</v>
      </c>
      <c r="D4101" s="89">
        <v>0</v>
      </c>
      <c r="E4101" s="89">
        <v>2</v>
      </c>
      <c r="F4101" s="89">
        <v>0</v>
      </c>
      <c r="G4101" s="89">
        <v>0</v>
      </c>
      <c r="H4101" s="89">
        <v>2</v>
      </c>
      <c r="I4101" s="89">
        <v>0</v>
      </c>
      <c r="J4101" s="710">
        <f>(VLOOKUP($C4101,[2]Sheet1!$A$2:$P$18,$M4101+1)/12)*12*D4101</f>
        <v>0</v>
      </c>
      <c r="K4101" s="711"/>
      <c r="M4101" s="62">
        <f t="shared" si="318"/>
        <v>5</v>
      </c>
    </row>
    <row r="4102" spans="1:13">
      <c r="A4102" s="88"/>
      <c r="B4102" s="90" t="s">
        <v>406</v>
      </c>
      <c r="C4102" s="69"/>
      <c r="D4102" s="89"/>
      <c r="E4102" s="89"/>
      <c r="F4102" s="89"/>
      <c r="G4102" s="89"/>
      <c r="H4102" s="89"/>
      <c r="I4102" s="89"/>
      <c r="J4102" s="710"/>
      <c r="K4102" s="711"/>
      <c r="M4102" s="62">
        <f t="shared" si="318"/>
        <v>5</v>
      </c>
    </row>
    <row r="4103" spans="1:13">
      <c r="A4103" s="88">
        <f>+A4101+1</f>
        <v>18</v>
      </c>
      <c r="B4103" s="69" t="s">
        <v>3532</v>
      </c>
      <c r="C4103" s="69">
        <v>16</v>
      </c>
      <c r="D4103" s="89">
        <v>0</v>
      </c>
      <c r="E4103" s="91">
        <v>0</v>
      </c>
      <c r="F4103" s="89">
        <v>0</v>
      </c>
      <c r="G4103" s="89">
        <v>0</v>
      </c>
      <c r="H4103" s="91">
        <v>0</v>
      </c>
      <c r="I4103" s="89">
        <v>0</v>
      </c>
      <c r="J4103" s="710">
        <f>(VLOOKUP($C4103,[2]Sheet1!$A$2:$P$18,$M4103+1)/12)*12*D4103</f>
        <v>0</v>
      </c>
      <c r="K4103" s="711"/>
      <c r="M4103" s="62">
        <f t="shared" si="318"/>
        <v>3</v>
      </c>
    </row>
    <row r="4104" spans="1:13">
      <c r="A4104" s="88">
        <f t="shared" si="319"/>
        <v>19</v>
      </c>
      <c r="B4104" s="69" t="s">
        <v>1256</v>
      </c>
      <c r="C4104" s="69">
        <v>15</v>
      </c>
      <c r="D4104" s="89">
        <v>0</v>
      </c>
      <c r="E4104" s="91">
        <v>1</v>
      </c>
      <c r="F4104" s="89">
        <v>0</v>
      </c>
      <c r="G4104" s="89">
        <v>0</v>
      </c>
      <c r="H4104" s="91">
        <v>1</v>
      </c>
      <c r="I4104" s="89">
        <v>0</v>
      </c>
      <c r="J4104" s="710">
        <f>(VLOOKUP($C4104,[2]Sheet1!$A$2:$P$18,$M4104+1)/12)*12*D4104</f>
        <v>0</v>
      </c>
      <c r="K4104" s="711"/>
      <c r="M4104" s="62">
        <f t="shared" si="318"/>
        <v>3</v>
      </c>
    </row>
    <row r="4105" spans="1:13">
      <c r="A4105" s="88">
        <f t="shared" si="319"/>
        <v>20</v>
      </c>
      <c r="B4105" s="69" t="s">
        <v>3533</v>
      </c>
      <c r="C4105" s="69">
        <v>14</v>
      </c>
      <c r="D4105" s="89">
        <v>1</v>
      </c>
      <c r="E4105" s="91">
        <v>1</v>
      </c>
      <c r="F4105" s="89">
        <v>1</v>
      </c>
      <c r="G4105" s="89">
        <v>1</v>
      </c>
      <c r="H4105" s="91">
        <v>1</v>
      </c>
      <c r="I4105" s="89">
        <v>1</v>
      </c>
      <c r="J4105" s="710">
        <f>(VLOOKUP($C4105,[2]Sheet1!$A$2:$P$18,$M4105+1)/12)*12*D4105</f>
        <v>669099.40824000002</v>
      </c>
      <c r="K4105" s="711"/>
      <c r="M4105" s="62">
        <f t="shared" si="318"/>
        <v>3</v>
      </c>
    </row>
    <row r="4106" spans="1:13">
      <c r="A4106" s="88">
        <f t="shared" si="319"/>
        <v>21</v>
      </c>
      <c r="B4106" s="69" t="s">
        <v>560</v>
      </c>
      <c r="C4106" s="69">
        <v>13</v>
      </c>
      <c r="D4106" s="89">
        <v>1</v>
      </c>
      <c r="E4106" s="89">
        <v>1</v>
      </c>
      <c r="F4106" s="89">
        <v>1</v>
      </c>
      <c r="G4106" s="89">
        <v>1</v>
      </c>
      <c r="H4106" s="89">
        <v>1</v>
      </c>
      <c r="I4106" s="89">
        <v>1</v>
      </c>
      <c r="J4106" s="710">
        <f>(VLOOKUP($C4106,[2]Sheet1!$A$2:$P$18,$M4106+1)/12)*12*D4106</f>
        <v>628759.53804000001</v>
      </c>
      <c r="K4106" s="711"/>
      <c r="M4106" s="62">
        <f t="shared" si="318"/>
        <v>3</v>
      </c>
    </row>
    <row r="4107" spans="1:13">
      <c r="A4107" s="88">
        <f t="shared" si="319"/>
        <v>22</v>
      </c>
      <c r="B4107" s="69" t="s">
        <v>561</v>
      </c>
      <c r="C4107" s="69">
        <v>12</v>
      </c>
      <c r="D4107" s="89">
        <v>1</v>
      </c>
      <c r="E4107" s="89">
        <v>1</v>
      </c>
      <c r="F4107" s="89">
        <v>1</v>
      </c>
      <c r="G4107" s="89">
        <v>1</v>
      </c>
      <c r="H4107" s="89">
        <v>1</v>
      </c>
      <c r="I4107" s="89">
        <v>1</v>
      </c>
      <c r="J4107" s="710">
        <f>(VLOOKUP($C4107,[2]Sheet1!$A$2:$P$18,$M4107+1)/12)*12*D4107</f>
        <v>552685.0537200002</v>
      </c>
      <c r="K4107" s="711"/>
      <c r="M4107" s="62">
        <f t="shared" si="318"/>
        <v>3</v>
      </c>
    </row>
    <row r="4108" spans="1:13">
      <c r="A4108" s="88">
        <f t="shared" si="319"/>
        <v>23</v>
      </c>
      <c r="B4108" s="69" t="s">
        <v>562</v>
      </c>
      <c r="C4108" s="69">
        <v>10</v>
      </c>
      <c r="D4108" s="89">
        <v>1</v>
      </c>
      <c r="E4108" s="89">
        <v>3</v>
      </c>
      <c r="F4108" s="89">
        <v>1</v>
      </c>
      <c r="G4108" s="89">
        <v>1</v>
      </c>
      <c r="H4108" s="89">
        <v>3</v>
      </c>
      <c r="I4108" s="89">
        <v>1</v>
      </c>
      <c r="J4108" s="710">
        <f>(VLOOKUP($C4108,[2]Sheet1!$A$2:$P$18,$M4108+1)/12)*12*D4108</f>
        <v>483974.5687200001</v>
      </c>
      <c r="K4108" s="711"/>
      <c r="M4108" s="62">
        <f t="shared" si="318"/>
        <v>3</v>
      </c>
    </row>
    <row r="4109" spans="1:13">
      <c r="A4109" s="88">
        <f t="shared" si="319"/>
        <v>24</v>
      </c>
      <c r="B4109" s="69" t="s">
        <v>2331</v>
      </c>
      <c r="C4109" s="69">
        <v>9</v>
      </c>
      <c r="D4109" s="89">
        <v>1</v>
      </c>
      <c r="E4109" s="89">
        <v>20</v>
      </c>
      <c r="F4109" s="89">
        <v>1</v>
      </c>
      <c r="G4109" s="89">
        <v>1</v>
      </c>
      <c r="H4109" s="89">
        <v>20</v>
      </c>
      <c r="I4109" s="89">
        <v>1</v>
      </c>
      <c r="J4109" s="710">
        <f>(VLOOKUP($C4109,[2]Sheet1!$A$2:$P$18,$M4109+1)/12)*12*D4109</f>
        <v>409681.90619999997</v>
      </c>
      <c r="K4109" s="711"/>
      <c r="M4109" s="62">
        <f t="shared" si="318"/>
        <v>3</v>
      </c>
    </row>
    <row r="4110" spans="1:13">
      <c r="A4110" s="88">
        <f t="shared" si="319"/>
        <v>25</v>
      </c>
      <c r="B4110" s="69" t="s">
        <v>389</v>
      </c>
      <c r="C4110" s="69">
        <v>8</v>
      </c>
      <c r="D4110" s="89">
        <v>0</v>
      </c>
      <c r="E4110" s="89">
        <v>29</v>
      </c>
      <c r="F4110" s="89">
        <v>0</v>
      </c>
      <c r="G4110" s="89">
        <v>0</v>
      </c>
      <c r="H4110" s="89">
        <v>29</v>
      </c>
      <c r="I4110" s="89">
        <v>0</v>
      </c>
      <c r="J4110" s="710">
        <f>(VLOOKUP($C4110,[2]Sheet1!$A$2:$P$18,$M4110+1)/12)*12*D4110</f>
        <v>0</v>
      </c>
      <c r="K4110" s="711"/>
      <c r="M4110" s="62">
        <f t="shared" si="318"/>
        <v>3</v>
      </c>
    </row>
    <row r="4111" spans="1:13">
      <c r="A4111" s="88">
        <f t="shared" si="319"/>
        <v>26</v>
      </c>
      <c r="B4111" s="69" t="s">
        <v>563</v>
      </c>
      <c r="C4111" s="69">
        <v>10</v>
      </c>
      <c r="D4111" s="89">
        <v>2</v>
      </c>
      <c r="E4111" s="89">
        <v>3</v>
      </c>
      <c r="F4111" s="89">
        <v>2</v>
      </c>
      <c r="G4111" s="89">
        <v>2</v>
      </c>
      <c r="H4111" s="89">
        <v>3</v>
      </c>
      <c r="I4111" s="89">
        <v>2</v>
      </c>
      <c r="J4111" s="710">
        <f>(VLOOKUP($C4111,[2]Sheet1!$A$2:$P$18,$M4111+1)/12)*12*D4111</f>
        <v>967949.1374400002</v>
      </c>
      <c r="K4111" s="711"/>
      <c r="M4111" s="62">
        <f t="shared" si="318"/>
        <v>3</v>
      </c>
    </row>
    <row r="4112" spans="1:13">
      <c r="A4112" s="88">
        <f t="shared" si="319"/>
        <v>27</v>
      </c>
      <c r="B4112" s="69" t="s">
        <v>3237</v>
      </c>
      <c r="C4112" s="69">
        <v>9</v>
      </c>
      <c r="D4112" s="89">
        <v>2</v>
      </c>
      <c r="E4112" s="89">
        <v>3</v>
      </c>
      <c r="F4112" s="89">
        <v>2</v>
      </c>
      <c r="G4112" s="89">
        <v>2</v>
      </c>
      <c r="H4112" s="89">
        <v>3</v>
      </c>
      <c r="I4112" s="89">
        <v>2</v>
      </c>
      <c r="J4112" s="710">
        <f>(VLOOKUP($C4112,[2]Sheet1!$A$2:$P$18,$M4112+1)/12)*12*D4112</f>
        <v>819363.81239999994</v>
      </c>
      <c r="K4112" s="711"/>
      <c r="M4112" s="62">
        <f t="shared" si="318"/>
        <v>3</v>
      </c>
    </row>
    <row r="4113" spans="1:13">
      <c r="A4113" s="88">
        <f t="shared" si="319"/>
        <v>28</v>
      </c>
      <c r="B4113" s="69" t="s">
        <v>2048</v>
      </c>
      <c r="C4113" s="69">
        <v>8</v>
      </c>
      <c r="D4113" s="89">
        <v>1</v>
      </c>
      <c r="E4113" s="89">
        <v>15</v>
      </c>
      <c r="F4113" s="89">
        <v>1</v>
      </c>
      <c r="G4113" s="89">
        <v>1</v>
      </c>
      <c r="H4113" s="89">
        <v>15</v>
      </c>
      <c r="I4113" s="89">
        <v>1</v>
      </c>
      <c r="J4113" s="710">
        <f>(VLOOKUP($C4113,[2]Sheet1!$A$2:$P$18,$M4113+1)/12)*12*D4113</f>
        <v>342141.27408</v>
      </c>
      <c r="K4113" s="711"/>
      <c r="M4113" s="62">
        <f t="shared" si="318"/>
        <v>3</v>
      </c>
    </row>
    <row r="4114" spans="1:13">
      <c r="A4114" s="88">
        <f t="shared" si="319"/>
        <v>29</v>
      </c>
      <c r="B4114" s="69" t="s">
        <v>2049</v>
      </c>
      <c r="C4114" s="69">
        <v>7</v>
      </c>
      <c r="D4114" s="89">
        <v>3</v>
      </c>
      <c r="E4114" s="89">
        <v>4</v>
      </c>
      <c r="F4114" s="89">
        <v>3</v>
      </c>
      <c r="G4114" s="89">
        <v>3</v>
      </c>
      <c r="H4114" s="89">
        <v>4</v>
      </c>
      <c r="I4114" s="89">
        <v>3</v>
      </c>
      <c r="J4114" s="710">
        <f>(VLOOKUP($C4114,[2]Sheet1!$A$2:$P$18,$M4114+1)/12)*12*D4114</f>
        <v>923120.1072000002</v>
      </c>
      <c r="K4114" s="711"/>
      <c r="M4114" s="62">
        <f t="shared" si="318"/>
        <v>3</v>
      </c>
    </row>
    <row r="4115" spans="1:13">
      <c r="A4115" s="88">
        <f t="shared" si="319"/>
        <v>30</v>
      </c>
      <c r="B4115" s="69" t="s">
        <v>1679</v>
      </c>
      <c r="C4115" s="69">
        <v>6</v>
      </c>
      <c r="D4115" s="89">
        <v>2</v>
      </c>
      <c r="E4115" s="89">
        <v>3</v>
      </c>
      <c r="F4115" s="89">
        <v>2</v>
      </c>
      <c r="G4115" s="89">
        <v>2</v>
      </c>
      <c r="H4115" s="89">
        <v>3</v>
      </c>
      <c r="I4115" s="89">
        <v>2</v>
      </c>
      <c r="J4115" s="710">
        <f>(VLOOKUP($C4115,[2]Sheet1!$A$2:$P$18,$M4115+1)/12)*12*D4115</f>
        <v>476198.75786072994</v>
      </c>
      <c r="K4115" s="711"/>
      <c r="M4115" s="62">
        <f t="shared" si="318"/>
        <v>5</v>
      </c>
    </row>
    <row r="4116" spans="1:13">
      <c r="A4116" s="88">
        <f t="shared" si="319"/>
        <v>31</v>
      </c>
      <c r="B4116" s="69" t="s">
        <v>1823</v>
      </c>
      <c r="C4116" s="69">
        <v>7</v>
      </c>
      <c r="D4116" s="89">
        <v>1</v>
      </c>
      <c r="E4116" s="89">
        <v>1</v>
      </c>
      <c r="F4116" s="89">
        <v>1</v>
      </c>
      <c r="G4116" s="89">
        <v>1</v>
      </c>
      <c r="H4116" s="89">
        <v>1</v>
      </c>
      <c r="I4116" s="89">
        <v>1</v>
      </c>
      <c r="J4116" s="710">
        <f>(VLOOKUP($C4116,[2]Sheet1!$A$2:$P$18,$M4116+1)/12)*12*D4116</f>
        <v>307706.70240000007</v>
      </c>
      <c r="K4116" s="711"/>
      <c r="M4116" s="62">
        <f t="shared" si="318"/>
        <v>3</v>
      </c>
    </row>
    <row r="4117" spans="1:13">
      <c r="A4117" s="88">
        <f t="shared" si="319"/>
        <v>32</v>
      </c>
      <c r="B4117" s="69" t="s">
        <v>1513</v>
      </c>
      <c r="C4117" s="69">
        <v>5</v>
      </c>
      <c r="D4117" s="89">
        <v>2</v>
      </c>
      <c r="E4117" s="89">
        <v>2</v>
      </c>
      <c r="F4117" s="89">
        <v>2</v>
      </c>
      <c r="G4117" s="89">
        <v>2</v>
      </c>
      <c r="H4117" s="89">
        <v>2</v>
      </c>
      <c r="I4117" s="89">
        <v>2</v>
      </c>
      <c r="J4117" s="710">
        <f>(VLOOKUP($C4117,[2]Sheet1!$A$2:$P$18,$M4117+1)/12)*12*D4117</f>
        <v>459139.55786072998</v>
      </c>
      <c r="K4117" s="711"/>
      <c r="M4117" s="62">
        <f t="shared" si="318"/>
        <v>5</v>
      </c>
    </row>
    <row r="4118" spans="1:13" ht="13.5" thickBot="1">
      <c r="A4118" s="88">
        <f t="shared" si="319"/>
        <v>33</v>
      </c>
      <c r="B4118" s="69" t="s">
        <v>3742</v>
      </c>
      <c r="C4118" s="69">
        <v>4</v>
      </c>
      <c r="D4118" s="89">
        <v>1</v>
      </c>
      <c r="E4118" s="89">
        <v>2</v>
      </c>
      <c r="F4118" s="89">
        <v>1</v>
      </c>
      <c r="G4118" s="89">
        <v>1</v>
      </c>
      <c r="H4118" s="89">
        <v>2</v>
      </c>
      <c r="I4118" s="89">
        <v>1</v>
      </c>
      <c r="J4118" s="710">
        <f>(VLOOKUP($C4118,[2]Sheet1!$A$2:$P$18,$M4118+1)/12)*12*D4118</f>
        <v>224542.978930365</v>
      </c>
      <c r="K4118" s="711"/>
      <c r="M4118" s="62">
        <f t="shared" si="318"/>
        <v>5</v>
      </c>
    </row>
    <row r="4119" spans="1:13" ht="15.75" thickTop="1">
      <c r="A4119" s="1047" t="s">
        <v>2791</v>
      </c>
      <c r="B4119" s="1049" t="s">
        <v>4126</v>
      </c>
      <c r="C4119" s="1049" t="s">
        <v>854</v>
      </c>
      <c r="D4119" s="1040" t="s">
        <v>4127</v>
      </c>
      <c r="E4119" s="1041"/>
      <c r="F4119" s="1041"/>
      <c r="G4119" s="1040" t="s">
        <v>904</v>
      </c>
      <c r="H4119" s="1041"/>
      <c r="I4119" s="1042"/>
      <c r="J4119" s="1035" t="s">
        <v>855</v>
      </c>
      <c r="K4119" s="389"/>
    </row>
    <row r="4120" spans="1:13" ht="26.25" thickBot="1">
      <c r="A4120" s="1048"/>
      <c r="B4120" s="1050"/>
      <c r="C4120" s="1050"/>
      <c r="D4120" s="285" t="s">
        <v>5505</v>
      </c>
      <c r="E4120" s="285" t="s">
        <v>4485</v>
      </c>
      <c r="F4120" s="285" t="s">
        <v>4486</v>
      </c>
      <c r="G4120" s="287" t="s">
        <v>4487</v>
      </c>
      <c r="H4120" s="285" t="s">
        <v>4488</v>
      </c>
      <c r="I4120" s="287" t="s">
        <v>4489</v>
      </c>
      <c r="J4120" s="1036"/>
      <c r="K4120" s="712"/>
    </row>
    <row r="4121" spans="1:13" ht="13.5" thickTop="1">
      <c r="A4121" s="88">
        <f>+A4118+1</f>
        <v>34</v>
      </c>
      <c r="B4121" s="69" t="s">
        <v>1514</v>
      </c>
      <c r="C4121" s="69">
        <v>3</v>
      </c>
      <c r="D4121" s="89">
        <v>2</v>
      </c>
      <c r="E4121" s="89">
        <v>2</v>
      </c>
      <c r="F4121" s="89">
        <v>2</v>
      </c>
      <c r="G4121" s="89">
        <v>2</v>
      </c>
      <c r="H4121" s="89">
        <v>2</v>
      </c>
      <c r="I4121" s="89">
        <v>2</v>
      </c>
      <c r="J4121" s="710">
        <f>(VLOOKUP($C4121,[2]Sheet1!$A$2:$P$18,$M4121+1)/12)*12*D4121</f>
        <v>438672.35786072997</v>
      </c>
      <c r="K4121" s="711"/>
      <c r="M4121" s="62">
        <f t="shared" si="318"/>
        <v>5</v>
      </c>
    </row>
    <row r="4122" spans="1:13">
      <c r="A4122" s="88">
        <f>+A4121+1</f>
        <v>35</v>
      </c>
      <c r="B4122" s="69" t="s">
        <v>3657</v>
      </c>
      <c r="C4122" s="69">
        <v>5</v>
      </c>
      <c r="D4122" s="89">
        <v>0</v>
      </c>
      <c r="E4122" s="89">
        <v>0</v>
      </c>
      <c r="F4122" s="89">
        <v>0</v>
      </c>
      <c r="G4122" s="89">
        <v>0</v>
      </c>
      <c r="H4122" s="89">
        <v>0</v>
      </c>
      <c r="I4122" s="89">
        <v>0</v>
      </c>
      <c r="J4122" s="713">
        <f>(VLOOKUP($C4122,[2]Sheet1!$A$2:$P$18,$M4122+1)/12)*12*H4122</f>
        <v>0</v>
      </c>
      <c r="K4122" s="711"/>
      <c r="M4122" s="62">
        <f t="shared" si="318"/>
        <v>5</v>
      </c>
    </row>
    <row r="4123" spans="1:13">
      <c r="A4123" s="88">
        <f t="shared" si="319"/>
        <v>36</v>
      </c>
      <c r="B4123" s="69" t="s">
        <v>1622</v>
      </c>
      <c r="C4123" s="69">
        <v>4</v>
      </c>
      <c r="D4123" s="89">
        <v>0</v>
      </c>
      <c r="E4123" s="89">
        <v>0</v>
      </c>
      <c r="F4123" s="89">
        <v>0</v>
      </c>
      <c r="G4123" s="89">
        <v>0</v>
      </c>
      <c r="H4123" s="89">
        <v>0</v>
      </c>
      <c r="I4123" s="89">
        <v>0</v>
      </c>
      <c r="J4123" s="710">
        <f>(VLOOKUP($C4123,[2]Sheet1!$A$2:$P$18,$M4123+1)/12)*12*D4123</f>
        <v>0</v>
      </c>
      <c r="K4123" s="711"/>
      <c r="M4123" s="62">
        <f t="shared" si="318"/>
        <v>5</v>
      </c>
    </row>
    <row r="4124" spans="1:13">
      <c r="A4124" s="88">
        <f t="shared" si="319"/>
        <v>37</v>
      </c>
      <c r="B4124" s="69" t="s">
        <v>1457</v>
      </c>
      <c r="C4124" s="69">
        <v>3</v>
      </c>
      <c r="D4124" s="89">
        <v>0</v>
      </c>
      <c r="E4124" s="89">
        <v>0</v>
      </c>
      <c r="F4124" s="89">
        <v>0</v>
      </c>
      <c r="G4124" s="89">
        <v>0</v>
      </c>
      <c r="H4124" s="89">
        <v>0</v>
      </c>
      <c r="I4124" s="89">
        <v>0</v>
      </c>
      <c r="J4124" s="710">
        <f>(VLOOKUP($C4124,[2]Sheet1!$A$2:$P$18,$M4124+1)/12)*12*D4124</f>
        <v>0</v>
      </c>
      <c r="K4124" s="711"/>
      <c r="M4124" s="62">
        <f t="shared" si="318"/>
        <v>5</v>
      </c>
    </row>
    <row r="4125" spans="1:13">
      <c r="A4125" s="88">
        <f t="shared" si="319"/>
        <v>38</v>
      </c>
      <c r="B4125" s="69" t="s">
        <v>1459</v>
      </c>
      <c r="C4125" s="69">
        <v>2</v>
      </c>
      <c r="D4125" s="89">
        <v>0</v>
      </c>
      <c r="E4125" s="89">
        <v>0</v>
      </c>
      <c r="F4125" s="89">
        <v>0</v>
      </c>
      <c r="G4125" s="89">
        <v>0</v>
      </c>
      <c r="H4125" s="89">
        <v>0</v>
      </c>
      <c r="I4125" s="89">
        <v>0</v>
      </c>
      <c r="J4125" s="710">
        <f>(VLOOKUP($C4125,[2]Sheet1!$A$2:$P$18,$M4125+1)/12)*12*D4125</f>
        <v>0</v>
      </c>
      <c r="K4125" s="711"/>
      <c r="M4125" s="62">
        <f t="shared" si="318"/>
        <v>5</v>
      </c>
    </row>
    <row r="4126" spans="1:13">
      <c r="A4126" s="88"/>
      <c r="B4126" s="90" t="s">
        <v>1710</v>
      </c>
      <c r="C4126" s="167"/>
      <c r="D4126" s="155"/>
      <c r="E4126" s="155"/>
      <c r="F4126" s="155"/>
      <c r="G4126" s="155"/>
      <c r="H4126" s="155"/>
      <c r="I4126" s="155"/>
      <c r="J4126" s="710"/>
      <c r="K4126" s="711"/>
      <c r="M4126" s="62">
        <f t="shared" si="318"/>
        <v>5</v>
      </c>
    </row>
    <row r="4127" spans="1:13">
      <c r="A4127" s="88">
        <v>38</v>
      </c>
      <c r="B4127" s="69" t="s">
        <v>3532</v>
      </c>
      <c r="C4127" s="167">
        <v>16</v>
      </c>
      <c r="D4127" s="155">
        <v>0</v>
      </c>
      <c r="E4127" s="155">
        <v>0</v>
      </c>
      <c r="F4127" s="155">
        <v>0</v>
      </c>
      <c r="G4127" s="155">
        <v>0</v>
      </c>
      <c r="H4127" s="155">
        <v>0</v>
      </c>
      <c r="I4127" s="155">
        <v>0</v>
      </c>
      <c r="J4127" s="710">
        <f>(VLOOKUP($C4127,[2]Sheet1!$A$2:$P$18,$M4127+1)/12)*12*D4127</f>
        <v>0</v>
      </c>
      <c r="K4127" s="711"/>
      <c r="M4127" s="62">
        <f t="shared" si="318"/>
        <v>3</v>
      </c>
    </row>
    <row r="4128" spans="1:13">
      <c r="A4128" s="88">
        <f t="shared" ref="A4128:A4144" si="320">+A4127+1</f>
        <v>39</v>
      </c>
      <c r="B4128" s="69" t="s">
        <v>1256</v>
      </c>
      <c r="C4128" s="167">
        <v>15</v>
      </c>
      <c r="D4128" s="155">
        <v>0</v>
      </c>
      <c r="E4128" s="155">
        <v>0</v>
      </c>
      <c r="F4128" s="155">
        <v>0</v>
      </c>
      <c r="G4128" s="155">
        <v>0</v>
      </c>
      <c r="H4128" s="155">
        <v>0</v>
      </c>
      <c r="I4128" s="155">
        <v>0</v>
      </c>
      <c r="J4128" s="710">
        <f>(VLOOKUP($C4128,[2]Sheet1!$A$2:$P$18,$M4128+1)/12)*12*D4128</f>
        <v>0</v>
      </c>
      <c r="K4128" s="711"/>
      <c r="M4128" s="62">
        <f t="shared" ref="M4128:M4159" si="321">IF(C4128&gt;6,3,5)</f>
        <v>3</v>
      </c>
    </row>
    <row r="4129" spans="1:13">
      <c r="A4129" s="88">
        <f t="shared" si="320"/>
        <v>40</v>
      </c>
      <c r="B4129" s="69" t="s">
        <v>2775</v>
      </c>
      <c r="C4129" s="167">
        <v>14</v>
      </c>
      <c r="D4129" s="155">
        <v>0</v>
      </c>
      <c r="E4129" s="155">
        <v>0</v>
      </c>
      <c r="F4129" s="155">
        <v>0</v>
      </c>
      <c r="G4129" s="155">
        <v>0</v>
      </c>
      <c r="H4129" s="155">
        <v>0</v>
      </c>
      <c r="I4129" s="155">
        <v>0</v>
      </c>
      <c r="J4129" s="710">
        <f>(VLOOKUP($C4129,[2]Sheet1!$A$2:$P$18,$M4129+1)/12)*12*D4129</f>
        <v>0</v>
      </c>
      <c r="K4129" s="711"/>
      <c r="M4129" s="62">
        <f t="shared" si="321"/>
        <v>3</v>
      </c>
    </row>
    <row r="4130" spans="1:13">
      <c r="A4130" s="88">
        <f t="shared" si="320"/>
        <v>41</v>
      </c>
      <c r="B4130" s="69" t="s">
        <v>2516</v>
      </c>
      <c r="C4130" s="167">
        <v>14</v>
      </c>
      <c r="D4130" s="155">
        <v>0</v>
      </c>
      <c r="E4130" s="155">
        <v>0</v>
      </c>
      <c r="F4130" s="155">
        <v>0</v>
      </c>
      <c r="G4130" s="155">
        <v>0</v>
      </c>
      <c r="H4130" s="155">
        <v>0</v>
      </c>
      <c r="I4130" s="155">
        <v>0</v>
      </c>
      <c r="J4130" s="710">
        <f>(VLOOKUP($C4130,[2]Sheet1!$A$2:$P$18,$M4130+1)/12)*12*D4130</f>
        <v>0</v>
      </c>
      <c r="K4130" s="711"/>
      <c r="M4130" s="62">
        <f t="shared" si="321"/>
        <v>3</v>
      </c>
    </row>
    <row r="4131" spans="1:13">
      <c r="A4131" s="88">
        <f t="shared" si="320"/>
        <v>42</v>
      </c>
      <c r="B4131" s="69" t="s">
        <v>2517</v>
      </c>
      <c r="C4131" s="167">
        <v>13</v>
      </c>
      <c r="D4131" s="155">
        <v>0</v>
      </c>
      <c r="E4131" s="155">
        <v>0</v>
      </c>
      <c r="F4131" s="155">
        <v>0</v>
      </c>
      <c r="G4131" s="155">
        <v>0</v>
      </c>
      <c r="H4131" s="155">
        <v>0</v>
      </c>
      <c r="I4131" s="155">
        <v>0</v>
      </c>
      <c r="J4131" s="710">
        <f>(VLOOKUP($C4131,[2]Sheet1!$A$2:$P$18,$M4131+1)/12)*12*D4131</f>
        <v>0</v>
      </c>
      <c r="K4131" s="711"/>
      <c r="M4131" s="62">
        <f t="shared" si="321"/>
        <v>3</v>
      </c>
    </row>
    <row r="4132" spans="1:13">
      <c r="A4132" s="88">
        <f t="shared" si="320"/>
        <v>43</v>
      </c>
      <c r="B4132" s="69" t="s">
        <v>316</v>
      </c>
      <c r="C4132" s="167">
        <v>13</v>
      </c>
      <c r="D4132" s="155">
        <v>0</v>
      </c>
      <c r="E4132" s="155">
        <v>0</v>
      </c>
      <c r="F4132" s="155">
        <v>0</v>
      </c>
      <c r="G4132" s="155">
        <v>0</v>
      </c>
      <c r="H4132" s="155">
        <v>0</v>
      </c>
      <c r="I4132" s="155">
        <v>0</v>
      </c>
      <c r="J4132" s="710">
        <f>(VLOOKUP($C4132,[2]Sheet1!$A$2:$P$18,$M4132+1)/12)*12*D4132</f>
        <v>0</v>
      </c>
      <c r="K4132" s="711"/>
      <c r="M4132" s="62">
        <f t="shared" si="321"/>
        <v>3</v>
      </c>
    </row>
    <row r="4133" spans="1:13">
      <c r="A4133" s="88">
        <f>+A4132+1</f>
        <v>44</v>
      </c>
      <c r="B4133" s="69" t="s">
        <v>1819</v>
      </c>
      <c r="C4133" s="167">
        <v>12</v>
      </c>
      <c r="D4133" s="155">
        <v>0</v>
      </c>
      <c r="E4133" s="155">
        <v>1</v>
      </c>
      <c r="F4133" s="155">
        <v>0</v>
      </c>
      <c r="G4133" s="155">
        <v>0</v>
      </c>
      <c r="H4133" s="155">
        <v>0</v>
      </c>
      <c r="I4133" s="155">
        <v>0</v>
      </c>
      <c r="J4133" s="710">
        <f>(VLOOKUP($C4133,[2]Sheet1!$A$2:$P$18,$M4133+1)/12)*12*D4133</f>
        <v>0</v>
      </c>
      <c r="K4133" s="711"/>
      <c r="M4133" s="62">
        <f t="shared" si="321"/>
        <v>3</v>
      </c>
    </row>
    <row r="4134" spans="1:13">
      <c r="A4134" s="88">
        <f t="shared" si="320"/>
        <v>45</v>
      </c>
      <c r="B4134" s="69" t="s">
        <v>191</v>
      </c>
      <c r="C4134" s="167">
        <v>12</v>
      </c>
      <c r="D4134" s="155">
        <v>0</v>
      </c>
      <c r="E4134" s="155">
        <v>1</v>
      </c>
      <c r="F4134" s="155">
        <v>0</v>
      </c>
      <c r="G4134" s="155">
        <v>0</v>
      </c>
      <c r="H4134" s="155">
        <v>0</v>
      </c>
      <c r="I4134" s="155">
        <v>0</v>
      </c>
      <c r="J4134" s="710">
        <f>(VLOOKUP($C4134,[2]Sheet1!$A$2:$P$18,$M4134+1)/12)*12*D4134</f>
        <v>0</v>
      </c>
      <c r="K4134" s="711"/>
      <c r="M4134" s="62">
        <f t="shared" si="321"/>
        <v>3</v>
      </c>
    </row>
    <row r="4135" spans="1:13">
      <c r="A4135" s="88">
        <f t="shared" si="320"/>
        <v>46</v>
      </c>
      <c r="B4135" s="69" t="s">
        <v>195</v>
      </c>
      <c r="C4135" s="167">
        <v>9</v>
      </c>
      <c r="D4135" s="155">
        <v>0</v>
      </c>
      <c r="E4135" s="155">
        <v>4</v>
      </c>
      <c r="F4135" s="155">
        <v>0</v>
      </c>
      <c r="G4135" s="155">
        <v>0</v>
      </c>
      <c r="H4135" s="155">
        <v>2</v>
      </c>
      <c r="I4135" s="155">
        <v>0</v>
      </c>
      <c r="J4135" s="710">
        <f>(VLOOKUP($C4135,[2]Sheet1!$A$2:$P$18,$M4135+1)/12)*12*D4135</f>
        <v>0</v>
      </c>
      <c r="K4135" s="711"/>
      <c r="M4135" s="62">
        <f t="shared" si="321"/>
        <v>3</v>
      </c>
    </row>
    <row r="4136" spans="1:13">
      <c r="A4136" s="88">
        <f t="shared" si="320"/>
        <v>47</v>
      </c>
      <c r="B4136" s="69" t="s">
        <v>194</v>
      </c>
      <c r="C4136" s="167">
        <v>8</v>
      </c>
      <c r="D4136" s="155">
        <v>0</v>
      </c>
      <c r="E4136" s="155">
        <v>7</v>
      </c>
      <c r="F4136" s="155">
        <v>0</v>
      </c>
      <c r="G4136" s="155">
        <v>0</v>
      </c>
      <c r="H4136" s="155">
        <v>9</v>
      </c>
      <c r="I4136" s="155">
        <v>0</v>
      </c>
      <c r="J4136" s="710">
        <f>(VLOOKUP($C4136,[2]Sheet1!$A$2:$P$18,$M4136+1)/12)*12*D4136</f>
        <v>0</v>
      </c>
      <c r="K4136" s="711"/>
      <c r="M4136" s="62">
        <f t="shared" si="321"/>
        <v>3</v>
      </c>
    </row>
    <row r="4137" spans="1:13">
      <c r="A4137" s="88">
        <f t="shared" si="320"/>
        <v>48</v>
      </c>
      <c r="B4137" s="69" t="s">
        <v>2518</v>
      </c>
      <c r="C4137" s="167">
        <v>7</v>
      </c>
      <c r="D4137" s="155">
        <v>0</v>
      </c>
      <c r="E4137" s="155">
        <v>2</v>
      </c>
      <c r="F4137" s="155">
        <v>0</v>
      </c>
      <c r="G4137" s="155">
        <v>0</v>
      </c>
      <c r="H4137" s="155">
        <v>7</v>
      </c>
      <c r="I4137" s="155">
        <v>0</v>
      </c>
      <c r="J4137" s="710">
        <f>(VLOOKUP($C4137,[2]Sheet1!$A$2:$P$18,$M4137+1)/12)*12*D4137</f>
        <v>0</v>
      </c>
      <c r="K4137" s="711"/>
      <c r="M4137" s="62">
        <f t="shared" si="321"/>
        <v>3</v>
      </c>
    </row>
    <row r="4138" spans="1:13">
      <c r="A4138" s="88">
        <f t="shared" si="320"/>
        <v>49</v>
      </c>
      <c r="B4138" s="69" t="s">
        <v>1177</v>
      </c>
      <c r="C4138" s="167">
        <v>8</v>
      </c>
      <c r="D4138" s="155">
        <v>0</v>
      </c>
      <c r="E4138" s="155">
        <v>4</v>
      </c>
      <c r="F4138" s="155">
        <v>0</v>
      </c>
      <c r="G4138" s="155">
        <v>0</v>
      </c>
      <c r="H4138" s="155">
        <v>7</v>
      </c>
      <c r="I4138" s="155">
        <v>0</v>
      </c>
      <c r="J4138" s="710">
        <f>(VLOOKUP($C4138,[2]Sheet1!$A$2:$P$18,$M4138+1)/12)*12*D4138</f>
        <v>0</v>
      </c>
      <c r="K4138" s="711"/>
      <c r="M4138" s="62">
        <f t="shared" si="321"/>
        <v>3</v>
      </c>
    </row>
    <row r="4139" spans="1:13">
      <c r="A4139" s="88">
        <f t="shared" si="320"/>
        <v>50</v>
      </c>
      <c r="B4139" s="69" t="s">
        <v>390</v>
      </c>
      <c r="C4139" s="167">
        <v>8</v>
      </c>
      <c r="D4139" s="155">
        <v>0</v>
      </c>
      <c r="E4139" s="155">
        <v>2</v>
      </c>
      <c r="F4139" s="155">
        <v>0</v>
      </c>
      <c r="G4139" s="155">
        <v>0</v>
      </c>
      <c r="H4139" s="155">
        <v>0</v>
      </c>
      <c r="I4139" s="155">
        <v>0</v>
      </c>
      <c r="J4139" s="710">
        <f>(VLOOKUP($C4139,[2]Sheet1!$A$2:$P$18,$M4139+1)/12)*12*D4139</f>
        <v>0</v>
      </c>
      <c r="K4139" s="711"/>
      <c r="M4139" s="62">
        <f t="shared" si="321"/>
        <v>3</v>
      </c>
    </row>
    <row r="4140" spans="1:13">
      <c r="A4140" s="88">
        <f t="shared" si="320"/>
        <v>51</v>
      </c>
      <c r="B4140" s="69" t="s">
        <v>1340</v>
      </c>
      <c r="C4140" s="167">
        <v>10</v>
      </c>
      <c r="D4140" s="155">
        <v>0</v>
      </c>
      <c r="E4140" s="155">
        <v>2</v>
      </c>
      <c r="F4140" s="155">
        <v>0</v>
      </c>
      <c r="G4140" s="155">
        <v>0</v>
      </c>
      <c r="H4140" s="155">
        <v>0</v>
      </c>
      <c r="I4140" s="155">
        <v>0</v>
      </c>
      <c r="J4140" s="710">
        <f>(VLOOKUP($C4140,[2]Sheet1!$A$2:$P$18,$M4140+1)/12)*12*D4140</f>
        <v>0</v>
      </c>
      <c r="K4140" s="711"/>
      <c r="M4140" s="62">
        <f t="shared" si="321"/>
        <v>3</v>
      </c>
    </row>
    <row r="4141" spans="1:13">
      <c r="A4141" s="88">
        <f t="shared" si="320"/>
        <v>52</v>
      </c>
      <c r="B4141" s="69" t="s">
        <v>2610</v>
      </c>
      <c r="C4141" s="167">
        <v>10</v>
      </c>
      <c r="D4141" s="155">
        <v>0</v>
      </c>
      <c r="E4141" s="155">
        <v>2</v>
      </c>
      <c r="F4141" s="155">
        <v>0</v>
      </c>
      <c r="G4141" s="155">
        <v>0</v>
      </c>
      <c r="H4141" s="155">
        <v>0</v>
      </c>
      <c r="I4141" s="155">
        <v>0</v>
      </c>
      <c r="J4141" s="710">
        <f>(VLOOKUP($C4141,[2]Sheet1!$A$2:$P$18,$M4141+1)/12)*12*D4141</f>
        <v>0</v>
      </c>
      <c r="K4141" s="711"/>
      <c r="M4141" s="62">
        <f t="shared" si="321"/>
        <v>3</v>
      </c>
    </row>
    <row r="4142" spans="1:13">
      <c r="A4142" s="88">
        <f t="shared" si="320"/>
        <v>53</v>
      </c>
      <c r="B4142" s="69" t="s">
        <v>1713</v>
      </c>
      <c r="C4142" s="167">
        <v>6</v>
      </c>
      <c r="D4142" s="155">
        <v>0</v>
      </c>
      <c r="E4142" s="155">
        <v>2</v>
      </c>
      <c r="F4142" s="155">
        <v>0</v>
      </c>
      <c r="G4142" s="155">
        <v>0</v>
      </c>
      <c r="H4142" s="155">
        <v>28</v>
      </c>
      <c r="I4142" s="155">
        <v>0</v>
      </c>
      <c r="J4142" s="710">
        <f>(VLOOKUP($C4142,[2]Sheet1!$A$2:$P$18,$M4142+1)/12)*12*D4142</f>
        <v>0</v>
      </c>
      <c r="K4142" s="711"/>
      <c r="M4142" s="62">
        <f t="shared" si="321"/>
        <v>5</v>
      </c>
    </row>
    <row r="4143" spans="1:13">
      <c r="A4143" s="88">
        <f t="shared" si="320"/>
        <v>54</v>
      </c>
      <c r="B4143" s="69" t="s">
        <v>2611</v>
      </c>
      <c r="C4143" s="167">
        <v>4</v>
      </c>
      <c r="D4143" s="155">
        <v>0</v>
      </c>
      <c r="E4143" s="155">
        <v>2</v>
      </c>
      <c r="F4143" s="155">
        <v>0</v>
      </c>
      <c r="G4143" s="155">
        <v>0</v>
      </c>
      <c r="H4143" s="155">
        <v>0</v>
      </c>
      <c r="I4143" s="155">
        <v>0</v>
      </c>
      <c r="J4143" s="710">
        <f>(VLOOKUP($C4143,[2]Sheet1!$A$2:$P$18,$M4143+1)/12)*12*D4143</f>
        <v>0</v>
      </c>
      <c r="K4143" s="711"/>
      <c r="M4143" s="62">
        <f t="shared" si="321"/>
        <v>5</v>
      </c>
    </row>
    <row r="4144" spans="1:13">
      <c r="A4144" s="88">
        <f t="shared" si="320"/>
        <v>55</v>
      </c>
      <c r="B4144" s="69" t="s">
        <v>198</v>
      </c>
      <c r="C4144" s="167">
        <v>3</v>
      </c>
      <c r="D4144" s="155">
        <v>0</v>
      </c>
      <c r="E4144" s="155">
        <v>2</v>
      </c>
      <c r="F4144" s="155">
        <v>0</v>
      </c>
      <c r="G4144" s="155">
        <v>0</v>
      </c>
      <c r="H4144" s="155">
        <v>0</v>
      </c>
      <c r="I4144" s="155">
        <v>0</v>
      </c>
      <c r="J4144" s="710">
        <f>(VLOOKUP($C4144,[2]Sheet1!$A$2:$P$18,$M4144+1)/12)*12*D4144</f>
        <v>0</v>
      </c>
      <c r="K4144" s="711"/>
      <c r="M4144" s="62">
        <f t="shared" si="321"/>
        <v>5</v>
      </c>
    </row>
    <row r="4145" spans="1:13">
      <c r="A4145" s="92" t="s">
        <v>1840</v>
      </c>
      <c r="B4145" s="93" t="s">
        <v>1684</v>
      </c>
      <c r="C4145" s="94"/>
      <c r="D4145" s="123">
        <f t="shared" ref="D4145:J4145" si="322">SUM(D4083:D4144)</f>
        <v>22</v>
      </c>
      <c r="E4145" s="123">
        <f t="shared" si="322"/>
        <v>160</v>
      </c>
      <c r="F4145" s="123">
        <f t="shared" si="322"/>
        <v>22</v>
      </c>
      <c r="G4145" s="123">
        <f>SUM(G4083:G4144)</f>
        <v>22</v>
      </c>
      <c r="H4145" s="123">
        <f t="shared" si="322"/>
        <v>178</v>
      </c>
      <c r="I4145" s="123">
        <f t="shared" si="322"/>
        <v>22</v>
      </c>
      <c r="J4145" s="123">
        <f t="shared" si="322"/>
        <v>8010741.8633525558</v>
      </c>
      <c r="K4145" s="378"/>
      <c r="M4145" s="62">
        <f t="shared" si="321"/>
        <v>5</v>
      </c>
    </row>
    <row r="4146" spans="1:13">
      <c r="A4146" s="88" t="s">
        <v>1840</v>
      </c>
      <c r="B4146" s="69"/>
      <c r="C4146" s="69"/>
      <c r="D4146" s="89"/>
      <c r="E4146" s="89"/>
      <c r="F4146" s="89"/>
      <c r="G4146" s="89"/>
      <c r="H4146" s="89"/>
      <c r="I4146" s="89"/>
      <c r="J4146" s="89"/>
      <c r="K4146" s="114"/>
      <c r="M4146" s="62">
        <f t="shared" si="321"/>
        <v>5</v>
      </c>
    </row>
    <row r="4147" spans="1:13">
      <c r="A4147" s="88" t="s">
        <v>1840</v>
      </c>
      <c r="B4147" s="97" t="s">
        <v>1199</v>
      </c>
      <c r="C4147" s="69"/>
      <c r="D4147" s="89"/>
      <c r="E4147" s="89"/>
      <c r="F4147" s="99"/>
      <c r="G4147" s="240" t="s">
        <v>243</v>
      </c>
      <c r="H4147" s="240" t="s">
        <v>4130</v>
      </c>
      <c r="I4147" s="240" t="s">
        <v>4202</v>
      </c>
      <c r="J4147" s="241" t="s">
        <v>4200</v>
      </c>
      <c r="K4147" s="375"/>
      <c r="M4147" s="62">
        <f t="shared" si="321"/>
        <v>5</v>
      </c>
    </row>
    <row r="4148" spans="1:13">
      <c r="A4148" s="88">
        <v>1</v>
      </c>
      <c r="B4148" s="69" t="s">
        <v>2786</v>
      </c>
      <c r="C4148" s="69"/>
      <c r="D4148" s="89"/>
      <c r="E4148" s="89"/>
      <c r="F4148" s="89"/>
      <c r="G4148" s="100">
        <f>J4145*0.2</f>
        <v>1602148.3726705112</v>
      </c>
      <c r="H4148" s="100">
        <f>G4148*1.02</f>
        <v>1634191.3401239214</v>
      </c>
      <c r="I4148" s="100">
        <f>H4148*1.02</f>
        <v>1666875.1669263998</v>
      </c>
      <c r="J4148" s="100">
        <f>SUM(G4148:I4148)</f>
        <v>4903214.8797208322</v>
      </c>
      <c r="K4148" s="114"/>
      <c r="M4148" s="62">
        <f t="shared" si="321"/>
        <v>5</v>
      </c>
    </row>
    <row r="4149" spans="1:13">
      <c r="A4149" s="88">
        <v>2</v>
      </c>
      <c r="B4149" s="69" t="s">
        <v>1506</v>
      </c>
      <c r="C4149" s="69"/>
      <c r="D4149" s="89"/>
      <c r="E4149" s="89"/>
      <c r="F4149" s="89"/>
      <c r="G4149" s="100">
        <v>1430109.2852800004</v>
      </c>
      <c r="H4149" s="100">
        <f>G4149*1.02</f>
        <v>1458711.4709856005</v>
      </c>
      <c r="I4149" s="100">
        <f>H4149*1.02</f>
        <v>1487885.7004053125</v>
      </c>
      <c r="J4149" s="100">
        <f>SUM(G4149:I4149)</f>
        <v>4376706.4566709138</v>
      </c>
      <c r="K4149" s="114"/>
      <c r="M4149" s="62">
        <f t="shared" si="321"/>
        <v>5</v>
      </c>
    </row>
    <row r="4150" spans="1:13">
      <c r="A4150" s="88"/>
      <c r="B4150" s="69"/>
      <c r="C4150" s="69"/>
      <c r="D4150" s="89"/>
      <c r="E4150" s="89"/>
      <c r="F4150" s="89"/>
      <c r="G4150" s="89"/>
      <c r="H4150" s="89"/>
      <c r="I4150" s="89"/>
      <c r="J4150" s="89"/>
      <c r="K4150" s="114"/>
      <c r="M4150" s="62">
        <f t="shared" si="321"/>
        <v>5</v>
      </c>
    </row>
    <row r="4151" spans="1:13">
      <c r="A4151" s="92" t="s">
        <v>1840</v>
      </c>
      <c r="B4151" s="93" t="s">
        <v>1684</v>
      </c>
      <c r="C4151" s="94"/>
      <c r="D4151" s="101"/>
      <c r="E4151" s="101"/>
      <c r="F4151" s="123"/>
      <c r="G4151" s="123">
        <f>SUM(G4148:G4150)</f>
        <v>3032257.6579505117</v>
      </c>
      <c r="H4151" s="123">
        <f>SUM(H4148:H4150)</f>
        <v>3092902.8111095219</v>
      </c>
      <c r="I4151" s="123">
        <f>SUM(I4148:I4150)</f>
        <v>3154760.8673317125</v>
      </c>
      <c r="J4151" s="123">
        <f>SUM(J4148:J4150)</f>
        <v>9279921.336391747</v>
      </c>
      <c r="K4151" s="378"/>
      <c r="M4151" s="62">
        <f t="shared" si="321"/>
        <v>5</v>
      </c>
    </row>
    <row r="4152" spans="1:13">
      <c r="A4152" s="88"/>
      <c r="B4152" s="97"/>
      <c r="C4152" s="69"/>
      <c r="D4152" s="89"/>
      <c r="E4152" s="89"/>
      <c r="F4152" s="126"/>
      <c r="G4152" s="126"/>
      <c r="H4152" s="126"/>
      <c r="I4152" s="126"/>
      <c r="J4152" s="126"/>
      <c r="K4152" s="132"/>
      <c r="M4152" s="62">
        <f t="shared" si="321"/>
        <v>5</v>
      </c>
    </row>
    <row r="4153" spans="1:13">
      <c r="A4153" s="88" t="s">
        <v>1840</v>
      </c>
      <c r="B4153" s="69" t="s">
        <v>1119</v>
      </c>
      <c r="C4153" s="69"/>
      <c r="D4153" s="89"/>
      <c r="E4153" s="89"/>
      <c r="F4153" s="89"/>
      <c r="G4153" s="100">
        <f>G4151+J4145</f>
        <v>11042999.521303067</v>
      </c>
      <c r="H4153" s="100">
        <f>G4153*1.02</f>
        <v>11263859.511729129</v>
      </c>
      <c r="I4153" s="100">
        <f>H4153*1.02</f>
        <v>11489136.701963712</v>
      </c>
      <c r="J4153" s="100">
        <f>SUM(G4153:I4153)</f>
        <v>33795995.734995902</v>
      </c>
      <c r="K4153" s="114"/>
      <c r="M4153" s="62">
        <f t="shared" si="321"/>
        <v>5</v>
      </c>
    </row>
    <row r="4154" spans="1:13">
      <c r="A4154" s="88" t="s">
        <v>1840</v>
      </c>
      <c r="B4154" s="69" t="s">
        <v>3944</v>
      </c>
      <c r="C4154" s="69"/>
      <c r="D4154" s="89"/>
      <c r="E4154" s="89"/>
      <c r="F4154" s="89"/>
      <c r="G4154" s="89">
        <f>C4184</f>
        <v>15200000</v>
      </c>
      <c r="H4154" s="89">
        <f>D4184</f>
        <v>20200000</v>
      </c>
      <c r="I4154" s="89">
        <f>E4184</f>
        <v>20200000</v>
      </c>
      <c r="J4154" s="100">
        <f>SUM(G4154:I4154)</f>
        <v>55600000</v>
      </c>
      <c r="K4154" s="114"/>
      <c r="M4154" s="62">
        <f t="shared" si="321"/>
        <v>5</v>
      </c>
    </row>
    <row r="4155" spans="1:13">
      <c r="A4155" s="92" t="s">
        <v>1840</v>
      </c>
      <c r="B4155" s="93" t="s">
        <v>2843</v>
      </c>
      <c r="C4155" s="94"/>
      <c r="D4155" s="101"/>
      <c r="E4155" s="101"/>
      <c r="F4155" s="123"/>
      <c r="G4155" s="123">
        <f>SUM(G4153:G4154)</f>
        <v>26242999.521303065</v>
      </c>
      <c r="H4155" s="123">
        <f>SUM(H4153:H4154)</f>
        <v>31463859.511729129</v>
      </c>
      <c r="I4155" s="123">
        <f>SUM(I4153:I4154)</f>
        <v>31689136.701963712</v>
      </c>
      <c r="J4155" s="123">
        <f>SUM(J4153:J4154)</f>
        <v>89395995.734995902</v>
      </c>
      <c r="K4155" s="378"/>
      <c r="M4155" s="62">
        <f t="shared" si="321"/>
        <v>5</v>
      </c>
    </row>
    <row r="4156" spans="1:13" ht="15">
      <c r="A4156" s="62" t="s">
        <v>3556</v>
      </c>
      <c r="C4156" s="77"/>
      <c r="D4156" s="78" t="s">
        <v>5434</v>
      </c>
      <c r="J4156" s="584"/>
      <c r="K4156" s="584"/>
      <c r="M4156" s="62">
        <f t="shared" si="321"/>
        <v>5</v>
      </c>
    </row>
    <row r="4157" spans="1:13" ht="15">
      <c r="C4157" s="77"/>
      <c r="D4157" s="78" t="s">
        <v>716</v>
      </c>
      <c r="J4157" s="584"/>
      <c r="K4157" s="584"/>
      <c r="M4157" s="62">
        <f t="shared" si="321"/>
        <v>5</v>
      </c>
    </row>
    <row r="4158" spans="1:13" ht="15">
      <c r="C4158" s="79" t="s">
        <v>717</v>
      </c>
      <c r="D4158" s="78" t="s">
        <v>15</v>
      </c>
      <c r="J4158" s="584"/>
      <c r="K4158" s="584"/>
      <c r="M4158" s="62">
        <f t="shared" si="321"/>
        <v>3</v>
      </c>
    </row>
    <row r="4159" spans="1:13" ht="15">
      <c r="C4159" s="79" t="s">
        <v>718</v>
      </c>
      <c r="D4159" s="78" t="s">
        <v>16</v>
      </c>
      <c r="J4159" s="584"/>
      <c r="K4159" s="584"/>
      <c r="M4159" s="62">
        <f t="shared" si="321"/>
        <v>3</v>
      </c>
    </row>
    <row r="4160" spans="1:13" ht="15">
      <c r="A4160" s="634" t="s">
        <v>1839</v>
      </c>
      <c r="B4160" s="635" t="s">
        <v>903</v>
      </c>
      <c r="C4160" s="1037" t="s">
        <v>4127</v>
      </c>
      <c r="D4160" s="1038"/>
      <c r="E4160" s="1039"/>
      <c r="F4160" s="635" t="s">
        <v>1684</v>
      </c>
      <c r="G4160" s="1037" t="s">
        <v>4132</v>
      </c>
      <c r="H4160" s="1038"/>
      <c r="I4160" s="1039"/>
      <c r="J4160" s="726"/>
      <c r="K4160" s="727"/>
    </row>
    <row r="4161" spans="1:13">
      <c r="A4161" s="636" t="s">
        <v>1620</v>
      </c>
      <c r="B4161" s="637"/>
      <c r="C4161" s="635" t="s">
        <v>1841</v>
      </c>
      <c r="D4161" s="635" t="s">
        <v>4133</v>
      </c>
      <c r="E4161" s="635" t="s">
        <v>4133</v>
      </c>
      <c r="F4161" s="1056" t="s">
        <v>4200</v>
      </c>
      <c r="G4161" s="634" t="s">
        <v>4135</v>
      </c>
      <c r="H4161" s="1051" t="s">
        <v>4182</v>
      </c>
      <c r="I4161" s="634" t="s">
        <v>4135</v>
      </c>
      <c r="J4161" s="728" t="s">
        <v>4136</v>
      </c>
      <c r="K4161" s="727"/>
    </row>
    <row r="4162" spans="1:13" ht="12.75" customHeight="1">
      <c r="A4162" s="638" t="s">
        <v>387</v>
      </c>
      <c r="B4162" s="639"/>
      <c r="C4162" s="638">
        <v>2015</v>
      </c>
      <c r="D4162" s="638">
        <v>2016</v>
      </c>
      <c r="E4162" s="638">
        <v>2017</v>
      </c>
      <c r="F4162" s="1057"/>
      <c r="G4162" s="638" t="s">
        <v>4304</v>
      </c>
      <c r="H4162" s="1052"/>
      <c r="I4162" s="638" t="s">
        <v>4303</v>
      </c>
      <c r="J4162" s="639"/>
      <c r="K4162" s="729"/>
    </row>
    <row r="4163" spans="1:13">
      <c r="A4163" s="768"/>
      <c r="B4163" s="768"/>
      <c r="C4163" s="390"/>
      <c r="D4163" s="390"/>
      <c r="E4163" s="390"/>
      <c r="F4163" s="390"/>
      <c r="G4163" s="390"/>
      <c r="H4163" s="390"/>
      <c r="I4163" s="390"/>
      <c r="J4163" s="390"/>
      <c r="K4163" s="734"/>
      <c r="M4163" s="62" t="e">
        <f>IF(#REF!&gt;6,3,5)</f>
        <v>#REF!</v>
      </c>
    </row>
    <row r="4164" spans="1:13">
      <c r="A4164" s="768">
        <v>2</v>
      </c>
      <c r="B4164" s="768" t="s">
        <v>2722</v>
      </c>
      <c r="C4164" s="751">
        <v>2500000</v>
      </c>
      <c r="D4164" s="751">
        <v>3000000</v>
      </c>
      <c r="E4164" s="751">
        <v>3000000</v>
      </c>
      <c r="F4164" s="751">
        <f>SUM(C4164:E4164)</f>
        <v>8500000</v>
      </c>
      <c r="G4164" s="751"/>
      <c r="H4164" s="751">
        <v>1200000</v>
      </c>
      <c r="I4164" s="751"/>
      <c r="J4164" s="751"/>
      <c r="K4164" s="754"/>
      <c r="M4164" s="62" t="e">
        <f>IF(#REF!&gt;6,3,5)</f>
        <v>#REF!</v>
      </c>
    </row>
    <row r="4165" spans="1:13">
      <c r="A4165" s="768">
        <f t="shared" ref="A4165:A4182" si="323">+A4164+1</f>
        <v>3</v>
      </c>
      <c r="B4165" s="768" t="s">
        <v>1696</v>
      </c>
      <c r="C4165" s="751" t="s">
        <v>1386</v>
      </c>
      <c r="D4165" s="751" t="s">
        <v>1386</v>
      </c>
      <c r="E4165" s="751" t="s">
        <v>1386</v>
      </c>
      <c r="F4165" s="751">
        <f t="shared" ref="F4165:F4182" si="324">SUM(C4165:E4165)</f>
        <v>0</v>
      </c>
      <c r="G4165" s="751"/>
      <c r="H4165" s="751" t="s">
        <v>1386</v>
      </c>
      <c r="I4165" s="751"/>
      <c r="J4165" s="751"/>
      <c r="K4165" s="754"/>
      <c r="M4165" s="62" t="e">
        <f>IF(#REF!&gt;6,3,5)</f>
        <v>#REF!</v>
      </c>
    </row>
    <row r="4166" spans="1:13">
      <c r="A4166" s="768">
        <f t="shared" si="323"/>
        <v>4</v>
      </c>
      <c r="B4166" s="768" t="s">
        <v>1701</v>
      </c>
      <c r="C4166" s="751" t="s">
        <v>1386</v>
      </c>
      <c r="D4166" s="751" t="s">
        <v>1386</v>
      </c>
      <c r="E4166" s="751" t="s">
        <v>1386</v>
      </c>
      <c r="F4166" s="751">
        <f t="shared" si="324"/>
        <v>0</v>
      </c>
      <c r="G4166" s="751"/>
      <c r="H4166" s="751" t="s">
        <v>1386</v>
      </c>
      <c r="I4166" s="751"/>
      <c r="J4166" s="751"/>
      <c r="K4166" s="754"/>
      <c r="M4166" s="62" t="e">
        <f>IF(#REF!&gt;6,3,5)</f>
        <v>#REF!</v>
      </c>
    </row>
    <row r="4167" spans="1:13">
      <c r="A4167" s="768">
        <f t="shared" si="323"/>
        <v>5</v>
      </c>
      <c r="B4167" s="768" t="s">
        <v>22</v>
      </c>
      <c r="C4167" s="751">
        <v>1000000</v>
      </c>
      <c r="D4167" s="751">
        <v>1000000</v>
      </c>
      <c r="E4167" s="751">
        <v>1000000</v>
      </c>
      <c r="F4167" s="751">
        <f t="shared" si="324"/>
        <v>3000000</v>
      </c>
      <c r="G4167" s="751"/>
      <c r="H4167" s="751">
        <v>1000000</v>
      </c>
      <c r="I4167" s="751"/>
      <c r="J4167" s="751"/>
      <c r="K4167" s="754"/>
      <c r="M4167" s="62" t="e">
        <f>IF(#REF!&gt;6,3,5)</f>
        <v>#REF!</v>
      </c>
    </row>
    <row r="4168" spans="1:13">
      <c r="A4168" s="768">
        <f t="shared" si="323"/>
        <v>6</v>
      </c>
      <c r="B4168" s="768" t="s">
        <v>1072</v>
      </c>
      <c r="C4168" s="751">
        <v>500000</v>
      </c>
      <c r="D4168" s="751">
        <v>1000000</v>
      </c>
      <c r="E4168" s="751">
        <v>1000000</v>
      </c>
      <c r="F4168" s="751">
        <f t="shared" si="324"/>
        <v>2500000</v>
      </c>
      <c r="G4168" s="751"/>
      <c r="H4168" s="751">
        <v>1000000</v>
      </c>
      <c r="I4168" s="751"/>
      <c r="J4168" s="751"/>
      <c r="K4168" s="754"/>
      <c r="M4168" s="62" t="e">
        <f>IF(#REF!&gt;6,3,5)</f>
        <v>#REF!</v>
      </c>
    </row>
    <row r="4169" spans="1:13">
      <c r="A4169" s="768">
        <f t="shared" si="323"/>
        <v>7</v>
      </c>
      <c r="B4169" s="768" t="s">
        <v>2975</v>
      </c>
      <c r="C4169" s="751">
        <v>2000000</v>
      </c>
      <c r="D4169" s="751">
        <v>2000000</v>
      </c>
      <c r="E4169" s="751">
        <v>2000000</v>
      </c>
      <c r="F4169" s="751">
        <f t="shared" si="324"/>
        <v>6000000</v>
      </c>
      <c r="G4169" s="751"/>
      <c r="H4169" s="751">
        <v>1000000</v>
      </c>
      <c r="I4169" s="751"/>
      <c r="J4169" s="751"/>
      <c r="K4169" s="754"/>
      <c r="M4169" s="62" t="e">
        <f>IF(#REF!&gt;6,3,5)</f>
        <v>#REF!</v>
      </c>
    </row>
    <row r="4170" spans="1:13">
      <c r="A4170" s="768">
        <f t="shared" si="323"/>
        <v>8</v>
      </c>
      <c r="B4170" s="768" t="s">
        <v>1385</v>
      </c>
      <c r="C4170" s="390" t="s">
        <v>3007</v>
      </c>
      <c r="D4170" s="390" t="s">
        <v>3007</v>
      </c>
      <c r="E4170" s="390" t="s">
        <v>3007</v>
      </c>
      <c r="F4170" s="751">
        <f t="shared" si="324"/>
        <v>0</v>
      </c>
      <c r="G4170" s="390"/>
      <c r="H4170" s="390" t="s">
        <v>3007</v>
      </c>
      <c r="I4170" s="390"/>
      <c r="J4170" s="751"/>
      <c r="K4170" s="754"/>
      <c r="M4170" s="62" t="e">
        <f>IF(#REF!&gt;6,3,5)</f>
        <v>#REF!</v>
      </c>
    </row>
    <row r="4171" spans="1:13">
      <c r="A4171" s="768">
        <f t="shared" si="323"/>
        <v>9</v>
      </c>
      <c r="B4171" s="768" t="s">
        <v>755</v>
      </c>
      <c r="C4171" s="390" t="s">
        <v>3007</v>
      </c>
      <c r="D4171" s="390" t="s">
        <v>3007</v>
      </c>
      <c r="E4171" s="390" t="s">
        <v>3007</v>
      </c>
      <c r="F4171" s="751">
        <f t="shared" si="324"/>
        <v>0</v>
      </c>
      <c r="G4171" s="390"/>
      <c r="H4171" s="390" t="s">
        <v>3007</v>
      </c>
      <c r="I4171" s="390"/>
      <c r="J4171" s="751"/>
      <c r="K4171" s="754"/>
      <c r="M4171" s="62" t="e">
        <f>IF(#REF!&gt;6,3,5)</f>
        <v>#REF!</v>
      </c>
    </row>
    <row r="4172" spans="1:13" ht="25.5">
      <c r="A4172" s="768">
        <f t="shared" si="323"/>
        <v>10</v>
      </c>
      <c r="B4172" s="773" t="s">
        <v>1790</v>
      </c>
      <c r="C4172" s="751">
        <v>200000</v>
      </c>
      <c r="D4172" s="751">
        <v>200000</v>
      </c>
      <c r="E4172" s="751">
        <v>200000</v>
      </c>
      <c r="F4172" s="751">
        <f t="shared" si="324"/>
        <v>600000</v>
      </c>
      <c r="G4172" s="751"/>
      <c r="H4172" s="751">
        <v>500000</v>
      </c>
      <c r="I4172" s="751"/>
      <c r="J4172" s="751"/>
      <c r="K4172" s="754"/>
      <c r="M4172" s="62" t="e">
        <f>IF(#REF!&gt;6,3,5)</f>
        <v>#REF!</v>
      </c>
    </row>
    <row r="4173" spans="1:13" ht="25.5">
      <c r="A4173" s="768">
        <f t="shared" si="323"/>
        <v>11</v>
      </c>
      <c r="B4173" s="773" t="s">
        <v>764</v>
      </c>
      <c r="C4173" s="751">
        <v>100000</v>
      </c>
      <c r="D4173" s="751">
        <v>100000</v>
      </c>
      <c r="E4173" s="751">
        <v>100000</v>
      </c>
      <c r="F4173" s="751">
        <f t="shared" si="324"/>
        <v>300000</v>
      </c>
      <c r="G4173" s="751"/>
      <c r="H4173" s="751">
        <v>100000</v>
      </c>
      <c r="I4173" s="751"/>
      <c r="J4173" s="751"/>
      <c r="K4173" s="754"/>
      <c r="M4173" s="62" t="e">
        <f>IF(#REF!&gt;6,3,5)</f>
        <v>#REF!</v>
      </c>
    </row>
    <row r="4174" spans="1:13">
      <c r="A4174" s="768">
        <f t="shared" si="323"/>
        <v>12</v>
      </c>
      <c r="B4174" s="773" t="s">
        <v>895</v>
      </c>
      <c r="C4174" s="751">
        <v>2500000</v>
      </c>
      <c r="D4174" s="751">
        <v>3000000</v>
      </c>
      <c r="E4174" s="751">
        <v>3000000</v>
      </c>
      <c r="F4174" s="751">
        <f t="shared" si="324"/>
        <v>8500000</v>
      </c>
      <c r="G4174" s="751"/>
      <c r="H4174" s="751">
        <v>1500000</v>
      </c>
      <c r="I4174" s="751"/>
      <c r="J4174" s="751"/>
      <c r="K4174" s="754"/>
      <c r="M4174" s="62" t="e">
        <f>IF(#REF!&gt;6,3,5)</f>
        <v>#REF!</v>
      </c>
    </row>
    <row r="4175" spans="1:13">
      <c r="A4175" s="768">
        <f t="shared" si="323"/>
        <v>13</v>
      </c>
      <c r="B4175" s="773" t="s">
        <v>2249</v>
      </c>
      <c r="C4175" s="751">
        <v>100000</v>
      </c>
      <c r="D4175" s="751">
        <v>100000</v>
      </c>
      <c r="E4175" s="751">
        <v>100000</v>
      </c>
      <c r="F4175" s="751">
        <f t="shared" si="324"/>
        <v>300000</v>
      </c>
      <c r="G4175" s="751"/>
      <c r="H4175" s="751">
        <v>100000</v>
      </c>
      <c r="I4175" s="751"/>
      <c r="J4175" s="751"/>
      <c r="K4175" s="754"/>
      <c r="M4175" s="62" t="e">
        <f>IF(#REF!&gt;6,3,5)</f>
        <v>#REF!</v>
      </c>
    </row>
    <row r="4176" spans="1:13">
      <c r="A4176" s="768">
        <f t="shared" si="323"/>
        <v>14</v>
      </c>
      <c r="B4176" s="773" t="s">
        <v>756</v>
      </c>
      <c r="C4176" s="751">
        <v>800000</v>
      </c>
      <c r="D4176" s="751">
        <v>800000</v>
      </c>
      <c r="E4176" s="751">
        <v>800000</v>
      </c>
      <c r="F4176" s="751">
        <f t="shared" si="324"/>
        <v>2400000</v>
      </c>
      <c r="G4176" s="751"/>
      <c r="H4176" s="751">
        <v>800000</v>
      </c>
      <c r="I4176" s="751"/>
      <c r="J4176" s="751"/>
      <c r="K4176" s="754"/>
      <c r="M4176" s="62" t="e">
        <f>IF(#REF!&gt;6,3,5)</f>
        <v>#REF!</v>
      </c>
    </row>
    <row r="4177" spans="1:13">
      <c r="A4177" s="768">
        <f t="shared" si="323"/>
        <v>15</v>
      </c>
      <c r="B4177" s="773" t="s">
        <v>2415</v>
      </c>
      <c r="C4177" s="751" t="s">
        <v>1386</v>
      </c>
      <c r="D4177" s="751" t="s">
        <v>1386</v>
      </c>
      <c r="E4177" s="751" t="s">
        <v>1386</v>
      </c>
      <c r="F4177" s="751">
        <f t="shared" si="324"/>
        <v>0</v>
      </c>
      <c r="G4177" s="751"/>
      <c r="H4177" s="751" t="s">
        <v>1386</v>
      </c>
      <c r="I4177" s="751"/>
      <c r="J4177" s="751"/>
      <c r="K4177" s="754"/>
      <c r="M4177" s="62" t="e">
        <f>IF(#REF!&gt;6,3,5)</f>
        <v>#REF!</v>
      </c>
    </row>
    <row r="4178" spans="1:13">
      <c r="A4178" s="768">
        <f t="shared" si="323"/>
        <v>16</v>
      </c>
      <c r="B4178" s="773" t="s">
        <v>3149</v>
      </c>
      <c r="C4178" s="751" t="s">
        <v>1386</v>
      </c>
      <c r="D4178" s="751" t="s">
        <v>1386</v>
      </c>
      <c r="E4178" s="751" t="s">
        <v>1386</v>
      </c>
      <c r="F4178" s="751">
        <f t="shared" si="324"/>
        <v>0</v>
      </c>
      <c r="G4178" s="751"/>
      <c r="H4178" s="751" t="s">
        <v>1386</v>
      </c>
      <c r="I4178" s="751"/>
      <c r="J4178" s="751"/>
      <c r="K4178" s="754"/>
      <c r="M4178" s="62" t="e">
        <f>IF(#REF!&gt;6,3,5)</f>
        <v>#REF!</v>
      </c>
    </row>
    <row r="4179" spans="1:13" ht="25.5">
      <c r="A4179" s="768">
        <f t="shared" si="323"/>
        <v>17</v>
      </c>
      <c r="B4179" s="773" t="s">
        <v>18</v>
      </c>
      <c r="C4179" s="751">
        <v>2500000</v>
      </c>
      <c r="D4179" s="751">
        <v>4000000</v>
      </c>
      <c r="E4179" s="751">
        <v>4000000</v>
      </c>
      <c r="F4179" s="751">
        <f t="shared" si="324"/>
        <v>10500000</v>
      </c>
      <c r="G4179" s="751"/>
      <c r="H4179" s="751">
        <v>4000000</v>
      </c>
      <c r="I4179" s="751"/>
      <c r="J4179" s="751"/>
      <c r="K4179" s="754"/>
      <c r="M4179" s="62" t="e">
        <f>IF(#REF!&gt;6,3,5)</f>
        <v>#REF!</v>
      </c>
    </row>
    <row r="4180" spans="1:13" ht="25.5">
      <c r="A4180" s="768">
        <f t="shared" si="323"/>
        <v>18</v>
      </c>
      <c r="B4180" s="773" t="s">
        <v>19</v>
      </c>
      <c r="C4180" s="751">
        <v>1500000</v>
      </c>
      <c r="D4180" s="751">
        <v>3000000</v>
      </c>
      <c r="E4180" s="751">
        <v>3000000</v>
      </c>
      <c r="F4180" s="751">
        <f t="shared" si="324"/>
        <v>7500000</v>
      </c>
      <c r="G4180" s="751"/>
      <c r="H4180" s="751">
        <v>3000000</v>
      </c>
      <c r="I4180" s="751"/>
      <c r="J4180" s="751"/>
      <c r="K4180" s="754"/>
      <c r="M4180" s="62" t="e">
        <f>IF(#REF!&gt;6,3,5)</f>
        <v>#REF!</v>
      </c>
    </row>
    <row r="4181" spans="1:13">
      <c r="A4181" s="768">
        <f t="shared" si="323"/>
        <v>19</v>
      </c>
      <c r="B4181" s="773" t="s">
        <v>20</v>
      </c>
      <c r="C4181" s="751">
        <v>1000000</v>
      </c>
      <c r="D4181" s="751">
        <v>1000000</v>
      </c>
      <c r="E4181" s="751">
        <v>1000000</v>
      </c>
      <c r="F4181" s="751">
        <f t="shared" si="324"/>
        <v>3000000</v>
      </c>
      <c r="G4181" s="751"/>
      <c r="H4181" s="751">
        <v>1000000</v>
      </c>
      <c r="I4181" s="751"/>
      <c r="J4181" s="751"/>
      <c r="K4181" s="754"/>
      <c r="M4181" s="62" t="e">
        <f>IF(#REF!&gt;6,3,5)</f>
        <v>#REF!</v>
      </c>
    </row>
    <row r="4182" spans="1:13">
      <c r="A4182" s="768">
        <f t="shared" si="323"/>
        <v>20</v>
      </c>
      <c r="B4182" s="773" t="s">
        <v>21</v>
      </c>
      <c r="C4182" s="751">
        <v>500000</v>
      </c>
      <c r="D4182" s="751">
        <v>1000000</v>
      </c>
      <c r="E4182" s="751">
        <v>1000000</v>
      </c>
      <c r="F4182" s="751">
        <f t="shared" si="324"/>
        <v>2500000</v>
      </c>
      <c r="G4182" s="751"/>
      <c r="H4182" s="751">
        <v>1000000</v>
      </c>
      <c r="I4182" s="751"/>
      <c r="J4182" s="751"/>
      <c r="K4182" s="754"/>
      <c r="M4182" s="62" t="e">
        <f>IF(#REF!&gt;6,3,5)</f>
        <v>#REF!</v>
      </c>
    </row>
    <row r="4183" spans="1:13">
      <c r="A4183" s="768"/>
      <c r="B4183" s="768"/>
      <c r="C4183" s="809"/>
      <c r="D4183" s="809"/>
      <c r="E4183" s="809"/>
      <c r="F4183" s="809"/>
      <c r="G4183" s="809"/>
      <c r="H4183" s="809"/>
      <c r="I4183" s="809"/>
      <c r="J4183" s="809"/>
      <c r="K4183" s="810"/>
      <c r="M4183" s="62" t="e">
        <f>IF(#REF!&gt;6,3,5)</f>
        <v>#REF!</v>
      </c>
    </row>
    <row r="4184" spans="1:13">
      <c r="A4184" s="811"/>
      <c r="B4184" s="812" t="s">
        <v>1684</v>
      </c>
      <c r="C4184" s="805">
        <f t="shared" ref="C4184:H4184" si="325">SUM(C4163:C4183)</f>
        <v>15200000</v>
      </c>
      <c r="D4184" s="805">
        <f t="shared" si="325"/>
        <v>20200000</v>
      </c>
      <c r="E4184" s="805">
        <f t="shared" si="325"/>
        <v>20200000</v>
      </c>
      <c r="F4184" s="805">
        <f t="shared" si="325"/>
        <v>55600000</v>
      </c>
      <c r="G4184" s="805"/>
      <c r="H4184" s="805">
        <f t="shared" si="325"/>
        <v>16200000</v>
      </c>
      <c r="I4184" s="805"/>
      <c r="J4184" s="805"/>
      <c r="K4184" s="806"/>
      <c r="L4184" s="112"/>
      <c r="M4184" s="62" t="e">
        <f>IF(#REF!&gt;6,3,5)</f>
        <v>#REF!</v>
      </c>
    </row>
    <row r="4185" spans="1:13" ht="15">
      <c r="C4185" s="77"/>
      <c r="D4185" s="78" t="s">
        <v>5434</v>
      </c>
      <c r="J4185" s="584"/>
      <c r="K4185" s="584"/>
      <c r="M4185" s="62">
        <f t="shared" ref="M4185:M4230" si="326">IF(C4185&gt;6,3,5)</f>
        <v>5</v>
      </c>
    </row>
    <row r="4186" spans="1:13" ht="15">
      <c r="C4186" s="77"/>
      <c r="D4186" s="78" t="s">
        <v>1693</v>
      </c>
      <c r="J4186" s="584"/>
      <c r="K4186" s="584"/>
      <c r="M4186" s="62">
        <f t="shared" si="326"/>
        <v>5</v>
      </c>
    </row>
    <row r="4187" spans="1:13" ht="15">
      <c r="C4187" s="79" t="s">
        <v>717</v>
      </c>
      <c r="D4187" s="1058" t="s">
        <v>3811</v>
      </c>
      <c r="E4187" s="1058"/>
      <c r="J4187" s="584"/>
      <c r="K4187" s="584"/>
      <c r="M4187" s="62">
        <f t="shared" si="326"/>
        <v>3</v>
      </c>
    </row>
    <row r="4188" spans="1:13" ht="15.75" thickBot="1">
      <c r="C4188" s="79" t="s">
        <v>718</v>
      </c>
      <c r="D4188" s="78" t="s">
        <v>2203</v>
      </c>
      <c r="J4188" s="584"/>
      <c r="K4188" s="584"/>
      <c r="M4188" s="62">
        <f t="shared" si="326"/>
        <v>3</v>
      </c>
    </row>
    <row r="4189" spans="1:13" ht="15.75" thickTop="1">
      <c r="A4189" s="1047" t="s">
        <v>2791</v>
      </c>
      <c r="B4189" s="1049" t="s">
        <v>4126</v>
      </c>
      <c r="C4189" s="1049" t="s">
        <v>854</v>
      </c>
      <c r="D4189" s="1040" t="s">
        <v>4127</v>
      </c>
      <c r="E4189" s="1041"/>
      <c r="F4189" s="1041"/>
      <c r="G4189" s="1040" t="s">
        <v>904</v>
      </c>
      <c r="H4189" s="1041"/>
      <c r="I4189" s="1042"/>
      <c r="J4189" s="1035" t="s">
        <v>855</v>
      </c>
      <c r="K4189" s="389"/>
    </row>
    <row r="4190" spans="1:13" ht="26.25" thickBot="1">
      <c r="A4190" s="1048"/>
      <c r="B4190" s="1050"/>
      <c r="C4190" s="1050"/>
      <c r="D4190" s="285" t="s">
        <v>5505</v>
      </c>
      <c r="E4190" s="285" t="s">
        <v>4485</v>
      </c>
      <c r="F4190" s="285" t="s">
        <v>4486</v>
      </c>
      <c r="G4190" s="287" t="s">
        <v>4487</v>
      </c>
      <c r="H4190" s="285" t="s">
        <v>4488</v>
      </c>
      <c r="I4190" s="287" t="s">
        <v>4489</v>
      </c>
      <c r="J4190" s="1036"/>
      <c r="K4190" s="712"/>
    </row>
    <row r="4191" spans="1:13" ht="13.5" thickTop="1">
      <c r="A4191" s="88"/>
      <c r="B4191" s="90" t="s">
        <v>683</v>
      </c>
      <c r="C4191" s="69"/>
      <c r="D4191" s="89"/>
      <c r="E4191" s="89"/>
      <c r="F4191" s="89"/>
      <c r="G4191" s="89"/>
      <c r="H4191" s="89"/>
      <c r="I4191" s="89"/>
      <c r="J4191" s="713"/>
      <c r="K4191" s="711"/>
      <c r="M4191" s="62">
        <f t="shared" si="326"/>
        <v>5</v>
      </c>
    </row>
    <row r="4192" spans="1:13">
      <c r="A4192" s="88">
        <v>1</v>
      </c>
      <c r="B4192" s="69" t="s">
        <v>3845</v>
      </c>
      <c r="C4192" s="69">
        <v>7</v>
      </c>
      <c r="D4192" s="89">
        <v>2</v>
      </c>
      <c r="E4192" s="91">
        <v>2</v>
      </c>
      <c r="F4192" s="89">
        <v>2</v>
      </c>
      <c r="G4192" s="89">
        <v>2</v>
      </c>
      <c r="H4192" s="91">
        <v>2</v>
      </c>
      <c r="I4192" s="89">
        <v>2</v>
      </c>
      <c r="J4192" s="710">
        <f>(VLOOKUP($C4192,[2]Sheet1!$A$2:$P$18,$M4192+1)/12)*12*D4192</f>
        <v>615413.40480000013</v>
      </c>
      <c r="K4192" s="711"/>
      <c r="M4192" s="62">
        <f t="shared" si="326"/>
        <v>3</v>
      </c>
    </row>
    <row r="4193" spans="1:13">
      <c r="A4193" s="88">
        <f t="shared" ref="A4193:A4244" si="327">+A4192+1</f>
        <v>2</v>
      </c>
      <c r="B4193" s="69" t="s">
        <v>2714</v>
      </c>
      <c r="C4193" s="69">
        <v>6</v>
      </c>
      <c r="D4193" s="89">
        <v>2</v>
      </c>
      <c r="E4193" s="89">
        <v>2</v>
      </c>
      <c r="F4193" s="89">
        <v>2</v>
      </c>
      <c r="G4193" s="89">
        <v>2</v>
      </c>
      <c r="H4193" s="89">
        <v>2</v>
      </c>
      <c r="I4193" s="89">
        <v>2</v>
      </c>
      <c r="J4193" s="710">
        <f>(VLOOKUP($C4193,[2]Sheet1!$A$2:$P$18,$M4193+1)/12)*12*D4193</f>
        <v>476198.75786072994</v>
      </c>
      <c r="K4193" s="711"/>
      <c r="M4193" s="62">
        <f t="shared" si="326"/>
        <v>5</v>
      </c>
    </row>
    <row r="4194" spans="1:13">
      <c r="A4194" s="88">
        <f t="shared" si="327"/>
        <v>3</v>
      </c>
      <c r="B4194" s="69" t="s">
        <v>3847</v>
      </c>
      <c r="C4194" s="69">
        <v>5</v>
      </c>
      <c r="D4194" s="89">
        <v>0</v>
      </c>
      <c r="E4194" s="89">
        <v>1</v>
      </c>
      <c r="F4194" s="89">
        <v>0</v>
      </c>
      <c r="G4194" s="89">
        <v>0</v>
      </c>
      <c r="H4194" s="89">
        <v>1</v>
      </c>
      <c r="I4194" s="89">
        <v>0</v>
      </c>
      <c r="J4194" s="710">
        <f>(VLOOKUP($C4194,[2]Sheet1!$A$2:$P$18,$M4194+1)/12)*12*D4194</f>
        <v>0</v>
      </c>
      <c r="K4194" s="711"/>
      <c r="M4194" s="62">
        <f t="shared" si="326"/>
        <v>5</v>
      </c>
    </row>
    <row r="4195" spans="1:13">
      <c r="A4195" s="88">
        <f t="shared" si="327"/>
        <v>4</v>
      </c>
      <c r="B4195" s="69" t="s">
        <v>2336</v>
      </c>
      <c r="C4195" s="69">
        <v>4</v>
      </c>
      <c r="D4195" s="89">
        <v>1</v>
      </c>
      <c r="E4195" s="89">
        <v>5</v>
      </c>
      <c r="F4195" s="89">
        <v>1</v>
      </c>
      <c r="G4195" s="89">
        <v>1</v>
      </c>
      <c r="H4195" s="89">
        <v>5</v>
      </c>
      <c r="I4195" s="89">
        <v>1</v>
      </c>
      <c r="J4195" s="710">
        <f>(VLOOKUP($C4195,[2]Sheet1!$A$2:$P$18,$M4195+1)/12)*12*D4195</f>
        <v>224542.978930365</v>
      </c>
      <c r="K4195" s="711"/>
      <c r="M4195" s="62">
        <f t="shared" si="326"/>
        <v>5</v>
      </c>
    </row>
    <row r="4196" spans="1:13">
      <c r="A4196" s="88">
        <f t="shared" si="327"/>
        <v>5</v>
      </c>
      <c r="B4196" s="69" t="s">
        <v>1069</v>
      </c>
      <c r="C4196" s="69">
        <v>3</v>
      </c>
      <c r="D4196" s="89">
        <v>10</v>
      </c>
      <c r="E4196" s="89">
        <v>10</v>
      </c>
      <c r="F4196" s="89">
        <v>10</v>
      </c>
      <c r="G4196" s="89">
        <v>10</v>
      </c>
      <c r="H4196" s="89">
        <v>10</v>
      </c>
      <c r="I4196" s="89">
        <v>10</v>
      </c>
      <c r="J4196" s="710">
        <f>(VLOOKUP($C4196,[2]Sheet1!$A$2:$P$18,$M4196+1)/12)*12*D4196</f>
        <v>2193361.7893036497</v>
      </c>
      <c r="K4196" s="711"/>
      <c r="M4196" s="62">
        <f t="shared" si="326"/>
        <v>5</v>
      </c>
    </row>
    <row r="4197" spans="1:13">
      <c r="A4197" s="88">
        <f>+A4196+1</f>
        <v>6</v>
      </c>
      <c r="B4197" s="69" t="s">
        <v>3896</v>
      </c>
      <c r="C4197" s="69">
        <v>6</v>
      </c>
      <c r="D4197" s="89">
        <v>1</v>
      </c>
      <c r="E4197" s="89">
        <v>1</v>
      </c>
      <c r="F4197" s="89">
        <v>1</v>
      </c>
      <c r="G4197" s="89">
        <v>1</v>
      </c>
      <c r="H4197" s="89">
        <v>1</v>
      </c>
      <c r="I4197" s="89">
        <v>1</v>
      </c>
      <c r="J4197" s="710">
        <f>(VLOOKUP($C4197,[2]Sheet1!$A$2:$P$18,$M4197+1)/12)*12*D4197</f>
        <v>238099.37893036497</v>
      </c>
      <c r="K4197" s="711"/>
      <c r="M4197" s="62">
        <f t="shared" si="326"/>
        <v>5</v>
      </c>
    </row>
    <row r="4198" spans="1:13">
      <c r="A4198" s="88">
        <f t="shared" si="327"/>
        <v>7</v>
      </c>
      <c r="B4198" s="69" t="s">
        <v>319</v>
      </c>
      <c r="C4198" s="69">
        <v>8</v>
      </c>
      <c r="D4198" s="89">
        <v>0</v>
      </c>
      <c r="E4198" s="89">
        <v>0</v>
      </c>
      <c r="F4198" s="89">
        <v>0</v>
      </c>
      <c r="G4198" s="89">
        <v>0</v>
      </c>
      <c r="H4198" s="89">
        <v>0</v>
      </c>
      <c r="I4198" s="89">
        <v>0</v>
      </c>
      <c r="J4198" s="710">
        <f>(VLOOKUP($C4198,[2]Sheet1!$A$2:$P$18,$M4198+1)/12)*12*D4198</f>
        <v>0</v>
      </c>
      <c r="K4198" s="711"/>
      <c r="M4198" s="62">
        <f t="shared" si="326"/>
        <v>3</v>
      </c>
    </row>
    <row r="4199" spans="1:13">
      <c r="A4199" s="88">
        <f t="shared" si="327"/>
        <v>8</v>
      </c>
      <c r="B4199" s="69" t="s">
        <v>2572</v>
      </c>
      <c r="C4199" s="69">
        <v>7</v>
      </c>
      <c r="D4199" s="89">
        <v>0</v>
      </c>
      <c r="E4199" s="89">
        <v>0</v>
      </c>
      <c r="F4199" s="89">
        <v>0</v>
      </c>
      <c r="G4199" s="89">
        <v>0</v>
      </c>
      <c r="H4199" s="89">
        <v>0</v>
      </c>
      <c r="I4199" s="89">
        <v>0</v>
      </c>
      <c r="J4199" s="710">
        <f>(VLOOKUP($C4199,[2]Sheet1!$A$2:$P$18,$M4199+1)/12)*12*D4199</f>
        <v>0</v>
      </c>
      <c r="K4199" s="711"/>
      <c r="M4199" s="62">
        <f t="shared" si="326"/>
        <v>3</v>
      </c>
    </row>
    <row r="4200" spans="1:13">
      <c r="A4200" s="88">
        <f t="shared" si="327"/>
        <v>9</v>
      </c>
      <c r="B4200" s="69" t="s">
        <v>3898</v>
      </c>
      <c r="C4200" s="69">
        <v>6</v>
      </c>
      <c r="D4200" s="89">
        <v>0</v>
      </c>
      <c r="E4200" s="89">
        <v>0</v>
      </c>
      <c r="F4200" s="89">
        <v>0</v>
      </c>
      <c r="G4200" s="89">
        <v>0</v>
      </c>
      <c r="H4200" s="89">
        <v>0</v>
      </c>
      <c r="I4200" s="89">
        <v>0</v>
      </c>
      <c r="J4200" s="710">
        <f>(VLOOKUP($C4200,[2]Sheet1!$A$2:$P$18,$M4200+1)/12)*12*D4200</f>
        <v>0</v>
      </c>
      <c r="K4200" s="711"/>
      <c r="M4200" s="62">
        <f t="shared" si="326"/>
        <v>5</v>
      </c>
    </row>
    <row r="4201" spans="1:13">
      <c r="A4201" s="88">
        <f t="shared" si="327"/>
        <v>10</v>
      </c>
      <c r="B4201" s="69" t="s">
        <v>3745</v>
      </c>
      <c r="C4201" s="69">
        <v>5</v>
      </c>
      <c r="D4201" s="89">
        <v>0</v>
      </c>
      <c r="E4201" s="89">
        <v>0</v>
      </c>
      <c r="F4201" s="89">
        <v>0</v>
      </c>
      <c r="G4201" s="89">
        <v>0</v>
      </c>
      <c r="H4201" s="89">
        <v>0</v>
      </c>
      <c r="I4201" s="89">
        <v>0</v>
      </c>
      <c r="J4201" s="710">
        <f>(VLOOKUP($C4201,[2]Sheet1!$A$2:$P$18,$M4201+1)/12)*12*D4201</f>
        <v>0</v>
      </c>
      <c r="K4201" s="711"/>
      <c r="M4201" s="62">
        <f t="shared" si="326"/>
        <v>5</v>
      </c>
    </row>
    <row r="4202" spans="1:13">
      <c r="A4202" s="88">
        <f t="shared" si="327"/>
        <v>11</v>
      </c>
      <c r="B4202" s="69" t="s">
        <v>2403</v>
      </c>
      <c r="C4202" s="69">
        <v>4</v>
      </c>
      <c r="D4202" s="89">
        <v>0</v>
      </c>
      <c r="E4202" s="89">
        <v>0</v>
      </c>
      <c r="F4202" s="89">
        <v>0</v>
      </c>
      <c r="G4202" s="89">
        <v>0</v>
      </c>
      <c r="H4202" s="89">
        <v>0</v>
      </c>
      <c r="I4202" s="89">
        <v>0</v>
      </c>
      <c r="J4202" s="710">
        <f>(VLOOKUP($C4202,[2]Sheet1!$A$2:$P$18,$M4202+1)/12)*12*D4202</f>
        <v>0</v>
      </c>
      <c r="K4202" s="711"/>
      <c r="M4202" s="62">
        <f t="shared" si="326"/>
        <v>5</v>
      </c>
    </row>
    <row r="4203" spans="1:13">
      <c r="A4203" s="88">
        <f t="shared" si="327"/>
        <v>12</v>
      </c>
      <c r="B4203" s="69" t="s">
        <v>3467</v>
      </c>
      <c r="C4203" s="69">
        <v>3</v>
      </c>
      <c r="D4203" s="89">
        <v>0</v>
      </c>
      <c r="E4203" s="89">
        <v>0</v>
      </c>
      <c r="F4203" s="89">
        <v>0</v>
      </c>
      <c r="G4203" s="89">
        <v>0</v>
      </c>
      <c r="H4203" s="89">
        <v>0</v>
      </c>
      <c r="I4203" s="89">
        <v>0</v>
      </c>
      <c r="J4203" s="710">
        <f>(VLOOKUP($C4203,[2]Sheet1!$A$2:$P$18,$M4203+1)/12)*12*D4203</f>
        <v>0</v>
      </c>
      <c r="K4203" s="711"/>
      <c r="M4203" s="62">
        <f t="shared" si="326"/>
        <v>5</v>
      </c>
    </row>
    <row r="4204" spans="1:13">
      <c r="A4204" s="88">
        <f t="shared" si="327"/>
        <v>13</v>
      </c>
      <c r="B4204" s="69" t="s">
        <v>2694</v>
      </c>
      <c r="C4204" s="69">
        <v>3</v>
      </c>
      <c r="D4204" s="143">
        <v>0</v>
      </c>
      <c r="E4204" s="89">
        <v>0</v>
      </c>
      <c r="F4204" s="143">
        <v>0</v>
      </c>
      <c r="G4204" s="143">
        <v>0</v>
      </c>
      <c r="H4204" s="89">
        <v>0</v>
      </c>
      <c r="I4204" s="143">
        <v>0</v>
      </c>
      <c r="J4204" s="710">
        <f>(VLOOKUP($C4204,[2]Sheet1!$A$2:$P$18,$M4204+1)/12)*12*D4204</f>
        <v>0</v>
      </c>
      <c r="K4204" s="711"/>
      <c r="M4204" s="62">
        <f t="shared" si="326"/>
        <v>5</v>
      </c>
    </row>
    <row r="4205" spans="1:13">
      <c r="A4205" s="88">
        <f t="shared" si="327"/>
        <v>14</v>
      </c>
      <c r="B4205" s="69" t="s">
        <v>3257</v>
      </c>
      <c r="C4205" s="69">
        <v>2</v>
      </c>
      <c r="D4205" s="143">
        <v>0</v>
      </c>
      <c r="E4205" s="89">
        <v>1</v>
      </c>
      <c r="F4205" s="143">
        <v>0</v>
      </c>
      <c r="G4205" s="143">
        <v>0</v>
      </c>
      <c r="H4205" s="89">
        <v>1</v>
      </c>
      <c r="I4205" s="143">
        <v>0</v>
      </c>
      <c r="J4205" s="710">
        <f>(VLOOKUP($C4205,[2]Sheet1!$A$2:$P$18,$M4205+1)/12)*12*D4205</f>
        <v>0</v>
      </c>
      <c r="K4205" s="711"/>
      <c r="M4205" s="62">
        <f t="shared" si="326"/>
        <v>5</v>
      </c>
    </row>
    <row r="4206" spans="1:13">
      <c r="A4206" s="88">
        <f t="shared" si="327"/>
        <v>15</v>
      </c>
      <c r="B4206" s="69" t="s">
        <v>3468</v>
      </c>
      <c r="C4206" s="69">
        <v>4</v>
      </c>
      <c r="D4206" s="89">
        <v>2</v>
      </c>
      <c r="E4206" s="89">
        <v>2</v>
      </c>
      <c r="F4206" s="89">
        <v>2</v>
      </c>
      <c r="G4206" s="89">
        <v>2</v>
      </c>
      <c r="H4206" s="89">
        <v>2</v>
      </c>
      <c r="I4206" s="89">
        <v>2</v>
      </c>
      <c r="J4206" s="710">
        <f>(VLOOKUP($C4206,[2]Sheet1!$A$2:$P$18,$M4206+1)/12)*12*D4206</f>
        <v>449085.95786073001</v>
      </c>
      <c r="K4206" s="711"/>
      <c r="M4206" s="62">
        <f t="shared" si="326"/>
        <v>5</v>
      </c>
    </row>
    <row r="4207" spans="1:13">
      <c r="A4207" s="88">
        <v>42</v>
      </c>
      <c r="B4207" s="69" t="s">
        <v>3469</v>
      </c>
      <c r="C4207" s="69">
        <v>3</v>
      </c>
      <c r="D4207" s="89">
        <v>5</v>
      </c>
      <c r="E4207" s="89">
        <v>5</v>
      </c>
      <c r="F4207" s="89">
        <v>5</v>
      </c>
      <c r="G4207" s="89">
        <v>5</v>
      </c>
      <c r="H4207" s="89">
        <v>5</v>
      </c>
      <c r="I4207" s="89">
        <v>5</v>
      </c>
      <c r="J4207" s="710">
        <f>(VLOOKUP($C4207,[2]Sheet1!$A$2:$P$18,$M4207+1)/12)*12*D4207</f>
        <v>1096680.8946518248</v>
      </c>
      <c r="K4207" s="711"/>
      <c r="M4207" s="62">
        <f t="shared" si="326"/>
        <v>5</v>
      </c>
    </row>
    <row r="4208" spans="1:13">
      <c r="A4208" s="88">
        <v>43</v>
      </c>
      <c r="B4208" s="69" t="s">
        <v>3470</v>
      </c>
      <c r="C4208" s="69">
        <v>2</v>
      </c>
      <c r="D4208" s="89">
        <v>12</v>
      </c>
      <c r="E4208" s="89">
        <v>12</v>
      </c>
      <c r="F4208" s="89">
        <v>12</v>
      </c>
      <c r="G4208" s="89">
        <v>12</v>
      </c>
      <c r="H4208" s="89">
        <v>12</v>
      </c>
      <c r="I4208" s="89">
        <v>12</v>
      </c>
      <c r="J4208" s="710">
        <f>(VLOOKUP($C4208,[2]Sheet1!$A$2:$P$18,$M4208+1)/12)*12*D4208</f>
        <v>2575888.5471643806</v>
      </c>
      <c r="K4208" s="711"/>
      <c r="M4208" s="62">
        <f t="shared" si="326"/>
        <v>5</v>
      </c>
    </row>
    <row r="4209" spans="1:13">
      <c r="A4209" s="88">
        <v>44</v>
      </c>
      <c r="B4209" s="69" t="s">
        <v>2242</v>
      </c>
      <c r="C4209" s="69">
        <v>3</v>
      </c>
      <c r="D4209" s="89">
        <v>3</v>
      </c>
      <c r="E4209" s="89">
        <v>3</v>
      </c>
      <c r="F4209" s="89">
        <v>3</v>
      </c>
      <c r="G4209" s="89">
        <v>3</v>
      </c>
      <c r="H4209" s="89">
        <v>3</v>
      </c>
      <c r="I4209" s="89">
        <v>3</v>
      </c>
      <c r="J4209" s="710">
        <f>(VLOOKUP($C4209,[2]Sheet1!$A$2:$P$18,$M4209+1)/12)*12*D4209</f>
        <v>658008.53679109493</v>
      </c>
      <c r="K4209" s="711"/>
      <c r="M4209" s="62">
        <f t="shared" si="326"/>
        <v>5</v>
      </c>
    </row>
    <row r="4210" spans="1:13">
      <c r="A4210" s="88">
        <f t="shared" si="327"/>
        <v>45</v>
      </c>
      <c r="B4210" s="69" t="s">
        <v>3858</v>
      </c>
      <c r="C4210" s="69">
        <v>2</v>
      </c>
      <c r="D4210" s="89">
        <v>8</v>
      </c>
      <c r="E4210" s="89">
        <v>8</v>
      </c>
      <c r="F4210" s="89">
        <v>8</v>
      </c>
      <c r="G4210" s="89">
        <v>8</v>
      </c>
      <c r="H4210" s="89">
        <v>8</v>
      </c>
      <c r="I4210" s="89">
        <v>8</v>
      </c>
      <c r="J4210" s="710">
        <f>(VLOOKUP($C4210,[2]Sheet1!$A$2:$P$18,$M4210+1)/12)*12*D4210</f>
        <v>1717259.0314429202</v>
      </c>
      <c r="K4210" s="711"/>
      <c r="M4210" s="62">
        <f t="shared" si="326"/>
        <v>5</v>
      </c>
    </row>
    <row r="4211" spans="1:13">
      <c r="A4211" s="88">
        <f>+A4210+1</f>
        <v>46</v>
      </c>
      <c r="B4211" s="69" t="s">
        <v>2930</v>
      </c>
      <c r="C4211" s="69">
        <v>2</v>
      </c>
      <c r="D4211" s="89">
        <v>10</v>
      </c>
      <c r="E4211" s="89">
        <v>10</v>
      </c>
      <c r="F4211" s="89">
        <v>10</v>
      </c>
      <c r="G4211" s="89">
        <v>10</v>
      </c>
      <c r="H4211" s="89">
        <v>10</v>
      </c>
      <c r="I4211" s="89">
        <v>10</v>
      </c>
      <c r="J4211" s="710">
        <f>(VLOOKUP($C4211,[2]Sheet1!$A$2:$P$18,$M4211+1)/12)*12*D4211</f>
        <v>2146573.7893036501</v>
      </c>
      <c r="K4211" s="711"/>
      <c r="M4211" s="62">
        <f t="shared" si="326"/>
        <v>5</v>
      </c>
    </row>
    <row r="4212" spans="1:13">
      <c r="A4212" s="88">
        <f t="shared" si="327"/>
        <v>47</v>
      </c>
      <c r="B4212" s="69" t="s">
        <v>3861</v>
      </c>
      <c r="C4212" s="69">
        <v>2</v>
      </c>
      <c r="D4212" s="143">
        <v>0</v>
      </c>
      <c r="E4212" s="89">
        <v>0</v>
      </c>
      <c r="F4212" s="143">
        <v>0</v>
      </c>
      <c r="G4212" s="143">
        <v>0</v>
      </c>
      <c r="H4212" s="89">
        <v>0</v>
      </c>
      <c r="I4212" s="143">
        <v>0</v>
      </c>
      <c r="J4212" s="710">
        <f>(VLOOKUP($C4212,[2]Sheet1!$A$2:$P$18,$M4212+1)/12)*12*D4212</f>
        <v>0</v>
      </c>
      <c r="K4212" s="711"/>
      <c r="M4212" s="62">
        <f t="shared" si="326"/>
        <v>5</v>
      </c>
    </row>
    <row r="4213" spans="1:13">
      <c r="A4213" s="88">
        <f t="shared" si="327"/>
        <v>48</v>
      </c>
      <c r="B4213" s="69" t="s">
        <v>3471</v>
      </c>
      <c r="C4213" s="69">
        <v>2</v>
      </c>
      <c r="D4213" s="143">
        <v>0</v>
      </c>
      <c r="E4213" s="89">
        <v>0</v>
      </c>
      <c r="F4213" s="143">
        <v>0</v>
      </c>
      <c r="G4213" s="143">
        <v>0</v>
      </c>
      <c r="H4213" s="89">
        <v>0</v>
      </c>
      <c r="I4213" s="143">
        <v>0</v>
      </c>
      <c r="J4213" s="710">
        <f>(VLOOKUP($C4213,[2]Sheet1!$A$2:$P$18,$M4213+1)/12)*12*D4213</f>
        <v>0</v>
      </c>
      <c r="K4213" s="711"/>
      <c r="M4213" s="62">
        <f t="shared" si="326"/>
        <v>5</v>
      </c>
    </row>
    <row r="4214" spans="1:13">
      <c r="A4214" s="88">
        <f t="shared" si="327"/>
        <v>49</v>
      </c>
      <c r="B4214" s="69" t="s">
        <v>3472</v>
      </c>
      <c r="C4214" s="69">
        <v>3</v>
      </c>
      <c r="D4214" s="143">
        <v>0</v>
      </c>
      <c r="E4214" s="89">
        <v>0</v>
      </c>
      <c r="F4214" s="143">
        <v>0</v>
      </c>
      <c r="G4214" s="143">
        <v>0</v>
      </c>
      <c r="H4214" s="89">
        <v>0</v>
      </c>
      <c r="I4214" s="143">
        <v>0</v>
      </c>
      <c r="J4214" s="710">
        <f>(VLOOKUP($C4214,[2]Sheet1!$A$2:$P$18,$M4214+1)/12)*12*D4214</f>
        <v>0</v>
      </c>
      <c r="K4214" s="711"/>
      <c r="M4214" s="62">
        <f t="shared" si="326"/>
        <v>5</v>
      </c>
    </row>
    <row r="4215" spans="1:13">
      <c r="A4215" s="88"/>
      <c r="B4215" s="90" t="s">
        <v>3326</v>
      </c>
      <c r="C4215" s="69"/>
      <c r="D4215" s="143"/>
      <c r="E4215" s="89"/>
      <c r="F4215" s="143"/>
      <c r="G4215" s="143"/>
      <c r="H4215" s="89"/>
      <c r="I4215" s="143"/>
      <c r="J4215" s="710"/>
      <c r="K4215" s="711"/>
      <c r="M4215" s="62">
        <f t="shared" si="326"/>
        <v>5</v>
      </c>
    </row>
    <row r="4216" spans="1:13">
      <c r="A4216" s="88">
        <f>+A4214+1</f>
        <v>50</v>
      </c>
      <c r="B4216" s="69" t="s">
        <v>3173</v>
      </c>
      <c r="C4216" s="69">
        <v>6</v>
      </c>
      <c r="D4216" s="143">
        <v>0</v>
      </c>
      <c r="E4216" s="89">
        <v>0</v>
      </c>
      <c r="F4216" s="143">
        <v>0</v>
      </c>
      <c r="G4216" s="143">
        <v>0</v>
      </c>
      <c r="H4216" s="89">
        <v>0</v>
      </c>
      <c r="I4216" s="143">
        <v>0</v>
      </c>
      <c r="J4216" s="710">
        <f>(VLOOKUP($C4216,[2]Sheet1!$A$2:$P$18,$M4216+1)/12)*12*D4216</f>
        <v>0</v>
      </c>
      <c r="K4216" s="711"/>
      <c r="M4216" s="62">
        <f t="shared" si="326"/>
        <v>5</v>
      </c>
    </row>
    <row r="4217" spans="1:13">
      <c r="A4217" s="88">
        <f>+A4216+1</f>
        <v>51</v>
      </c>
      <c r="B4217" s="69" t="s">
        <v>3613</v>
      </c>
      <c r="C4217" s="69">
        <v>5</v>
      </c>
      <c r="D4217" s="143">
        <v>0</v>
      </c>
      <c r="E4217" s="89">
        <v>0</v>
      </c>
      <c r="F4217" s="143">
        <v>0</v>
      </c>
      <c r="G4217" s="143">
        <v>0</v>
      </c>
      <c r="H4217" s="89">
        <v>0</v>
      </c>
      <c r="I4217" s="143">
        <v>0</v>
      </c>
      <c r="J4217" s="710">
        <f>(VLOOKUP($C4217,[2]Sheet1!$A$2:$P$18,$M4217+1)/12)*12*D4217</f>
        <v>0</v>
      </c>
      <c r="K4217" s="711"/>
      <c r="M4217" s="62">
        <f t="shared" si="326"/>
        <v>5</v>
      </c>
    </row>
    <row r="4218" spans="1:13">
      <c r="A4218" s="88">
        <f t="shared" ref="A4218:A4224" si="328">+A4217+1</f>
        <v>52</v>
      </c>
      <c r="B4218" s="69" t="s">
        <v>3614</v>
      </c>
      <c r="C4218" s="69">
        <v>3</v>
      </c>
      <c r="D4218" s="143">
        <v>0</v>
      </c>
      <c r="E4218" s="89">
        <v>1</v>
      </c>
      <c r="F4218" s="143">
        <v>0</v>
      </c>
      <c r="G4218" s="143">
        <v>0</v>
      </c>
      <c r="H4218" s="89">
        <v>1</v>
      </c>
      <c r="I4218" s="143">
        <v>0</v>
      </c>
      <c r="J4218" s="710">
        <f>(VLOOKUP($C4218,[2]Sheet1!$A$2:$P$18,$M4218+1)/12)*12*D4218</f>
        <v>0</v>
      </c>
      <c r="K4218" s="711"/>
      <c r="M4218" s="62">
        <f t="shared" si="326"/>
        <v>5</v>
      </c>
    </row>
    <row r="4219" spans="1:13">
      <c r="A4219" s="88">
        <f t="shared" si="328"/>
        <v>53</v>
      </c>
      <c r="B4219" s="69" t="s">
        <v>3615</v>
      </c>
      <c r="C4219" s="69">
        <v>5</v>
      </c>
      <c r="D4219" s="143">
        <v>0</v>
      </c>
      <c r="E4219" s="89">
        <v>0</v>
      </c>
      <c r="F4219" s="143">
        <v>0</v>
      </c>
      <c r="G4219" s="143">
        <v>0</v>
      </c>
      <c r="H4219" s="89">
        <v>0</v>
      </c>
      <c r="I4219" s="143">
        <v>0</v>
      </c>
      <c r="J4219" s="710">
        <f>(VLOOKUP($C4219,[2]Sheet1!$A$2:$P$18,$M4219+1)/12)*12*D4219</f>
        <v>0</v>
      </c>
      <c r="K4219" s="711"/>
      <c r="M4219" s="62">
        <f t="shared" si="326"/>
        <v>5</v>
      </c>
    </row>
    <row r="4220" spans="1:13">
      <c r="A4220" s="88">
        <f t="shared" si="328"/>
        <v>54</v>
      </c>
      <c r="B4220" s="69" t="s">
        <v>3616</v>
      </c>
      <c r="C4220" s="69">
        <v>3</v>
      </c>
      <c r="D4220" s="143">
        <v>0</v>
      </c>
      <c r="E4220" s="89">
        <v>0</v>
      </c>
      <c r="F4220" s="143">
        <v>0</v>
      </c>
      <c r="G4220" s="143">
        <v>0</v>
      </c>
      <c r="H4220" s="89">
        <v>0</v>
      </c>
      <c r="I4220" s="143">
        <v>0</v>
      </c>
      <c r="J4220" s="710">
        <f>(VLOOKUP($C4220,[2]Sheet1!$A$2:$P$18,$M4220+1)/12)*12*D4220</f>
        <v>0</v>
      </c>
      <c r="K4220" s="711"/>
      <c r="M4220" s="62">
        <f t="shared" si="326"/>
        <v>5</v>
      </c>
    </row>
    <row r="4221" spans="1:13">
      <c r="A4221" s="88">
        <f t="shared" si="328"/>
        <v>55</v>
      </c>
      <c r="B4221" s="69" t="s">
        <v>1200</v>
      </c>
      <c r="C4221" s="69">
        <v>5</v>
      </c>
      <c r="D4221" s="143">
        <v>2</v>
      </c>
      <c r="E4221" s="89">
        <v>2</v>
      </c>
      <c r="F4221" s="143">
        <v>2</v>
      </c>
      <c r="G4221" s="143">
        <v>2</v>
      </c>
      <c r="H4221" s="89">
        <v>2</v>
      </c>
      <c r="I4221" s="143">
        <v>2</v>
      </c>
      <c r="J4221" s="710">
        <f>(VLOOKUP($C4221,[2]Sheet1!$A$2:$P$18,$M4221+1)/12)*12*D4221</f>
        <v>459139.55786072998</v>
      </c>
      <c r="K4221" s="711"/>
      <c r="M4221" s="62">
        <f t="shared" si="326"/>
        <v>5</v>
      </c>
    </row>
    <row r="4222" spans="1:13">
      <c r="A4222" s="88">
        <f t="shared" si="328"/>
        <v>56</v>
      </c>
      <c r="B4222" s="69" t="s">
        <v>690</v>
      </c>
      <c r="C4222" s="69">
        <v>3</v>
      </c>
      <c r="D4222" s="143">
        <v>0</v>
      </c>
      <c r="E4222" s="89">
        <v>0</v>
      </c>
      <c r="F4222" s="143">
        <v>0</v>
      </c>
      <c r="G4222" s="143">
        <v>0</v>
      </c>
      <c r="H4222" s="89">
        <v>0</v>
      </c>
      <c r="I4222" s="143">
        <v>0</v>
      </c>
      <c r="J4222" s="710">
        <f>(VLOOKUP($C4222,[2]Sheet1!$A$2:$P$18,$M4222+1)/12)*12*D4222</f>
        <v>0</v>
      </c>
      <c r="K4222" s="711"/>
      <c r="M4222" s="62">
        <f t="shared" si="326"/>
        <v>5</v>
      </c>
    </row>
    <row r="4223" spans="1:13">
      <c r="A4223" s="88">
        <f t="shared" si="328"/>
        <v>57</v>
      </c>
      <c r="B4223" s="69" t="s">
        <v>1986</v>
      </c>
      <c r="C4223" s="69">
        <v>5</v>
      </c>
      <c r="D4223" s="143">
        <v>2</v>
      </c>
      <c r="E4223" s="89">
        <v>2</v>
      </c>
      <c r="F4223" s="143">
        <v>2</v>
      </c>
      <c r="G4223" s="143">
        <v>2</v>
      </c>
      <c r="H4223" s="89">
        <v>2</v>
      </c>
      <c r="I4223" s="143">
        <v>2</v>
      </c>
      <c r="J4223" s="710">
        <f>(VLOOKUP($C4223,[2]Sheet1!$A$2:$P$18,$M4223+1)/12)*12*D4223</f>
        <v>459139.55786072998</v>
      </c>
      <c r="K4223" s="711"/>
      <c r="M4223" s="62">
        <f t="shared" si="326"/>
        <v>5</v>
      </c>
    </row>
    <row r="4224" spans="1:13" ht="13.5" thickBot="1">
      <c r="A4224" s="88">
        <f t="shared" si="328"/>
        <v>58</v>
      </c>
      <c r="B4224" s="69" t="s">
        <v>2366</v>
      </c>
      <c r="C4224" s="69">
        <v>3</v>
      </c>
      <c r="D4224" s="143">
        <v>1</v>
      </c>
      <c r="E4224" s="89">
        <v>1</v>
      </c>
      <c r="F4224" s="143">
        <v>1</v>
      </c>
      <c r="G4224" s="143">
        <v>1</v>
      </c>
      <c r="H4224" s="89">
        <v>1</v>
      </c>
      <c r="I4224" s="143">
        <v>1</v>
      </c>
      <c r="J4224" s="710">
        <f>(VLOOKUP($C4224,[2]Sheet1!$A$2:$P$18,$M4224+1)/12)*12*D4224</f>
        <v>219336.17893036499</v>
      </c>
      <c r="K4224" s="711"/>
      <c r="M4224" s="62">
        <f t="shared" si="326"/>
        <v>5</v>
      </c>
    </row>
    <row r="4225" spans="1:13" ht="15.75" thickTop="1">
      <c r="A4225" s="1047" t="s">
        <v>2791</v>
      </c>
      <c r="B4225" s="1049" t="s">
        <v>4126</v>
      </c>
      <c r="C4225" s="1049" t="s">
        <v>854</v>
      </c>
      <c r="D4225" s="1040" t="s">
        <v>4127</v>
      </c>
      <c r="E4225" s="1041"/>
      <c r="F4225" s="1041"/>
      <c r="G4225" s="1040" t="s">
        <v>904</v>
      </c>
      <c r="H4225" s="1041"/>
      <c r="I4225" s="1042"/>
      <c r="J4225" s="1035" t="s">
        <v>855</v>
      </c>
      <c r="K4225" s="389"/>
    </row>
    <row r="4226" spans="1:13" ht="26.25" thickBot="1">
      <c r="A4226" s="1048"/>
      <c r="B4226" s="1050"/>
      <c r="C4226" s="1050"/>
      <c r="D4226" s="285" t="s">
        <v>5505</v>
      </c>
      <c r="E4226" s="285" t="s">
        <v>4485</v>
      </c>
      <c r="F4226" s="285" t="s">
        <v>4486</v>
      </c>
      <c r="G4226" s="287" t="s">
        <v>4487</v>
      </c>
      <c r="H4226" s="285" t="s">
        <v>4488</v>
      </c>
      <c r="I4226" s="287" t="s">
        <v>4489</v>
      </c>
      <c r="J4226" s="1036"/>
      <c r="K4226" s="712"/>
    </row>
    <row r="4227" spans="1:13" ht="13.5" thickTop="1">
      <c r="A4227" s="88"/>
      <c r="B4227" s="90" t="s">
        <v>691</v>
      </c>
      <c r="C4227" s="69"/>
      <c r="D4227" s="89"/>
      <c r="E4227" s="89"/>
      <c r="F4227" s="89"/>
      <c r="G4227" s="143"/>
      <c r="H4227" s="89"/>
      <c r="I4227" s="143"/>
      <c r="J4227" s="713"/>
      <c r="K4227" s="711"/>
      <c r="M4227" s="62">
        <f t="shared" si="326"/>
        <v>5</v>
      </c>
    </row>
    <row r="4228" spans="1:13">
      <c r="A4228" s="88">
        <f>+A4224+1</f>
        <v>59</v>
      </c>
      <c r="B4228" s="69" t="s">
        <v>2563</v>
      </c>
      <c r="C4228" s="69">
        <v>7</v>
      </c>
      <c r="D4228" s="89">
        <v>3</v>
      </c>
      <c r="E4228" s="89">
        <v>3</v>
      </c>
      <c r="F4228" s="89">
        <v>3</v>
      </c>
      <c r="G4228" s="89">
        <v>3</v>
      </c>
      <c r="H4228" s="89">
        <v>3</v>
      </c>
      <c r="I4228" s="89">
        <v>3</v>
      </c>
      <c r="J4228" s="710">
        <f>(VLOOKUP($C4228,[2]Sheet1!$A$2:$P$18,$M4228+1)/12)*12*D4228</f>
        <v>923120.1072000002</v>
      </c>
      <c r="K4228" s="711"/>
      <c r="M4228" s="62">
        <f t="shared" si="326"/>
        <v>3</v>
      </c>
    </row>
    <row r="4229" spans="1:13">
      <c r="A4229" s="88">
        <f t="shared" si="327"/>
        <v>60</v>
      </c>
      <c r="B4229" s="69" t="s">
        <v>2176</v>
      </c>
      <c r="C4229" s="69">
        <v>6</v>
      </c>
      <c r="D4229" s="89">
        <v>2</v>
      </c>
      <c r="E4229" s="89">
        <v>2</v>
      </c>
      <c r="F4229" s="89">
        <v>2</v>
      </c>
      <c r="G4229" s="89">
        <v>2</v>
      </c>
      <c r="H4229" s="89">
        <v>2</v>
      </c>
      <c r="I4229" s="89">
        <v>2</v>
      </c>
      <c r="J4229" s="710">
        <f>(VLOOKUP($C4229,[2]Sheet1!$A$2:$P$18,$M4229+1)/12)*12*D4229</f>
        <v>476198.75786072994</v>
      </c>
      <c r="K4229" s="711"/>
      <c r="M4229" s="62">
        <f t="shared" si="326"/>
        <v>5</v>
      </c>
    </row>
    <row r="4230" spans="1:13">
      <c r="A4230" s="88">
        <f t="shared" si="327"/>
        <v>61</v>
      </c>
      <c r="B4230" s="69" t="s">
        <v>1794</v>
      </c>
      <c r="C4230" s="69">
        <v>5</v>
      </c>
      <c r="D4230" s="89">
        <v>1</v>
      </c>
      <c r="E4230" s="89">
        <v>1</v>
      </c>
      <c r="F4230" s="89">
        <v>1</v>
      </c>
      <c r="G4230" s="89">
        <v>1</v>
      </c>
      <c r="H4230" s="89">
        <v>1</v>
      </c>
      <c r="I4230" s="89">
        <v>1</v>
      </c>
      <c r="J4230" s="710">
        <f>(VLOOKUP($C4230,[2]Sheet1!$A$2:$P$18,$M4230+1)/12)*12*D4230</f>
        <v>229569.77893036499</v>
      </c>
      <c r="K4230" s="711"/>
      <c r="M4230" s="62">
        <f t="shared" si="326"/>
        <v>5</v>
      </c>
    </row>
    <row r="4231" spans="1:13">
      <c r="A4231" s="88">
        <f t="shared" si="327"/>
        <v>62</v>
      </c>
      <c r="B4231" s="69" t="s">
        <v>688</v>
      </c>
      <c r="C4231" s="69">
        <v>5</v>
      </c>
      <c r="D4231" s="89">
        <v>1</v>
      </c>
      <c r="E4231" s="89">
        <v>1</v>
      </c>
      <c r="F4231" s="89">
        <v>1</v>
      </c>
      <c r="G4231" s="89">
        <v>1</v>
      </c>
      <c r="H4231" s="89">
        <v>1</v>
      </c>
      <c r="I4231" s="89">
        <v>1</v>
      </c>
      <c r="J4231" s="710">
        <f>(VLOOKUP($C4231,[2]Sheet1!$A$2:$P$18,$M4231+1)/12)*12*D4231</f>
        <v>229569.77893036499</v>
      </c>
      <c r="K4231" s="711"/>
      <c r="M4231" s="62">
        <f t="shared" ref="M4231:M4294" si="329">IF(C4231&gt;6,3,5)</f>
        <v>5</v>
      </c>
    </row>
    <row r="4232" spans="1:13">
      <c r="A4232" s="88">
        <f t="shared" si="327"/>
        <v>63</v>
      </c>
      <c r="B4232" s="69" t="s">
        <v>2231</v>
      </c>
      <c r="C4232" s="69">
        <v>4</v>
      </c>
      <c r="D4232" s="89">
        <v>3</v>
      </c>
      <c r="E4232" s="89">
        <v>3</v>
      </c>
      <c r="F4232" s="89">
        <v>3</v>
      </c>
      <c r="G4232" s="89">
        <v>3</v>
      </c>
      <c r="H4232" s="89">
        <v>3</v>
      </c>
      <c r="I4232" s="89">
        <v>3</v>
      </c>
      <c r="J4232" s="710">
        <f>(VLOOKUP($C4232,[2]Sheet1!$A$2:$P$18,$M4232+1)/12)*12*D4232</f>
        <v>673628.93679109495</v>
      </c>
      <c r="K4232" s="711"/>
      <c r="M4232" s="62">
        <f t="shared" si="329"/>
        <v>5</v>
      </c>
    </row>
    <row r="4233" spans="1:13">
      <c r="A4233" s="88">
        <f t="shared" si="327"/>
        <v>64</v>
      </c>
      <c r="B4233" s="69" t="s">
        <v>4028</v>
      </c>
      <c r="C4233" s="69">
        <v>3</v>
      </c>
      <c r="D4233" s="89">
        <v>1</v>
      </c>
      <c r="E4233" s="89">
        <v>1</v>
      </c>
      <c r="F4233" s="89">
        <v>1</v>
      </c>
      <c r="G4233" s="89">
        <v>1</v>
      </c>
      <c r="H4233" s="89">
        <v>1</v>
      </c>
      <c r="I4233" s="89">
        <v>1</v>
      </c>
      <c r="J4233" s="710">
        <f>(VLOOKUP($C4233,[2]Sheet1!$A$2:$P$18,$M4233+1)/12)*12*D4233</f>
        <v>219336.17893036499</v>
      </c>
      <c r="K4233" s="711"/>
      <c r="M4233" s="62">
        <f t="shared" si="329"/>
        <v>5</v>
      </c>
    </row>
    <row r="4234" spans="1:13">
      <c r="A4234" s="88">
        <f t="shared" si="327"/>
        <v>65</v>
      </c>
      <c r="B4234" s="69" t="s">
        <v>689</v>
      </c>
      <c r="C4234" s="69">
        <v>2</v>
      </c>
      <c r="D4234" s="143">
        <v>0</v>
      </c>
      <c r="E4234" s="89">
        <v>0</v>
      </c>
      <c r="F4234" s="143">
        <v>0</v>
      </c>
      <c r="G4234" s="143">
        <v>0</v>
      </c>
      <c r="H4234" s="89">
        <v>0</v>
      </c>
      <c r="I4234" s="143">
        <v>0</v>
      </c>
      <c r="J4234" s="710">
        <f>(VLOOKUP($C4234,[2]Sheet1!$A$2:$P$18,$M4234+1)/12)*12*D4234</f>
        <v>0</v>
      </c>
      <c r="K4234" s="711"/>
      <c r="M4234" s="62">
        <f t="shared" si="329"/>
        <v>5</v>
      </c>
    </row>
    <row r="4235" spans="1:13">
      <c r="A4235" s="88"/>
      <c r="B4235" s="90" t="s">
        <v>2180</v>
      </c>
      <c r="C4235" s="69"/>
      <c r="D4235" s="143"/>
      <c r="E4235" s="89"/>
      <c r="F4235" s="143"/>
      <c r="G4235" s="143"/>
      <c r="H4235" s="89"/>
      <c r="I4235" s="143"/>
      <c r="J4235" s="710"/>
      <c r="K4235" s="711"/>
      <c r="M4235" s="62">
        <f t="shared" si="329"/>
        <v>5</v>
      </c>
    </row>
    <row r="4236" spans="1:13">
      <c r="A4236" s="88">
        <f>+A4234+1</f>
        <v>66</v>
      </c>
      <c r="B4236" s="69" t="s">
        <v>2169</v>
      </c>
      <c r="C4236" s="69">
        <v>16</v>
      </c>
      <c r="D4236" s="89"/>
      <c r="E4236" s="89">
        <v>1</v>
      </c>
      <c r="F4236" s="89"/>
      <c r="G4236" s="89"/>
      <c r="H4236" s="89">
        <v>1</v>
      </c>
      <c r="I4236" s="89"/>
      <c r="J4236" s="710">
        <f>(VLOOKUP($C4236,[2]Sheet1!$A$2:$P$18,$M4236+1)/12)*12*D4236</f>
        <v>0</v>
      </c>
      <c r="K4236" s="711"/>
      <c r="M4236" s="62">
        <f t="shared" si="329"/>
        <v>3</v>
      </c>
    </row>
    <row r="4237" spans="1:13">
      <c r="A4237" s="88">
        <f t="shared" si="327"/>
        <v>67</v>
      </c>
      <c r="B4237" s="69" t="s">
        <v>2170</v>
      </c>
      <c r="C4237" s="69">
        <v>15</v>
      </c>
      <c r="D4237" s="143">
        <v>1</v>
      </c>
      <c r="E4237" s="89">
        <v>1</v>
      </c>
      <c r="F4237" s="143">
        <v>1</v>
      </c>
      <c r="G4237" s="143">
        <v>1</v>
      </c>
      <c r="H4237" s="89">
        <v>1</v>
      </c>
      <c r="I4237" s="143">
        <v>1</v>
      </c>
      <c r="J4237" s="710">
        <f>(VLOOKUP($C4237,[2]Sheet1!$A$2:$P$18,$M4237+1)/12)*12*D4237</f>
        <v>658331.89992</v>
      </c>
      <c r="K4237" s="711"/>
      <c r="M4237" s="62">
        <f t="shared" si="329"/>
        <v>3</v>
      </c>
    </row>
    <row r="4238" spans="1:13">
      <c r="A4238" s="88">
        <f t="shared" si="327"/>
        <v>68</v>
      </c>
      <c r="B4238" s="69" t="s">
        <v>2559</v>
      </c>
      <c r="C4238" s="69">
        <v>13</v>
      </c>
      <c r="D4238" s="143">
        <v>1</v>
      </c>
      <c r="E4238" s="89">
        <v>1</v>
      </c>
      <c r="F4238" s="143">
        <v>1</v>
      </c>
      <c r="G4238" s="143">
        <v>1</v>
      </c>
      <c r="H4238" s="89">
        <v>1</v>
      </c>
      <c r="I4238" s="143">
        <v>1</v>
      </c>
      <c r="J4238" s="710">
        <f>(VLOOKUP($C4238,[2]Sheet1!$A$2:$P$18,$M4238+1)/12)*12*D4238</f>
        <v>628759.53804000001</v>
      </c>
      <c r="K4238" s="711"/>
      <c r="M4238" s="62">
        <f t="shared" si="329"/>
        <v>3</v>
      </c>
    </row>
    <row r="4239" spans="1:13">
      <c r="A4239" s="88">
        <f t="shared" si="327"/>
        <v>69</v>
      </c>
      <c r="B4239" s="69" t="s">
        <v>1208</v>
      </c>
      <c r="C4239" s="69">
        <v>8</v>
      </c>
      <c r="D4239" s="89">
        <v>0</v>
      </c>
      <c r="E4239" s="89">
        <v>0</v>
      </c>
      <c r="F4239" s="89">
        <v>0</v>
      </c>
      <c r="G4239" s="89">
        <v>0</v>
      </c>
      <c r="H4239" s="89">
        <v>0</v>
      </c>
      <c r="I4239" s="89">
        <v>0</v>
      </c>
      <c r="J4239" s="710">
        <f>(VLOOKUP($C4239,[2]Sheet1!$A$2:$P$18,$M4239+1)/12)*12*D4239</f>
        <v>0</v>
      </c>
      <c r="K4239" s="711"/>
      <c r="M4239" s="62">
        <f t="shared" si="329"/>
        <v>3</v>
      </c>
    </row>
    <row r="4240" spans="1:13">
      <c r="A4240" s="88">
        <f t="shared" si="327"/>
        <v>70</v>
      </c>
      <c r="B4240" s="69" t="s">
        <v>3896</v>
      </c>
      <c r="C4240" s="69">
        <v>6</v>
      </c>
      <c r="D4240" s="143">
        <v>1</v>
      </c>
      <c r="E4240" s="89">
        <v>1</v>
      </c>
      <c r="F4240" s="143">
        <v>1</v>
      </c>
      <c r="G4240" s="143">
        <v>1</v>
      </c>
      <c r="H4240" s="89">
        <v>1</v>
      </c>
      <c r="I4240" s="143">
        <v>1</v>
      </c>
      <c r="J4240" s="710">
        <f>(VLOOKUP($C4240,[2]Sheet1!$A$2:$P$18,$M4240+1)/12)*12*D4240</f>
        <v>238099.37893036497</v>
      </c>
      <c r="K4240" s="711"/>
      <c r="M4240" s="62">
        <f t="shared" si="329"/>
        <v>5</v>
      </c>
    </row>
    <row r="4241" spans="1:13">
      <c r="A4241" s="88">
        <f t="shared" si="327"/>
        <v>71</v>
      </c>
      <c r="B4241" s="69" t="s">
        <v>88</v>
      </c>
      <c r="C4241" s="69">
        <v>14</v>
      </c>
      <c r="D4241" s="89">
        <v>1</v>
      </c>
      <c r="E4241" s="89">
        <v>1</v>
      </c>
      <c r="F4241" s="89">
        <v>1</v>
      </c>
      <c r="G4241" s="89">
        <v>1</v>
      </c>
      <c r="H4241" s="89">
        <v>1</v>
      </c>
      <c r="I4241" s="89">
        <v>1</v>
      </c>
      <c r="J4241" s="710">
        <f>(VLOOKUP($C4241,[2]Sheet1!$A$2:$P$18,$M4241+1)/12)*12*D4241</f>
        <v>669099.40824000002</v>
      </c>
      <c r="K4241" s="711"/>
      <c r="M4241" s="62">
        <f t="shared" si="329"/>
        <v>3</v>
      </c>
    </row>
    <row r="4242" spans="1:13">
      <c r="A4242" s="88">
        <f t="shared" si="327"/>
        <v>72</v>
      </c>
      <c r="B4242" s="69" t="s">
        <v>89</v>
      </c>
      <c r="C4242" s="69">
        <v>14</v>
      </c>
      <c r="D4242" s="143">
        <v>1</v>
      </c>
      <c r="E4242" s="89">
        <v>1</v>
      </c>
      <c r="F4242" s="143">
        <v>1</v>
      </c>
      <c r="G4242" s="143">
        <v>1</v>
      </c>
      <c r="H4242" s="89">
        <v>1</v>
      </c>
      <c r="I4242" s="143">
        <v>1</v>
      </c>
      <c r="J4242" s="710">
        <f>(VLOOKUP($C4242,[2]Sheet1!$A$2:$P$18,$M4242+1)/12)*12*D4242</f>
        <v>669099.40824000002</v>
      </c>
      <c r="K4242" s="711"/>
      <c r="M4242" s="62">
        <f t="shared" si="329"/>
        <v>3</v>
      </c>
    </row>
    <row r="4243" spans="1:13">
      <c r="A4243" s="88">
        <f t="shared" si="327"/>
        <v>73</v>
      </c>
      <c r="B4243" s="69" t="s">
        <v>90</v>
      </c>
      <c r="C4243" s="69">
        <v>14</v>
      </c>
      <c r="D4243" s="89">
        <v>0</v>
      </c>
      <c r="E4243" s="89">
        <v>1</v>
      </c>
      <c r="F4243" s="89">
        <v>0</v>
      </c>
      <c r="G4243" s="89">
        <v>0</v>
      </c>
      <c r="H4243" s="89">
        <v>1</v>
      </c>
      <c r="I4243" s="89">
        <v>0</v>
      </c>
      <c r="J4243" s="710">
        <f>(VLOOKUP($C4243,[2]Sheet1!$A$2:$P$18,$M4243+1)/12)*12*D4243</f>
        <v>0</v>
      </c>
      <c r="K4243" s="711"/>
      <c r="M4243" s="62">
        <f t="shared" si="329"/>
        <v>3</v>
      </c>
    </row>
    <row r="4244" spans="1:13">
      <c r="A4244" s="88">
        <f t="shared" si="327"/>
        <v>74</v>
      </c>
      <c r="B4244" s="69" t="s">
        <v>91</v>
      </c>
      <c r="C4244" s="69">
        <v>13</v>
      </c>
      <c r="D4244" s="155">
        <v>1</v>
      </c>
      <c r="E4244" s="89">
        <v>1</v>
      </c>
      <c r="F4244" s="155">
        <v>1</v>
      </c>
      <c r="G4244" s="155">
        <v>1</v>
      </c>
      <c r="H4244" s="89">
        <v>1</v>
      </c>
      <c r="I4244" s="155">
        <v>1</v>
      </c>
      <c r="J4244" s="710">
        <f>(VLOOKUP($C4244,[2]Sheet1!$A$2:$P$18,$M4244+1)/12)*12*D4244</f>
        <v>628759.53804000001</v>
      </c>
      <c r="K4244" s="711"/>
      <c r="M4244" s="62">
        <f t="shared" si="329"/>
        <v>3</v>
      </c>
    </row>
    <row r="4245" spans="1:13">
      <c r="A4245" s="88">
        <f>+A4244+1</f>
        <v>75</v>
      </c>
      <c r="B4245" s="69" t="s">
        <v>1784</v>
      </c>
      <c r="C4245" s="69">
        <v>12</v>
      </c>
      <c r="D4245" s="143">
        <v>1</v>
      </c>
      <c r="E4245" s="89">
        <v>1</v>
      </c>
      <c r="F4245" s="143">
        <v>1</v>
      </c>
      <c r="G4245" s="143">
        <v>1</v>
      </c>
      <c r="H4245" s="89">
        <v>1</v>
      </c>
      <c r="I4245" s="143">
        <v>1</v>
      </c>
      <c r="J4245" s="710">
        <f>(VLOOKUP($C4245,[2]Sheet1!$A$2:$P$18,$M4245+1)/12)*12*D4245</f>
        <v>552685.0537200002</v>
      </c>
      <c r="K4245" s="711"/>
      <c r="M4245" s="62">
        <f t="shared" si="329"/>
        <v>3</v>
      </c>
    </row>
    <row r="4246" spans="1:13">
      <c r="A4246" s="88">
        <f t="shared" ref="A4246:A4257" si="330">+A4245+1</f>
        <v>76</v>
      </c>
      <c r="B4246" s="69" t="s">
        <v>1785</v>
      </c>
      <c r="C4246" s="69">
        <v>10</v>
      </c>
      <c r="D4246" s="143">
        <v>1</v>
      </c>
      <c r="E4246" s="89">
        <v>1</v>
      </c>
      <c r="F4246" s="143">
        <v>1</v>
      </c>
      <c r="G4246" s="143">
        <v>1</v>
      </c>
      <c r="H4246" s="89">
        <v>1</v>
      </c>
      <c r="I4246" s="143">
        <v>1</v>
      </c>
      <c r="J4246" s="710">
        <f>(VLOOKUP($C4246,[2]Sheet1!$A$2:$P$18,$M4246+1)/12)*12*D4246</f>
        <v>483974.5687200001</v>
      </c>
      <c r="K4246" s="711"/>
      <c r="M4246" s="62">
        <f t="shared" si="329"/>
        <v>3</v>
      </c>
    </row>
    <row r="4247" spans="1:13">
      <c r="A4247" s="88">
        <f t="shared" si="330"/>
        <v>77</v>
      </c>
      <c r="B4247" s="69" t="s">
        <v>1786</v>
      </c>
      <c r="C4247" s="69">
        <v>9</v>
      </c>
      <c r="D4247" s="143">
        <v>1</v>
      </c>
      <c r="E4247" s="89">
        <v>1</v>
      </c>
      <c r="F4247" s="143">
        <v>1</v>
      </c>
      <c r="G4247" s="143">
        <v>1</v>
      </c>
      <c r="H4247" s="89">
        <v>1</v>
      </c>
      <c r="I4247" s="143">
        <v>1</v>
      </c>
      <c r="J4247" s="710">
        <f>(VLOOKUP($C4247,[2]Sheet1!$A$2:$P$18,$M4247+1)/12)*12*D4247</f>
        <v>409681.90619999997</v>
      </c>
      <c r="K4247" s="711"/>
      <c r="M4247" s="62">
        <f t="shared" si="329"/>
        <v>3</v>
      </c>
    </row>
    <row r="4248" spans="1:13">
      <c r="A4248" s="88">
        <f t="shared" si="330"/>
        <v>78</v>
      </c>
      <c r="B4248" s="69" t="s">
        <v>1787</v>
      </c>
      <c r="C4248" s="69">
        <v>8</v>
      </c>
      <c r="D4248" s="143">
        <v>1</v>
      </c>
      <c r="E4248" s="89">
        <v>1</v>
      </c>
      <c r="F4248" s="143">
        <v>1</v>
      </c>
      <c r="G4248" s="143">
        <v>1</v>
      </c>
      <c r="H4248" s="89">
        <v>1</v>
      </c>
      <c r="I4248" s="143">
        <v>1</v>
      </c>
      <c r="J4248" s="710">
        <f>(VLOOKUP($C4248,[2]Sheet1!$A$2:$P$18,$M4248+1)/12)*12*D4248</f>
        <v>342141.27408</v>
      </c>
      <c r="K4248" s="711"/>
      <c r="M4248" s="62">
        <f t="shared" si="329"/>
        <v>3</v>
      </c>
    </row>
    <row r="4249" spans="1:13">
      <c r="A4249" s="88">
        <f t="shared" si="330"/>
        <v>79</v>
      </c>
      <c r="B4249" s="69" t="s">
        <v>2948</v>
      </c>
      <c r="C4249" s="69">
        <v>13</v>
      </c>
      <c r="D4249" s="143">
        <v>0</v>
      </c>
      <c r="E4249" s="89">
        <v>0</v>
      </c>
      <c r="F4249" s="143">
        <v>0</v>
      </c>
      <c r="G4249" s="143">
        <v>0</v>
      </c>
      <c r="H4249" s="89">
        <v>0</v>
      </c>
      <c r="I4249" s="143">
        <v>0</v>
      </c>
      <c r="J4249" s="710">
        <f>(VLOOKUP($C4249,[2]Sheet1!$A$2:$P$18,$M4249+1)/12)*12*D4249</f>
        <v>0</v>
      </c>
      <c r="K4249" s="711"/>
      <c r="M4249" s="62">
        <f t="shared" si="329"/>
        <v>3</v>
      </c>
    </row>
    <row r="4250" spans="1:13">
      <c r="A4250" s="88">
        <f>+A4249+1</f>
        <v>80</v>
      </c>
      <c r="B4250" s="69" t="s">
        <v>2949</v>
      </c>
      <c r="C4250" s="69">
        <v>8</v>
      </c>
      <c r="D4250" s="89">
        <v>0</v>
      </c>
      <c r="E4250" s="89">
        <v>1</v>
      </c>
      <c r="F4250" s="89">
        <v>0</v>
      </c>
      <c r="G4250" s="89">
        <v>0</v>
      </c>
      <c r="H4250" s="89">
        <v>1</v>
      </c>
      <c r="I4250" s="89">
        <v>0</v>
      </c>
      <c r="J4250" s="710">
        <f>(VLOOKUP($C4250,[2]Sheet1!$A$2:$P$18,$M4250+1)/12)*12*D4250</f>
        <v>0</v>
      </c>
      <c r="K4250" s="711"/>
      <c r="M4250" s="62">
        <f t="shared" si="329"/>
        <v>3</v>
      </c>
    </row>
    <row r="4251" spans="1:13">
      <c r="A4251" s="88">
        <f t="shared" si="330"/>
        <v>81</v>
      </c>
      <c r="B4251" s="69" t="s">
        <v>2950</v>
      </c>
      <c r="C4251" s="69">
        <v>7</v>
      </c>
      <c r="D4251" s="89">
        <v>2</v>
      </c>
      <c r="E4251" s="89">
        <v>2</v>
      </c>
      <c r="F4251" s="89">
        <v>2</v>
      </c>
      <c r="G4251" s="89">
        <v>2</v>
      </c>
      <c r="H4251" s="89">
        <v>2</v>
      </c>
      <c r="I4251" s="89">
        <v>2</v>
      </c>
      <c r="J4251" s="710">
        <f>(VLOOKUP($C4251,[2]Sheet1!$A$2:$P$18,$M4251+1)/12)*12*D4251</f>
        <v>615413.40480000013</v>
      </c>
      <c r="K4251" s="711"/>
      <c r="M4251" s="62">
        <f t="shared" si="329"/>
        <v>3</v>
      </c>
    </row>
    <row r="4252" spans="1:13">
      <c r="A4252" s="88">
        <f t="shared" si="330"/>
        <v>82</v>
      </c>
      <c r="B4252" s="69" t="s">
        <v>2951</v>
      </c>
      <c r="C4252" s="69">
        <v>8</v>
      </c>
      <c r="D4252" s="89">
        <v>0</v>
      </c>
      <c r="E4252" s="89">
        <v>1</v>
      </c>
      <c r="F4252" s="89">
        <v>0</v>
      </c>
      <c r="G4252" s="89">
        <v>0</v>
      </c>
      <c r="H4252" s="89">
        <v>1</v>
      </c>
      <c r="I4252" s="89">
        <v>0</v>
      </c>
      <c r="J4252" s="710">
        <f>(VLOOKUP($C4252,[2]Sheet1!$A$2:$P$18,$M4252+1)/12)*12*D4252</f>
        <v>0</v>
      </c>
      <c r="K4252" s="711"/>
      <c r="M4252" s="62">
        <f t="shared" si="329"/>
        <v>3</v>
      </c>
    </row>
    <row r="4253" spans="1:13">
      <c r="A4253" s="88">
        <f t="shared" si="330"/>
        <v>83</v>
      </c>
      <c r="B4253" s="69" t="s">
        <v>2794</v>
      </c>
      <c r="C4253" s="69">
        <v>7</v>
      </c>
      <c r="D4253" s="143">
        <v>0</v>
      </c>
      <c r="E4253" s="89">
        <v>0</v>
      </c>
      <c r="F4253" s="143">
        <v>0</v>
      </c>
      <c r="G4253" s="143">
        <v>0</v>
      </c>
      <c r="H4253" s="89">
        <v>0</v>
      </c>
      <c r="I4253" s="143">
        <v>0</v>
      </c>
      <c r="J4253" s="710">
        <f>(VLOOKUP($C4253,[2]Sheet1!$A$2:$P$18,$M4253+1)/12)*12*D4253</f>
        <v>0</v>
      </c>
      <c r="K4253" s="711"/>
      <c r="M4253" s="62">
        <f t="shared" si="329"/>
        <v>3</v>
      </c>
    </row>
    <row r="4254" spans="1:13">
      <c r="A4254" s="88">
        <f t="shared" si="330"/>
        <v>84</v>
      </c>
      <c r="B4254" s="69" t="s">
        <v>1152</v>
      </c>
      <c r="C4254" s="69">
        <v>6</v>
      </c>
      <c r="D4254" s="89">
        <v>0</v>
      </c>
      <c r="E4254" s="89">
        <v>0</v>
      </c>
      <c r="F4254" s="89">
        <v>0</v>
      </c>
      <c r="G4254" s="89">
        <v>0</v>
      </c>
      <c r="H4254" s="89">
        <v>0</v>
      </c>
      <c r="I4254" s="89">
        <v>0</v>
      </c>
      <c r="J4254" s="710">
        <f>(VLOOKUP($C4254,[2]Sheet1!$A$2:$P$18,$M4254+1)/12)*12*D4254</f>
        <v>0</v>
      </c>
      <c r="K4254" s="711"/>
      <c r="M4254" s="62">
        <f t="shared" si="329"/>
        <v>5</v>
      </c>
    </row>
    <row r="4255" spans="1:13">
      <c r="A4255" s="88">
        <f t="shared" si="330"/>
        <v>85</v>
      </c>
      <c r="B4255" s="69" t="s">
        <v>1153</v>
      </c>
      <c r="C4255" s="69">
        <v>5</v>
      </c>
      <c r="D4255" s="89">
        <v>0</v>
      </c>
      <c r="E4255" s="89">
        <v>0</v>
      </c>
      <c r="F4255" s="89">
        <v>0</v>
      </c>
      <c r="G4255" s="89">
        <v>0</v>
      </c>
      <c r="H4255" s="89">
        <v>0</v>
      </c>
      <c r="I4255" s="89">
        <v>0</v>
      </c>
      <c r="J4255" s="710">
        <f>(VLOOKUP($C4255,[2]Sheet1!$A$2:$P$18,$M4255+1)/12)*12*D4255</f>
        <v>0</v>
      </c>
      <c r="K4255" s="711"/>
      <c r="M4255" s="62">
        <f t="shared" si="329"/>
        <v>5</v>
      </c>
    </row>
    <row r="4256" spans="1:13">
      <c r="A4256" s="88">
        <f t="shared" si="330"/>
        <v>86</v>
      </c>
      <c r="B4256" s="69" t="s">
        <v>1154</v>
      </c>
      <c r="C4256" s="69">
        <v>4</v>
      </c>
      <c r="D4256" s="89">
        <v>1</v>
      </c>
      <c r="E4256" s="89">
        <v>1</v>
      </c>
      <c r="F4256" s="89">
        <v>1</v>
      </c>
      <c r="G4256" s="89">
        <v>1</v>
      </c>
      <c r="H4256" s="89">
        <v>1</v>
      </c>
      <c r="I4256" s="89">
        <v>1</v>
      </c>
      <c r="J4256" s="710">
        <f>(VLOOKUP($C4256,[2]Sheet1!$A$2:$P$18,$M4256+1)/12)*12*D4256</f>
        <v>224542.978930365</v>
      </c>
      <c r="K4256" s="711"/>
      <c r="M4256" s="62">
        <f t="shared" si="329"/>
        <v>5</v>
      </c>
    </row>
    <row r="4257" spans="1:13">
      <c r="A4257" s="88">
        <f t="shared" si="330"/>
        <v>87</v>
      </c>
      <c r="B4257" s="69" t="s">
        <v>1155</v>
      </c>
      <c r="C4257" s="69">
        <v>3</v>
      </c>
      <c r="D4257" s="89">
        <v>0</v>
      </c>
      <c r="E4257" s="89">
        <v>1</v>
      </c>
      <c r="F4257" s="89">
        <v>0</v>
      </c>
      <c r="G4257" s="89">
        <v>0</v>
      </c>
      <c r="H4257" s="89">
        <v>1</v>
      </c>
      <c r="I4257" s="89">
        <v>0</v>
      </c>
      <c r="J4257" s="710">
        <f>(VLOOKUP($C4257,[2]Sheet1!$A$2:$P$18,$M4257+1)/12)*12*D4257</f>
        <v>0</v>
      </c>
      <c r="K4257" s="711"/>
      <c r="M4257" s="62">
        <f t="shared" si="329"/>
        <v>5</v>
      </c>
    </row>
    <row r="4258" spans="1:13">
      <c r="A4258" s="88"/>
      <c r="B4258" s="90" t="s">
        <v>1156</v>
      </c>
      <c r="C4258" s="69"/>
      <c r="D4258" s="89"/>
      <c r="E4258" s="89"/>
      <c r="F4258" s="89"/>
      <c r="G4258" s="89"/>
      <c r="H4258" s="89"/>
      <c r="I4258" s="89"/>
      <c r="J4258" s="710"/>
      <c r="K4258" s="711"/>
      <c r="M4258" s="62">
        <f t="shared" si="329"/>
        <v>5</v>
      </c>
    </row>
    <row r="4259" spans="1:13">
      <c r="A4259" s="88">
        <f>+A4257+1</f>
        <v>88</v>
      </c>
      <c r="B4259" s="69" t="s">
        <v>3532</v>
      </c>
      <c r="C4259" s="69">
        <v>16</v>
      </c>
      <c r="D4259" s="89">
        <v>1</v>
      </c>
      <c r="E4259" s="89">
        <v>1</v>
      </c>
      <c r="F4259" s="89">
        <v>1</v>
      </c>
      <c r="G4259" s="89">
        <v>1</v>
      </c>
      <c r="H4259" s="89">
        <v>1</v>
      </c>
      <c r="I4259" s="89">
        <v>1</v>
      </c>
      <c r="J4259" s="710">
        <f>(VLOOKUP($C4259,[2]Sheet1!$A$2:$P$18,$M4259+1)/12)*12*D4259</f>
        <v>677281.26084</v>
      </c>
      <c r="K4259" s="711"/>
      <c r="M4259" s="62">
        <f t="shared" si="329"/>
        <v>3</v>
      </c>
    </row>
    <row r="4260" spans="1:13">
      <c r="A4260" s="88">
        <f t="shared" ref="A4260:A4307" si="331">+A4259+1</f>
        <v>89</v>
      </c>
      <c r="B4260" s="69" t="s">
        <v>1256</v>
      </c>
      <c r="C4260" s="69">
        <v>15</v>
      </c>
      <c r="D4260" s="89">
        <v>0</v>
      </c>
      <c r="E4260" s="89">
        <v>2</v>
      </c>
      <c r="F4260" s="89">
        <v>0</v>
      </c>
      <c r="G4260" s="89">
        <v>0</v>
      </c>
      <c r="H4260" s="89">
        <v>2</v>
      </c>
      <c r="I4260" s="89">
        <v>0</v>
      </c>
      <c r="J4260" s="710">
        <f>(VLOOKUP($C4260,[2]Sheet1!$A$2:$P$18,$M4260+1)/12)*12*D4260</f>
        <v>0</v>
      </c>
      <c r="K4260" s="711"/>
      <c r="M4260" s="62">
        <f t="shared" si="329"/>
        <v>3</v>
      </c>
    </row>
    <row r="4261" spans="1:13">
      <c r="A4261" s="88">
        <f t="shared" si="331"/>
        <v>90</v>
      </c>
      <c r="B4261" s="69" t="s">
        <v>3533</v>
      </c>
      <c r="C4261" s="69">
        <v>14</v>
      </c>
      <c r="D4261" s="143">
        <v>2</v>
      </c>
      <c r="E4261" s="89">
        <v>2</v>
      </c>
      <c r="F4261" s="143">
        <v>2</v>
      </c>
      <c r="G4261" s="143">
        <v>2</v>
      </c>
      <c r="H4261" s="89">
        <v>2</v>
      </c>
      <c r="I4261" s="143">
        <v>2</v>
      </c>
      <c r="J4261" s="710">
        <f>(VLOOKUP($C4261,[2]Sheet1!$A$2:$P$18,$M4261+1)/12)*12*D4261</f>
        <v>1338198.81648</v>
      </c>
      <c r="K4261" s="711"/>
      <c r="M4261" s="62">
        <f t="shared" si="329"/>
        <v>3</v>
      </c>
    </row>
    <row r="4262" spans="1:13">
      <c r="A4262" s="88">
        <f t="shared" si="331"/>
        <v>91</v>
      </c>
      <c r="B4262" s="69" t="s">
        <v>4071</v>
      </c>
      <c r="C4262" s="69">
        <v>13</v>
      </c>
      <c r="D4262" s="143">
        <v>2</v>
      </c>
      <c r="E4262" s="89">
        <v>2</v>
      </c>
      <c r="F4262" s="143">
        <v>2</v>
      </c>
      <c r="G4262" s="143">
        <v>2</v>
      </c>
      <c r="H4262" s="89">
        <v>2</v>
      </c>
      <c r="I4262" s="143">
        <v>2</v>
      </c>
      <c r="J4262" s="710">
        <f>(VLOOKUP($C4262,[2]Sheet1!$A$2:$P$18,$M4262+1)/12)*12*D4262</f>
        <v>1257519.07608</v>
      </c>
      <c r="K4262" s="711"/>
      <c r="M4262" s="62">
        <f t="shared" si="329"/>
        <v>3</v>
      </c>
    </row>
    <row r="4263" spans="1:13">
      <c r="A4263" s="88">
        <f t="shared" si="331"/>
        <v>92</v>
      </c>
      <c r="B4263" s="69" t="s">
        <v>4072</v>
      </c>
      <c r="C4263" s="69">
        <v>12</v>
      </c>
      <c r="D4263" s="89">
        <v>0</v>
      </c>
      <c r="E4263" s="89">
        <v>0</v>
      </c>
      <c r="F4263" s="89">
        <v>0</v>
      </c>
      <c r="G4263" s="89">
        <v>0</v>
      </c>
      <c r="H4263" s="89">
        <v>0</v>
      </c>
      <c r="I4263" s="89">
        <v>0</v>
      </c>
      <c r="J4263" s="710">
        <f>(VLOOKUP($C4263,[2]Sheet1!$A$2:$P$18,$M4263+1)/12)*12*D4263</f>
        <v>0</v>
      </c>
      <c r="K4263" s="711"/>
      <c r="M4263" s="62">
        <f t="shared" si="329"/>
        <v>3</v>
      </c>
    </row>
    <row r="4264" spans="1:13">
      <c r="A4264" s="88">
        <f t="shared" si="331"/>
        <v>93</v>
      </c>
      <c r="B4264" s="69" t="s">
        <v>3975</v>
      </c>
      <c r="C4264" s="69">
        <v>7</v>
      </c>
      <c r="D4264" s="89">
        <v>0</v>
      </c>
      <c r="E4264" s="89">
        <v>0</v>
      </c>
      <c r="F4264" s="89">
        <v>0</v>
      </c>
      <c r="G4264" s="89">
        <v>0</v>
      </c>
      <c r="H4264" s="89">
        <v>0</v>
      </c>
      <c r="I4264" s="89">
        <v>0</v>
      </c>
      <c r="J4264" s="710">
        <f>(VLOOKUP($C4264,[2]Sheet1!$A$2:$P$18,$M4264+1)/12)*12*D4264</f>
        <v>0</v>
      </c>
      <c r="K4264" s="711"/>
      <c r="M4264" s="62">
        <f t="shared" si="329"/>
        <v>3</v>
      </c>
    </row>
    <row r="4265" spans="1:13">
      <c r="A4265" s="88">
        <f t="shared" si="331"/>
        <v>94</v>
      </c>
      <c r="B4265" s="69" t="s">
        <v>3976</v>
      </c>
      <c r="C4265" s="69">
        <v>6</v>
      </c>
      <c r="D4265" s="89">
        <v>0</v>
      </c>
      <c r="E4265" s="89">
        <v>0</v>
      </c>
      <c r="F4265" s="89">
        <v>0</v>
      </c>
      <c r="G4265" s="89">
        <v>0</v>
      </c>
      <c r="H4265" s="89">
        <v>0</v>
      </c>
      <c r="I4265" s="89">
        <v>0</v>
      </c>
      <c r="J4265" s="710">
        <f>(VLOOKUP($C4265,[2]Sheet1!$A$2:$P$18,$M4265+1)/12)*12*D4265</f>
        <v>0</v>
      </c>
      <c r="K4265" s="711"/>
      <c r="M4265" s="62">
        <f t="shared" si="329"/>
        <v>5</v>
      </c>
    </row>
    <row r="4266" spans="1:13" ht="13.5" thickBot="1">
      <c r="A4266" s="88">
        <f t="shared" si="331"/>
        <v>95</v>
      </c>
      <c r="B4266" s="69" t="s">
        <v>1919</v>
      </c>
      <c r="C4266" s="156">
        <v>4</v>
      </c>
      <c r="D4266" s="143">
        <v>0</v>
      </c>
      <c r="E4266" s="89">
        <v>0</v>
      </c>
      <c r="F4266" s="143">
        <v>0</v>
      </c>
      <c r="G4266" s="143">
        <v>0</v>
      </c>
      <c r="H4266" s="89">
        <v>0</v>
      </c>
      <c r="I4266" s="143">
        <v>0</v>
      </c>
      <c r="J4266" s="710">
        <f>(VLOOKUP($C4266,[2]Sheet1!$A$2:$P$18,$M4266+1)/12)*12*D4266</f>
        <v>0</v>
      </c>
      <c r="K4266" s="711"/>
      <c r="M4266" s="62">
        <f t="shared" si="329"/>
        <v>5</v>
      </c>
    </row>
    <row r="4267" spans="1:13" ht="15.75" thickTop="1">
      <c r="A4267" s="1047" t="s">
        <v>2791</v>
      </c>
      <c r="B4267" s="1049" t="s">
        <v>4126</v>
      </c>
      <c r="C4267" s="1049" t="s">
        <v>854</v>
      </c>
      <c r="D4267" s="1040" t="s">
        <v>4127</v>
      </c>
      <c r="E4267" s="1041"/>
      <c r="F4267" s="1041"/>
      <c r="G4267" s="1040" t="s">
        <v>904</v>
      </c>
      <c r="H4267" s="1041"/>
      <c r="I4267" s="1042"/>
      <c r="J4267" s="1035" t="s">
        <v>855</v>
      </c>
      <c r="K4267" s="389"/>
    </row>
    <row r="4268" spans="1:13" ht="26.25" thickBot="1">
      <c r="A4268" s="1048"/>
      <c r="B4268" s="1050"/>
      <c r="C4268" s="1050"/>
      <c r="D4268" s="285" t="s">
        <v>5505</v>
      </c>
      <c r="E4268" s="285" t="s">
        <v>4485</v>
      </c>
      <c r="F4268" s="285" t="s">
        <v>4486</v>
      </c>
      <c r="G4268" s="287" t="s">
        <v>4487</v>
      </c>
      <c r="H4268" s="285" t="s">
        <v>4488</v>
      </c>
      <c r="I4268" s="287" t="s">
        <v>4489</v>
      </c>
      <c r="J4268" s="1036"/>
      <c r="K4268" s="712"/>
    </row>
    <row r="4269" spans="1:13" ht="13.5" thickTop="1">
      <c r="A4269" s="88"/>
      <c r="B4269" s="90" t="s">
        <v>3500</v>
      </c>
      <c r="C4269" s="157"/>
      <c r="D4269" s="143"/>
      <c r="E4269" s="89"/>
      <c r="F4269" s="143"/>
      <c r="G4269" s="143"/>
      <c r="H4269" s="89"/>
      <c r="I4269" s="143"/>
      <c r="J4269" s="710"/>
      <c r="K4269" s="711"/>
      <c r="M4269" s="62">
        <f t="shared" si="329"/>
        <v>5</v>
      </c>
    </row>
    <row r="4270" spans="1:13">
      <c r="A4270" s="88">
        <f>+A4266+1</f>
        <v>96</v>
      </c>
      <c r="B4270" s="69" t="s">
        <v>1099</v>
      </c>
      <c r="C4270" s="69">
        <v>15</v>
      </c>
      <c r="D4270" s="143">
        <v>0</v>
      </c>
      <c r="E4270" s="89">
        <v>1</v>
      </c>
      <c r="F4270" s="143">
        <v>0</v>
      </c>
      <c r="G4270" s="143">
        <v>0</v>
      </c>
      <c r="H4270" s="89">
        <v>1</v>
      </c>
      <c r="I4270" s="143">
        <v>0</v>
      </c>
      <c r="J4270" s="710">
        <f>(VLOOKUP($C4270,[2]Sheet1!$A$2:$P$18,$M4270+1)/12)*12*D4270</f>
        <v>0</v>
      </c>
      <c r="K4270" s="711"/>
      <c r="M4270" s="62">
        <f t="shared" si="329"/>
        <v>3</v>
      </c>
    </row>
    <row r="4271" spans="1:13">
      <c r="A4271" s="88">
        <f>+A4270+1</f>
        <v>97</v>
      </c>
      <c r="B4271" s="69" t="s">
        <v>3501</v>
      </c>
      <c r="C4271" s="69">
        <v>14</v>
      </c>
      <c r="D4271" s="89">
        <v>1</v>
      </c>
      <c r="E4271" s="89">
        <v>1</v>
      </c>
      <c r="F4271" s="89">
        <v>1</v>
      </c>
      <c r="G4271" s="89">
        <v>1</v>
      </c>
      <c r="H4271" s="89">
        <v>1</v>
      </c>
      <c r="I4271" s="89">
        <v>1</v>
      </c>
      <c r="J4271" s="710">
        <f>(VLOOKUP($C4271,[2]Sheet1!$A$2:$P$18,$M4271+1)/12)*12*D4271</f>
        <v>669099.40824000002</v>
      </c>
      <c r="K4271" s="711"/>
      <c r="M4271" s="62">
        <f t="shared" si="329"/>
        <v>3</v>
      </c>
    </row>
    <row r="4272" spans="1:13" ht="13.5" customHeight="1">
      <c r="A4272" s="88">
        <f>+A4271+1</f>
        <v>98</v>
      </c>
      <c r="B4272" s="69" t="s">
        <v>2108</v>
      </c>
      <c r="C4272" s="69">
        <v>13</v>
      </c>
      <c r="D4272" s="143">
        <v>0</v>
      </c>
      <c r="E4272" s="89">
        <v>0</v>
      </c>
      <c r="F4272" s="143">
        <v>0</v>
      </c>
      <c r="G4272" s="143">
        <v>0</v>
      </c>
      <c r="H4272" s="89">
        <v>0</v>
      </c>
      <c r="I4272" s="143">
        <v>0</v>
      </c>
      <c r="J4272" s="710">
        <f>(VLOOKUP($C4272,[2]Sheet1!$A$2:$P$18,$M4272+1)/12)*12*D4272</f>
        <v>0</v>
      </c>
      <c r="K4272" s="711"/>
      <c r="M4272" s="62">
        <f t="shared" si="329"/>
        <v>3</v>
      </c>
    </row>
    <row r="4273" spans="1:13">
      <c r="A4273" s="88">
        <f t="shared" si="331"/>
        <v>99</v>
      </c>
      <c r="B4273" s="69" t="s">
        <v>1920</v>
      </c>
      <c r="C4273" s="69">
        <v>12</v>
      </c>
      <c r="D4273" s="89">
        <v>0</v>
      </c>
      <c r="E4273" s="89">
        <v>0</v>
      </c>
      <c r="F4273" s="89">
        <v>0</v>
      </c>
      <c r="G4273" s="89">
        <v>0</v>
      </c>
      <c r="H4273" s="89">
        <v>0</v>
      </c>
      <c r="I4273" s="89">
        <v>0</v>
      </c>
      <c r="J4273" s="710">
        <f>(VLOOKUP($C4273,[2]Sheet1!$A$2:$P$18,$M4273+1)/12)*12*D4273</f>
        <v>0</v>
      </c>
      <c r="K4273" s="711"/>
      <c r="M4273" s="62">
        <f t="shared" si="329"/>
        <v>3</v>
      </c>
    </row>
    <row r="4274" spans="1:13">
      <c r="A4274" s="88">
        <f>+A4273+1</f>
        <v>100</v>
      </c>
      <c r="B4274" s="69" t="s">
        <v>1582</v>
      </c>
      <c r="C4274" s="69">
        <v>10</v>
      </c>
      <c r="D4274" s="89">
        <v>0</v>
      </c>
      <c r="E4274" s="89">
        <v>1</v>
      </c>
      <c r="F4274" s="89">
        <v>0</v>
      </c>
      <c r="G4274" s="89">
        <v>0</v>
      </c>
      <c r="H4274" s="89">
        <v>1</v>
      </c>
      <c r="I4274" s="89">
        <v>0</v>
      </c>
      <c r="J4274" s="710">
        <f>(VLOOKUP($C4274,[2]Sheet1!$A$2:$P$18,$M4274+1)/12)*12*D4274</f>
        <v>0</v>
      </c>
      <c r="K4274" s="711"/>
      <c r="M4274" s="62">
        <f t="shared" si="329"/>
        <v>3</v>
      </c>
    </row>
    <row r="4275" spans="1:13">
      <c r="A4275" s="88">
        <f t="shared" si="331"/>
        <v>101</v>
      </c>
      <c r="B4275" s="69" t="s">
        <v>1583</v>
      </c>
      <c r="C4275" s="69">
        <v>9</v>
      </c>
      <c r="D4275" s="143">
        <v>1</v>
      </c>
      <c r="E4275" s="89">
        <v>1</v>
      </c>
      <c r="F4275" s="143">
        <v>1</v>
      </c>
      <c r="G4275" s="143">
        <v>1</v>
      </c>
      <c r="H4275" s="89">
        <v>1</v>
      </c>
      <c r="I4275" s="143">
        <v>1</v>
      </c>
      <c r="J4275" s="710">
        <f>(VLOOKUP($C4275,[2]Sheet1!$A$2:$P$18,$M4275+1)/12)*12*D4275</f>
        <v>409681.90619999997</v>
      </c>
      <c r="K4275" s="711"/>
      <c r="M4275" s="62">
        <f t="shared" si="329"/>
        <v>3</v>
      </c>
    </row>
    <row r="4276" spans="1:13">
      <c r="A4276" s="88">
        <f t="shared" si="331"/>
        <v>102</v>
      </c>
      <c r="B4276" s="69" t="s">
        <v>1738</v>
      </c>
      <c r="C4276" s="69">
        <v>8</v>
      </c>
      <c r="D4276" s="89">
        <v>0</v>
      </c>
      <c r="E4276" s="89">
        <v>0</v>
      </c>
      <c r="F4276" s="89">
        <v>0</v>
      </c>
      <c r="G4276" s="89">
        <v>0</v>
      </c>
      <c r="H4276" s="89">
        <v>0</v>
      </c>
      <c r="I4276" s="89">
        <v>0</v>
      </c>
      <c r="J4276" s="710">
        <f>(VLOOKUP($C4276,[2]Sheet1!$A$2:$P$18,$M4276+1)/12)*12*D4276</f>
        <v>0</v>
      </c>
      <c r="K4276" s="711"/>
      <c r="M4276" s="62">
        <f t="shared" si="329"/>
        <v>3</v>
      </c>
    </row>
    <row r="4277" spans="1:13">
      <c r="A4277" s="88">
        <f t="shared" si="331"/>
        <v>103</v>
      </c>
      <c r="B4277" s="69" t="s">
        <v>1739</v>
      </c>
      <c r="C4277" s="69">
        <v>9</v>
      </c>
      <c r="D4277" s="89">
        <v>1</v>
      </c>
      <c r="E4277" s="89">
        <v>1</v>
      </c>
      <c r="F4277" s="89">
        <v>1</v>
      </c>
      <c r="G4277" s="89">
        <v>1</v>
      </c>
      <c r="H4277" s="89">
        <v>1</v>
      </c>
      <c r="I4277" s="89">
        <v>1</v>
      </c>
      <c r="J4277" s="710">
        <f>(VLOOKUP($C4277,[2]Sheet1!$A$2:$P$18,$M4277+1)/12)*12*D4277</f>
        <v>409681.90619999997</v>
      </c>
      <c r="K4277" s="711"/>
      <c r="M4277" s="62">
        <f t="shared" si="329"/>
        <v>3</v>
      </c>
    </row>
    <row r="4278" spans="1:13">
      <c r="A4278" s="88">
        <f t="shared" si="331"/>
        <v>104</v>
      </c>
      <c r="B4278" s="69" t="s">
        <v>1740</v>
      </c>
      <c r="C4278" s="69">
        <v>7</v>
      </c>
      <c r="D4278" s="143">
        <v>2</v>
      </c>
      <c r="E4278" s="89">
        <v>2</v>
      </c>
      <c r="F4278" s="143">
        <v>2</v>
      </c>
      <c r="G4278" s="143">
        <v>2</v>
      </c>
      <c r="H4278" s="89">
        <v>2</v>
      </c>
      <c r="I4278" s="143">
        <v>2</v>
      </c>
      <c r="J4278" s="710">
        <f>(VLOOKUP($C4278,[2]Sheet1!$A$2:$P$18,$M4278+1)/12)*12*D4278</f>
        <v>615413.40480000013</v>
      </c>
      <c r="K4278" s="711"/>
      <c r="M4278" s="62">
        <f t="shared" si="329"/>
        <v>3</v>
      </c>
    </row>
    <row r="4279" spans="1:13">
      <c r="A4279" s="88">
        <f t="shared" si="331"/>
        <v>105</v>
      </c>
      <c r="B4279" s="69" t="s">
        <v>1741</v>
      </c>
      <c r="C4279" s="69">
        <v>6</v>
      </c>
      <c r="D4279" s="89">
        <v>0</v>
      </c>
      <c r="E4279" s="89">
        <v>0</v>
      </c>
      <c r="F4279" s="89">
        <v>0</v>
      </c>
      <c r="G4279" s="89">
        <v>0</v>
      </c>
      <c r="H4279" s="89">
        <v>0</v>
      </c>
      <c r="I4279" s="89">
        <v>0</v>
      </c>
      <c r="J4279" s="710">
        <f>(VLOOKUP($C4279,[2]Sheet1!$A$2:$P$18,$M4279+1)/12)*12*D4279</f>
        <v>0</v>
      </c>
      <c r="K4279" s="711"/>
      <c r="M4279" s="62">
        <f t="shared" si="329"/>
        <v>5</v>
      </c>
    </row>
    <row r="4280" spans="1:13">
      <c r="A4280" s="88">
        <f t="shared" si="331"/>
        <v>106</v>
      </c>
      <c r="B4280" s="69" t="s">
        <v>1742</v>
      </c>
      <c r="C4280" s="69">
        <v>5</v>
      </c>
      <c r="D4280" s="143">
        <v>0</v>
      </c>
      <c r="E4280" s="89">
        <v>0</v>
      </c>
      <c r="F4280" s="143">
        <v>0</v>
      </c>
      <c r="G4280" s="143">
        <v>0</v>
      </c>
      <c r="H4280" s="89">
        <v>0</v>
      </c>
      <c r="I4280" s="143">
        <v>0</v>
      </c>
      <c r="J4280" s="710">
        <f>(VLOOKUP($C4280,[2]Sheet1!$A$2:$P$18,$M4280+1)/12)*12*D4280</f>
        <v>0</v>
      </c>
      <c r="K4280" s="711"/>
      <c r="M4280" s="62">
        <f t="shared" si="329"/>
        <v>5</v>
      </c>
    </row>
    <row r="4281" spans="1:13">
      <c r="A4281" s="88">
        <f t="shared" si="331"/>
        <v>107</v>
      </c>
      <c r="B4281" s="69" t="s">
        <v>1743</v>
      </c>
      <c r="C4281" s="69">
        <v>4</v>
      </c>
      <c r="D4281" s="89">
        <v>0</v>
      </c>
      <c r="E4281" s="89">
        <v>0</v>
      </c>
      <c r="F4281" s="89">
        <v>0</v>
      </c>
      <c r="G4281" s="89">
        <v>0</v>
      </c>
      <c r="H4281" s="89">
        <v>0</v>
      </c>
      <c r="I4281" s="89">
        <v>0</v>
      </c>
      <c r="J4281" s="710">
        <f>(VLOOKUP($C4281,[2]Sheet1!$A$2:$P$18,$M4281+1)/12)*12*D4281</f>
        <v>0</v>
      </c>
      <c r="K4281" s="711"/>
      <c r="M4281" s="62">
        <f t="shared" si="329"/>
        <v>5</v>
      </c>
    </row>
    <row r="4282" spans="1:13">
      <c r="A4282" s="88">
        <f t="shared" si="331"/>
        <v>108</v>
      </c>
      <c r="B4282" s="69" t="s">
        <v>3923</v>
      </c>
      <c r="C4282" s="69">
        <v>8</v>
      </c>
      <c r="D4282" s="143">
        <v>0</v>
      </c>
      <c r="E4282" s="89">
        <v>0</v>
      </c>
      <c r="F4282" s="143">
        <v>0</v>
      </c>
      <c r="G4282" s="143">
        <v>0</v>
      </c>
      <c r="H4282" s="89">
        <v>0</v>
      </c>
      <c r="I4282" s="143">
        <v>0</v>
      </c>
      <c r="J4282" s="710">
        <f>(VLOOKUP($C4282,[2]Sheet1!$A$2:$P$18,$M4282+1)/12)*12*D4282</f>
        <v>0</v>
      </c>
      <c r="K4282" s="711"/>
      <c r="M4282" s="62">
        <f t="shared" si="329"/>
        <v>3</v>
      </c>
    </row>
    <row r="4283" spans="1:13">
      <c r="A4283" s="88">
        <f t="shared" si="331"/>
        <v>109</v>
      </c>
      <c r="B4283" s="69" t="s">
        <v>2114</v>
      </c>
      <c r="C4283" s="69">
        <v>7</v>
      </c>
      <c r="D4283" s="143">
        <v>0</v>
      </c>
      <c r="E4283" s="89">
        <v>0</v>
      </c>
      <c r="F4283" s="143">
        <v>0</v>
      </c>
      <c r="G4283" s="143">
        <v>0</v>
      </c>
      <c r="H4283" s="89">
        <v>0</v>
      </c>
      <c r="I4283" s="143">
        <v>0</v>
      </c>
      <c r="J4283" s="710">
        <f>(VLOOKUP($C4283,[2]Sheet1!$A$2:$P$18,$M4283+1)/12)*12*D4283</f>
        <v>0</v>
      </c>
      <c r="K4283" s="711"/>
      <c r="M4283" s="62">
        <f t="shared" si="329"/>
        <v>3</v>
      </c>
    </row>
    <row r="4284" spans="1:13">
      <c r="A4284" s="88">
        <f t="shared" si="331"/>
        <v>110</v>
      </c>
      <c r="B4284" s="69" t="s">
        <v>3924</v>
      </c>
      <c r="C4284" s="69">
        <v>6</v>
      </c>
      <c r="D4284" s="143">
        <v>0</v>
      </c>
      <c r="E4284" s="89">
        <v>1</v>
      </c>
      <c r="F4284" s="143">
        <v>0</v>
      </c>
      <c r="G4284" s="143">
        <v>0</v>
      </c>
      <c r="H4284" s="89">
        <v>1</v>
      </c>
      <c r="I4284" s="143">
        <v>0</v>
      </c>
      <c r="J4284" s="710">
        <f>(VLOOKUP($C4284,[2]Sheet1!$A$2:$P$18,$M4284+1)/12)*12*D4284</f>
        <v>0</v>
      </c>
      <c r="K4284" s="711"/>
      <c r="M4284" s="62">
        <f t="shared" si="329"/>
        <v>5</v>
      </c>
    </row>
    <row r="4285" spans="1:13">
      <c r="A4285" s="88">
        <f t="shared" si="331"/>
        <v>111</v>
      </c>
      <c r="B4285" s="69" t="s">
        <v>3925</v>
      </c>
      <c r="C4285" s="69">
        <v>5</v>
      </c>
      <c r="D4285" s="143">
        <v>2</v>
      </c>
      <c r="E4285" s="89">
        <v>2</v>
      </c>
      <c r="F4285" s="143">
        <v>2</v>
      </c>
      <c r="G4285" s="143">
        <v>2</v>
      </c>
      <c r="H4285" s="89">
        <v>2</v>
      </c>
      <c r="I4285" s="143">
        <v>2</v>
      </c>
      <c r="J4285" s="710">
        <f>(VLOOKUP($C4285,[2]Sheet1!$A$2:$P$18,$M4285+1)/12)*12*D4285</f>
        <v>459139.55786072998</v>
      </c>
      <c r="K4285" s="711"/>
      <c r="M4285" s="62">
        <f t="shared" si="329"/>
        <v>5</v>
      </c>
    </row>
    <row r="4286" spans="1:13">
      <c r="A4286" s="88">
        <f t="shared" si="331"/>
        <v>112</v>
      </c>
      <c r="B4286" s="69" t="s">
        <v>3926</v>
      </c>
      <c r="C4286" s="69">
        <v>4</v>
      </c>
      <c r="D4286" s="143">
        <v>1</v>
      </c>
      <c r="E4286" s="89">
        <v>1</v>
      </c>
      <c r="F4286" s="143">
        <v>1</v>
      </c>
      <c r="G4286" s="143">
        <v>1</v>
      </c>
      <c r="H4286" s="89">
        <v>1</v>
      </c>
      <c r="I4286" s="143">
        <v>1</v>
      </c>
      <c r="J4286" s="710">
        <f>(VLOOKUP($C4286,[2]Sheet1!$A$2:$P$18,$M4286+1)/12)*12*D4286</f>
        <v>224542.978930365</v>
      </c>
      <c r="K4286" s="711"/>
      <c r="M4286" s="62">
        <f t="shared" si="329"/>
        <v>5</v>
      </c>
    </row>
    <row r="4287" spans="1:13">
      <c r="A4287" s="88">
        <f t="shared" si="331"/>
        <v>113</v>
      </c>
      <c r="B4287" s="69" t="s">
        <v>2337</v>
      </c>
      <c r="C4287" s="69">
        <v>4</v>
      </c>
      <c r="D4287" s="143">
        <v>0</v>
      </c>
      <c r="E4287" s="89">
        <v>0</v>
      </c>
      <c r="F4287" s="143">
        <v>0</v>
      </c>
      <c r="G4287" s="143">
        <v>0</v>
      </c>
      <c r="H4287" s="89">
        <v>0</v>
      </c>
      <c r="I4287" s="143">
        <v>0</v>
      </c>
      <c r="J4287" s="710">
        <f>(VLOOKUP($C4287,[2]Sheet1!$A$2:$P$18,$M4287+1)/12)*12*D4287</f>
        <v>0</v>
      </c>
      <c r="K4287" s="711"/>
      <c r="M4287" s="62">
        <f t="shared" si="329"/>
        <v>5</v>
      </c>
    </row>
    <row r="4288" spans="1:13">
      <c r="A4288" s="88">
        <f t="shared" si="331"/>
        <v>114</v>
      </c>
      <c r="B4288" s="69" t="s">
        <v>2219</v>
      </c>
      <c r="C4288" s="69">
        <v>4</v>
      </c>
      <c r="D4288" s="89">
        <v>0</v>
      </c>
      <c r="E4288" s="89">
        <v>0</v>
      </c>
      <c r="F4288" s="89">
        <v>0</v>
      </c>
      <c r="G4288" s="89">
        <v>0</v>
      </c>
      <c r="H4288" s="89">
        <v>0</v>
      </c>
      <c r="I4288" s="89">
        <v>0</v>
      </c>
      <c r="J4288" s="710">
        <f>(VLOOKUP($C4288,[2]Sheet1!$A$2:$P$18,$M4288+1)/12)*12*D4288</f>
        <v>0</v>
      </c>
      <c r="K4288" s="711"/>
      <c r="M4288" s="62">
        <f t="shared" si="329"/>
        <v>5</v>
      </c>
    </row>
    <row r="4289" spans="1:13">
      <c r="A4289" s="88"/>
      <c r="B4289" s="90" t="s">
        <v>1901</v>
      </c>
      <c r="C4289" s="69"/>
      <c r="D4289" s="89"/>
      <c r="E4289" s="89"/>
      <c r="F4289" s="89"/>
      <c r="G4289" s="89"/>
      <c r="H4289" s="89"/>
      <c r="I4289" s="89"/>
      <c r="J4289" s="710"/>
      <c r="K4289" s="711"/>
      <c r="M4289" s="62">
        <f t="shared" si="329"/>
        <v>5</v>
      </c>
    </row>
    <row r="4290" spans="1:13">
      <c r="A4290" s="88">
        <f>+A4288+1</f>
        <v>115</v>
      </c>
      <c r="B4290" s="69" t="s">
        <v>1879</v>
      </c>
      <c r="C4290" s="69">
        <v>14</v>
      </c>
      <c r="D4290" s="143">
        <v>1</v>
      </c>
      <c r="E4290" s="89">
        <v>1</v>
      </c>
      <c r="F4290" s="143">
        <v>1</v>
      </c>
      <c r="G4290" s="143">
        <v>1</v>
      </c>
      <c r="H4290" s="89">
        <v>1</v>
      </c>
      <c r="I4290" s="143">
        <v>1</v>
      </c>
      <c r="J4290" s="710">
        <f>(VLOOKUP($C4290,[2]Sheet1!$A$2:$P$18,$M4290+1)/12)*12*D4290</f>
        <v>669099.40824000002</v>
      </c>
      <c r="K4290" s="711"/>
      <c r="M4290" s="62">
        <f t="shared" si="329"/>
        <v>3</v>
      </c>
    </row>
    <row r="4291" spans="1:13">
      <c r="A4291" s="88">
        <f t="shared" si="331"/>
        <v>116</v>
      </c>
      <c r="B4291" s="69" t="s">
        <v>3664</v>
      </c>
      <c r="C4291" s="69">
        <v>8</v>
      </c>
      <c r="D4291" s="89">
        <v>0</v>
      </c>
      <c r="E4291" s="89">
        <v>1</v>
      </c>
      <c r="F4291" s="89">
        <v>0</v>
      </c>
      <c r="G4291" s="89">
        <v>0</v>
      </c>
      <c r="H4291" s="89">
        <v>1</v>
      </c>
      <c r="I4291" s="89">
        <v>0</v>
      </c>
      <c r="J4291" s="710">
        <f>(VLOOKUP($C4291,[2]Sheet1!$A$2:$P$18,$M4291+1)/12)*12*D4291</f>
        <v>0</v>
      </c>
      <c r="K4291" s="711"/>
      <c r="M4291" s="62">
        <f t="shared" si="329"/>
        <v>3</v>
      </c>
    </row>
    <row r="4292" spans="1:13">
      <c r="A4292" s="88">
        <f t="shared" si="331"/>
        <v>117</v>
      </c>
      <c r="B4292" s="69" t="s">
        <v>3665</v>
      </c>
      <c r="C4292" s="69">
        <v>6</v>
      </c>
      <c r="D4292" s="89">
        <v>0</v>
      </c>
      <c r="E4292" s="89">
        <v>0</v>
      </c>
      <c r="F4292" s="89">
        <v>0</v>
      </c>
      <c r="G4292" s="89">
        <v>0</v>
      </c>
      <c r="H4292" s="89">
        <v>0</v>
      </c>
      <c r="I4292" s="89">
        <v>0</v>
      </c>
      <c r="J4292" s="710">
        <f>(VLOOKUP($C4292,[2]Sheet1!$A$2:$P$18,$M4292+1)/12)*12*D4292</f>
        <v>0</v>
      </c>
      <c r="K4292" s="711"/>
      <c r="M4292" s="62">
        <f t="shared" si="329"/>
        <v>5</v>
      </c>
    </row>
    <row r="4293" spans="1:13">
      <c r="A4293" s="88">
        <f t="shared" si="331"/>
        <v>118</v>
      </c>
      <c r="B4293" s="69" t="s">
        <v>2230</v>
      </c>
      <c r="C4293" s="69">
        <v>4</v>
      </c>
      <c r="D4293" s="143">
        <v>0</v>
      </c>
      <c r="E4293" s="89">
        <v>0</v>
      </c>
      <c r="F4293" s="143">
        <v>0</v>
      </c>
      <c r="G4293" s="143">
        <v>0</v>
      </c>
      <c r="H4293" s="89">
        <v>0</v>
      </c>
      <c r="I4293" s="143">
        <v>0</v>
      </c>
      <c r="J4293" s="710">
        <f>(VLOOKUP($C4293,[2]Sheet1!$A$2:$P$18,$M4293+1)/12)*12*D4293</f>
        <v>0</v>
      </c>
      <c r="K4293" s="711"/>
      <c r="M4293" s="62">
        <f t="shared" si="329"/>
        <v>5</v>
      </c>
    </row>
    <row r="4294" spans="1:13">
      <c r="A4294" s="88">
        <f t="shared" si="331"/>
        <v>119</v>
      </c>
      <c r="B4294" s="69" t="s">
        <v>2233</v>
      </c>
      <c r="C4294" s="69">
        <v>7</v>
      </c>
      <c r="D4294" s="143">
        <v>0</v>
      </c>
      <c r="E4294" s="89">
        <v>0</v>
      </c>
      <c r="F4294" s="143">
        <v>0</v>
      </c>
      <c r="G4294" s="143">
        <v>0</v>
      </c>
      <c r="H4294" s="89">
        <v>0</v>
      </c>
      <c r="I4294" s="143">
        <v>0</v>
      </c>
      <c r="J4294" s="710">
        <f>(VLOOKUP($C4294,[2]Sheet1!$A$2:$P$18,$M4294+1)/12)*12*D4294</f>
        <v>0</v>
      </c>
      <c r="K4294" s="711"/>
      <c r="M4294" s="62">
        <f t="shared" si="329"/>
        <v>3</v>
      </c>
    </row>
    <row r="4295" spans="1:13">
      <c r="A4295" s="88">
        <f t="shared" si="331"/>
        <v>120</v>
      </c>
      <c r="B4295" s="69" t="s">
        <v>2857</v>
      </c>
      <c r="C4295" s="69">
        <v>6</v>
      </c>
      <c r="D4295" s="89">
        <v>0</v>
      </c>
      <c r="E4295" s="89">
        <v>0</v>
      </c>
      <c r="F4295" s="89">
        <v>0</v>
      </c>
      <c r="G4295" s="89">
        <v>0</v>
      </c>
      <c r="H4295" s="89">
        <v>0</v>
      </c>
      <c r="I4295" s="89">
        <v>0</v>
      </c>
      <c r="J4295" s="710">
        <f>(VLOOKUP($C4295,[2]Sheet1!$A$2:$P$18,$M4295+1)/12)*12*D4295</f>
        <v>0</v>
      </c>
      <c r="K4295" s="711"/>
      <c r="M4295" s="62">
        <f t="shared" ref="M4295:M4362" si="332">IF(C4295&gt;6,3,5)</f>
        <v>5</v>
      </c>
    </row>
    <row r="4296" spans="1:13">
      <c r="A4296" s="88">
        <f t="shared" si="331"/>
        <v>121</v>
      </c>
      <c r="B4296" s="69" t="s">
        <v>2858</v>
      </c>
      <c r="C4296" s="69">
        <v>4</v>
      </c>
      <c r="D4296" s="89">
        <v>0</v>
      </c>
      <c r="E4296" s="89">
        <v>0</v>
      </c>
      <c r="F4296" s="89">
        <v>0</v>
      </c>
      <c r="G4296" s="89">
        <v>0</v>
      </c>
      <c r="H4296" s="89">
        <v>0</v>
      </c>
      <c r="I4296" s="89">
        <v>0</v>
      </c>
      <c r="J4296" s="710">
        <f>(VLOOKUP($C4296,[2]Sheet1!$A$2:$P$18,$M4296+1)/12)*12*D4296</f>
        <v>0</v>
      </c>
      <c r="K4296" s="711"/>
      <c r="M4296" s="62">
        <f t="shared" si="332"/>
        <v>5</v>
      </c>
    </row>
    <row r="4297" spans="1:13">
      <c r="A4297" s="88"/>
      <c r="B4297" s="90" t="s">
        <v>2859</v>
      </c>
      <c r="C4297" s="69"/>
      <c r="D4297" s="89"/>
      <c r="E4297" s="89"/>
      <c r="F4297" s="89"/>
      <c r="G4297" s="89"/>
      <c r="H4297" s="89"/>
      <c r="I4297" s="89"/>
      <c r="J4297" s="710"/>
      <c r="K4297" s="711"/>
      <c r="M4297" s="62">
        <f t="shared" si="332"/>
        <v>5</v>
      </c>
    </row>
    <row r="4298" spans="1:13">
      <c r="A4298" s="88">
        <f>+A4296+1</f>
        <v>122</v>
      </c>
      <c r="B4298" s="69" t="s">
        <v>2854</v>
      </c>
      <c r="C4298" s="69">
        <v>14</v>
      </c>
      <c r="D4298" s="89">
        <v>1</v>
      </c>
      <c r="E4298" s="89">
        <v>1</v>
      </c>
      <c r="F4298" s="89">
        <v>1</v>
      </c>
      <c r="G4298" s="89">
        <v>1</v>
      </c>
      <c r="H4298" s="89">
        <v>1</v>
      </c>
      <c r="I4298" s="89">
        <v>1</v>
      </c>
      <c r="J4298" s="710">
        <f>(VLOOKUP($C4298,[2]Sheet1!$A$2:$P$18,$M4298+1)/12)*12*D4298</f>
        <v>669099.40824000002</v>
      </c>
      <c r="K4298" s="711"/>
      <c r="M4298" s="62">
        <f t="shared" si="332"/>
        <v>3</v>
      </c>
    </row>
    <row r="4299" spans="1:13">
      <c r="A4299" s="88">
        <f t="shared" si="331"/>
        <v>123</v>
      </c>
      <c r="B4299" s="69" t="s">
        <v>2855</v>
      </c>
      <c r="C4299" s="69">
        <v>12</v>
      </c>
      <c r="D4299" s="143">
        <v>0</v>
      </c>
      <c r="E4299" s="89">
        <v>0</v>
      </c>
      <c r="F4299" s="143">
        <v>0</v>
      </c>
      <c r="G4299" s="143">
        <v>0</v>
      </c>
      <c r="H4299" s="89">
        <v>0</v>
      </c>
      <c r="I4299" s="143">
        <v>0</v>
      </c>
      <c r="J4299" s="710">
        <f>(VLOOKUP($C4299,[2]Sheet1!$A$2:$P$18,$M4299+1)/12)*12*D4299</f>
        <v>0</v>
      </c>
      <c r="K4299" s="711"/>
      <c r="M4299" s="62">
        <f t="shared" si="332"/>
        <v>3</v>
      </c>
    </row>
    <row r="4300" spans="1:13">
      <c r="A4300" s="88">
        <f t="shared" si="331"/>
        <v>124</v>
      </c>
      <c r="B4300" s="69" t="s">
        <v>2856</v>
      </c>
      <c r="C4300" s="69">
        <v>10</v>
      </c>
      <c r="D4300" s="143">
        <v>0</v>
      </c>
      <c r="E4300" s="89">
        <v>0</v>
      </c>
      <c r="F4300" s="143">
        <v>0</v>
      </c>
      <c r="G4300" s="143">
        <v>0</v>
      </c>
      <c r="H4300" s="89">
        <v>0</v>
      </c>
      <c r="I4300" s="143">
        <v>0</v>
      </c>
      <c r="J4300" s="710">
        <f>(VLOOKUP($C4300,[2]Sheet1!$A$2:$P$18,$M4300+1)/12)*12*D4300</f>
        <v>0</v>
      </c>
      <c r="K4300" s="711"/>
      <c r="M4300" s="62">
        <f t="shared" si="332"/>
        <v>3</v>
      </c>
    </row>
    <row r="4301" spans="1:13">
      <c r="A4301" s="88">
        <f t="shared" si="331"/>
        <v>125</v>
      </c>
      <c r="B4301" s="69" t="s">
        <v>2502</v>
      </c>
      <c r="C4301" s="69">
        <v>9</v>
      </c>
      <c r="D4301" s="143">
        <v>0</v>
      </c>
      <c r="E4301" s="89">
        <v>0</v>
      </c>
      <c r="F4301" s="143">
        <v>0</v>
      </c>
      <c r="G4301" s="143">
        <v>0</v>
      </c>
      <c r="H4301" s="89">
        <v>0</v>
      </c>
      <c r="I4301" s="143">
        <v>0</v>
      </c>
      <c r="J4301" s="710">
        <f>(VLOOKUP($C4301,[2]Sheet1!$A$2:$P$18,$M4301+1)/12)*12*D4301</f>
        <v>0</v>
      </c>
      <c r="K4301" s="711"/>
      <c r="M4301" s="62">
        <f t="shared" si="332"/>
        <v>3</v>
      </c>
    </row>
    <row r="4302" spans="1:13">
      <c r="A4302" s="88">
        <f t="shared" si="331"/>
        <v>126</v>
      </c>
      <c r="B4302" s="69" t="s">
        <v>2503</v>
      </c>
      <c r="C4302" s="69">
        <v>8</v>
      </c>
      <c r="D4302" s="89">
        <v>0</v>
      </c>
      <c r="E4302" s="89">
        <v>0</v>
      </c>
      <c r="F4302" s="89">
        <v>0</v>
      </c>
      <c r="G4302" s="89">
        <v>0</v>
      </c>
      <c r="H4302" s="89">
        <v>0</v>
      </c>
      <c r="I4302" s="89">
        <v>0</v>
      </c>
      <c r="J4302" s="710">
        <f>(VLOOKUP($C4302,[2]Sheet1!$A$2:$P$18,$M4302+1)/12)*12*D4302</f>
        <v>0</v>
      </c>
      <c r="K4302" s="711"/>
      <c r="M4302" s="62">
        <f t="shared" si="332"/>
        <v>3</v>
      </c>
    </row>
    <row r="4303" spans="1:13">
      <c r="A4303" s="88">
        <f t="shared" si="331"/>
        <v>127</v>
      </c>
      <c r="B4303" s="69" t="s">
        <v>2860</v>
      </c>
      <c r="C4303" s="69">
        <v>6</v>
      </c>
      <c r="D4303" s="89">
        <v>0</v>
      </c>
      <c r="E4303" s="89">
        <v>0</v>
      </c>
      <c r="F4303" s="89">
        <v>0</v>
      </c>
      <c r="G4303" s="89">
        <v>0</v>
      </c>
      <c r="H4303" s="89">
        <v>0</v>
      </c>
      <c r="I4303" s="89">
        <v>0</v>
      </c>
      <c r="J4303" s="710">
        <f>(VLOOKUP($C4303,[2]Sheet1!$A$2:$P$18,$M4303+1)/12)*12*D4303</f>
        <v>0</v>
      </c>
      <c r="K4303" s="711"/>
      <c r="M4303" s="62">
        <f t="shared" si="332"/>
        <v>5</v>
      </c>
    </row>
    <row r="4304" spans="1:13">
      <c r="A4304" s="88">
        <f t="shared" si="331"/>
        <v>128</v>
      </c>
      <c r="B4304" s="69" t="s">
        <v>2503</v>
      </c>
      <c r="C4304" s="69">
        <v>4</v>
      </c>
      <c r="D4304" s="89">
        <v>0</v>
      </c>
      <c r="E4304" s="89">
        <v>0</v>
      </c>
      <c r="F4304" s="89">
        <v>0</v>
      </c>
      <c r="G4304" s="89">
        <v>0</v>
      </c>
      <c r="H4304" s="89">
        <v>0</v>
      </c>
      <c r="I4304" s="89">
        <v>0</v>
      </c>
      <c r="J4304" s="710">
        <f>(VLOOKUP($C4304,[2]Sheet1!$A$2:$P$18,$M4304+1)/12)*12*D4304</f>
        <v>0</v>
      </c>
      <c r="K4304" s="711"/>
      <c r="M4304" s="62">
        <f t="shared" si="332"/>
        <v>5</v>
      </c>
    </row>
    <row r="4305" spans="1:13">
      <c r="A4305" s="88"/>
      <c r="B4305" s="90" t="s">
        <v>2614</v>
      </c>
      <c r="C4305" s="69"/>
      <c r="D4305" s="89"/>
      <c r="E4305" s="89"/>
      <c r="F4305" s="89"/>
      <c r="G4305" s="89"/>
      <c r="H4305" s="89"/>
      <c r="I4305" s="89"/>
      <c r="J4305" s="710"/>
      <c r="K4305" s="711"/>
      <c r="M4305" s="62">
        <f t="shared" si="332"/>
        <v>5</v>
      </c>
    </row>
    <row r="4306" spans="1:13">
      <c r="A4306" s="88">
        <f>+A4304+1</f>
        <v>129</v>
      </c>
      <c r="B4306" s="69" t="s">
        <v>1886</v>
      </c>
      <c r="C4306" s="69">
        <v>15</v>
      </c>
      <c r="D4306" s="89">
        <v>1</v>
      </c>
      <c r="E4306" s="89">
        <v>1</v>
      </c>
      <c r="F4306" s="89">
        <v>1</v>
      </c>
      <c r="G4306" s="89">
        <v>1</v>
      </c>
      <c r="H4306" s="89">
        <v>1</v>
      </c>
      <c r="I4306" s="89">
        <v>1</v>
      </c>
      <c r="J4306" s="710">
        <f>(VLOOKUP($C4306,[2]Sheet1!$A$2:$P$18,$M4306+1)/12)*12*D4306</f>
        <v>658331.89992</v>
      </c>
      <c r="K4306" s="711"/>
      <c r="M4306" s="62">
        <f t="shared" si="332"/>
        <v>3</v>
      </c>
    </row>
    <row r="4307" spans="1:13">
      <c r="A4307" s="88">
        <f t="shared" si="331"/>
        <v>130</v>
      </c>
      <c r="B4307" s="69" t="s">
        <v>979</v>
      </c>
      <c r="C4307" s="69">
        <v>13</v>
      </c>
      <c r="D4307" s="89">
        <v>1</v>
      </c>
      <c r="E4307" s="89">
        <v>1</v>
      </c>
      <c r="F4307" s="89">
        <v>1</v>
      </c>
      <c r="G4307" s="89">
        <v>1</v>
      </c>
      <c r="H4307" s="89">
        <v>1</v>
      </c>
      <c r="I4307" s="89">
        <v>1</v>
      </c>
      <c r="J4307" s="710">
        <f>(VLOOKUP($C4307,[2]Sheet1!$A$2:$P$18,$M4307+1)/12)*12*D4307</f>
        <v>628759.53804000001</v>
      </c>
      <c r="K4307" s="711"/>
      <c r="M4307" s="62">
        <f t="shared" si="332"/>
        <v>3</v>
      </c>
    </row>
    <row r="4308" spans="1:13">
      <c r="A4308" s="88">
        <f>+A4307+1</f>
        <v>131</v>
      </c>
      <c r="B4308" s="69" t="s">
        <v>2618</v>
      </c>
      <c r="C4308" s="69">
        <v>8</v>
      </c>
      <c r="D4308" s="89">
        <v>0</v>
      </c>
      <c r="E4308" s="89">
        <v>0</v>
      </c>
      <c r="F4308" s="89">
        <v>0</v>
      </c>
      <c r="G4308" s="89">
        <v>0</v>
      </c>
      <c r="H4308" s="89">
        <v>0</v>
      </c>
      <c r="I4308" s="89">
        <v>0</v>
      </c>
      <c r="J4308" s="710">
        <f>(VLOOKUP($C4308,[2]Sheet1!$A$2:$P$18,$M4308+1)/12)*12*D4308</f>
        <v>0</v>
      </c>
      <c r="K4308" s="711"/>
      <c r="M4308" s="62">
        <f t="shared" si="332"/>
        <v>3</v>
      </c>
    </row>
    <row r="4309" spans="1:13" ht="13.5" thickBot="1">
      <c r="A4309" s="88">
        <f>+A4308+1</f>
        <v>132</v>
      </c>
      <c r="B4309" s="69" t="s">
        <v>3976</v>
      </c>
      <c r="C4309" s="69">
        <v>5</v>
      </c>
      <c r="D4309" s="89">
        <v>0</v>
      </c>
      <c r="E4309" s="89">
        <v>0</v>
      </c>
      <c r="F4309" s="89">
        <v>0</v>
      </c>
      <c r="G4309" s="89">
        <v>0</v>
      </c>
      <c r="H4309" s="89">
        <v>0</v>
      </c>
      <c r="I4309" s="89">
        <v>0</v>
      </c>
      <c r="J4309" s="710">
        <f>(VLOOKUP($C4309,[2]Sheet1!$A$2:$P$18,$M4309+1)/12)*12*D4309</f>
        <v>0</v>
      </c>
      <c r="K4309" s="711"/>
      <c r="M4309" s="62">
        <f t="shared" si="332"/>
        <v>5</v>
      </c>
    </row>
    <row r="4310" spans="1:13" ht="15.75" thickTop="1">
      <c r="A4310" s="1047" t="s">
        <v>2791</v>
      </c>
      <c r="B4310" s="1049" t="s">
        <v>4126</v>
      </c>
      <c r="C4310" s="1049" t="s">
        <v>854</v>
      </c>
      <c r="D4310" s="1040" t="s">
        <v>4127</v>
      </c>
      <c r="E4310" s="1041"/>
      <c r="F4310" s="1041"/>
      <c r="G4310" s="1040" t="s">
        <v>904</v>
      </c>
      <c r="H4310" s="1041"/>
      <c r="I4310" s="1042"/>
      <c r="J4310" s="1035" t="s">
        <v>855</v>
      </c>
      <c r="K4310" s="389"/>
    </row>
    <row r="4311" spans="1:13" ht="26.25" thickBot="1">
      <c r="A4311" s="1048"/>
      <c r="B4311" s="1050"/>
      <c r="C4311" s="1050"/>
      <c r="D4311" s="285" t="s">
        <v>5505</v>
      </c>
      <c r="E4311" s="285" t="s">
        <v>4485</v>
      </c>
      <c r="F4311" s="285" t="s">
        <v>4486</v>
      </c>
      <c r="G4311" s="287" t="s">
        <v>4487</v>
      </c>
      <c r="H4311" s="285" t="s">
        <v>4488</v>
      </c>
      <c r="I4311" s="287" t="s">
        <v>4489</v>
      </c>
      <c r="J4311" s="1036"/>
      <c r="K4311" s="712"/>
    </row>
    <row r="4312" spans="1:13" ht="13.5" thickTop="1">
      <c r="A4312" s="88">
        <f>+A4309+1</f>
        <v>133</v>
      </c>
      <c r="B4312" s="69" t="s">
        <v>2459</v>
      </c>
      <c r="C4312" s="69">
        <v>3</v>
      </c>
      <c r="D4312" s="89">
        <v>0</v>
      </c>
      <c r="E4312" s="89">
        <v>1</v>
      </c>
      <c r="F4312" s="89">
        <v>0</v>
      </c>
      <c r="G4312" s="89">
        <v>0</v>
      </c>
      <c r="H4312" s="89">
        <v>1</v>
      </c>
      <c r="I4312" s="89">
        <v>0</v>
      </c>
      <c r="J4312" s="710">
        <f>(VLOOKUP($C4312,[2]Sheet1!$A$2:$P$18,$M4312+1)/12)*12*D4312</f>
        <v>0</v>
      </c>
      <c r="K4312" s="711"/>
      <c r="M4312" s="62">
        <f t="shared" si="332"/>
        <v>5</v>
      </c>
    </row>
    <row r="4313" spans="1:13">
      <c r="A4313" s="88"/>
      <c r="B4313" s="90" t="s">
        <v>2460</v>
      </c>
      <c r="C4313" s="69"/>
      <c r="D4313" s="89"/>
      <c r="E4313" s="89"/>
      <c r="F4313" s="89"/>
      <c r="G4313" s="89"/>
      <c r="H4313" s="89"/>
      <c r="I4313" s="89"/>
      <c r="J4313" s="710"/>
      <c r="K4313" s="711"/>
      <c r="M4313" s="62">
        <f t="shared" si="332"/>
        <v>5</v>
      </c>
    </row>
    <row r="4314" spans="1:13">
      <c r="A4314" s="88">
        <f>+A4312+1</f>
        <v>134</v>
      </c>
      <c r="B4314" s="69" t="s">
        <v>52</v>
      </c>
      <c r="C4314" s="69">
        <v>8</v>
      </c>
      <c r="D4314" s="89">
        <v>0</v>
      </c>
      <c r="E4314" s="89">
        <v>1</v>
      </c>
      <c r="F4314" s="89">
        <v>0</v>
      </c>
      <c r="G4314" s="89">
        <v>0</v>
      </c>
      <c r="H4314" s="89">
        <v>1</v>
      </c>
      <c r="I4314" s="89">
        <v>0</v>
      </c>
      <c r="J4314" s="710">
        <f>(VLOOKUP($C4314,[2]Sheet1!$A$2:$P$18,$M4314+1)/12)*12*D4314</f>
        <v>0</v>
      </c>
      <c r="K4314" s="711"/>
      <c r="M4314" s="62">
        <f t="shared" si="332"/>
        <v>3</v>
      </c>
    </row>
    <row r="4315" spans="1:13">
      <c r="A4315" s="88"/>
      <c r="B4315" s="90" t="s">
        <v>2462</v>
      </c>
      <c r="C4315" s="69"/>
      <c r="D4315" s="89"/>
      <c r="E4315" s="89"/>
      <c r="F4315" s="89"/>
      <c r="G4315" s="89"/>
      <c r="H4315" s="89"/>
      <c r="I4315" s="89"/>
      <c r="J4315" s="710"/>
      <c r="K4315" s="711"/>
      <c r="M4315" s="62">
        <f t="shared" si="332"/>
        <v>5</v>
      </c>
    </row>
    <row r="4316" spans="1:13">
      <c r="A4316" s="88">
        <f>+A4314+1</f>
        <v>135</v>
      </c>
      <c r="B4316" s="69" t="s">
        <v>2463</v>
      </c>
      <c r="C4316" s="69">
        <v>14</v>
      </c>
      <c r="D4316" s="89">
        <v>1</v>
      </c>
      <c r="E4316" s="89">
        <v>1</v>
      </c>
      <c r="F4316" s="89">
        <v>1</v>
      </c>
      <c r="G4316" s="89">
        <v>1</v>
      </c>
      <c r="H4316" s="89">
        <v>1</v>
      </c>
      <c r="I4316" s="89">
        <v>1</v>
      </c>
      <c r="J4316" s="710">
        <f>(VLOOKUP($C4316,[2]Sheet1!$A$2:$P$18,$M4316+1)/12)*12*D4316</f>
        <v>669099.40824000002</v>
      </c>
      <c r="K4316" s="711"/>
      <c r="M4316" s="62">
        <f t="shared" si="332"/>
        <v>3</v>
      </c>
    </row>
    <row r="4317" spans="1:13">
      <c r="A4317" s="88">
        <f>+A4316+1</f>
        <v>136</v>
      </c>
      <c r="B4317" s="69" t="s">
        <v>2310</v>
      </c>
      <c r="C4317" s="69">
        <v>13</v>
      </c>
      <c r="D4317" s="89">
        <v>1</v>
      </c>
      <c r="E4317" s="89">
        <v>1</v>
      </c>
      <c r="F4317" s="89">
        <v>1</v>
      </c>
      <c r="G4317" s="89">
        <v>1</v>
      </c>
      <c r="H4317" s="89">
        <v>1</v>
      </c>
      <c r="I4317" s="89">
        <v>1</v>
      </c>
      <c r="J4317" s="710">
        <f>(VLOOKUP($C4317,[2]Sheet1!$A$2:$P$18,$M4317+1)/12)*12*D4317</f>
        <v>628759.53804000001</v>
      </c>
      <c r="K4317" s="711"/>
      <c r="M4317" s="62">
        <f t="shared" si="332"/>
        <v>3</v>
      </c>
    </row>
    <row r="4318" spans="1:13">
      <c r="A4318" s="88">
        <f>+A4317+1</f>
        <v>137</v>
      </c>
      <c r="B4318" s="69" t="s">
        <v>3812</v>
      </c>
      <c r="C4318" s="69">
        <v>12</v>
      </c>
      <c r="D4318" s="89">
        <v>1</v>
      </c>
      <c r="E4318" s="89">
        <v>1</v>
      </c>
      <c r="F4318" s="89">
        <v>1</v>
      </c>
      <c r="G4318" s="89">
        <v>1</v>
      </c>
      <c r="H4318" s="89">
        <v>1</v>
      </c>
      <c r="I4318" s="89">
        <v>1</v>
      </c>
      <c r="J4318" s="710">
        <f>(VLOOKUP($C4318,[2]Sheet1!$A$2:$P$18,$M4318+1)/12)*12*D4318</f>
        <v>552685.0537200002</v>
      </c>
      <c r="K4318" s="711"/>
      <c r="M4318" s="62">
        <f t="shared" si="332"/>
        <v>3</v>
      </c>
    </row>
    <row r="4319" spans="1:13">
      <c r="A4319" s="88">
        <f>+A4318+1</f>
        <v>138</v>
      </c>
      <c r="B4319" s="69" t="s">
        <v>3813</v>
      </c>
      <c r="C4319" s="69">
        <v>6</v>
      </c>
      <c r="D4319" s="89">
        <v>0</v>
      </c>
      <c r="E4319" s="89">
        <v>1</v>
      </c>
      <c r="F4319" s="89">
        <v>0</v>
      </c>
      <c r="G4319" s="89">
        <v>0</v>
      </c>
      <c r="H4319" s="89">
        <v>1</v>
      </c>
      <c r="I4319" s="89">
        <v>0</v>
      </c>
      <c r="J4319" s="710">
        <f>(VLOOKUP($C4319,[2]Sheet1!$A$2:$P$18,$M4319+1)/12)*12*D4319</f>
        <v>0</v>
      </c>
      <c r="K4319" s="711"/>
      <c r="M4319" s="62">
        <f t="shared" si="332"/>
        <v>5</v>
      </c>
    </row>
    <row r="4320" spans="1:13">
      <c r="A4320" s="88">
        <f>+A4319+1</f>
        <v>139</v>
      </c>
      <c r="B4320" s="69" t="s">
        <v>3814</v>
      </c>
      <c r="C4320" s="69">
        <v>5</v>
      </c>
      <c r="D4320" s="143">
        <v>0</v>
      </c>
      <c r="E4320" s="89">
        <v>1</v>
      </c>
      <c r="F4320" s="143">
        <v>0</v>
      </c>
      <c r="G4320" s="143">
        <v>0</v>
      </c>
      <c r="H4320" s="89">
        <v>1</v>
      </c>
      <c r="I4320" s="143">
        <v>0</v>
      </c>
      <c r="J4320" s="710">
        <f>(VLOOKUP($C4320,[2]Sheet1!$A$2:$P$18,$M4320+1)/12)*12*D4320</f>
        <v>0</v>
      </c>
      <c r="K4320" s="711"/>
      <c r="M4320" s="62">
        <f t="shared" si="332"/>
        <v>5</v>
      </c>
    </row>
    <row r="4321" spans="1:13">
      <c r="A4321" s="89"/>
      <c r="B4321" s="90" t="s">
        <v>3815</v>
      </c>
      <c r="C4321" s="89"/>
      <c r="D4321" s="89"/>
      <c r="E4321" s="89"/>
      <c r="F4321" s="89"/>
      <c r="G4321" s="89"/>
      <c r="H4321" s="89"/>
      <c r="I4321" s="89"/>
      <c r="J4321" s="710"/>
      <c r="K4321" s="711"/>
    </row>
    <row r="4322" spans="1:13">
      <c r="A4322" s="88">
        <f>+A4320+1</f>
        <v>140</v>
      </c>
      <c r="B4322" s="69" t="s">
        <v>3532</v>
      </c>
      <c r="C4322" s="69">
        <v>16</v>
      </c>
      <c r="D4322" s="89">
        <v>1</v>
      </c>
      <c r="E4322" s="89">
        <v>1</v>
      </c>
      <c r="F4322" s="89">
        <v>1</v>
      </c>
      <c r="G4322" s="89">
        <v>1</v>
      </c>
      <c r="H4322" s="89">
        <v>1</v>
      </c>
      <c r="I4322" s="89">
        <v>1</v>
      </c>
      <c r="J4322" s="710">
        <f>(VLOOKUP($C4322,[2]Sheet1!$A$2:$P$18,$M4322+1)/12)*12*D4322</f>
        <v>677281.26084</v>
      </c>
      <c r="K4322" s="711"/>
      <c r="M4322" s="62">
        <f t="shared" si="332"/>
        <v>3</v>
      </c>
    </row>
    <row r="4323" spans="1:13">
      <c r="A4323" s="88">
        <f>+A4322+1</f>
        <v>141</v>
      </c>
      <c r="B4323" s="69" t="s">
        <v>1256</v>
      </c>
      <c r="C4323" s="69">
        <v>15</v>
      </c>
      <c r="D4323" s="89">
        <v>1</v>
      </c>
      <c r="E4323" s="89">
        <v>1</v>
      </c>
      <c r="F4323" s="89">
        <v>1</v>
      </c>
      <c r="G4323" s="89">
        <v>1</v>
      </c>
      <c r="H4323" s="89">
        <v>1</v>
      </c>
      <c r="I4323" s="89">
        <v>1</v>
      </c>
      <c r="J4323" s="710">
        <f>(VLOOKUP($C4323,[2]Sheet1!$A$2:$P$18,$M4323+1)/12)*12*D4323</f>
        <v>658331.89992</v>
      </c>
      <c r="K4323" s="711"/>
      <c r="M4323" s="62">
        <f t="shared" si="332"/>
        <v>3</v>
      </c>
    </row>
    <row r="4324" spans="1:13">
      <c r="A4324" s="88">
        <f>+A4323+1</f>
        <v>142</v>
      </c>
      <c r="B4324" s="69" t="s">
        <v>3816</v>
      </c>
      <c r="C4324" s="69">
        <v>7</v>
      </c>
      <c r="D4324" s="89">
        <v>37</v>
      </c>
      <c r="E4324" s="89">
        <v>37</v>
      </c>
      <c r="F4324" s="89">
        <v>37</v>
      </c>
      <c r="G4324" s="89">
        <v>37</v>
      </c>
      <c r="H4324" s="89">
        <v>37</v>
      </c>
      <c r="I4324" s="89">
        <v>37</v>
      </c>
      <c r="J4324" s="710">
        <f>(VLOOKUP($C4324,[2]Sheet1!$A$2:$P$18,$M4324+1)/12)*12*D4324</f>
        <v>11385147.988800002</v>
      </c>
      <c r="K4324" s="711"/>
      <c r="M4324" s="62">
        <f t="shared" si="332"/>
        <v>3</v>
      </c>
    </row>
    <row r="4325" spans="1:13">
      <c r="A4325" s="88">
        <f>+A4324+1</f>
        <v>143</v>
      </c>
      <c r="B4325" s="69" t="s">
        <v>1866</v>
      </c>
      <c r="C4325" s="69">
        <v>16</v>
      </c>
      <c r="D4325" s="89">
        <v>3</v>
      </c>
      <c r="E4325" s="89">
        <v>3</v>
      </c>
      <c r="F4325" s="89">
        <v>3</v>
      </c>
      <c r="G4325" s="89">
        <v>3</v>
      </c>
      <c r="H4325" s="89">
        <v>3</v>
      </c>
      <c r="I4325" s="89">
        <v>3</v>
      </c>
      <c r="J4325" s="710">
        <f>(VLOOKUP($C4325,[2]Sheet1!$A$2:$P$18,$M4325+1)/12)*12*D4325</f>
        <v>2031843.7825199999</v>
      </c>
      <c r="K4325" s="711"/>
      <c r="M4325" s="62">
        <f t="shared" si="332"/>
        <v>3</v>
      </c>
    </row>
    <row r="4326" spans="1:13">
      <c r="A4326" s="88"/>
      <c r="B4326" s="90" t="s">
        <v>3606</v>
      </c>
      <c r="C4326" s="69"/>
      <c r="D4326" s="89"/>
      <c r="E4326" s="89"/>
      <c r="F4326" s="89"/>
      <c r="G4326" s="89"/>
      <c r="H4326" s="89"/>
      <c r="I4326" s="89"/>
      <c r="J4326" s="710"/>
      <c r="K4326" s="711"/>
      <c r="M4326" s="62">
        <f t="shared" si="332"/>
        <v>5</v>
      </c>
    </row>
    <row r="4327" spans="1:13">
      <c r="A4327" s="88">
        <f>+A4324+1</f>
        <v>143</v>
      </c>
      <c r="B4327" s="69" t="s">
        <v>1099</v>
      </c>
      <c r="C4327" s="69">
        <v>15</v>
      </c>
      <c r="D4327" s="143">
        <v>1</v>
      </c>
      <c r="E4327" s="89">
        <v>1</v>
      </c>
      <c r="F4327" s="143">
        <v>1</v>
      </c>
      <c r="G4327" s="143">
        <v>1</v>
      </c>
      <c r="H4327" s="89">
        <v>1</v>
      </c>
      <c r="I4327" s="143">
        <v>1</v>
      </c>
      <c r="J4327" s="710">
        <f>(VLOOKUP($C4327,[2]Sheet1!$A$2:$P$18,$M4327+1)/12)*12*D4327</f>
        <v>658331.89992</v>
      </c>
      <c r="K4327" s="711"/>
      <c r="M4327" s="62">
        <f t="shared" si="332"/>
        <v>3</v>
      </c>
    </row>
    <row r="4328" spans="1:13">
      <c r="A4328" s="88">
        <f t="shared" ref="A4328:A4361" si="333">+A4327+1</f>
        <v>144</v>
      </c>
      <c r="B4328" s="69" t="s">
        <v>3607</v>
      </c>
      <c r="C4328" s="69">
        <v>14</v>
      </c>
      <c r="D4328" s="143">
        <v>1</v>
      </c>
      <c r="E4328" s="89">
        <v>0</v>
      </c>
      <c r="F4328" s="143">
        <v>1</v>
      </c>
      <c r="G4328" s="143">
        <v>1</v>
      </c>
      <c r="H4328" s="89">
        <v>0</v>
      </c>
      <c r="I4328" s="143">
        <v>1</v>
      </c>
      <c r="J4328" s="710">
        <f>(VLOOKUP($C4328,[2]Sheet1!$A$2:$P$18,$M4328+1)/12)*12*D4328</f>
        <v>669099.40824000002</v>
      </c>
      <c r="K4328" s="711"/>
      <c r="M4328" s="62">
        <f t="shared" si="332"/>
        <v>3</v>
      </c>
    </row>
    <row r="4329" spans="1:13">
      <c r="A4329" s="88">
        <f t="shared" si="333"/>
        <v>145</v>
      </c>
      <c r="B4329" s="69" t="s">
        <v>3817</v>
      </c>
      <c r="C4329" s="69">
        <v>13</v>
      </c>
      <c r="D4329" s="89">
        <v>1</v>
      </c>
      <c r="E4329" s="89">
        <v>1</v>
      </c>
      <c r="F4329" s="89">
        <v>1</v>
      </c>
      <c r="G4329" s="89">
        <v>1</v>
      </c>
      <c r="H4329" s="89">
        <v>1</v>
      </c>
      <c r="I4329" s="89">
        <v>1</v>
      </c>
      <c r="J4329" s="710">
        <f>(VLOOKUP($C4329,[2]Sheet1!$A$2:$P$18,$M4329+1)/12)*12*D4329</f>
        <v>628759.53804000001</v>
      </c>
      <c r="K4329" s="711"/>
      <c r="M4329" s="62">
        <f t="shared" si="332"/>
        <v>3</v>
      </c>
    </row>
    <row r="4330" spans="1:13">
      <c r="A4330" s="88">
        <f t="shared" si="333"/>
        <v>146</v>
      </c>
      <c r="B4330" s="69" t="s">
        <v>3667</v>
      </c>
      <c r="C4330" s="69">
        <v>12</v>
      </c>
      <c r="D4330" s="143">
        <v>1</v>
      </c>
      <c r="E4330" s="89">
        <v>1</v>
      </c>
      <c r="F4330" s="143">
        <v>1</v>
      </c>
      <c r="G4330" s="143">
        <v>1</v>
      </c>
      <c r="H4330" s="89">
        <v>1</v>
      </c>
      <c r="I4330" s="143">
        <v>1</v>
      </c>
      <c r="J4330" s="710">
        <f>(VLOOKUP($C4330,[2]Sheet1!$A$2:$P$18,$M4330+1)/12)*12*D4330</f>
        <v>552685.0537200002</v>
      </c>
      <c r="K4330" s="711"/>
      <c r="M4330" s="62">
        <f t="shared" si="332"/>
        <v>3</v>
      </c>
    </row>
    <row r="4331" spans="1:13">
      <c r="A4331" s="88">
        <f t="shared" si="333"/>
        <v>147</v>
      </c>
      <c r="B4331" s="69" t="s">
        <v>3668</v>
      </c>
      <c r="C4331" s="69">
        <v>10</v>
      </c>
      <c r="D4331" s="143">
        <v>1</v>
      </c>
      <c r="E4331" s="89">
        <v>1</v>
      </c>
      <c r="F4331" s="143">
        <v>1</v>
      </c>
      <c r="G4331" s="143">
        <v>1</v>
      </c>
      <c r="H4331" s="89">
        <v>1</v>
      </c>
      <c r="I4331" s="143">
        <v>1</v>
      </c>
      <c r="J4331" s="710">
        <f>(VLOOKUP($C4331,[2]Sheet1!$A$2:$P$18,$M4331+1)/12)*12*D4331</f>
        <v>483974.5687200001</v>
      </c>
      <c r="K4331" s="711"/>
      <c r="M4331" s="62">
        <f t="shared" si="332"/>
        <v>3</v>
      </c>
    </row>
    <row r="4332" spans="1:13">
      <c r="A4332" s="88">
        <f t="shared" si="333"/>
        <v>148</v>
      </c>
      <c r="B4332" s="69" t="s">
        <v>2320</v>
      </c>
      <c r="C4332" s="69">
        <v>8</v>
      </c>
      <c r="D4332" s="143">
        <v>0</v>
      </c>
      <c r="E4332" s="89">
        <v>0</v>
      </c>
      <c r="F4332" s="143">
        <v>0</v>
      </c>
      <c r="G4332" s="143">
        <v>0</v>
      </c>
      <c r="H4332" s="89">
        <v>0</v>
      </c>
      <c r="I4332" s="143">
        <v>0</v>
      </c>
      <c r="J4332" s="710">
        <f>(VLOOKUP($C4332,[2]Sheet1!$A$2:$P$18,$M4332+1)/12)*12*D4332</f>
        <v>0</v>
      </c>
      <c r="K4332" s="711"/>
      <c r="M4332" s="62">
        <f t="shared" si="332"/>
        <v>3</v>
      </c>
    </row>
    <row r="4333" spans="1:13">
      <c r="A4333" s="88">
        <f t="shared" si="333"/>
        <v>149</v>
      </c>
      <c r="B4333" s="69" t="s">
        <v>3609</v>
      </c>
      <c r="C4333" s="69">
        <v>8</v>
      </c>
      <c r="D4333" s="143">
        <v>0</v>
      </c>
      <c r="E4333" s="89">
        <v>0</v>
      </c>
      <c r="F4333" s="143">
        <v>0</v>
      </c>
      <c r="G4333" s="143">
        <v>0</v>
      </c>
      <c r="H4333" s="89">
        <v>0</v>
      </c>
      <c r="I4333" s="143">
        <v>0</v>
      </c>
      <c r="J4333" s="710">
        <f>(VLOOKUP($C4333,[2]Sheet1!$A$2:$P$18,$M4333+1)/12)*12*D4333</f>
        <v>0</v>
      </c>
      <c r="K4333" s="711"/>
      <c r="M4333" s="62">
        <f t="shared" si="332"/>
        <v>3</v>
      </c>
    </row>
    <row r="4334" spans="1:13">
      <c r="A4334" s="88">
        <f t="shared" si="333"/>
        <v>150</v>
      </c>
      <c r="B4334" s="69" t="s">
        <v>3923</v>
      </c>
      <c r="C4334" s="69">
        <v>7</v>
      </c>
      <c r="D4334" s="143">
        <v>0</v>
      </c>
      <c r="E4334" s="89">
        <v>0</v>
      </c>
      <c r="F4334" s="143">
        <v>0</v>
      </c>
      <c r="G4334" s="143">
        <v>0</v>
      </c>
      <c r="H4334" s="89">
        <v>0</v>
      </c>
      <c r="I4334" s="143">
        <v>0</v>
      </c>
      <c r="J4334" s="710">
        <f>(VLOOKUP($C4334,[2]Sheet1!$A$2:$P$18,$M4334+1)/12)*12*D4334</f>
        <v>0</v>
      </c>
      <c r="K4334" s="711"/>
      <c r="M4334" s="62">
        <f t="shared" si="332"/>
        <v>3</v>
      </c>
    </row>
    <row r="4335" spans="1:13">
      <c r="A4335" s="88">
        <f t="shared" si="333"/>
        <v>151</v>
      </c>
      <c r="B4335" s="69" t="s">
        <v>3669</v>
      </c>
      <c r="C4335" s="69">
        <v>6</v>
      </c>
      <c r="D4335" s="143">
        <v>1</v>
      </c>
      <c r="E4335" s="89">
        <v>1</v>
      </c>
      <c r="F4335" s="143">
        <v>1</v>
      </c>
      <c r="G4335" s="143">
        <v>1</v>
      </c>
      <c r="H4335" s="89">
        <v>1</v>
      </c>
      <c r="I4335" s="143">
        <v>1</v>
      </c>
      <c r="J4335" s="710">
        <f>(VLOOKUP($C4335,[2]Sheet1!$A$2:$P$18,$M4335+1)/12)*12*D4335</f>
        <v>238099.37893036497</v>
      </c>
      <c r="K4335" s="711"/>
      <c r="M4335" s="62">
        <f t="shared" si="332"/>
        <v>5</v>
      </c>
    </row>
    <row r="4336" spans="1:13">
      <c r="A4336" s="88">
        <f t="shared" si="333"/>
        <v>152</v>
      </c>
      <c r="B4336" s="69" t="s">
        <v>3670</v>
      </c>
      <c r="C4336" s="69">
        <v>5</v>
      </c>
      <c r="D4336" s="155">
        <v>1</v>
      </c>
      <c r="E4336" s="155">
        <v>1</v>
      </c>
      <c r="F4336" s="155">
        <v>1</v>
      </c>
      <c r="G4336" s="155">
        <v>1</v>
      </c>
      <c r="H4336" s="155">
        <v>1</v>
      </c>
      <c r="I4336" s="155">
        <v>1</v>
      </c>
      <c r="J4336" s="710">
        <f>(VLOOKUP($C4336,[2]Sheet1!$A$2:$P$18,$M4336+1)/12)*12*D4336</f>
        <v>229569.77893036499</v>
      </c>
      <c r="K4336" s="711"/>
      <c r="M4336" s="62">
        <f t="shared" si="332"/>
        <v>5</v>
      </c>
    </row>
    <row r="4337" spans="1:13">
      <c r="A4337" s="88">
        <f t="shared" si="333"/>
        <v>153</v>
      </c>
      <c r="B4337" s="69" t="s">
        <v>3926</v>
      </c>
      <c r="C4337" s="69">
        <v>4</v>
      </c>
      <c r="D4337" s="89">
        <v>1</v>
      </c>
      <c r="E4337" s="155">
        <v>1</v>
      </c>
      <c r="F4337" s="89">
        <v>1</v>
      </c>
      <c r="G4337" s="89">
        <v>1</v>
      </c>
      <c r="H4337" s="155">
        <v>1</v>
      </c>
      <c r="I4337" s="89">
        <v>1</v>
      </c>
      <c r="J4337" s="710">
        <f>(VLOOKUP($C4337,[2]Sheet1!$A$2:$P$18,$M4337+1)/12)*12*D4337</f>
        <v>224542.978930365</v>
      </c>
      <c r="K4337" s="711"/>
      <c r="M4337" s="62">
        <f t="shared" si="332"/>
        <v>5</v>
      </c>
    </row>
    <row r="4338" spans="1:13">
      <c r="A4338" s="88">
        <f t="shared" si="333"/>
        <v>154</v>
      </c>
      <c r="B4338" s="69" t="s">
        <v>3671</v>
      </c>
      <c r="C4338" s="69">
        <v>3</v>
      </c>
      <c r="D4338" s="89">
        <v>2</v>
      </c>
      <c r="E4338" s="155">
        <v>2</v>
      </c>
      <c r="F4338" s="89">
        <v>2</v>
      </c>
      <c r="G4338" s="89">
        <v>2</v>
      </c>
      <c r="H4338" s="155">
        <v>2</v>
      </c>
      <c r="I4338" s="89">
        <v>2</v>
      </c>
      <c r="J4338" s="710">
        <f>(VLOOKUP($C4338,[2]Sheet1!$A$2:$P$18,$M4338+1)/12)*12*D4338</f>
        <v>438672.35786072997</v>
      </c>
      <c r="K4338" s="711"/>
      <c r="M4338" s="62">
        <f t="shared" si="332"/>
        <v>5</v>
      </c>
    </row>
    <row r="4339" spans="1:13">
      <c r="A4339" s="88"/>
      <c r="B4339" s="90" t="s">
        <v>2717</v>
      </c>
      <c r="C4339" s="69"/>
      <c r="D4339" s="89"/>
      <c r="E4339" s="89"/>
      <c r="F4339" s="89"/>
      <c r="G4339" s="89"/>
      <c r="H4339" s="89"/>
      <c r="I4339" s="89"/>
      <c r="J4339" s="710"/>
      <c r="K4339" s="711"/>
      <c r="M4339" s="62">
        <f t="shared" si="332"/>
        <v>5</v>
      </c>
    </row>
    <row r="4340" spans="1:13">
      <c r="A4340" s="88">
        <v>155</v>
      </c>
      <c r="B4340" s="69" t="s">
        <v>1099</v>
      </c>
      <c r="C4340" s="69">
        <v>15</v>
      </c>
      <c r="D4340" s="143">
        <v>1</v>
      </c>
      <c r="E4340" s="89">
        <v>1</v>
      </c>
      <c r="F4340" s="143">
        <v>1</v>
      </c>
      <c r="G4340" s="143">
        <v>1</v>
      </c>
      <c r="H4340" s="89">
        <v>1</v>
      </c>
      <c r="I4340" s="143">
        <v>1</v>
      </c>
      <c r="J4340" s="710">
        <f>(VLOOKUP($C4340,[2]Sheet1!$A$2:$P$18,$M4340+1)/12)*12*D4340</f>
        <v>658331.89992</v>
      </c>
      <c r="K4340" s="711"/>
      <c r="M4340" s="62">
        <f t="shared" si="332"/>
        <v>3</v>
      </c>
    </row>
    <row r="4341" spans="1:13">
      <c r="A4341" s="88">
        <f>A4340+1</f>
        <v>156</v>
      </c>
      <c r="B4341" s="69" t="s">
        <v>3607</v>
      </c>
      <c r="C4341" s="69">
        <v>14</v>
      </c>
      <c r="D4341" s="143">
        <v>1</v>
      </c>
      <c r="E4341" s="89">
        <v>1</v>
      </c>
      <c r="F4341" s="143">
        <v>1</v>
      </c>
      <c r="G4341" s="143">
        <v>1</v>
      </c>
      <c r="H4341" s="89">
        <v>1</v>
      </c>
      <c r="I4341" s="143">
        <v>1</v>
      </c>
      <c r="J4341" s="710">
        <f>(VLOOKUP($C4341,[2]Sheet1!$A$2:$P$18,$M4341+1)/12)*12*D4341</f>
        <v>669099.40824000002</v>
      </c>
      <c r="K4341" s="711"/>
      <c r="M4341" s="62">
        <f t="shared" si="332"/>
        <v>3</v>
      </c>
    </row>
    <row r="4342" spans="1:13">
      <c r="D4342" s="62"/>
      <c r="E4342" s="62"/>
      <c r="F4342" s="62"/>
      <c r="G4342" s="62"/>
      <c r="H4342" s="62"/>
      <c r="I4342" s="62"/>
      <c r="J4342" s="710"/>
      <c r="K4342" s="711"/>
      <c r="M4342" s="62" t="e">
        <f>IF(#REF!&gt;6,3,5)</f>
        <v>#REF!</v>
      </c>
    </row>
    <row r="4343" spans="1:13">
      <c r="A4343" s="88">
        <f>+A4341+1</f>
        <v>157</v>
      </c>
      <c r="B4343" s="69" t="s">
        <v>2718</v>
      </c>
      <c r="C4343" s="69">
        <v>13</v>
      </c>
      <c r="D4343" s="143">
        <v>0</v>
      </c>
      <c r="E4343" s="89">
        <v>0</v>
      </c>
      <c r="F4343" s="143">
        <v>0</v>
      </c>
      <c r="G4343" s="143">
        <v>0</v>
      </c>
      <c r="H4343" s="89">
        <v>0</v>
      </c>
      <c r="I4343" s="143">
        <v>0</v>
      </c>
      <c r="J4343" s="710">
        <f>(VLOOKUP($C4343,[2]Sheet1!$A$2:$P$18,$M4343+1)/12)*12*D4343</f>
        <v>0</v>
      </c>
      <c r="K4343" s="711"/>
      <c r="M4343" s="62">
        <f t="shared" si="332"/>
        <v>3</v>
      </c>
    </row>
    <row r="4344" spans="1:13">
      <c r="A4344" s="88">
        <f t="shared" si="333"/>
        <v>158</v>
      </c>
      <c r="B4344" s="69" t="s">
        <v>3667</v>
      </c>
      <c r="C4344" s="69">
        <v>12</v>
      </c>
      <c r="D4344" s="89">
        <v>0</v>
      </c>
      <c r="E4344" s="89">
        <v>0</v>
      </c>
      <c r="F4344" s="89">
        <v>0</v>
      </c>
      <c r="G4344" s="89">
        <v>0</v>
      </c>
      <c r="H4344" s="89">
        <v>0</v>
      </c>
      <c r="I4344" s="89">
        <v>0</v>
      </c>
      <c r="J4344" s="710">
        <f>(VLOOKUP($C4344,[2]Sheet1!$A$2:$P$18,$M4344+1)/12)*12*D4344</f>
        <v>0</v>
      </c>
      <c r="K4344" s="711"/>
      <c r="M4344" s="62">
        <f t="shared" si="332"/>
        <v>3</v>
      </c>
    </row>
    <row r="4345" spans="1:13">
      <c r="A4345" s="88">
        <f t="shared" si="333"/>
        <v>159</v>
      </c>
      <c r="B4345" s="69" t="s">
        <v>2558</v>
      </c>
      <c r="C4345" s="69">
        <v>10</v>
      </c>
      <c r="D4345" s="89">
        <v>0</v>
      </c>
      <c r="E4345" s="89">
        <v>0</v>
      </c>
      <c r="F4345" s="89">
        <v>0</v>
      </c>
      <c r="G4345" s="89">
        <v>0</v>
      </c>
      <c r="H4345" s="89">
        <v>0</v>
      </c>
      <c r="I4345" s="89">
        <v>0</v>
      </c>
      <c r="J4345" s="710">
        <f>(VLOOKUP($C4345,[2]Sheet1!$A$2:$P$18,$M4345+1)/12)*12*D4345</f>
        <v>0</v>
      </c>
      <c r="K4345" s="711"/>
      <c r="M4345" s="62">
        <f t="shared" si="332"/>
        <v>3</v>
      </c>
    </row>
    <row r="4346" spans="1:13">
      <c r="A4346" s="88">
        <f t="shared" si="333"/>
        <v>160</v>
      </c>
      <c r="B4346" s="69" t="s">
        <v>2697</v>
      </c>
      <c r="C4346" s="69">
        <v>8</v>
      </c>
      <c r="D4346" s="143">
        <v>0</v>
      </c>
      <c r="E4346" s="89">
        <v>0</v>
      </c>
      <c r="F4346" s="143">
        <v>0</v>
      </c>
      <c r="G4346" s="143">
        <v>0</v>
      </c>
      <c r="H4346" s="89">
        <v>0</v>
      </c>
      <c r="I4346" s="143">
        <v>0</v>
      </c>
      <c r="J4346" s="710">
        <f>(VLOOKUP($C4346,[2]Sheet1!$A$2:$P$18,$M4346+1)/12)*12*D4346</f>
        <v>0</v>
      </c>
      <c r="K4346" s="711"/>
      <c r="M4346" s="62">
        <f t="shared" si="332"/>
        <v>3</v>
      </c>
    </row>
    <row r="4347" spans="1:13">
      <c r="A4347" s="88">
        <f t="shared" si="333"/>
        <v>161</v>
      </c>
      <c r="B4347" s="69" t="s">
        <v>3670</v>
      </c>
      <c r="C4347" s="69">
        <v>5</v>
      </c>
      <c r="D4347" s="89">
        <v>0</v>
      </c>
      <c r="E4347" s="89">
        <v>1</v>
      </c>
      <c r="F4347" s="89">
        <v>0</v>
      </c>
      <c r="G4347" s="89">
        <v>0</v>
      </c>
      <c r="H4347" s="89">
        <v>1</v>
      </c>
      <c r="I4347" s="89">
        <v>0</v>
      </c>
      <c r="J4347" s="710">
        <f>(VLOOKUP($C4347,[2]Sheet1!$A$2:$P$18,$M4347+1)/12)*12*D4347</f>
        <v>0</v>
      </c>
      <c r="K4347" s="711"/>
      <c r="M4347" s="62">
        <f t="shared" si="332"/>
        <v>5</v>
      </c>
    </row>
    <row r="4348" spans="1:13">
      <c r="A4348" s="88">
        <f t="shared" si="333"/>
        <v>162</v>
      </c>
      <c r="B4348" s="69" t="s">
        <v>3926</v>
      </c>
      <c r="C4348" s="69">
        <v>4</v>
      </c>
      <c r="D4348" s="143">
        <v>2</v>
      </c>
      <c r="E4348" s="89">
        <v>2</v>
      </c>
      <c r="F4348" s="143">
        <v>2</v>
      </c>
      <c r="G4348" s="143">
        <v>2</v>
      </c>
      <c r="H4348" s="89">
        <v>2</v>
      </c>
      <c r="I4348" s="143">
        <v>2</v>
      </c>
      <c r="J4348" s="710">
        <f>(VLOOKUP($C4348,[2]Sheet1!$A$2:$P$18,$M4348+1)/12)*12*D4348</f>
        <v>449085.95786073001</v>
      </c>
      <c r="K4348" s="711"/>
      <c r="M4348" s="62">
        <f t="shared" si="332"/>
        <v>5</v>
      </c>
    </row>
    <row r="4349" spans="1:13">
      <c r="A4349" s="88"/>
      <c r="B4349" s="90" t="s">
        <v>2698</v>
      </c>
      <c r="C4349" s="69"/>
      <c r="D4349" s="89"/>
      <c r="E4349" s="89"/>
      <c r="F4349" s="89"/>
      <c r="G4349" s="89"/>
      <c r="H4349" s="89"/>
      <c r="I4349" s="89"/>
      <c r="J4349" s="710"/>
      <c r="K4349" s="711"/>
      <c r="M4349" s="62">
        <f t="shared" si="332"/>
        <v>5</v>
      </c>
    </row>
    <row r="4350" spans="1:13">
      <c r="A4350" s="88">
        <f>+A4348+1</f>
        <v>163</v>
      </c>
      <c r="B4350" s="69" t="s">
        <v>2699</v>
      </c>
      <c r="C4350" s="69">
        <v>14</v>
      </c>
      <c r="D4350" s="143">
        <v>0</v>
      </c>
      <c r="E4350" s="89">
        <v>0</v>
      </c>
      <c r="F4350" s="143">
        <v>0</v>
      </c>
      <c r="G4350" s="143">
        <v>0</v>
      </c>
      <c r="H4350" s="89">
        <v>0</v>
      </c>
      <c r="I4350" s="143">
        <v>0</v>
      </c>
      <c r="J4350" s="710">
        <f>(VLOOKUP($C4350,[2]Sheet1!$A$2:$P$18,$M4350+1)/12)*12*D4350</f>
        <v>0</v>
      </c>
      <c r="K4350" s="711"/>
      <c r="M4350" s="62">
        <f t="shared" si="332"/>
        <v>3</v>
      </c>
    </row>
    <row r="4351" spans="1:13">
      <c r="A4351" s="88">
        <f t="shared" si="333"/>
        <v>164</v>
      </c>
      <c r="B4351" s="69" t="s">
        <v>2700</v>
      </c>
      <c r="C4351" s="69">
        <v>13</v>
      </c>
      <c r="D4351" s="143">
        <v>0</v>
      </c>
      <c r="E4351" s="89">
        <v>0</v>
      </c>
      <c r="F4351" s="143">
        <v>0</v>
      </c>
      <c r="G4351" s="143">
        <v>0</v>
      </c>
      <c r="H4351" s="89">
        <v>0</v>
      </c>
      <c r="I4351" s="143">
        <v>0</v>
      </c>
      <c r="J4351" s="710">
        <f>(VLOOKUP($C4351,[2]Sheet1!$A$2:$P$18,$M4351+1)/12)*12*D4351</f>
        <v>0</v>
      </c>
      <c r="K4351" s="711"/>
      <c r="M4351" s="62">
        <f t="shared" si="332"/>
        <v>3</v>
      </c>
    </row>
    <row r="4352" spans="1:13" ht="13.5" thickBot="1">
      <c r="A4352" s="88">
        <f t="shared" si="333"/>
        <v>165</v>
      </c>
      <c r="B4352" s="69" t="s">
        <v>2701</v>
      </c>
      <c r="C4352" s="69">
        <v>12</v>
      </c>
      <c r="D4352" s="143">
        <v>0</v>
      </c>
      <c r="E4352" s="89">
        <v>0</v>
      </c>
      <c r="F4352" s="143">
        <v>0</v>
      </c>
      <c r="G4352" s="143">
        <v>0</v>
      </c>
      <c r="H4352" s="89">
        <v>0</v>
      </c>
      <c r="I4352" s="143">
        <v>0</v>
      </c>
      <c r="J4352" s="710">
        <f>(VLOOKUP($C4352,[2]Sheet1!$A$2:$P$18,$M4352+1)/12)*12*D4352</f>
        <v>0</v>
      </c>
      <c r="K4352" s="711"/>
      <c r="M4352" s="62">
        <f t="shared" si="332"/>
        <v>3</v>
      </c>
    </row>
    <row r="4353" spans="1:13" ht="15.75" thickTop="1">
      <c r="A4353" s="1047" t="s">
        <v>2791</v>
      </c>
      <c r="B4353" s="1049" t="s">
        <v>4126</v>
      </c>
      <c r="C4353" s="1049" t="s">
        <v>854</v>
      </c>
      <c r="D4353" s="1040" t="s">
        <v>4127</v>
      </c>
      <c r="E4353" s="1041"/>
      <c r="F4353" s="1041"/>
      <c r="G4353" s="1040" t="s">
        <v>904</v>
      </c>
      <c r="H4353" s="1041"/>
      <c r="I4353" s="1042"/>
      <c r="J4353" s="1035" t="s">
        <v>855</v>
      </c>
      <c r="K4353" s="389"/>
    </row>
    <row r="4354" spans="1:13" ht="26.25" thickBot="1">
      <c r="A4354" s="1048"/>
      <c r="B4354" s="1050"/>
      <c r="C4354" s="1050"/>
      <c r="D4354" s="285" t="s">
        <v>5505</v>
      </c>
      <c r="E4354" s="285" t="s">
        <v>4485</v>
      </c>
      <c r="F4354" s="285" t="s">
        <v>4486</v>
      </c>
      <c r="G4354" s="287" t="s">
        <v>4487</v>
      </c>
      <c r="H4354" s="285" t="s">
        <v>4488</v>
      </c>
      <c r="I4354" s="287" t="s">
        <v>4489</v>
      </c>
      <c r="J4354" s="1036"/>
      <c r="K4354" s="712"/>
    </row>
    <row r="4355" spans="1:13" ht="13.5" thickTop="1">
      <c r="A4355" s="88">
        <v>306</v>
      </c>
      <c r="B4355" s="69" t="s">
        <v>4023</v>
      </c>
      <c r="C4355" s="69">
        <v>10</v>
      </c>
      <c r="D4355" s="143">
        <v>0</v>
      </c>
      <c r="E4355" s="89">
        <v>0</v>
      </c>
      <c r="F4355" s="143">
        <v>0</v>
      </c>
      <c r="G4355" s="143">
        <v>0</v>
      </c>
      <c r="H4355" s="89">
        <v>0</v>
      </c>
      <c r="I4355" s="143">
        <v>0</v>
      </c>
      <c r="J4355" s="710">
        <f>(VLOOKUP($C4355,[2]Sheet1!$A$2:$P$18,$M4355+1)/12)*12*D4355</f>
        <v>0</v>
      </c>
      <c r="K4355" s="711"/>
      <c r="M4355" s="62">
        <f t="shared" si="332"/>
        <v>3</v>
      </c>
    </row>
    <row r="4356" spans="1:13">
      <c r="A4356" s="88">
        <v>307</v>
      </c>
      <c r="B4356" s="69" t="s">
        <v>1376</v>
      </c>
      <c r="C4356" s="69">
        <v>8</v>
      </c>
      <c r="D4356" s="143">
        <v>0</v>
      </c>
      <c r="E4356" s="89">
        <v>0</v>
      </c>
      <c r="F4356" s="143">
        <v>0</v>
      </c>
      <c r="G4356" s="143">
        <v>0</v>
      </c>
      <c r="H4356" s="89">
        <v>0</v>
      </c>
      <c r="I4356" s="143">
        <v>0</v>
      </c>
      <c r="J4356" s="710">
        <f>(VLOOKUP($C4356,[2]Sheet1!$A$2:$P$18,$M4356+1)/12)*12*D4356</f>
        <v>0</v>
      </c>
      <c r="K4356" s="711"/>
      <c r="M4356" s="62">
        <f t="shared" si="332"/>
        <v>3</v>
      </c>
    </row>
    <row r="4357" spans="1:13">
      <c r="A4357" s="88">
        <f t="shared" si="333"/>
        <v>308</v>
      </c>
      <c r="B4357" s="69" t="s">
        <v>1377</v>
      </c>
      <c r="C4357" s="69">
        <v>7</v>
      </c>
      <c r="D4357" s="143">
        <v>0</v>
      </c>
      <c r="E4357" s="89">
        <v>0</v>
      </c>
      <c r="F4357" s="143">
        <v>0</v>
      </c>
      <c r="G4357" s="143">
        <v>0</v>
      </c>
      <c r="H4357" s="89">
        <v>0</v>
      </c>
      <c r="I4357" s="143">
        <v>0</v>
      </c>
      <c r="J4357" s="710">
        <f>(VLOOKUP($C4357,[2]Sheet1!$A$2:$P$18,$M4357+1)/12)*12*D4357</f>
        <v>0</v>
      </c>
      <c r="K4357" s="711"/>
      <c r="M4357" s="62">
        <f t="shared" si="332"/>
        <v>3</v>
      </c>
    </row>
    <row r="4358" spans="1:13">
      <c r="A4358" s="88">
        <f t="shared" si="333"/>
        <v>309</v>
      </c>
      <c r="B4358" s="69" t="s">
        <v>1378</v>
      </c>
      <c r="C4358" s="69">
        <v>8</v>
      </c>
      <c r="D4358" s="143">
        <v>0</v>
      </c>
      <c r="E4358" s="89">
        <v>0</v>
      </c>
      <c r="F4358" s="143">
        <v>0</v>
      </c>
      <c r="G4358" s="143">
        <v>0</v>
      </c>
      <c r="H4358" s="89">
        <v>0</v>
      </c>
      <c r="I4358" s="143">
        <v>0</v>
      </c>
      <c r="J4358" s="710">
        <f>(VLOOKUP($C4358,[2]Sheet1!$A$2:$P$18,$M4358+1)/12)*12*D4358</f>
        <v>0</v>
      </c>
      <c r="K4358" s="711"/>
      <c r="M4358" s="62">
        <f t="shared" si="332"/>
        <v>3</v>
      </c>
    </row>
    <row r="4359" spans="1:13">
      <c r="A4359" s="88">
        <f>+A4358+1</f>
        <v>310</v>
      </c>
      <c r="B4359" s="69" t="s">
        <v>1665</v>
      </c>
      <c r="C4359" s="69">
        <v>7</v>
      </c>
      <c r="D4359" s="143">
        <v>0</v>
      </c>
      <c r="E4359" s="89">
        <v>0</v>
      </c>
      <c r="F4359" s="143">
        <v>0</v>
      </c>
      <c r="G4359" s="143">
        <v>0</v>
      </c>
      <c r="H4359" s="89">
        <v>0</v>
      </c>
      <c r="I4359" s="143">
        <v>0</v>
      </c>
      <c r="J4359" s="710">
        <f>(VLOOKUP($C4359,[2]Sheet1!$A$2:$P$18,$M4359+1)/12)*12*D4359</f>
        <v>0</v>
      </c>
      <c r="K4359" s="711"/>
      <c r="M4359" s="62">
        <f t="shared" si="332"/>
        <v>3</v>
      </c>
    </row>
    <row r="4360" spans="1:13">
      <c r="A4360" s="88">
        <f t="shared" si="333"/>
        <v>311</v>
      </c>
      <c r="B4360" s="69" t="s">
        <v>4024</v>
      </c>
      <c r="C4360" s="69">
        <v>6</v>
      </c>
      <c r="D4360" s="143">
        <v>0</v>
      </c>
      <c r="E4360" s="89">
        <v>0</v>
      </c>
      <c r="F4360" s="143">
        <v>0</v>
      </c>
      <c r="G4360" s="143">
        <v>0</v>
      </c>
      <c r="H4360" s="89">
        <v>0</v>
      </c>
      <c r="I4360" s="143">
        <v>0</v>
      </c>
      <c r="J4360" s="710">
        <f>(VLOOKUP($C4360,[2]Sheet1!$A$2:$P$18,$M4360+1)/12)*12*D4360</f>
        <v>0</v>
      </c>
      <c r="K4360" s="711"/>
      <c r="M4360" s="62">
        <f t="shared" si="332"/>
        <v>5</v>
      </c>
    </row>
    <row r="4361" spans="1:13">
      <c r="A4361" s="88">
        <f t="shared" si="333"/>
        <v>312</v>
      </c>
      <c r="B4361" s="69" t="s">
        <v>3976</v>
      </c>
      <c r="C4361" s="69">
        <v>5</v>
      </c>
      <c r="D4361" s="143">
        <v>0</v>
      </c>
      <c r="E4361" s="89">
        <v>0</v>
      </c>
      <c r="F4361" s="143">
        <v>0</v>
      </c>
      <c r="G4361" s="143">
        <v>0</v>
      </c>
      <c r="H4361" s="89">
        <v>0</v>
      </c>
      <c r="I4361" s="143">
        <v>0</v>
      </c>
      <c r="J4361" s="710">
        <f>(VLOOKUP($C4361,[2]Sheet1!$A$2:$P$18,$M4361+1)/12)*12*D4361</f>
        <v>0</v>
      </c>
      <c r="K4361" s="711"/>
      <c r="M4361" s="62">
        <f t="shared" si="332"/>
        <v>5</v>
      </c>
    </row>
    <row r="4362" spans="1:13">
      <c r="A4362" s="88">
        <f>+A4361+1</f>
        <v>313</v>
      </c>
      <c r="B4362" s="69" t="s">
        <v>4025</v>
      </c>
      <c r="C4362" s="69">
        <v>4</v>
      </c>
      <c r="D4362" s="143">
        <v>0</v>
      </c>
      <c r="E4362" s="89">
        <v>0</v>
      </c>
      <c r="F4362" s="143">
        <v>0</v>
      </c>
      <c r="G4362" s="143">
        <v>0</v>
      </c>
      <c r="H4362" s="89">
        <v>0</v>
      </c>
      <c r="I4362" s="143">
        <v>0</v>
      </c>
      <c r="J4362" s="710">
        <f>(VLOOKUP($C4362,[2]Sheet1!$A$2:$P$18,$M4362+1)/12)*12*D4362</f>
        <v>0</v>
      </c>
      <c r="K4362" s="711"/>
      <c r="M4362" s="62">
        <f t="shared" si="332"/>
        <v>5</v>
      </c>
    </row>
    <row r="4363" spans="1:13">
      <c r="A4363" s="88"/>
      <c r="B4363" s="90" t="s">
        <v>2547</v>
      </c>
      <c r="C4363" s="69"/>
      <c r="D4363" s="89"/>
      <c r="E4363" s="89"/>
      <c r="F4363" s="89"/>
      <c r="G4363" s="89"/>
      <c r="H4363" s="89"/>
      <c r="I4363" s="89"/>
      <c r="J4363" s="710"/>
      <c r="K4363" s="711"/>
      <c r="M4363" s="62">
        <f t="shared" ref="M4363:M4425" si="334">IF(C4363&gt;6,3,5)</f>
        <v>5</v>
      </c>
    </row>
    <row r="4364" spans="1:13">
      <c r="A4364" s="88">
        <f>+A4362+1</f>
        <v>314</v>
      </c>
      <c r="B4364" s="69" t="s">
        <v>2548</v>
      </c>
      <c r="C4364" s="69">
        <v>14</v>
      </c>
      <c r="D4364" s="143">
        <v>1</v>
      </c>
      <c r="E4364" s="89">
        <v>1</v>
      </c>
      <c r="F4364" s="143">
        <v>1</v>
      </c>
      <c r="G4364" s="143">
        <v>1</v>
      </c>
      <c r="H4364" s="89">
        <v>1</v>
      </c>
      <c r="I4364" s="143">
        <v>1</v>
      </c>
      <c r="J4364" s="710">
        <f>(VLOOKUP($C4364,[2]Sheet1!$A$2:$P$18,$M4364+1)/12)*12*D4364</f>
        <v>669099.40824000002</v>
      </c>
      <c r="K4364" s="711"/>
      <c r="M4364" s="62">
        <f t="shared" si="334"/>
        <v>3</v>
      </c>
    </row>
    <row r="4365" spans="1:13">
      <c r="A4365" s="88">
        <f t="shared" ref="A4365:A4410" si="335">+A4364+1</f>
        <v>315</v>
      </c>
      <c r="B4365" s="69" t="s">
        <v>2549</v>
      </c>
      <c r="C4365" s="69">
        <v>13</v>
      </c>
      <c r="D4365" s="143">
        <v>0</v>
      </c>
      <c r="E4365" s="89">
        <v>0</v>
      </c>
      <c r="F4365" s="143">
        <v>0</v>
      </c>
      <c r="G4365" s="143">
        <v>0</v>
      </c>
      <c r="H4365" s="89">
        <v>0</v>
      </c>
      <c r="I4365" s="143">
        <v>0</v>
      </c>
      <c r="J4365" s="710">
        <f>(VLOOKUP($C4365,[2]Sheet1!$A$2:$P$18,$M4365+1)/12)*12*D4365</f>
        <v>0</v>
      </c>
      <c r="K4365" s="711"/>
      <c r="M4365" s="62">
        <f t="shared" si="334"/>
        <v>3</v>
      </c>
    </row>
    <row r="4366" spans="1:13">
      <c r="A4366" s="88">
        <f t="shared" si="335"/>
        <v>316</v>
      </c>
      <c r="B4366" s="69" t="s">
        <v>247</v>
      </c>
      <c r="C4366" s="69">
        <v>12</v>
      </c>
      <c r="D4366" s="143">
        <v>0</v>
      </c>
      <c r="E4366" s="89">
        <v>0</v>
      </c>
      <c r="F4366" s="143">
        <v>0</v>
      </c>
      <c r="G4366" s="143">
        <v>0</v>
      </c>
      <c r="H4366" s="89">
        <v>0</v>
      </c>
      <c r="I4366" s="143">
        <v>0</v>
      </c>
      <c r="J4366" s="710">
        <f>(VLOOKUP($C4366,[2]Sheet1!$A$2:$P$18,$M4366+1)/12)*12*D4366</f>
        <v>0</v>
      </c>
      <c r="K4366" s="711"/>
      <c r="M4366" s="62">
        <f t="shared" si="334"/>
        <v>3</v>
      </c>
    </row>
    <row r="4367" spans="1:13">
      <c r="A4367" s="88">
        <f t="shared" si="335"/>
        <v>317</v>
      </c>
      <c r="B4367" s="69" t="s">
        <v>936</v>
      </c>
      <c r="C4367" s="69">
        <v>10</v>
      </c>
      <c r="D4367" s="143">
        <v>0</v>
      </c>
      <c r="E4367" s="89">
        <v>0</v>
      </c>
      <c r="F4367" s="143">
        <v>0</v>
      </c>
      <c r="G4367" s="143">
        <v>0</v>
      </c>
      <c r="H4367" s="89">
        <v>0</v>
      </c>
      <c r="I4367" s="143">
        <v>0</v>
      </c>
      <c r="J4367" s="710">
        <f>(VLOOKUP($C4367,[2]Sheet1!$A$2:$P$18,$M4367+1)/12)*12*D4367</f>
        <v>0</v>
      </c>
      <c r="K4367" s="711"/>
      <c r="M4367" s="62">
        <f t="shared" si="334"/>
        <v>3</v>
      </c>
    </row>
    <row r="4368" spans="1:13">
      <c r="A4368" s="88">
        <f t="shared" si="335"/>
        <v>318</v>
      </c>
      <c r="B4368" s="69" t="s">
        <v>52</v>
      </c>
      <c r="C4368" s="69">
        <v>8</v>
      </c>
      <c r="D4368" s="143">
        <v>0</v>
      </c>
      <c r="E4368" s="89">
        <v>0</v>
      </c>
      <c r="F4368" s="143">
        <v>0</v>
      </c>
      <c r="G4368" s="143">
        <v>0</v>
      </c>
      <c r="H4368" s="89">
        <v>0</v>
      </c>
      <c r="I4368" s="143">
        <v>0</v>
      </c>
      <c r="J4368" s="710">
        <f>(VLOOKUP($C4368,[2]Sheet1!$A$2:$P$18,$M4368+1)/12)*12*D4368</f>
        <v>0</v>
      </c>
      <c r="K4368" s="711"/>
      <c r="M4368" s="62">
        <f t="shared" si="334"/>
        <v>3</v>
      </c>
    </row>
    <row r="4369" spans="1:13">
      <c r="A4369" s="88">
        <f t="shared" si="335"/>
        <v>319</v>
      </c>
      <c r="B4369" s="69" t="s">
        <v>937</v>
      </c>
      <c r="C4369" s="69">
        <v>3</v>
      </c>
      <c r="D4369" s="143">
        <v>0</v>
      </c>
      <c r="E4369" s="89">
        <v>0</v>
      </c>
      <c r="F4369" s="143">
        <v>0</v>
      </c>
      <c r="G4369" s="143">
        <v>0</v>
      </c>
      <c r="H4369" s="89">
        <v>0</v>
      </c>
      <c r="I4369" s="143">
        <v>0</v>
      </c>
      <c r="J4369" s="710">
        <f>(VLOOKUP($C4369,[2]Sheet1!$A$2:$P$18,$M4369+1)/12)*12*D4369</f>
        <v>0</v>
      </c>
      <c r="K4369" s="711"/>
      <c r="M4369" s="62">
        <f t="shared" si="334"/>
        <v>5</v>
      </c>
    </row>
    <row r="4370" spans="1:13">
      <c r="A4370" s="88">
        <f t="shared" si="335"/>
        <v>320</v>
      </c>
      <c r="B4370" s="69" t="s">
        <v>938</v>
      </c>
      <c r="C4370" s="69">
        <v>2</v>
      </c>
      <c r="D4370" s="143">
        <v>0</v>
      </c>
      <c r="E4370" s="89">
        <v>0</v>
      </c>
      <c r="F4370" s="143">
        <v>0</v>
      </c>
      <c r="G4370" s="143">
        <v>0</v>
      </c>
      <c r="H4370" s="89">
        <v>0</v>
      </c>
      <c r="I4370" s="143">
        <v>0</v>
      </c>
      <c r="J4370" s="710">
        <f>(VLOOKUP($C4370,[2]Sheet1!$A$2:$P$18,$M4370+1)/12)*12*D4370</f>
        <v>0</v>
      </c>
      <c r="K4370" s="711"/>
      <c r="M4370" s="62">
        <f t="shared" si="334"/>
        <v>5</v>
      </c>
    </row>
    <row r="4371" spans="1:13">
      <c r="A4371" s="88"/>
      <c r="B4371" s="90" t="s">
        <v>1235</v>
      </c>
      <c r="C4371" s="69"/>
      <c r="D4371" s="89"/>
      <c r="E4371" s="89"/>
      <c r="F4371" s="89"/>
      <c r="G4371" s="89"/>
      <c r="H4371" s="89"/>
      <c r="I4371" s="89"/>
      <c r="J4371" s="710"/>
      <c r="K4371" s="711"/>
      <c r="M4371" s="62">
        <f t="shared" si="334"/>
        <v>5</v>
      </c>
    </row>
    <row r="4372" spans="1:13">
      <c r="A4372" s="88">
        <v>321</v>
      </c>
      <c r="B4372" s="69" t="s">
        <v>1099</v>
      </c>
      <c r="C4372" s="69">
        <v>15</v>
      </c>
      <c r="D4372" s="143">
        <v>1</v>
      </c>
      <c r="E4372" s="89">
        <v>1</v>
      </c>
      <c r="F4372" s="143">
        <v>1</v>
      </c>
      <c r="G4372" s="143">
        <v>1</v>
      </c>
      <c r="H4372" s="89">
        <v>1</v>
      </c>
      <c r="I4372" s="143">
        <v>1</v>
      </c>
      <c r="J4372" s="710">
        <f>(VLOOKUP($C4372,[2]Sheet1!$A$2:$P$18,$M4372+1)/12)*12*D4372</f>
        <v>658331.89992</v>
      </c>
      <c r="K4372" s="711"/>
      <c r="M4372" s="62">
        <f t="shared" si="334"/>
        <v>3</v>
      </c>
    </row>
    <row r="4373" spans="1:13">
      <c r="A4373" s="88">
        <f>A4372+1</f>
        <v>322</v>
      </c>
      <c r="B4373" s="69" t="s">
        <v>2548</v>
      </c>
      <c r="C4373" s="69">
        <v>14</v>
      </c>
      <c r="D4373" s="143">
        <v>0</v>
      </c>
      <c r="E4373" s="89">
        <v>0</v>
      </c>
      <c r="F4373" s="143">
        <v>0</v>
      </c>
      <c r="G4373" s="143">
        <v>0</v>
      </c>
      <c r="H4373" s="89">
        <v>0</v>
      </c>
      <c r="I4373" s="143">
        <v>0</v>
      </c>
      <c r="J4373" s="710">
        <f>(VLOOKUP($C4373,[2]Sheet1!$A$2:$P$18,$M4373+1)/12)*12*D4373</f>
        <v>0</v>
      </c>
      <c r="K4373" s="711"/>
      <c r="M4373" s="62">
        <f t="shared" si="334"/>
        <v>3</v>
      </c>
    </row>
    <row r="4374" spans="1:13">
      <c r="A4374" s="88">
        <f t="shared" si="335"/>
        <v>323</v>
      </c>
      <c r="B4374" s="69" t="s">
        <v>3812</v>
      </c>
      <c r="C4374" s="69">
        <v>13</v>
      </c>
      <c r="D4374" s="143">
        <v>0</v>
      </c>
      <c r="E4374" s="89">
        <v>0</v>
      </c>
      <c r="F4374" s="143">
        <v>0</v>
      </c>
      <c r="G4374" s="143">
        <v>0</v>
      </c>
      <c r="H4374" s="89">
        <v>0</v>
      </c>
      <c r="I4374" s="143">
        <v>0</v>
      </c>
      <c r="J4374" s="710">
        <f>(VLOOKUP($C4374,[2]Sheet1!$A$2:$P$18,$M4374+1)/12)*12*D4374</f>
        <v>0</v>
      </c>
      <c r="K4374" s="711"/>
      <c r="M4374" s="62">
        <f t="shared" si="334"/>
        <v>3</v>
      </c>
    </row>
    <row r="4375" spans="1:13">
      <c r="A4375" s="88">
        <f t="shared" si="335"/>
        <v>324</v>
      </c>
      <c r="B4375" s="69" t="s">
        <v>1057</v>
      </c>
      <c r="C4375" s="69">
        <v>12</v>
      </c>
      <c r="D4375" s="143">
        <v>1</v>
      </c>
      <c r="E4375" s="89">
        <v>0</v>
      </c>
      <c r="F4375" s="143">
        <v>1</v>
      </c>
      <c r="G4375" s="143">
        <v>1</v>
      </c>
      <c r="H4375" s="89">
        <v>0</v>
      </c>
      <c r="I4375" s="143">
        <v>1</v>
      </c>
      <c r="J4375" s="710">
        <f>(VLOOKUP($C4375,[2]Sheet1!$A$2:$P$18,$M4375+1)/12)*12*D4375</f>
        <v>552685.0537200002</v>
      </c>
      <c r="K4375" s="711"/>
      <c r="M4375" s="62">
        <f t="shared" si="334"/>
        <v>3</v>
      </c>
    </row>
    <row r="4376" spans="1:13">
      <c r="A4376" s="88">
        <f t="shared" si="335"/>
        <v>325</v>
      </c>
      <c r="B4376" s="69" t="s">
        <v>1058</v>
      </c>
      <c r="C4376" s="69">
        <v>10</v>
      </c>
      <c r="D4376" s="143">
        <v>0</v>
      </c>
      <c r="E4376" s="89">
        <v>0</v>
      </c>
      <c r="F4376" s="143">
        <v>0</v>
      </c>
      <c r="G4376" s="143">
        <v>0</v>
      </c>
      <c r="H4376" s="89">
        <v>0</v>
      </c>
      <c r="I4376" s="143">
        <v>0</v>
      </c>
      <c r="J4376" s="710">
        <f>(VLOOKUP($C4376,[2]Sheet1!$A$2:$P$18,$M4376+1)/12)*12*D4376</f>
        <v>0</v>
      </c>
      <c r="K4376" s="711"/>
      <c r="M4376" s="62">
        <f t="shared" si="334"/>
        <v>3</v>
      </c>
    </row>
    <row r="4377" spans="1:13">
      <c r="A4377" s="88">
        <f t="shared" si="335"/>
        <v>326</v>
      </c>
      <c r="B4377" s="69" t="s">
        <v>52</v>
      </c>
      <c r="C4377" s="69">
        <v>8</v>
      </c>
      <c r="D4377" s="143">
        <v>0</v>
      </c>
      <c r="E4377" s="89">
        <v>0</v>
      </c>
      <c r="F4377" s="143">
        <v>0</v>
      </c>
      <c r="G4377" s="143">
        <v>0</v>
      </c>
      <c r="H4377" s="89">
        <v>0</v>
      </c>
      <c r="I4377" s="143">
        <v>0</v>
      </c>
      <c r="J4377" s="710">
        <f>(VLOOKUP($C4377,[2]Sheet1!$A$2:$P$18,$M4377+1)/12)*12*D4377</f>
        <v>0</v>
      </c>
      <c r="K4377" s="711"/>
      <c r="M4377" s="62">
        <f t="shared" si="334"/>
        <v>3</v>
      </c>
    </row>
    <row r="4378" spans="1:13">
      <c r="A4378" s="88">
        <f t="shared" si="335"/>
        <v>327</v>
      </c>
      <c r="B4378" s="69" t="s">
        <v>1377</v>
      </c>
      <c r="C4378" s="69">
        <v>7</v>
      </c>
      <c r="D4378" s="143">
        <v>0</v>
      </c>
      <c r="E4378" s="89">
        <v>0</v>
      </c>
      <c r="F4378" s="143">
        <v>0</v>
      </c>
      <c r="G4378" s="143">
        <v>0</v>
      </c>
      <c r="H4378" s="89">
        <v>0</v>
      </c>
      <c r="I4378" s="143">
        <v>0</v>
      </c>
      <c r="J4378" s="710">
        <f>(VLOOKUP($C4378,[2]Sheet1!$A$2:$P$18,$M4378+1)/12)*12*D4378</f>
        <v>0</v>
      </c>
      <c r="K4378" s="711"/>
      <c r="M4378" s="62">
        <f t="shared" si="334"/>
        <v>3</v>
      </c>
    </row>
    <row r="4379" spans="1:13">
      <c r="A4379" s="88">
        <f t="shared" si="335"/>
        <v>328</v>
      </c>
      <c r="B4379" s="69" t="s">
        <v>1053</v>
      </c>
      <c r="C4379" s="69">
        <v>5</v>
      </c>
      <c r="D4379" s="143">
        <v>0</v>
      </c>
      <c r="E4379" s="89">
        <v>0</v>
      </c>
      <c r="F4379" s="143">
        <v>0</v>
      </c>
      <c r="G4379" s="143">
        <v>0</v>
      </c>
      <c r="H4379" s="89">
        <v>0</v>
      </c>
      <c r="I4379" s="143">
        <v>0</v>
      </c>
      <c r="J4379" s="710">
        <f>(VLOOKUP($C4379,[2]Sheet1!$A$2:$P$18,$M4379+1)/12)*12*D4379</f>
        <v>0</v>
      </c>
      <c r="K4379" s="711"/>
      <c r="M4379" s="62">
        <f t="shared" si="334"/>
        <v>5</v>
      </c>
    </row>
    <row r="4380" spans="1:13">
      <c r="A4380" s="88">
        <f t="shared" si="335"/>
        <v>329</v>
      </c>
      <c r="B4380" s="69" t="s">
        <v>1919</v>
      </c>
      <c r="C4380" s="69">
        <v>4</v>
      </c>
      <c r="D4380" s="143">
        <v>0</v>
      </c>
      <c r="E4380" s="89">
        <v>0</v>
      </c>
      <c r="F4380" s="143">
        <v>0</v>
      </c>
      <c r="G4380" s="143">
        <v>0</v>
      </c>
      <c r="H4380" s="89">
        <v>0</v>
      </c>
      <c r="I4380" s="143">
        <v>0</v>
      </c>
      <c r="J4380" s="710">
        <f>(VLOOKUP($C4380,[2]Sheet1!$A$2:$P$18,$M4380+1)/12)*12*D4380</f>
        <v>0</v>
      </c>
      <c r="K4380" s="711"/>
      <c r="M4380" s="62">
        <f t="shared" si="334"/>
        <v>5</v>
      </c>
    </row>
    <row r="4381" spans="1:13">
      <c r="A4381" s="88"/>
      <c r="B4381" s="90" t="s">
        <v>1054</v>
      </c>
      <c r="C4381" s="69"/>
      <c r="D4381" s="89"/>
      <c r="E4381" s="89"/>
      <c r="F4381" s="89"/>
      <c r="G4381" s="89"/>
      <c r="H4381" s="89"/>
      <c r="I4381" s="89"/>
      <c r="J4381" s="710"/>
      <c r="K4381" s="711"/>
      <c r="M4381" s="62">
        <f t="shared" si="334"/>
        <v>5</v>
      </c>
    </row>
    <row r="4382" spans="1:13">
      <c r="A4382" s="88">
        <f>+A4380+1</f>
        <v>330</v>
      </c>
      <c r="B4382" s="69" t="s">
        <v>2251</v>
      </c>
      <c r="C4382" s="69">
        <v>13</v>
      </c>
      <c r="D4382" s="143">
        <v>0</v>
      </c>
      <c r="E4382" s="89">
        <v>0</v>
      </c>
      <c r="F4382" s="143">
        <v>0</v>
      </c>
      <c r="G4382" s="143">
        <v>0</v>
      </c>
      <c r="H4382" s="89">
        <v>0</v>
      </c>
      <c r="I4382" s="143">
        <v>0</v>
      </c>
      <c r="J4382" s="710">
        <f>(VLOOKUP($C4382,[2]Sheet1!$A$2:$P$18,$M4382+1)/12)*12*D4382</f>
        <v>0</v>
      </c>
      <c r="K4382" s="711"/>
      <c r="M4382" s="62">
        <f t="shared" si="334"/>
        <v>3</v>
      </c>
    </row>
    <row r="4383" spans="1:13">
      <c r="A4383" s="88">
        <f t="shared" si="335"/>
        <v>331</v>
      </c>
      <c r="B4383" s="69" t="s">
        <v>2252</v>
      </c>
      <c r="C4383" s="69">
        <v>12</v>
      </c>
      <c r="D4383" s="143">
        <v>0</v>
      </c>
      <c r="E4383" s="89">
        <v>1</v>
      </c>
      <c r="F4383" s="143">
        <v>0</v>
      </c>
      <c r="G4383" s="143">
        <v>0</v>
      </c>
      <c r="H4383" s="89">
        <v>1</v>
      </c>
      <c r="I4383" s="143">
        <v>0</v>
      </c>
      <c r="J4383" s="710">
        <f>(VLOOKUP($C4383,[2]Sheet1!$A$2:$P$18,$M4383+1)/12)*12*D4383</f>
        <v>0</v>
      </c>
      <c r="K4383" s="711"/>
      <c r="M4383" s="62">
        <f t="shared" si="334"/>
        <v>3</v>
      </c>
    </row>
    <row r="4384" spans="1:13">
      <c r="A4384" s="88">
        <f t="shared" si="335"/>
        <v>332</v>
      </c>
      <c r="B4384" s="69" t="s">
        <v>170</v>
      </c>
      <c r="C4384" s="69">
        <v>10</v>
      </c>
      <c r="D4384" s="89">
        <v>2</v>
      </c>
      <c r="E4384" s="89">
        <v>2</v>
      </c>
      <c r="F4384" s="89">
        <v>2</v>
      </c>
      <c r="G4384" s="89">
        <v>2</v>
      </c>
      <c r="H4384" s="89">
        <v>2</v>
      </c>
      <c r="I4384" s="89">
        <v>2</v>
      </c>
      <c r="J4384" s="710">
        <f>(VLOOKUP($C4384,[2]Sheet1!$A$2:$P$18,$M4384+1)/12)*12*D4384</f>
        <v>967949.1374400002</v>
      </c>
      <c r="K4384" s="711"/>
      <c r="M4384" s="62">
        <f t="shared" si="334"/>
        <v>3</v>
      </c>
    </row>
    <row r="4385" spans="1:13">
      <c r="A4385" s="88">
        <f t="shared" si="335"/>
        <v>333</v>
      </c>
      <c r="B4385" s="69" t="s">
        <v>171</v>
      </c>
      <c r="C4385" s="69">
        <v>9</v>
      </c>
      <c r="D4385" s="89">
        <v>0</v>
      </c>
      <c r="E4385" s="89">
        <v>0</v>
      </c>
      <c r="F4385" s="89">
        <v>0</v>
      </c>
      <c r="G4385" s="89">
        <v>0</v>
      </c>
      <c r="H4385" s="89">
        <v>0</v>
      </c>
      <c r="I4385" s="89">
        <v>0</v>
      </c>
      <c r="J4385" s="710">
        <f>(VLOOKUP($C4385,[2]Sheet1!$A$2:$P$18,$M4385+1)/12)*12*D4385</f>
        <v>0</v>
      </c>
      <c r="K4385" s="711"/>
      <c r="M4385" s="62">
        <f t="shared" si="334"/>
        <v>3</v>
      </c>
    </row>
    <row r="4386" spans="1:13">
      <c r="A4386" s="88">
        <f t="shared" si="335"/>
        <v>334</v>
      </c>
      <c r="B4386" s="69" t="s">
        <v>2261</v>
      </c>
      <c r="C4386" s="69">
        <v>8</v>
      </c>
      <c r="D4386" s="89">
        <v>0</v>
      </c>
      <c r="E4386" s="89">
        <v>0</v>
      </c>
      <c r="F4386" s="89">
        <v>0</v>
      </c>
      <c r="G4386" s="89">
        <v>0</v>
      </c>
      <c r="H4386" s="89">
        <v>0</v>
      </c>
      <c r="I4386" s="89">
        <v>0</v>
      </c>
      <c r="J4386" s="710">
        <f>(VLOOKUP($C4386,[2]Sheet1!$A$2:$P$18,$M4386+1)/12)*12*D4386</f>
        <v>0</v>
      </c>
      <c r="K4386" s="711"/>
      <c r="M4386" s="62">
        <f t="shared" si="334"/>
        <v>3</v>
      </c>
    </row>
    <row r="4387" spans="1:13">
      <c r="A4387" s="88">
        <f t="shared" si="335"/>
        <v>335</v>
      </c>
      <c r="B4387" s="69" t="s">
        <v>2257</v>
      </c>
      <c r="C4387" s="69">
        <v>7</v>
      </c>
      <c r="D4387" s="143">
        <v>0</v>
      </c>
      <c r="E4387" s="89">
        <v>1</v>
      </c>
      <c r="F4387" s="143">
        <v>0</v>
      </c>
      <c r="G4387" s="143">
        <v>0</v>
      </c>
      <c r="H4387" s="89">
        <v>1</v>
      </c>
      <c r="I4387" s="143">
        <v>0</v>
      </c>
      <c r="J4387" s="710">
        <f>(VLOOKUP($C4387,[2]Sheet1!$A$2:$P$18,$M4387+1)/12)*12*D4387</f>
        <v>0</v>
      </c>
      <c r="K4387" s="711"/>
      <c r="M4387" s="62">
        <f t="shared" si="334"/>
        <v>3</v>
      </c>
    </row>
    <row r="4388" spans="1:13">
      <c r="A4388" s="88">
        <f t="shared" si="335"/>
        <v>336</v>
      </c>
      <c r="B4388" s="69" t="s">
        <v>2262</v>
      </c>
      <c r="C4388" s="69">
        <v>6</v>
      </c>
      <c r="D4388" s="143">
        <v>0</v>
      </c>
      <c r="E4388" s="89">
        <v>1</v>
      </c>
      <c r="F4388" s="143">
        <v>0</v>
      </c>
      <c r="G4388" s="143">
        <v>0</v>
      </c>
      <c r="H4388" s="89">
        <v>1</v>
      </c>
      <c r="I4388" s="143">
        <v>0</v>
      </c>
      <c r="J4388" s="710">
        <f>(VLOOKUP($C4388,[2]Sheet1!$A$2:$P$18,$M4388+1)/12)*12*D4388</f>
        <v>0</v>
      </c>
      <c r="K4388" s="711"/>
      <c r="M4388" s="62">
        <f t="shared" si="334"/>
        <v>5</v>
      </c>
    </row>
    <row r="4389" spans="1:13">
      <c r="A4389" s="88">
        <f t="shared" si="335"/>
        <v>337</v>
      </c>
      <c r="B4389" s="69" t="s">
        <v>2263</v>
      </c>
      <c r="C4389" s="69">
        <v>5</v>
      </c>
      <c r="D4389" s="143">
        <v>0</v>
      </c>
      <c r="E4389" s="89">
        <v>0</v>
      </c>
      <c r="F4389" s="143">
        <v>0</v>
      </c>
      <c r="G4389" s="143">
        <v>0</v>
      </c>
      <c r="H4389" s="89">
        <v>0</v>
      </c>
      <c r="I4389" s="143">
        <v>0</v>
      </c>
      <c r="J4389" s="710">
        <f>(VLOOKUP($C4389,[2]Sheet1!$A$2:$P$18,$M4389+1)/12)*12*D4389</f>
        <v>0</v>
      </c>
      <c r="K4389" s="711"/>
      <c r="M4389" s="62">
        <f t="shared" si="334"/>
        <v>5</v>
      </c>
    </row>
    <row r="4390" spans="1:13">
      <c r="A4390" s="88">
        <f t="shared" si="335"/>
        <v>338</v>
      </c>
      <c r="B4390" s="69" t="s">
        <v>4025</v>
      </c>
      <c r="C4390" s="69">
        <v>4</v>
      </c>
      <c r="D4390" s="143">
        <v>0</v>
      </c>
      <c r="E4390" s="89">
        <v>0</v>
      </c>
      <c r="F4390" s="143">
        <v>0</v>
      </c>
      <c r="G4390" s="143">
        <v>0</v>
      </c>
      <c r="H4390" s="89">
        <v>0</v>
      </c>
      <c r="I4390" s="143">
        <v>0</v>
      </c>
      <c r="J4390" s="710">
        <f>(VLOOKUP($C4390,[2]Sheet1!$A$2:$P$18,$M4390+1)/12)*12*D4390</f>
        <v>0</v>
      </c>
      <c r="K4390" s="711"/>
      <c r="M4390" s="62">
        <f t="shared" si="334"/>
        <v>5</v>
      </c>
    </row>
    <row r="4391" spans="1:13">
      <c r="A4391" s="88"/>
      <c r="B4391" s="90" t="s">
        <v>2264</v>
      </c>
      <c r="C4391" s="69"/>
      <c r="D4391" s="89"/>
      <c r="E4391" s="89"/>
      <c r="F4391" s="89"/>
      <c r="G4391" s="89"/>
      <c r="H4391" s="89"/>
      <c r="I4391" s="89"/>
      <c r="J4391" s="710"/>
      <c r="K4391" s="711"/>
      <c r="M4391" s="62">
        <f t="shared" si="334"/>
        <v>5</v>
      </c>
    </row>
    <row r="4392" spans="1:13">
      <c r="A4392" s="88">
        <f>+A4390+1</f>
        <v>339</v>
      </c>
      <c r="B4392" s="69" t="s">
        <v>2548</v>
      </c>
      <c r="C4392" s="69">
        <v>14</v>
      </c>
      <c r="D4392" s="143">
        <v>0</v>
      </c>
      <c r="E4392" s="143">
        <v>0</v>
      </c>
      <c r="F4392" s="143">
        <v>0</v>
      </c>
      <c r="G4392" s="143">
        <v>0</v>
      </c>
      <c r="H4392" s="143">
        <v>0</v>
      </c>
      <c r="I4392" s="143">
        <v>0</v>
      </c>
      <c r="J4392" s="710">
        <f>(VLOOKUP($C4392,[2]Sheet1!$A$2:$P$18,$M4392+1)/12)*12*D4392</f>
        <v>0</v>
      </c>
      <c r="K4392" s="711"/>
      <c r="M4392" s="62">
        <f t="shared" si="334"/>
        <v>3</v>
      </c>
    </row>
    <row r="4393" spans="1:13">
      <c r="A4393" s="88">
        <f t="shared" si="335"/>
        <v>340</v>
      </c>
      <c r="B4393" s="69" t="s">
        <v>2265</v>
      </c>
      <c r="C4393" s="69">
        <v>13</v>
      </c>
      <c r="D4393" s="143">
        <v>0</v>
      </c>
      <c r="E4393" s="143">
        <v>0</v>
      </c>
      <c r="F4393" s="143">
        <v>0</v>
      </c>
      <c r="G4393" s="143">
        <v>0</v>
      </c>
      <c r="H4393" s="143">
        <v>0</v>
      </c>
      <c r="I4393" s="143">
        <v>0</v>
      </c>
      <c r="J4393" s="710">
        <f>(VLOOKUP($C4393,[2]Sheet1!$A$2:$P$18,$M4393+1)/12)*12*D4393</f>
        <v>0</v>
      </c>
      <c r="K4393" s="711"/>
      <c r="M4393" s="62">
        <f t="shared" si="334"/>
        <v>3</v>
      </c>
    </row>
    <row r="4394" spans="1:13">
      <c r="A4394" s="88">
        <f t="shared" si="335"/>
        <v>341</v>
      </c>
      <c r="B4394" s="69" t="s">
        <v>2266</v>
      </c>
      <c r="C4394" s="69">
        <v>12</v>
      </c>
      <c r="D4394" s="143">
        <v>0</v>
      </c>
      <c r="E4394" s="143">
        <v>0</v>
      </c>
      <c r="F4394" s="143">
        <v>0</v>
      </c>
      <c r="G4394" s="143">
        <v>0</v>
      </c>
      <c r="H4394" s="143">
        <v>0</v>
      </c>
      <c r="I4394" s="143">
        <v>0</v>
      </c>
      <c r="J4394" s="710">
        <f>(VLOOKUP($C4394,[2]Sheet1!$A$2:$P$18,$M4394+1)/12)*12*D4394</f>
        <v>0</v>
      </c>
      <c r="K4394" s="711"/>
      <c r="M4394" s="62">
        <f t="shared" si="334"/>
        <v>3</v>
      </c>
    </row>
    <row r="4395" spans="1:13">
      <c r="A4395" s="88">
        <f t="shared" si="335"/>
        <v>342</v>
      </c>
      <c r="B4395" s="69" t="s">
        <v>2267</v>
      </c>
      <c r="C4395" s="69">
        <v>10</v>
      </c>
      <c r="D4395" s="143">
        <v>0</v>
      </c>
      <c r="E4395" s="143">
        <v>0</v>
      </c>
      <c r="F4395" s="143">
        <v>0</v>
      </c>
      <c r="G4395" s="143">
        <v>0</v>
      </c>
      <c r="H4395" s="143">
        <v>0</v>
      </c>
      <c r="I4395" s="143">
        <v>0</v>
      </c>
      <c r="J4395" s="710">
        <f>(VLOOKUP($C4395,[2]Sheet1!$A$2:$P$18,$M4395+1)/12)*12*D4395</f>
        <v>0</v>
      </c>
      <c r="K4395" s="711"/>
      <c r="M4395" s="62">
        <f t="shared" si="334"/>
        <v>3</v>
      </c>
    </row>
    <row r="4396" spans="1:13" ht="13.5" thickBot="1">
      <c r="A4396" s="88">
        <f>+A4395+1</f>
        <v>343</v>
      </c>
      <c r="B4396" s="69" t="s">
        <v>2548</v>
      </c>
      <c r="C4396" s="69">
        <v>8</v>
      </c>
      <c r="D4396" s="143">
        <v>0</v>
      </c>
      <c r="E4396" s="143">
        <v>0</v>
      </c>
      <c r="F4396" s="143">
        <v>0</v>
      </c>
      <c r="G4396" s="143">
        <v>0</v>
      </c>
      <c r="H4396" s="143">
        <v>0</v>
      </c>
      <c r="I4396" s="143">
        <v>0</v>
      </c>
      <c r="J4396" s="710">
        <f>(VLOOKUP($C4396,[2]Sheet1!$A$2:$P$18,$M4396+1)/12)*12*D4396</f>
        <v>0</v>
      </c>
      <c r="K4396" s="711"/>
      <c r="M4396" s="62">
        <f t="shared" si="334"/>
        <v>3</v>
      </c>
    </row>
    <row r="4397" spans="1:13" ht="15.75" thickTop="1">
      <c r="A4397" s="1047" t="s">
        <v>2791</v>
      </c>
      <c r="B4397" s="1049" t="s">
        <v>4126</v>
      </c>
      <c r="C4397" s="1049" t="s">
        <v>854</v>
      </c>
      <c r="D4397" s="1040" t="s">
        <v>4127</v>
      </c>
      <c r="E4397" s="1041"/>
      <c r="F4397" s="1041"/>
      <c r="G4397" s="1040" t="s">
        <v>904</v>
      </c>
      <c r="H4397" s="1041"/>
      <c r="I4397" s="1042"/>
      <c r="J4397" s="1035" t="s">
        <v>855</v>
      </c>
      <c r="K4397" s="389"/>
    </row>
    <row r="4398" spans="1:13" ht="26.25" thickBot="1">
      <c r="A4398" s="1048"/>
      <c r="B4398" s="1050"/>
      <c r="C4398" s="1050"/>
      <c r="D4398" s="285" t="s">
        <v>5505</v>
      </c>
      <c r="E4398" s="285" t="s">
        <v>4485</v>
      </c>
      <c r="F4398" s="285" t="s">
        <v>4486</v>
      </c>
      <c r="G4398" s="287" t="s">
        <v>4487</v>
      </c>
      <c r="H4398" s="285" t="s">
        <v>4488</v>
      </c>
      <c r="I4398" s="287" t="s">
        <v>4489</v>
      </c>
      <c r="J4398" s="1036"/>
      <c r="K4398" s="712"/>
    </row>
    <row r="4399" spans="1:13" ht="13.5" thickTop="1">
      <c r="A4399" s="88">
        <f>+A4396+1</f>
        <v>344</v>
      </c>
      <c r="B4399" s="69" t="s">
        <v>2268</v>
      </c>
      <c r="C4399" s="69">
        <v>7</v>
      </c>
      <c r="D4399" s="143">
        <v>0</v>
      </c>
      <c r="E4399" s="143">
        <v>0</v>
      </c>
      <c r="F4399" s="143">
        <v>0</v>
      </c>
      <c r="G4399" s="143">
        <v>0</v>
      </c>
      <c r="H4399" s="143">
        <v>0</v>
      </c>
      <c r="I4399" s="143">
        <v>0</v>
      </c>
      <c r="J4399" s="710">
        <f>(VLOOKUP($C4399,[2]Sheet1!$A$2:$P$18,$M4399+1)/12)*12*D4399</f>
        <v>0</v>
      </c>
      <c r="K4399" s="711"/>
      <c r="M4399" s="62">
        <f t="shared" si="334"/>
        <v>3</v>
      </c>
    </row>
    <row r="4400" spans="1:13">
      <c r="A4400" s="88">
        <f t="shared" si="335"/>
        <v>345</v>
      </c>
      <c r="B4400" s="69" t="s">
        <v>2269</v>
      </c>
      <c r="C4400" s="69">
        <v>3</v>
      </c>
      <c r="D4400" s="143">
        <v>1</v>
      </c>
      <c r="E4400" s="143">
        <v>1</v>
      </c>
      <c r="F4400" s="143">
        <v>1</v>
      </c>
      <c r="G4400" s="143">
        <v>1</v>
      </c>
      <c r="H4400" s="143">
        <v>1</v>
      </c>
      <c r="I4400" s="143">
        <v>1</v>
      </c>
      <c r="J4400" s="710">
        <f>(VLOOKUP($C4400,[2]Sheet1!$A$2:$P$18,$M4400+1)/12)*12*D4400</f>
        <v>219336.17893036499</v>
      </c>
      <c r="K4400" s="711"/>
      <c r="M4400" s="62">
        <f t="shared" si="334"/>
        <v>5</v>
      </c>
    </row>
    <row r="4401" spans="1:13">
      <c r="A4401" s="88"/>
      <c r="B4401" s="90" t="s">
        <v>1570</v>
      </c>
      <c r="C4401" s="69"/>
      <c r="D4401" s="89"/>
      <c r="E4401" s="89"/>
      <c r="F4401" s="89"/>
      <c r="G4401" s="89"/>
      <c r="H4401" s="89"/>
      <c r="I4401" s="89"/>
      <c r="J4401" s="710"/>
      <c r="K4401" s="711"/>
      <c r="M4401" s="62">
        <f t="shared" si="334"/>
        <v>5</v>
      </c>
    </row>
    <row r="4402" spans="1:13">
      <c r="A4402" s="88">
        <f>+A4400+1</f>
        <v>346</v>
      </c>
      <c r="B4402" s="69" t="s">
        <v>2548</v>
      </c>
      <c r="C4402" s="69">
        <v>14</v>
      </c>
      <c r="D4402" s="143">
        <v>0</v>
      </c>
      <c r="E4402" s="143">
        <v>0</v>
      </c>
      <c r="F4402" s="143">
        <v>0</v>
      </c>
      <c r="G4402" s="143">
        <v>0</v>
      </c>
      <c r="H4402" s="143">
        <v>0</v>
      </c>
      <c r="I4402" s="143">
        <v>0</v>
      </c>
      <c r="J4402" s="710">
        <f>(VLOOKUP($C4402,[2]Sheet1!$A$2:$P$18,$M4402+1)/12)*12*D4402</f>
        <v>0</v>
      </c>
      <c r="K4402" s="711"/>
      <c r="M4402" s="62">
        <f t="shared" si="334"/>
        <v>3</v>
      </c>
    </row>
    <row r="4403" spans="1:13">
      <c r="A4403" s="88">
        <f t="shared" si="335"/>
        <v>347</v>
      </c>
      <c r="B4403" s="69" t="s">
        <v>2265</v>
      </c>
      <c r="C4403" s="69">
        <v>13</v>
      </c>
      <c r="D4403" s="143">
        <v>0</v>
      </c>
      <c r="E4403" s="143">
        <v>0</v>
      </c>
      <c r="F4403" s="143">
        <v>0</v>
      </c>
      <c r="G4403" s="143">
        <v>0</v>
      </c>
      <c r="H4403" s="143">
        <v>0</v>
      </c>
      <c r="I4403" s="143">
        <v>0</v>
      </c>
      <c r="J4403" s="710">
        <f>(VLOOKUP($C4403,[2]Sheet1!$A$2:$P$18,$M4403+1)/12)*12*D4403</f>
        <v>0</v>
      </c>
      <c r="K4403" s="711"/>
      <c r="M4403" s="62">
        <f t="shared" si="334"/>
        <v>3</v>
      </c>
    </row>
    <row r="4404" spans="1:13">
      <c r="A4404" s="88">
        <f t="shared" si="335"/>
        <v>348</v>
      </c>
      <c r="B4404" s="69" t="s">
        <v>2266</v>
      </c>
      <c r="C4404" s="69">
        <v>12</v>
      </c>
      <c r="D4404" s="143">
        <v>0</v>
      </c>
      <c r="E4404" s="143">
        <v>1</v>
      </c>
      <c r="F4404" s="143">
        <v>0</v>
      </c>
      <c r="G4404" s="143">
        <v>0</v>
      </c>
      <c r="H4404" s="143">
        <v>1</v>
      </c>
      <c r="I4404" s="143">
        <v>0</v>
      </c>
      <c r="J4404" s="710">
        <f>(VLOOKUP($C4404,[2]Sheet1!$A$2:$P$18,$M4404+1)/12)*12*D4404</f>
        <v>0</v>
      </c>
      <c r="K4404" s="711"/>
      <c r="M4404" s="62">
        <f t="shared" si="334"/>
        <v>3</v>
      </c>
    </row>
    <row r="4405" spans="1:13">
      <c r="A4405" s="88">
        <f t="shared" si="335"/>
        <v>349</v>
      </c>
      <c r="B4405" s="69" t="s">
        <v>2267</v>
      </c>
      <c r="C4405" s="69">
        <v>10</v>
      </c>
      <c r="D4405" s="143">
        <v>2</v>
      </c>
      <c r="E4405" s="143">
        <v>2</v>
      </c>
      <c r="F4405" s="143">
        <v>2</v>
      </c>
      <c r="G4405" s="143">
        <v>2</v>
      </c>
      <c r="H4405" s="143">
        <v>2</v>
      </c>
      <c r="I4405" s="143">
        <v>2</v>
      </c>
      <c r="J4405" s="710">
        <f>(VLOOKUP($C4405,[2]Sheet1!$A$2:$P$18,$M4405+1)/12)*12*D4405</f>
        <v>967949.1374400002</v>
      </c>
      <c r="K4405" s="711"/>
      <c r="M4405" s="62">
        <f t="shared" si="334"/>
        <v>3</v>
      </c>
    </row>
    <row r="4406" spans="1:13">
      <c r="A4406" s="88">
        <f t="shared" si="335"/>
        <v>350</v>
      </c>
      <c r="B4406" s="69" t="s">
        <v>52</v>
      </c>
      <c r="C4406" s="69">
        <v>8</v>
      </c>
      <c r="D4406" s="143">
        <v>0</v>
      </c>
      <c r="E4406" s="143">
        <v>0</v>
      </c>
      <c r="F4406" s="143">
        <v>0</v>
      </c>
      <c r="G4406" s="143">
        <v>0</v>
      </c>
      <c r="H4406" s="143">
        <v>0</v>
      </c>
      <c r="I4406" s="143">
        <v>0</v>
      </c>
      <c r="J4406" s="710">
        <f>(VLOOKUP($C4406,[2]Sheet1!$A$2:$P$18,$M4406+1)/12)*12*D4406</f>
        <v>0</v>
      </c>
      <c r="K4406" s="711"/>
      <c r="M4406" s="62">
        <f t="shared" si="334"/>
        <v>3</v>
      </c>
    </row>
    <row r="4407" spans="1:13">
      <c r="A4407" s="88">
        <f>+A4406+1</f>
        <v>351</v>
      </c>
      <c r="B4407" s="69" t="s">
        <v>1571</v>
      </c>
      <c r="C4407" s="69">
        <v>7</v>
      </c>
      <c r="D4407" s="143">
        <v>0</v>
      </c>
      <c r="E4407" s="143">
        <v>0</v>
      </c>
      <c r="F4407" s="143">
        <v>0</v>
      </c>
      <c r="G4407" s="143">
        <v>0</v>
      </c>
      <c r="H4407" s="143">
        <v>0</v>
      </c>
      <c r="I4407" s="143">
        <v>0</v>
      </c>
      <c r="J4407" s="710">
        <f>(VLOOKUP($C4407,[2]Sheet1!$A$2:$P$18,$M4407+1)/12)*12*D4407</f>
        <v>0</v>
      </c>
      <c r="K4407" s="711"/>
      <c r="M4407" s="62">
        <f t="shared" si="334"/>
        <v>3</v>
      </c>
    </row>
    <row r="4408" spans="1:13">
      <c r="A4408" s="88">
        <f t="shared" si="335"/>
        <v>352</v>
      </c>
      <c r="B4408" s="69" t="s">
        <v>1572</v>
      </c>
      <c r="C4408" s="69">
        <v>6</v>
      </c>
      <c r="D4408" s="143">
        <v>0</v>
      </c>
      <c r="E4408" s="143">
        <v>0</v>
      </c>
      <c r="F4408" s="143">
        <v>0</v>
      </c>
      <c r="G4408" s="143">
        <v>0</v>
      </c>
      <c r="H4408" s="143">
        <v>0</v>
      </c>
      <c r="I4408" s="143">
        <v>0</v>
      </c>
      <c r="J4408" s="710">
        <f>(VLOOKUP($C4408,[2]Sheet1!$A$2:$P$18,$M4408+1)/12)*12*D4408</f>
        <v>0</v>
      </c>
      <c r="K4408" s="711"/>
      <c r="M4408" s="62">
        <f t="shared" si="334"/>
        <v>5</v>
      </c>
    </row>
    <row r="4409" spans="1:13">
      <c r="A4409" s="88">
        <f t="shared" si="335"/>
        <v>353</v>
      </c>
      <c r="B4409" s="69" t="s">
        <v>1573</v>
      </c>
      <c r="C4409" s="69">
        <v>3</v>
      </c>
      <c r="D4409" s="143">
        <v>0</v>
      </c>
      <c r="E4409" s="143">
        <v>0</v>
      </c>
      <c r="F4409" s="143">
        <v>0</v>
      </c>
      <c r="G4409" s="143">
        <v>0</v>
      </c>
      <c r="H4409" s="143">
        <v>0</v>
      </c>
      <c r="I4409" s="143">
        <v>0</v>
      </c>
      <c r="J4409" s="710">
        <f>(VLOOKUP($C4409,[2]Sheet1!$A$2:$P$18,$M4409+1)/12)*12*D4409</f>
        <v>0</v>
      </c>
      <c r="K4409" s="711"/>
      <c r="M4409" s="62">
        <f t="shared" si="334"/>
        <v>5</v>
      </c>
    </row>
    <row r="4410" spans="1:13">
      <c r="A4410" s="88">
        <f t="shared" si="335"/>
        <v>354</v>
      </c>
      <c r="B4410" s="69" t="s">
        <v>2269</v>
      </c>
      <c r="C4410" s="69">
        <v>4</v>
      </c>
      <c r="D4410" s="143">
        <v>1</v>
      </c>
      <c r="E4410" s="143">
        <v>1</v>
      </c>
      <c r="F4410" s="143">
        <v>1</v>
      </c>
      <c r="G4410" s="143">
        <v>1</v>
      </c>
      <c r="H4410" s="143">
        <v>1</v>
      </c>
      <c r="I4410" s="143">
        <v>1</v>
      </c>
      <c r="J4410" s="710">
        <f>(VLOOKUP($C4410,[2]Sheet1!$A$2:$P$18,$M4410+1)/12)*12*D4410</f>
        <v>224542.978930365</v>
      </c>
      <c r="K4410" s="711"/>
      <c r="M4410" s="62">
        <f t="shared" si="334"/>
        <v>5</v>
      </c>
    </row>
    <row r="4411" spans="1:13">
      <c r="A4411" s="88"/>
      <c r="B4411" s="90" t="s">
        <v>1925</v>
      </c>
      <c r="C4411" s="69"/>
      <c r="D4411" s="89"/>
      <c r="E4411" s="89"/>
      <c r="F4411" s="89"/>
      <c r="G4411" s="89"/>
      <c r="H4411" s="89"/>
      <c r="I4411" s="89"/>
      <c r="J4411" s="710"/>
      <c r="K4411" s="711"/>
      <c r="M4411" s="62">
        <f t="shared" si="334"/>
        <v>5</v>
      </c>
    </row>
    <row r="4412" spans="1:13">
      <c r="A4412" s="88">
        <f>+A4410+1</f>
        <v>355</v>
      </c>
      <c r="B4412" s="69" t="s">
        <v>3532</v>
      </c>
      <c r="C4412" s="69">
        <v>16</v>
      </c>
      <c r="D4412" s="89">
        <v>1</v>
      </c>
      <c r="E4412" s="89">
        <v>1</v>
      </c>
      <c r="F4412" s="89">
        <v>1</v>
      </c>
      <c r="G4412" s="89">
        <v>1</v>
      </c>
      <c r="H4412" s="89">
        <v>1</v>
      </c>
      <c r="I4412" s="89">
        <v>1</v>
      </c>
      <c r="J4412" s="710">
        <f>(VLOOKUP($C4412,[2]Sheet1!$A$2:$P$18,$M4412+1)/12)*12*D4412</f>
        <v>677281.26084</v>
      </c>
      <c r="K4412" s="711"/>
      <c r="M4412" s="62">
        <f t="shared" si="334"/>
        <v>3</v>
      </c>
    </row>
    <row r="4413" spans="1:13">
      <c r="A4413" s="88">
        <f t="shared" ref="A4413:A4461" si="336">+A4412+1</f>
        <v>356</v>
      </c>
      <c r="B4413" s="69" t="s">
        <v>1256</v>
      </c>
      <c r="C4413" s="69">
        <v>15</v>
      </c>
      <c r="D4413" s="89">
        <v>0</v>
      </c>
      <c r="E4413" s="89">
        <v>0</v>
      </c>
      <c r="F4413" s="89">
        <v>0</v>
      </c>
      <c r="G4413" s="89">
        <v>0</v>
      </c>
      <c r="H4413" s="89">
        <v>0</v>
      </c>
      <c r="I4413" s="89">
        <v>0</v>
      </c>
      <c r="J4413" s="710">
        <f>(VLOOKUP($C4413,[2]Sheet1!$A$2:$P$18,$M4413+1)/12)*12*D4413</f>
        <v>0</v>
      </c>
      <c r="K4413" s="711"/>
      <c r="M4413" s="62">
        <f t="shared" si="334"/>
        <v>3</v>
      </c>
    </row>
    <row r="4414" spans="1:13">
      <c r="A4414" s="88">
        <f t="shared" si="336"/>
        <v>357</v>
      </c>
      <c r="B4414" s="69" t="s">
        <v>1775</v>
      </c>
      <c r="C4414" s="69">
        <v>14</v>
      </c>
      <c r="D4414" s="89">
        <v>0</v>
      </c>
      <c r="E4414" s="89">
        <v>0</v>
      </c>
      <c r="F4414" s="89">
        <v>0</v>
      </c>
      <c r="G4414" s="89">
        <v>0</v>
      </c>
      <c r="H4414" s="89">
        <v>0</v>
      </c>
      <c r="I4414" s="89">
        <v>0</v>
      </c>
      <c r="J4414" s="710">
        <f>(VLOOKUP($C4414,[2]Sheet1!$A$2:$P$18,$M4414+1)/12)*12*D4414</f>
        <v>0</v>
      </c>
      <c r="K4414" s="711"/>
      <c r="M4414" s="62">
        <f t="shared" si="334"/>
        <v>3</v>
      </c>
    </row>
    <row r="4415" spans="1:13">
      <c r="A4415" s="88">
        <f t="shared" si="336"/>
        <v>358</v>
      </c>
      <c r="B4415" s="69" t="s">
        <v>726</v>
      </c>
      <c r="C4415" s="69">
        <v>14</v>
      </c>
      <c r="D4415" s="89">
        <v>0</v>
      </c>
      <c r="E4415" s="89">
        <v>1</v>
      </c>
      <c r="F4415" s="89">
        <v>0</v>
      </c>
      <c r="G4415" s="89">
        <v>0</v>
      </c>
      <c r="H4415" s="89">
        <v>1</v>
      </c>
      <c r="I4415" s="89">
        <v>0</v>
      </c>
      <c r="J4415" s="710">
        <f>(VLOOKUP($C4415,[2]Sheet1!$A$2:$P$18,$M4415+1)/12)*12*D4415</f>
        <v>0</v>
      </c>
      <c r="K4415" s="711"/>
      <c r="M4415" s="62">
        <f t="shared" si="334"/>
        <v>3</v>
      </c>
    </row>
    <row r="4416" spans="1:13">
      <c r="A4416" s="88">
        <f t="shared" si="336"/>
        <v>359</v>
      </c>
      <c r="B4416" s="69" t="s">
        <v>1565</v>
      </c>
      <c r="C4416" s="69">
        <v>13</v>
      </c>
      <c r="D4416" s="89">
        <v>2</v>
      </c>
      <c r="E4416" s="89">
        <v>2</v>
      </c>
      <c r="F4416" s="89">
        <v>2</v>
      </c>
      <c r="G4416" s="89">
        <v>2</v>
      </c>
      <c r="H4416" s="89">
        <v>2</v>
      </c>
      <c r="I4416" s="89">
        <v>2</v>
      </c>
      <c r="J4416" s="710">
        <f>(VLOOKUP($C4416,[2]Sheet1!$A$2:$P$18,$M4416+1)/12)*12*D4416</f>
        <v>1257519.07608</v>
      </c>
      <c r="K4416" s="711"/>
      <c r="M4416" s="62">
        <f t="shared" si="334"/>
        <v>3</v>
      </c>
    </row>
    <row r="4417" spans="1:13">
      <c r="A4417" s="88">
        <f t="shared" si="336"/>
        <v>360</v>
      </c>
      <c r="B4417" s="69" t="s">
        <v>1566</v>
      </c>
      <c r="C4417" s="69">
        <v>12</v>
      </c>
      <c r="D4417" s="89">
        <v>1</v>
      </c>
      <c r="E4417" s="89">
        <v>1</v>
      </c>
      <c r="F4417" s="89">
        <v>1</v>
      </c>
      <c r="G4417" s="89">
        <v>1</v>
      </c>
      <c r="H4417" s="89">
        <v>1</v>
      </c>
      <c r="I4417" s="89">
        <v>1</v>
      </c>
      <c r="J4417" s="710">
        <f>(VLOOKUP($C4417,[2]Sheet1!$A$2:$P$18,$M4417+1)/12)*12*D4417</f>
        <v>552685.0537200002</v>
      </c>
      <c r="K4417" s="711"/>
      <c r="M4417" s="62">
        <f t="shared" si="334"/>
        <v>3</v>
      </c>
    </row>
    <row r="4418" spans="1:13">
      <c r="A4418" s="88">
        <f t="shared" si="336"/>
        <v>361</v>
      </c>
      <c r="B4418" s="69" t="s">
        <v>1567</v>
      </c>
      <c r="C4418" s="69">
        <v>10</v>
      </c>
      <c r="D4418" s="89">
        <v>0</v>
      </c>
      <c r="E4418" s="89">
        <v>0</v>
      </c>
      <c r="F4418" s="89">
        <v>0</v>
      </c>
      <c r="G4418" s="89">
        <v>0</v>
      </c>
      <c r="H4418" s="89">
        <v>0</v>
      </c>
      <c r="I4418" s="89">
        <v>0</v>
      </c>
      <c r="J4418" s="710">
        <f>(VLOOKUP($C4418,[2]Sheet1!$A$2:$P$18,$M4418+1)/12)*12*D4418</f>
        <v>0</v>
      </c>
      <c r="K4418" s="711"/>
      <c r="M4418" s="62">
        <f t="shared" si="334"/>
        <v>3</v>
      </c>
    </row>
    <row r="4419" spans="1:13">
      <c r="A4419" s="88">
        <f>+A4418+1</f>
        <v>362</v>
      </c>
      <c r="B4419" s="69" t="s">
        <v>2260</v>
      </c>
      <c r="C4419" s="69">
        <v>9</v>
      </c>
      <c r="D4419" s="89">
        <v>0</v>
      </c>
      <c r="E4419" s="89">
        <v>0</v>
      </c>
      <c r="F4419" s="89">
        <v>0</v>
      </c>
      <c r="G4419" s="89">
        <v>0</v>
      </c>
      <c r="H4419" s="89">
        <v>0</v>
      </c>
      <c r="I4419" s="89">
        <v>0</v>
      </c>
      <c r="J4419" s="710">
        <f>(VLOOKUP($C4419,[2]Sheet1!$A$2:$P$18,$M4419+1)/12)*12*D4419</f>
        <v>0</v>
      </c>
      <c r="K4419" s="711"/>
      <c r="M4419" s="62">
        <f t="shared" si="334"/>
        <v>3</v>
      </c>
    </row>
    <row r="4420" spans="1:13">
      <c r="A4420" s="88">
        <f t="shared" si="336"/>
        <v>363</v>
      </c>
      <c r="B4420" s="69" t="s">
        <v>1564</v>
      </c>
      <c r="C4420" s="69">
        <v>8</v>
      </c>
      <c r="D4420" s="143">
        <v>0</v>
      </c>
      <c r="E4420" s="143">
        <v>0</v>
      </c>
      <c r="F4420" s="143">
        <v>0</v>
      </c>
      <c r="G4420" s="143">
        <v>0</v>
      </c>
      <c r="H4420" s="143">
        <v>0</v>
      </c>
      <c r="I4420" s="143">
        <v>0</v>
      </c>
      <c r="J4420" s="710">
        <f>(VLOOKUP($C4420,[2]Sheet1!$A$2:$P$18,$M4420+1)/12)*12*D4420</f>
        <v>0</v>
      </c>
      <c r="K4420" s="711"/>
      <c r="M4420" s="62">
        <f t="shared" si="334"/>
        <v>3</v>
      </c>
    </row>
    <row r="4421" spans="1:13">
      <c r="A4421" s="88">
        <f t="shared" si="336"/>
        <v>364</v>
      </c>
      <c r="B4421" s="69" t="s">
        <v>2127</v>
      </c>
      <c r="C4421" s="69">
        <v>14</v>
      </c>
      <c r="D4421" s="143">
        <v>0</v>
      </c>
      <c r="E4421" s="143">
        <v>0</v>
      </c>
      <c r="F4421" s="143">
        <v>0</v>
      </c>
      <c r="G4421" s="143">
        <v>0</v>
      </c>
      <c r="H4421" s="143">
        <v>0</v>
      </c>
      <c r="I4421" s="143">
        <v>0</v>
      </c>
      <c r="J4421" s="710">
        <f>(VLOOKUP($C4421,[2]Sheet1!$A$2:$P$18,$M4421+1)/12)*12*D4421</f>
        <v>0</v>
      </c>
      <c r="K4421" s="711"/>
      <c r="M4421" s="62">
        <f t="shared" si="334"/>
        <v>3</v>
      </c>
    </row>
    <row r="4422" spans="1:13">
      <c r="A4422" s="88">
        <f t="shared" si="336"/>
        <v>365</v>
      </c>
      <c r="B4422" s="69" t="s">
        <v>2128</v>
      </c>
      <c r="C4422" s="69">
        <v>13</v>
      </c>
      <c r="D4422" s="143">
        <v>1</v>
      </c>
      <c r="E4422" s="143">
        <v>1</v>
      </c>
      <c r="F4422" s="143">
        <v>1</v>
      </c>
      <c r="G4422" s="143">
        <v>1</v>
      </c>
      <c r="H4422" s="143">
        <v>1</v>
      </c>
      <c r="I4422" s="143">
        <v>1</v>
      </c>
      <c r="J4422" s="710">
        <f>(VLOOKUP($C4422,[2]Sheet1!$A$2:$P$18,$M4422+1)/12)*12*D4422</f>
        <v>628759.53804000001</v>
      </c>
      <c r="K4422" s="711"/>
      <c r="M4422" s="62">
        <f t="shared" si="334"/>
        <v>3</v>
      </c>
    </row>
    <row r="4423" spans="1:13">
      <c r="A4423" s="88">
        <f t="shared" si="336"/>
        <v>366</v>
      </c>
      <c r="B4423" s="69" t="s">
        <v>3343</v>
      </c>
      <c r="C4423" s="69">
        <v>12</v>
      </c>
      <c r="D4423" s="143">
        <v>0</v>
      </c>
      <c r="E4423" s="143">
        <v>0</v>
      </c>
      <c r="F4423" s="143">
        <v>0</v>
      </c>
      <c r="G4423" s="143">
        <v>0</v>
      </c>
      <c r="H4423" s="143">
        <v>0</v>
      </c>
      <c r="I4423" s="143">
        <v>0</v>
      </c>
      <c r="J4423" s="710">
        <f>(VLOOKUP($C4423,[2]Sheet1!$A$2:$P$18,$M4423+1)/12)*12*D4423</f>
        <v>0</v>
      </c>
      <c r="K4423" s="711"/>
      <c r="M4423" s="62">
        <f t="shared" si="334"/>
        <v>3</v>
      </c>
    </row>
    <row r="4424" spans="1:13">
      <c r="A4424" s="88">
        <f t="shared" si="336"/>
        <v>367</v>
      </c>
      <c r="B4424" s="69" t="s">
        <v>3344</v>
      </c>
      <c r="C4424" s="69">
        <v>10</v>
      </c>
      <c r="D4424" s="143">
        <v>0</v>
      </c>
      <c r="E4424" s="143">
        <v>0</v>
      </c>
      <c r="F4424" s="143">
        <v>0</v>
      </c>
      <c r="G4424" s="143">
        <v>0</v>
      </c>
      <c r="H4424" s="143">
        <v>0</v>
      </c>
      <c r="I4424" s="143">
        <v>0</v>
      </c>
      <c r="J4424" s="710">
        <f>(VLOOKUP($C4424,[2]Sheet1!$A$2:$P$18,$M4424+1)/12)*12*D4424</f>
        <v>0</v>
      </c>
      <c r="K4424" s="711"/>
      <c r="M4424" s="62">
        <f t="shared" si="334"/>
        <v>3</v>
      </c>
    </row>
    <row r="4425" spans="1:13">
      <c r="A4425" s="88">
        <v>440</v>
      </c>
      <c r="B4425" s="69" t="s">
        <v>3345</v>
      </c>
      <c r="C4425" s="69">
        <v>9</v>
      </c>
      <c r="D4425" s="143">
        <v>0</v>
      </c>
      <c r="E4425" s="89">
        <v>0</v>
      </c>
      <c r="F4425" s="143">
        <v>0</v>
      </c>
      <c r="G4425" s="143">
        <v>0</v>
      </c>
      <c r="H4425" s="89">
        <v>0</v>
      </c>
      <c r="I4425" s="143">
        <v>0</v>
      </c>
      <c r="J4425" s="710">
        <f>(VLOOKUP($C4425,[2]Sheet1!$A$2:$P$18,$M4425+1)/12)*12*D4425</f>
        <v>0</v>
      </c>
      <c r="K4425" s="711"/>
      <c r="M4425" s="62">
        <f t="shared" si="334"/>
        <v>3</v>
      </c>
    </row>
    <row r="4426" spans="1:13">
      <c r="A4426" s="88">
        <v>441</v>
      </c>
      <c r="B4426" s="69" t="s">
        <v>3346</v>
      </c>
      <c r="C4426" s="69">
        <v>13</v>
      </c>
      <c r="D4426" s="143">
        <v>0</v>
      </c>
      <c r="E4426" s="89">
        <v>0</v>
      </c>
      <c r="F4426" s="143">
        <v>0</v>
      </c>
      <c r="G4426" s="143">
        <v>0</v>
      </c>
      <c r="H4426" s="89">
        <v>0</v>
      </c>
      <c r="I4426" s="143">
        <v>0</v>
      </c>
      <c r="J4426" s="710">
        <f>(VLOOKUP($C4426,[2]Sheet1!$A$2:$P$18,$M4426+1)/12)*12*D4426</f>
        <v>0</v>
      </c>
      <c r="K4426" s="711"/>
      <c r="M4426" s="62">
        <f t="shared" ref="M4426:M4489" si="337">IF(C4426&gt;6,3,5)</f>
        <v>3</v>
      </c>
    </row>
    <row r="4427" spans="1:13">
      <c r="A4427" s="88">
        <f t="shared" si="336"/>
        <v>442</v>
      </c>
      <c r="B4427" s="69" t="s">
        <v>1196</v>
      </c>
      <c r="C4427" s="69">
        <v>12</v>
      </c>
      <c r="D4427" s="143">
        <v>0</v>
      </c>
      <c r="E4427" s="89">
        <v>0</v>
      </c>
      <c r="F4427" s="143">
        <v>0</v>
      </c>
      <c r="G4427" s="143">
        <v>0</v>
      </c>
      <c r="H4427" s="89">
        <v>0</v>
      </c>
      <c r="I4427" s="143">
        <v>0</v>
      </c>
      <c r="J4427" s="710">
        <f>(VLOOKUP($C4427,[2]Sheet1!$A$2:$P$18,$M4427+1)/12)*12*D4427</f>
        <v>0</v>
      </c>
      <c r="K4427" s="711"/>
      <c r="M4427" s="62">
        <f t="shared" si="337"/>
        <v>3</v>
      </c>
    </row>
    <row r="4428" spans="1:13">
      <c r="A4428" s="88">
        <f t="shared" si="336"/>
        <v>443</v>
      </c>
      <c r="B4428" s="69" t="s">
        <v>1197</v>
      </c>
      <c r="C4428" s="69">
        <v>10</v>
      </c>
      <c r="D4428" s="143">
        <v>0</v>
      </c>
      <c r="E4428" s="89">
        <v>0</v>
      </c>
      <c r="F4428" s="143">
        <v>0</v>
      </c>
      <c r="G4428" s="143">
        <v>0</v>
      </c>
      <c r="H4428" s="89">
        <v>0</v>
      </c>
      <c r="I4428" s="143">
        <v>0</v>
      </c>
      <c r="J4428" s="710">
        <f>(VLOOKUP($C4428,[2]Sheet1!$A$2:$P$18,$M4428+1)/12)*12*D4428</f>
        <v>0</v>
      </c>
      <c r="K4428" s="711"/>
      <c r="M4428" s="62">
        <f t="shared" si="337"/>
        <v>3</v>
      </c>
    </row>
    <row r="4429" spans="1:13">
      <c r="A4429" s="88">
        <f t="shared" si="336"/>
        <v>444</v>
      </c>
      <c r="B4429" s="69" t="s">
        <v>1198</v>
      </c>
      <c r="C4429" s="69">
        <v>9</v>
      </c>
      <c r="D4429" s="143">
        <v>0</v>
      </c>
      <c r="E4429" s="89">
        <v>0</v>
      </c>
      <c r="F4429" s="143">
        <v>0</v>
      </c>
      <c r="G4429" s="143">
        <v>0</v>
      </c>
      <c r="H4429" s="89">
        <v>0</v>
      </c>
      <c r="I4429" s="143">
        <v>0</v>
      </c>
      <c r="J4429" s="710">
        <f>(VLOOKUP($C4429,[2]Sheet1!$A$2:$P$18,$M4429+1)/12)*12*D4429</f>
        <v>0</v>
      </c>
      <c r="K4429" s="711"/>
      <c r="M4429" s="62">
        <f t="shared" si="337"/>
        <v>3</v>
      </c>
    </row>
    <row r="4430" spans="1:13">
      <c r="A4430" s="88">
        <f t="shared" si="336"/>
        <v>445</v>
      </c>
      <c r="B4430" s="69" t="s">
        <v>2880</v>
      </c>
      <c r="C4430" s="69">
        <v>8</v>
      </c>
      <c r="D4430" s="143">
        <v>0</v>
      </c>
      <c r="E4430" s="89">
        <v>0</v>
      </c>
      <c r="F4430" s="143">
        <v>0</v>
      </c>
      <c r="G4430" s="143">
        <v>0</v>
      </c>
      <c r="H4430" s="89">
        <v>0</v>
      </c>
      <c r="I4430" s="143">
        <v>0</v>
      </c>
      <c r="J4430" s="710">
        <f>(VLOOKUP($C4430,[2]Sheet1!$A$2:$P$18,$M4430+1)/12)*12*D4430</f>
        <v>0</v>
      </c>
      <c r="K4430" s="711"/>
      <c r="M4430" s="62">
        <f t="shared" si="337"/>
        <v>3</v>
      </c>
    </row>
    <row r="4431" spans="1:13">
      <c r="A4431" s="88">
        <f t="shared" si="336"/>
        <v>446</v>
      </c>
      <c r="B4431" s="69" t="s">
        <v>2881</v>
      </c>
      <c r="C4431" s="69">
        <v>7</v>
      </c>
      <c r="D4431" s="143">
        <v>0</v>
      </c>
      <c r="E4431" s="89">
        <v>0</v>
      </c>
      <c r="F4431" s="143">
        <v>0</v>
      </c>
      <c r="G4431" s="143">
        <v>0</v>
      </c>
      <c r="H4431" s="89">
        <v>0</v>
      </c>
      <c r="I4431" s="143">
        <v>0</v>
      </c>
      <c r="J4431" s="710">
        <f>(VLOOKUP($C4431,[2]Sheet1!$A$2:$P$18,$M4431+1)/12)*12*D4431</f>
        <v>0</v>
      </c>
      <c r="K4431" s="711"/>
      <c r="M4431" s="62">
        <f t="shared" si="337"/>
        <v>3</v>
      </c>
    </row>
    <row r="4432" spans="1:13">
      <c r="A4432" s="88">
        <f>+A4431+1</f>
        <v>447</v>
      </c>
      <c r="B4432" s="69" t="s">
        <v>2882</v>
      </c>
      <c r="C4432" s="69">
        <v>8</v>
      </c>
      <c r="D4432" s="143">
        <v>0</v>
      </c>
      <c r="E4432" s="143">
        <v>0</v>
      </c>
      <c r="F4432" s="143">
        <v>0</v>
      </c>
      <c r="G4432" s="143">
        <v>0</v>
      </c>
      <c r="H4432" s="143">
        <v>0</v>
      </c>
      <c r="I4432" s="143">
        <v>0</v>
      </c>
      <c r="J4432" s="710">
        <f>(VLOOKUP($C4432,[2]Sheet1!$A$2:$P$18,$M4432+1)/12)*12*D4432</f>
        <v>0</v>
      </c>
      <c r="K4432" s="711"/>
      <c r="M4432" s="62">
        <f t="shared" si="337"/>
        <v>3</v>
      </c>
    </row>
    <row r="4433" spans="1:13">
      <c r="A4433" s="88">
        <f t="shared" si="336"/>
        <v>448</v>
      </c>
      <c r="B4433" s="69" t="s">
        <v>2883</v>
      </c>
      <c r="C4433" s="69">
        <v>7</v>
      </c>
      <c r="D4433" s="143">
        <v>1</v>
      </c>
      <c r="E4433" s="143">
        <v>1</v>
      </c>
      <c r="F4433" s="143">
        <v>1</v>
      </c>
      <c r="G4433" s="143">
        <v>1</v>
      </c>
      <c r="H4433" s="143">
        <v>1</v>
      </c>
      <c r="I4433" s="143">
        <v>1</v>
      </c>
      <c r="J4433" s="710">
        <f>(VLOOKUP($C4433,[2]Sheet1!$A$2:$P$18,$M4433+1)/12)*12*D4433</f>
        <v>307706.70240000007</v>
      </c>
      <c r="K4433" s="711"/>
      <c r="M4433" s="62">
        <f t="shared" si="337"/>
        <v>3</v>
      </c>
    </row>
    <row r="4434" spans="1:13">
      <c r="A4434" s="88">
        <f t="shared" si="336"/>
        <v>449</v>
      </c>
      <c r="B4434" s="69" t="s">
        <v>1655</v>
      </c>
      <c r="C4434" s="69">
        <v>6</v>
      </c>
      <c r="D4434" s="143">
        <v>0</v>
      </c>
      <c r="E4434" s="143">
        <v>0</v>
      </c>
      <c r="F4434" s="143">
        <v>0</v>
      </c>
      <c r="G4434" s="143">
        <v>0</v>
      </c>
      <c r="H4434" s="143">
        <v>0</v>
      </c>
      <c r="I4434" s="143">
        <v>0</v>
      </c>
      <c r="J4434" s="710">
        <f>(VLOOKUP($C4434,[2]Sheet1!$A$2:$P$18,$M4434+1)/12)*12*D4434</f>
        <v>0</v>
      </c>
      <c r="K4434" s="711"/>
      <c r="M4434" s="62">
        <f t="shared" si="337"/>
        <v>5</v>
      </c>
    </row>
    <row r="4435" spans="1:13">
      <c r="A4435" s="88">
        <f t="shared" si="336"/>
        <v>450</v>
      </c>
      <c r="B4435" s="69" t="s">
        <v>1656</v>
      </c>
      <c r="C4435" s="69">
        <v>5</v>
      </c>
      <c r="D4435" s="143">
        <v>0</v>
      </c>
      <c r="E4435" s="143">
        <v>0</v>
      </c>
      <c r="F4435" s="143">
        <v>0</v>
      </c>
      <c r="G4435" s="143">
        <v>0</v>
      </c>
      <c r="H4435" s="143">
        <v>0</v>
      </c>
      <c r="I4435" s="143">
        <v>0</v>
      </c>
      <c r="J4435" s="710">
        <f>(VLOOKUP($C4435,[2]Sheet1!$A$2:$P$18,$M4435+1)/12)*12*D4435</f>
        <v>0</v>
      </c>
      <c r="K4435" s="711"/>
      <c r="M4435" s="62">
        <f t="shared" si="337"/>
        <v>5</v>
      </c>
    </row>
    <row r="4436" spans="1:13">
      <c r="A4436" s="88">
        <f t="shared" si="336"/>
        <v>451</v>
      </c>
      <c r="B4436" s="69" t="s">
        <v>1657</v>
      </c>
      <c r="C4436" s="69">
        <v>4</v>
      </c>
      <c r="D4436" s="143">
        <v>0</v>
      </c>
      <c r="E4436" s="89">
        <v>1</v>
      </c>
      <c r="F4436" s="143">
        <v>0</v>
      </c>
      <c r="G4436" s="143">
        <v>0</v>
      </c>
      <c r="H4436" s="89">
        <v>1</v>
      </c>
      <c r="I4436" s="143">
        <v>0</v>
      </c>
      <c r="J4436" s="710">
        <f>(VLOOKUP($C4436,[2]Sheet1!$A$2:$P$18,$M4436+1)/12)*12*D4436</f>
        <v>0</v>
      </c>
      <c r="K4436" s="711"/>
      <c r="M4436" s="62">
        <f t="shared" si="337"/>
        <v>5</v>
      </c>
    </row>
    <row r="4437" spans="1:13" ht="13.5" thickBot="1">
      <c r="A4437" s="88">
        <f t="shared" si="336"/>
        <v>452</v>
      </c>
      <c r="B4437" s="69" t="s">
        <v>2874</v>
      </c>
      <c r="C4437" s="69">
        <v>4</v>
      </c>
      <c r="D4437" s="143">
        <v>0</v>
      </c>
      <c r="E4437" s="89">
        <v>0</v>
      </c>
      <c r="F4437" s="143">
        <v>0</v>
      </c>
      <c r="G4437" s="143">
        <v>0</v>
      </c>
      <c r="H4437" s="89">
        <v>0</v>
      </c>
      <c r="I4437" s="143">
        <v>0</v>
      </c>
      <c r="J4437" s="710">
        <f>(VLOOKUP($C4437,[2]Sheet1!$A$2:$P$18,$M4437+1)/12)*12*D4437</f>
        <v>0</v>
      </c>
      <c r="K4437" s="711"/>
      <c r="M4437" s="62">
        <f t="shared" si="337"/>
        <v>5</v>
      </c>
    </row>
    <row r="4438" spans="1:13" ht="15.75" thickTop="1">
      <c r="A4438" s="1047" t="s">
        <v>2791</v>
      </c>
      <c r="B4438" s="1049" t="s">
        <v>4126</v>
      </c>
      <c r="C4438" s="1049" t="s">
        <v>854</v>
      </c>
      <c r="D4438" s="1040" t="s">
        <v>4127</v>
      </c>
      <c r="E4438" s="1041"/>
      <c r="F4438" s="1041"/>
      <c r="G4438" s="1040" t="s">
        <v>904</v>
      </c>
      <c r="H4438" s="1041"/>
      <c r="I4438" s="1042"/>
      <c r="J4438" s="1035" t="s">
        <v>855</v>
      </c>
      <c r="K4438" s="389"/>
    </row>
    <row r="4439" spans="1:13" ht="26.25" thickBot="1">
      <c r="A4439" s="1048"/>
      <c r="B4439" s="1050"/>
      <c r="C4439" s="1050"/>
      <c r="D4439" s="285" t="s">
        <v>5505</v>
      </c>
      <c r="E4439" s="285" t="s">
        <v>4485</v>
      </c>
      <c r="F4439" s="285" t="s">
        <v>4486</v>
      </c>
      <c r="G4439" s="287" t="s">
        <v>4487</v>
      </c>
      <c r="H4439" s="285" t="s">
        <v>4488</v>
      </c>
      <c r="I4439" s="287" t="s">
        <v>4489</v>
      </c>
      <c r="J4439" s="1036"/>
      <c r="K4439" s="712"/>
    </row>
    <row r="4440" spans="1:13" ht="13.5" thickTop="1">
      <c r="A4440" s="88"/>
      <c r="B4440" s="90" t="s">
        <v>1992</v>
      </c>
      <c r="C4440" s="69"/>
      <c r="D4440" s="89"/>
      <c r="E4440" s="89"/>
      <c r="F4440" s="89"/>
      <c r="G4440" s="89"/>
      <c r="H4440" s="89"/>
      <c r="I4440" s="89"/>
      <c r="J4440" s="710"/>
      <c r="K4440" s="711"/>
      <c r="M4440" s="62">
        <f t="shared" si="337"/>
        <v>5</v>
      </c>
    </row>
    <row r="4441" spans="1:13">
      <c r="A4441" s="88">
        <f>+A4437+1</f>
        <v>453</v>
      </c>
      <c r="B4441" s="69" t="s">
        <v>3532</v>
      </c>
      <c r="C4441" s="69">
        <v>16</v>
      </c>
      <c r="D4441" s="89">
        <v>1</v>
      </c>
      <c r="E4441" s="89">
        <v>1</v>
      </c>
      <c r="F4441" s="89">
        <v>1</v>
      </c>
      <c r="G4441" s="89">
        <v>1</v>
      </c>
      <c r="H4441" s="89">
        <v>1</v>
      </c>
      <c r="I4441" s="89">
        <v>1</v>
      </c>
      <c r="J4441" s="710">
        <f>(VLOOKUP($C4441,[2]Sheet1!$A$2:$P$18,$M4441+1)/12)*12*D4441</f>
        <v>677281.26084</v>
      </c>
      <c r="K4441" s="711"/>
      <c r="M4441" s="62">
        <f t="shared" si="337"/>
        <v>3</v>
      </c>
    </row>
    <row r="4442" spans="1:13">
      <c r="A4442" s="88">
        <f>A4441+1</f>
        <v>454</v>
      </c>
      <c r="B4442" s="69" t="s">
        <v>1256</v>
      </c>
      <c r="C4442" s="69">
        <v>15</v>
      </c>
      <c r="D4442" s="143">
        <v>0</v>
      </c>
      <c r="E4442" s="143">
        <v>0</v>
      </c>
      <c r="F4442" s="143">
        <v>0</v>
      </c>
      <c r="G4442" s="143">
        <v>0</v>
      </c>
      <c r="H4442" s="143">
        <v>0</v>
      </c>
      <c r="I4442" s="143">
        <v>0</v>
      </c>
      <c r="J4442" s="710">
        <f>(VLOOKUP($C4442,[2]Sheet1!$A$2:$P$18,$M4442+1)/12)*12*D4442</f>
        <v>0</v>
      </c>
      <c r="K4442" s="711"/>
      <c r="M4442" s="62">
        <f t="shared" si="337"/>
        <v>3</v>
      </c>
    </row>
    <row r="4443" spans="1:13">
      <c r="A4443" s="88">
        <f>+A4442+1</f>
        <v>455</v>
      </c>
      <c r="B4443" s="69" t="s">
        <v>1993</v>
      </c>
      <c r="C4443" s="69">
        <v>14</v>
      </c>
      <c r="D4443" s="143">
        <v>1</v>
      </c>
      <c r="E4443" s="143">
        <v>1</v>
      </c>
      <c r="F4443" s="143">
        <v>1</v>
      </c>
      <c r="G4443" s="143">
        <v>1</v>
      </c>
      <c r="H4443" s="143">
        <v>1</v>
      </c>
      <c r="I4443" s="143">
        <v>1</v>
      </c>
      <c r="J4443" s="710">
        <f>(VLOOKUP($C4443,[2]Sheet1!$A$2:$P$18,$M4443+1)/12)*12*D4443</f>
        <v>669099.40824000002</v>
      </c>
      <c r="K4443" s="711"/>
      <c r="M4443" s="62">
        <f t="shared" si="337"/>
        <v>3</v>
      </c>
    </row>
    <row r="4444" spans="1:13">
      <c r="A4444" s="88">
        <f t="shared" si="336"/>
        <v>456</v>
      </c>
      <c r="B4444" s="69" t="s">
        <v>1994</v>
      </c>
      <c r="C4444" s="69">
        <v>14</v>
      </c>
      <c r="D4444" s="143">
        <v>1</v>
      </c>
      <c r="E4444" s="143">
        <v>1</v>
      </c>
      <c r="F4444" s="143">
        <v>1</v>
      </c>
      <c r="G4444" s="143">
        <v>1</v>
      </c>
      <c r="H4444" s="143">
        <v>1</v>
      </c>
      <c r="I4444" s="143">
        <v>1</v>
      </c>
      <c r="J4444" s="710">
        <f>(VLOOKUP($C4444,[2]Sheet1!$A$2:$P$18,$M4444+1)/12)*12*D4444</f>
        <v>669099.40824000002</v>
      </c>
      <c r="K4444" s="711"/>
      <c r="M4444" s="62">
        <f t="shared" si="337"/>
        <v>3</v>
      </c>
    </row>
    <row r="4445" spans="1:13">
      <c r="A4445" s="88">
        <f>+A4444+1</f>
        <v>457</v>
      </c>
      <c r="B4445" s="69" t="s">
        <v>3936</v>
      </c>
      <c r="C4445" s="69">
        <v>14</v>
      </c>
      <c r="D4445" s="143">
        <v>0</v>
      </c>
      <c r="E4445" s="143">
        <v>0</v>
      </c>
      <c r="F4445" s="143">
        <v>0</v>
      </c>
      <c r="G4445" s="143">
        <v>0</v>
      </c>
      <c r="H4445" s="143">
        <v>0</v>
      </c>
      <c r="I4445" s="143">
        <v>0</v>
      </c>
      <c r="J4445" s="710">
        <f>(VLOOKUP($C4445,[2]Sheet1!$A$2:$P$18,$M4445+1)/12)*12*D4445</f>
        <v>0</v>
      </c>
      <c r="K4445" s="711"/>
      <c r="M4445" s="62">
        <f t="shared" si="337"/>
        <v>3</v>
      </c>
    </row>
    <row r="4446" spans="1:13">
      <c r="A4446" s="88">
        <f t="shared" si="336"/>
        <v>458</v>
      </c>
      <c r="B4446" s="69" t="s">
        <v>2383</v>
      </c>
      <c r="C4446" s="69">
        <v>14</v>
      </c>
      <c r="D4446" s="143">
        <v>0</v>
      </c>
      <c r="E4446" s="143">
        <v>0</v>
      </c>
      <c r="F4446" s="143">
        <v>0</v>
      </c>
      <c r="G4446" s="143">
        <v>0</v>
      </c>
      <c r="H4446" s="143">
        <v>0</v>
      </c>
      <c r="I4446" s="143">
        <v>0</v>
      </c>
      <c r="J4446" s="710">
        <f>(VLOOKUP($C4446,[2]Sheet1!$A$2:$P$18,$M4446+1)/12)*12*D4446</f>
        <v>0</v>
      </c>
      <c r="K4446" s="711"/>
      <c r="M4446" s="62">
        <f t="shared" si="337"/>
        <v>3</v>
      </c>
    </row>
    <row r="4447" spans="1:13">
      <c r="A4447" s="88">
        <f t="shared" si="336"/>
        <v>459</v>
      </c>
      <c r="B4447" s="69" t="s">
        <v>1952</v>
      </c>
      <c r="C4447" s="69">
        <v>12</v>
      </c>
      <c r="D4447" s="143">
        <v>0</v>
      </c>
      <c r="E4447" s="143">
        <v>0</v>
      </c>
      <c r="F4447" s="143">
        <v>0</v>
      </c>
      <c r="G4447" s="143">
        <v>0</v>
      </c>
      <c r="H4447" s="143">
        <v>0</v>
      </c>
      <c r="I4447" s="143">
        <v>0</v>
      </c>
      <c r="J4447" s="710">
        <f>(VLOOKUP($C4447,[2]Sheet1!$A$2:$P$18,$M4447+1)/12)*12*D4447</f>
        <v>0</v>
      </c>
      <c r="K4447" s="711"/>
      <c r="M4447" s="62">
        <f t="shared" si="337"/>
        <v>3</v>
      </c>
    </row>
    <row r="4448" spans="1:13">
      <c r="A4448" s="88"/>
      <c r="B4448" s="90" t="s">
        <v>2167</v>
      </c>
      <c r="C4448" s="69"/>
      <c r="D4448" s="89"/>
      <c r="E4448" s="89"/>
      <c r="F4448" s="89"/>
      <c r="G4448" s="89"/>
      <c r="H4448" s="89"/>
      <c r="I4448" s="89"/>
      <c r="J4448" s="710"/>
      <c r="K4448" s="711"/>
      <c r="M4448" s="62">
        <f t="shared" si="337"/>
        <v>5</v>
      </c>
    </row>
    <row r="4449" spans="1:13">
      <c r="A4449" s="88">
        <f>+A4447+1</f>
        <v>460</v>
      </c>
      <c r="B4449" s="69" t="s">
        <v>3532</v>
      </c>
      <c r="C4449" s="69">
        <v>16</v>
      </c>
      <c r="D4449" s="143">
        <v>1</v>
      </c>
      <c r="E4449" s="89">
        <v>1</v>
      </c>
      <c r="F4449" s="143">
        <v>1</v>
      </c>
      <c r="G4449" s="143">
        <v>1</v>
      </c>
      <c r="H4449" s="89">
        <v>1</v>
      </c>
      <c r="I4449" s="143">
        <v>1</v>
      </c>
      <c r="J4449" s="710">
        <f>(VLOOKUP($C4449,[2]Sheet1!$A$2:$P$18,$M4449+1)/12)*12*D4449</f>
        <v>677281.26084</v>
      </c>
      <c r="K4449" s="711"/>
      <c r="M4449" s="62">
        <f t="shared" si="337"/>
        <v>3</v>
      </c>
    </row>
    <row r="4450" spans="1:13">
      <c r="A4450" s="88">
        <f t="shared" si="336"/>
        <v>461</v>
      </c>
      <c r="B4450" s="69" t="s">
        <v>1256</v>
      </c>
      <c r="C4450" s="69">
        <v>15</v>
      </c>
      <c r="D4450" s="89">
        <v>2</v>
      </c>
      <c r="E4450" s="89">
        <v>2</v>
      </c>
      <c r="F4450" s="89">
        <v>2</v>
      </c>
      <c r="G4450" s="89">
        <v>2</v>
      </c>
      <c r="H4450" s="89">
        <v>2</v>
      </c>
      <c r="I4450" s="89">
        <v>2</v>
      </c>
      <c r="J4450" s="710">
        <f>(VLOOKUP($C4450,[2]Sheet1!$A$2:$P$18,$M4450+1)/12)*12*D4450</f>
        <v>1316663.79984</v>
      </c>
      <c r="K4450" s="711"/>
      <c r="M4450" s="62">
        <f t="shared" si="337"/>
        <v>3</v>
      </c>
    </row>
    <row r="4451" spans="1:13">
      <c r="A4451" s="88">
        <f t="shared" si="336"/>
        <v>462</v>
      </c>
      <c r="B4451" s="69" t="s">
        <v>891</v>
      </c>
      <c r="C4451" s="69">
        <v>14</v>
      </c>
      <c r="D4451" s="143">
        <v>0</v>
      </c>
      <c r="E4451" s="89">
        <v>0</v>
      </c>
      <c r="F4451" s="143">
        <v>0</v>
      </c>
      <c r="G4451" s="143">
        <v>0</v>
      </c>
      <c r="H4451" s="89">
        <v>0</v>
      </c>
      <c r="I4451" s="143">
        <v>0</v>
      </c>
      <c r="J4451" s="710">
        <f>(VLOOKUP($C4451,[2]Sheet1!$A$2:$P$18,$M4451+1)/12)*12*D4451</f>
        <v>0</v>
      </c>
      <c r="K4451" s="711"/>
      <c r="M4451" s="62">
        <f t="shared" si="337"/>
        <v>3</v>
      </c>
    </row>
    <row r="4452" spans="1:13">
      <c r="A4452" s="88">
        <f>+A4451+1</f>
        <v>463</v>
      </c>
      <c r="B4452" s="69" t="s">
        <v>2164</v>
      </c>
      <c r="C4452" s="69">
        <v>14</v>
      </c>
      <c r="D4452" s="89">
        <v>0</v>
      </c>
      <c r="E4452" s="89">
        <v>1</v>
      </c>
      <c r="F4452" s="89">
        <v>0</v>
      </c>
      <c r="G4452" s="89">
        <v>0</v>
      </c>
      <c r="H4452" s="89">
        <v>1</v>
      </c>
      <c r="I4452" s="89">
        <v>0</v>
      </c>
      <c r="J4452" s="710">
        <f>(VLOOKUP($C4452,[2]Sheet1!$A$2:$P$18,$M4452+1)/12)*12*D4452</f>
        <v>0</v>
      </c>
      <c r="K4452" s="711"/>
      <c r="M4452" s="62">
        <f t="shared" si="337"/>
        <v>3</v>
      </c>
    </row>
    <row r="4453" spans="1:13">
      <c r="A4453" s="88">
        <f>+A4452+1</f>
        <v>464</v>
      </c>
      <c r="B4453" s="69" t="s">
        <v>2165</v>
      </c>
      <c r="C4453" s="69">
        <v>13</v>
      </c>
      <c r="D4453" s="89">
        <v>1</v>
      </c>
      <c r="E4453" s="89">
        <v>1</v>
      </c>
      <c r="F4453" s="89">
        <v>1</v>
      </c>
      <c r="G4453" s="89">
        <v>1</v>
      </c>
      <c r="H4453" s="89">
        <v>1</v>
      </c>
      <c r="I4453" s="89">
        <v>1</v>
      </c>
      <c r="J4453" s="710">
        <f>(VLOOKUP($C4453,[2]Sheet1!$A$2:$P$18,$M4453+1)/12)*12*D4453</f>
        <v>628759.53804000001</v>
      </c>
      <c r="K4453" s="711"/>
      <c r="M4453" s="62">
        <f t="shared" si="337"/>
        <v>3</v>
      </c>
    </row>
    <row r="4454" spans="1:13">
      <c r="A4454" s="88">
        <f t="shared" si="336"/>
        <v>465</v>
      </c>
      <c r="B4454" s="69" t="s">
        <v>2166</v>
      </c>
      <c r="C4454" s="69">
        <v>12</v>
      </c>
      <c r="D4454" s="143">
        <v>0</v>
      </c>
      <c r="E4454" s="89">
        <v>0</v>
      </c>
      <c r="F4454" s="143">
        <v>0</v>
      </c>
      <c r="G4454" s="143">
        <v>0</v>
      </c>
      <c r="H4454" s="89">
        <v>0</v>
      </c>
      <c r="I4454" s="143">
        <v>0</v>
      </c>
      <c r="J4454" s="710">
        <f>(VLOOKUP($C4454,[2]Sheet1!$A$2:$P$18,$M4454+1)/12)*12*D4454</f>
        <v>0</v>
      </c>
      <c r="K4454" s="711"/>
      <c r="M4454" s="62">
        <f t="shared" si="337"/>
        <v>3</v>
      </c>
    </row>
    <row r="4455" spans="1:13">
      <c r="A4455" s="88">
        <f t="shared" si="336"/>
        <v>466</v>
      </c>
      <c r="B4455" s="69" t="s">
        <v>2681</v>
      </c>
      <c r="C4455" s="69">
        <v>4</v>
      </c>
      <c r="D4455" s="89">
        <v>360</v>
      </c>
      <c r="E4455" s="89">
        <v>360</v>
      </c>
      <c r="F4455" s="89">
        <v>360</v>
      </c>
      <c r="G4455" s="89">
        <v>360</v>
      </c>
      <c r="H4455" s="89">
        <v>150</v>
      </c>
      <c r="I4455" s="89">
        <v>360</v>
      </c>
      <c r="J4455" s="710">
        <f>(VLOOKUP($C4455,[2]Sheet1!$A$2:$P$18,$M4455+1)/12)*12*D4455</f>
        <v>80835472.414931402</v>
      </c>
      <c r="K4455" s="711"/>
      <c r="M4455" s="62">
        <f t="shared" si="337"/>
        <v>5</v>
      </c>
    </row>
    <row r="4456" spans="1:13">
      <c r="A4456" s="88"/>
      <c r="B4456" s="90" t="s">
        <v>2521</v>
      </c>
      <c r="C4456" s="69"/>
      <c r="D4456" s="89"/>
      <c r="E4456" s="89"/>
      <c r="F4456" s="89"/>
      <c r="G4456" s="89"/>
      <c r="H4456" s="89"/>
      <c r="I4456" s="89"/>
      <c r="J4456" s="710"/>
      <c r="K4456" s="711"/>
      <c r="M4456" s="62">
        <f t="shared" si="337"/>
        <v>5</v>
      </c>
    </row>
    <row r="4457" spans="1:13">
      <c r="A4457" s="88">
        <f>+A4455+1</f>
        <v>467</v>
      </c>
      <c r="B4457" s="69" t="s">
        <v>2867</v>
      </c>
      <c r="C4457" s="69">
        <v>7</v>
      </c>
      <c r="D4457" s="89">
        <v>2</v>
      </c>
      <c r="E4457" s="89">
        <v>4</v>
      </c>
      <c r="F4457" s="89">
        <v>2</v>
      </c>
      <c r="G4457" s="89">
        <v>2</v>
      </c>
      <c r="H4457" s="89">
        <v>4</v>
      </c>
      <c r="I4457" s="89">
        <v>2</v>
      </c>
      <c r="J4457" s="710">
        <f>(VLOOKUP($C4457,[2]Sheet1!$A$2:$P$18,$M4457+1)/12)*12*D4457</f>
        <v>615413.40480000013</v>
      </c>
      <c r="K4457" s="711"/>
      <c r="M4457" s="62">
        <f t="shared" si="337"/>
        <v>3</v>
      </c>
    </row>
    <row r="4458" spans="1:13">
      <c r="A4458" s="88">
        <f t="shared" si="336"/>
        <v>468</v>
      </c>
      <c r="B4458" s="69" t="s">
        <v>2522</v>
      </c>
      <c r="C4458" s="69">
        <v>6</v>
      </c>
      <c r="D4458" s="89">
        <v>7</v>
      </c>
      <c r="E4458" s="89">
        <v>7</v>
      </c>
      <c r="F4458" s="89">
        <v>7</v>
      </c>
      <c r="G4458" s="89">
        <v>7</v>
      </c>
      <c r="H4458" s="89">
        <v>7</v>
      </c>
      <c r="I4458" s="89">
        <v>7</v>
      </c>
      <c r="J4458" s="710">
        <f>(VLOOKUP($C4458,[2]Sheet1!$A$2:$P$18,$M4458+1)/12)*12*D4458</f>
        <v>1666695.6525125548</v>
      </c>
      <c r="K4458" s="711"/>
      <c r="M4458" s="62">
        <f t="shared" si="337"/>
        <v>5</v>
      </c>
    </row>
    <row r="4459" spans="1:13">
      <c r="A4459" s="88">
        <f t="shared" si="336"/>
        <v>469</v>
      </c>
      <c r="B4459" s="69" t="s">
        <v>336</v>
      </c>
      <c r="C4459" s="69">
        <v>5</v>
      </c>
      <c r="D4459" s="143">
        <v>0</v>
      </c>
      <c r="E4459" s="89">
        <v>0</v>
      </c>
      <c r="F4459" s="143">
        <v>0</v>
      </c>
      <c r="G4459" s="143">
        <v>0</v>
      </c>
      <c r="H4459" s="89">
        <v>0</v>
      </c>
      <c r="I4459" s="143">
        <v>0</v>
      </c>
      <c r="J4459" s="710">
        <f>(VLOOKUP($C4459,[2]Sheet1!$A$2:$P$18,$M4459+1)/12)*12*D4459</f>
        <v>0</v>
      </c>
      <c r="K4459" s="711"/>
      <c r="M4459" s="62">
        <f t="shared" si="337"/>
        <v>5</v>
      </c>
    </row>
    <row r="4460" spans="1:13">
      <c r="A4460" s="88">
        <f t="shared" si="336"/>
        <v>470</v>
      </c>
      <c r="B4460" s="69" t="s">
        <v>2537</v>
      </c>
      <c r="C4460" s="69">
        <v>4</v>
      </c>
      <c r="D4460" s="143">
        <v>0</v>
      </c>
      <c r="E4460" s="89">
        <v>0</v>
      </c>
      <c r="F4460" s="143">
        <v>0</v>
      </c>
      <c r="G4460" s="143">
        <v>0</v>
      </c>
      <c r="H4460" s="89">
        <v>0</v>
      </c>
      <c r="I4460" s="143">
        <v>0</v>
      </c>
      <c r="J4460" s="710">
        <f>(VLOOKUP($C4460,[2]Sheet1!$A$2:$P$18,$M4460+1)/12)*12*D4460</f>
        <v>0</v>
      </c>
      <c r="K4460" s="711"/>
      <c r="M4460" s="62">
        <f t="shared" si="337"/>
        <v>5</v>
      </c>
    </row>
    <row r="4461" spans="1:13">
      <c r="A4461" s="88">
        <f t="shared" si="336"/>
        <v>471</v>
      </c>
      <c r="B4461" s="69" t="s">
        <v>2135</v>
      </c>
      <c r="C4461" s="69">
        <v>3</v>
      </c>
      <c r="D4461" s="89">
        <v>3</v>
      </c>
      <c r="E4461" s="89">
        <v>3</v>
      </c>
      <c r="F4461" s="89">
        <v>3</v>
      </c>
      <c r="G4461" s="89">
        <v>3</v>
      </c>
      <c r="H4461" s="89">
        <v>3</v>
      </c>
      <c r="I4461" s="89">
        <v>3</v>
      </c>
      <c r="J4461" s="710">
        <f>(VLOOKUP($C4461,[2]Sheet1!$A$2:$P$18,$M4461+1)/12)*12*D4461</f>
        <v>658008.53679109493</v>
      </c>
      <c r="K4461" s="711"/>
      <c r="M4461" s="62">
        <f t="shared" si="337"/>
        <v>5</v>
      </c>
    </row>
    <row r="4462" spans="1:13">
      <c r="A4462" s="88"/>
      <c r="B4462" s="90" t="s">
        <v>3857</v>
      </c>
      <c r="C4462" s="69"/>
      <c r="D4462" s="89"/>
      <c r="E4462" s="89"/>
      <c r="F4462" s="89"/>
      <c r="G4462" s="89"/>
      <c r="H4462" s="89"/>
      <c r="I4462" s="89"/>
      <c r="J4462" s="710"/>
      <c r="K4462" s="711"/>
      <c r="M4462" s="62">
        <f t="shared" si="337"/>
        <v>5</v>
      </c>
    </row>
    <row r="4463" spans="1:13">
      <c r="A4463" s="88">
        <f>+A4461+1</f>
        <v>472</v>
      </c>
      <c r="B4463" s="69" t="s">
        <v>798</v>
      </c>
      <c r="C4463" s="69">
        <v>6</v>
      </c>
      <c r="D4463" s="89">
        <v>0</v>
      </c>
      <c r="E4463" s="89">
        <v>0</v>
      </c>
      <c r="F4463" s="89">
        <v>0</v>
      </c>
      <c r="G4463" s="89">
        <v>0</v>
      </c>
      <c r="H4463" s="89">
        <v>0</v>
      </c>
      <c r="I4463" s="89">
        <v>0</v>
      </c>
      <c r="J4463" s="710">
        <f>(VLOOKUP($C4463,[2]Sheet1!$A$2:$P$18,$M4463+1)/12)*12*D4463</f>
        <v>0</v>
      </c>
      <c r="K4463" s="711"/>
      <c r="M4463" s="62">
        <f t="shared" si="337"/>
        <v>5</v>
      </c>
    </row>
    <row r="4464" spans="1:13">
      <c r="A4464" s="88">
        <f t="shared" ref="A4464:A4487" si="338">+A4463+1</f>
        <v>473</v>
      </c>
      <c r="B4464" s="69" t="s">
        <v>583</v>
      </c>
      <c r="C4464" s="69">
        <v>5</v>
      </c>
      <c r="D4464" s="143">
        <v>0</v>
      </c>
      <c r="E4464" s="89">
        <v>0</v>
      </c>
      <c r="F4464" s="143">
        <v>0</v>
      </c>
      <c r="G4464" s="143">
        <v>0</v>
      </c>
      <c r="H4464" s="89">
        <v>0</v>
      </c>
      <c r="I4464" s="143">
        <v>0</v>
      </c>
      <c r="J4464" s="710">
        <f>(VLOOKUP($C4464,[2]Sheet1!$A$2:$P$18,$M4464+1)/12)*12*D4464</f>
        <v>0</v>
      </c>
      <c r="K4464" s="711"/>
      <c r="M4464" s="62">
        <f t="shared" si="337"/>
        <v>5</v>
      </c>
    </row>
    <row r="4465" spans="1:13">
      <c r="A4465" s="88">
        <f t="shared" si="338"/>
        <v>474</v>
      </c>
      <c r="B4465" s="69" t="s">
        <v>2874</v>
      </c>
      <c r="C4465" s="69">
        <v>4</v>
      </c>
      <c r="D4465" s="143">
        <v>0</v>
      </c>
      <c r="E4465" s="89">
        <v>0</v>
      </c>
      <c r="F4465" s="143">
        <v>0</v>
      </c>
      <c r="G4465" s="143">
        <v>0</v>
      </c>
      <c r="H4465" s="89">
        <v>0</v>
      </c>
      <c r="I4465" s="143">
        <v>0</v>
      </c>
      <c r="J4465" s="710">
        <f>(VLOOKUP($C4465,[2]Sheet1!$A$2:$P$18,$M4465+1)/12)*12*D4465</f>
        <v>0</v>
      </c>
      <c r="K4465" s="711"/>
      <c r="M4465" s="62">
        <f t="shared" si="337"/>
        <v>5</v>
      </c>
    </row>
    <row r="4466" spans="1:13">
      <c r="A4466" s="88">
        <f t="shared" si="338"/>
        <v>475</v>
      </c>
      <c r="B4466" s="69" t="s">
        <v>2416</v>
      </c>
      <c r="C4466" s="69">
        <v>3</v>
      </c>
      <c r="D4466" s="143">
        <v>1</v>
      </c>
      <c r="E4466" s="89">
        <v>1</v>
      </c>
      <c r="F4466" s="143">
        <v>1</v>
      </c>
      <c r="G4466" s="143">
        <v>1</v>
      </c>
      <c r="H4466" s="89">
        <v>1</v>
      </c>
      <c r="I4466" s="143">
        <v>1</v>
      </c>
      <c r="J4466" s="710">
        <f>(VLOOKUP($C4466,[2]Sheet1!$A$2:$P$18,$M4466+1)/12)*12*D4466</f>
        <v>219336.17893036499</v>
      </c>
      <c r="K4466" s="711"/>
      <c r="M4466" s="62">
        <f t="shared" si="337"/>
        <v>5</v>
      </c>
    </row>
    <row r="4467" spans="1:13">
      <c r="A4467" s="88">
        <f t="shared" si="338"/>
        <v>476</v>
      </c>
      <c r="B4467" s="69" t="s">
        <v>2136</v>
      </c>
      <c r="C4467" s="69">
        <v>2</v>
      </c>
      <c r="D4467" s="143">
        <v>0</v>
      </c>
      <c r="E4467" s="89">
        <v>1</v>
      </c>
      <c r="F4467" s="143">
        <v>0</v>
      </c>
      <c r="G4467" s="143">
        <v>0</v>
      </c>
      <c r="H4467" s="89">
        <v>1</v>
      </c>
      <c r="I4467" s="143">
        <v>0</v>
      </c>
      <c r="J4467" s="710">
        <f>(VLOOKUP($C4467,[2]Sheet1!$A$2:$P$18,$M4467+1)/12)*12*D4467</f>
        <v>0</v>
      </c>
      <c r="K4467" s="711"/>
      <c r="M4467" s="62">
        <f t="shared" si="337"/>
        <v>5</v>
      </c>
    </row>
    <row r="4468" spans="1:13">
      <c r="A4468" s="88"/>
      <c r="B4468" s="90" t="s">
        <v>2161</v>
      </c>
      <c r="C4468" s="69"/>
      <c r="D4468" s="143"/>
      <c r="E4468" s="89"/>
      <c r="F4468" s="143"/>
      <c r="G4468" s="143"/>
      <c r="H4468" s="89"/>
      <c r="I4468" s="143"/>
      <c r="J4468" s="710"/>
      <c r="K4468" s="711"/>
      <c r="M4468" s="62">
        <f t="shared" si="337"/>
        <v>5</v>
      </c>
    </row>
    <row r="4469" spans="1:13">
      <c r="A4469" s="88">
        <f>+A4467+1</f>
        <v>477</v>
      </c>
      <c r="B4469" s="69" t="s">
        <v>1397</v>
      </c>
      <c r="C4469" s="69">
        <v>13</v>
      </c>
      <c r="D4469" s="143">
        <v>0</v>
      </c>
      <c r="E4469" s="89">
        <v>0</v>
      </c>
      <c r="F4469" s="143">
        <v>0</v>
      </c>
      <c r="G4469" s="143">
        <v>0</v>
      </c>
      <c r="H4469" s="89">
        <v>0</v>
      </c>
      <c r="I4469" s="143">
        <v>0</v>
      </c>
      <c r="J4469" s="710">
        <f>(VLOOKUP($C4469,[2]Sheet1!$A$2:$P$18,$M4469+1)/12)*12*D4469</f>
        <v>0</v>
      </c>
      <c r="K4469" s="711"/>
      <c r="M4469" s="62">
        <f t="shared" si="337"/>
        <v>3</v>
      </c>
    </row>
    <row r="4470" spans="1:13">
      <c r="A4470" s="88">
        <f t="shared" si="338"/>
        <v>478</v>
      </c>
      <c r="B4470" s="69" t="s">
        <v>209</v>
      </c>
      <c r="C4470" s="69">
        <v>12</v>
      </c>
      <c r="D4470" s="143">
        <v>0</v>
      </c>
      <c r="E4470" s="89">
        <v>0</v>
      </c>
      <c r="F4470" s="143">
        <v>0</v>
      </c>
      <c r="G4470" s="143">
        <v>0</v>
      </c>
      <c r="H4470" s="89">
        <v>0</v>
      </c>
      <c r="I4470" s="143">
        <v>0</v>
      </c>
      <c r="J4470" s="710">
        <f>(VLOOKUP($C4470,[2]Sheet1!$A$2:$P$18,$M4470+1)/12)*12*D4470</f>
        <v>0</v>
      </c>
      <c r="K4470" s="711"/>
      <c r="M4470" s="62">
        <f t="shared" si="337"/>
        <v>3</v>
      </c>
    </row>
    <row r="4471" spans="1:13">
      <c r="A4471" s="88">
        <f t="shared" si="338"/>
        <v>479</v>
      </c>
      <c r="B4471" s="69" t="s">
        <v>3074</v>
      </c>
      <c r="C4471" s="69">
        <v>10</v>
      </c>
      <c r="D4471" s="143">
        <v>0</v>
      </c>
      <c r="E4471" s="89">
        <v>0</v>
      </c>
      <c r="F4471" s="143">
        <v>0</v>
      </c>
      <c r="G4471" s="143">
        <v>0</v>
      </c>
      <c r="H4471" s="89">
        <v>0</v>
      </c>
      <c r="I4471" s="143">
        <v>0</v>
      </c>
      <c r="J4471" s="710">
        <f>(VLOOKUP($C4471,[2]Sheet1!$A$2:$P$18,$M4471+1)/12)*12*D4471</f>
        <v>0</v>
      </c>
      <c r="K4471" s="711"/>
      <c r="M4471" s="62">
        <f t="shared" si="337"/>
        <v>3</v>
      </c>
    </row>
    <row r="4472" spans="1:13">
      <c r="A4472" s="88">
        <f t="shared" si="338"/>
        <v>480</v>
      </c>
      <c r="B4472" s="69" t="s">
        <v>3075</v>
      </c>
      <c r="C4472" s="69">
        <v>9</v>
      </c>
      <c r="D4472" s="143">
        <v>0</v>
      </c>
      <c r="E4472" s="89">
        <v>0</v>
      </c>
      <c r="F4472" s="143">
        <v>0</v>
      </c>
      <c r="G4472" s="143">
        <v>0</v>
      </c>
      <c r="H4472" s="89">
        <v>0</v>
      </c>
      <c r="I4472" s="143">
        <v>0</v>
      </c>
      <c r="J4472" s="710">
        <f>(VLOOKUP($C4472,[2]Sheet1!$A$2:$P$18,$M4472+1)/12)*12*D4472</f>
        <v>0</v>
      </c>
      <c r="K4472" s="711"/>
      <c r="M4472" s="62">
        <f t="shared" si="337"/>
        <v>3</v>
      </c>
    </row>
    <row r="4473" spans="1:13">
      <c r="A4473" s="88">
        <f t="shared" si="338"/>
        <v>481</v>
      </c>
      <c r="B4473" s="69" t="s">
        <v>2921</v>
      </c>
      <c r="C4473" s="69">
        <v>8</v>
      </c>
      <c r="D4473" s="143">
        <v>0</v>
      </c>
      <c r="E4473" s="89">
        <v>0</v>
      </c>
      <c r="F4473" s="143">
        <v>0</v>
      </c>
      <c r="G4473" s="143">
        <v>0</v>
      </c>
      <c r="H4473" s="89">
        <v>0</v>
      </c>
      <c r="I4473" s="143">
        <v>0</v>
      </c>
      <c r="J4473" s="710">
        <f>(VLOOKUP($C4473,[2]Sheet1!$A$2:$P$18,$M4473+1)/12)*12*D4473</f>
        <v>0</v>
      </c>
      <c r="K4473" s="711"/>
      <c r="M4473" s="62">
        <f t="shared" si="337"/>
        <v>3</v>
      </c>
    </row>
    <row r="4474" spans="1:13">
      <c r="A4474" s="88">
        <f t="shared" si="338"/>
        <v>482</v>
      </c>
      <c r="B4474" s="69" t="s">
        <v>2922</v>
      </c>
      <c r="C4474" s="69">
        <v>7</v>
      </c>
      <c r="D4474" s="143">
        <v>0</v>
      </c>
      <c r="E4474" s="89">
        <v>0</v>
      </c>
      <c r="F4474" s="143">
        <v>0</v>
      </c>
      <c r="G4474" s="143">
        <v>0</v>
      </c>
      <c r="H4474" s="89">
        <v>0</v>
      </c>
      <c r="I4474" s="143">
        <v>0</v>
      </c>
      <c r="J4474" s="710">
        <f>(VLOOKUP($C4474,[2]Sheet1!$A$2:$P$18,$M4474+1)/12)*12*D4474</f>
        <v>0</v>
      </c>
      <c r="K4474" s="711"/>
      <c r="M4474" s="62">
        <f t="shared" si="337"/>
        <v>3</v>
      </c>
    </row>
    <row r="4475" spans="1:13">
      <c r="A4475" s="88">
        <f t="shared" si="338"/>
        <v>483</v>
      </c>
      <c r="B4475" s="69" t="s">
        <v>2672</v>
      </c>
      <c r="C4475" s="69">
        <v>6</v>
      </c>
      <c r="D4475" s="143">
        <v>0</v>
      </c>
      <c r="E4475" s="89">
        <v>0</v>
      </c>
      <c r="F4475" s="143">
        <v>0</v>
      </c>
      <c r="G4475" s="143">
        <v>0</v>
      </c>
      <c r="H4475" s="89">
        <v>0</v>
      </c>
      <c r="I4475" s="143">
        <v>0</v>
      </c>
      <c r="J4475" s="710">
        <f>(VLOOKUP($C4475,[2]Sheet1!$A$2:$P$18,$M4475+1)/12)*12*D4475</f>
        <v>0</v>
      </c>
      <c r="K4475" s="711"/>
      <c r="M4475" s="62">
        <f t="shared" si="337"/>
        <v>5</v>
      </c>
    </row>
    <row r="4476" spans="1:13">
      <c r="A4476" s="88">
        <f t="shared" si="338"/>
        <v>484</v>
      </c>
      <c r="B4476" s="69" t="s">
        <v>2673</v>
      </c>
      <c r="C4476" s="69">
        <v>5</v>
      </c>
      <c r="D4476" s="143">
        <v>0</v>
      </c>
      <c r="E4476" s="89">
        <v>0</v>
      </c>
      <c r="F4476" s="143">
        <v>0</v>
      </c>
      <c r="G4476" s="143">
        <v>0</v>
      </c>
      <c r="H4476" s="89">
        <v>0</v>
      </c>
      <c r="I4476" s="143">
        <v>0</v>
      </c>
      <c r="J4476" s="710">
        <f>(VLOOKUP($C4476,[2]Sheet1!$A$2:$P$18,$M4476+1)/12)*12*D4476</f>
        <v>0</v>
      </c>
      <c r="K4476" s="711"/>
      <c r="M4476" s="62">
        <f t="shared" si="337"/>
        <v>5</v>
      </c>
    </row>
    <row r="4477" spans="1:13">
      <c r="A4477" s="88">
        <f t="shared" si="338"/>
        <v>485</v>
      </c>
      <c r="B4477" s="69" t="s">
        <v>1016</v>
      </c>
      <c r="C4477" s="69">
        <v>4</v>
      </c>
      <c r="D4477" s="143">
        <v>0</v>
      </c>
      <c r="E4477" s="89">
        <v>0</v>
      </c>
      <c r="F4477" s="143">
        <v>0</v>
      </c>
      <c r="G4477" s="143">
        <v>0</v>
      </c>
      <c r="H4477" s="89">
        <v>0</v>
      </c>
      <c r="I4477" s="143">
        <v>0</v>
      </c>
      <c r="J4477" s="710">
        <f>(VLOOKUP($C4477,[2]Sheet1!$A$2:$P$18,$M4477+1)/12)*12*D4477</f>
        <v>0</v>
      </c>
      <c r="K4477" s="711"/>
      <c r="M4477" s="62">
        <f t="shared" si="337"/>
        <v>5</v>
      </c>
    </row>
    <row r="4478" spans="1:13">
      <c r="A4478" s="88">
        <f t="shared" si="338"/>
        <v>486</v>
      </c>
      <c r="B4478" s="69" t="s">
        <v>1017</v>
      </c>
      <c r="C4478" s="69">
        <v>3</v>
      </c>
      <c r="D4478" s="143">
        <v>1</v>
      </c>
      <c r="E4478" s="89">
        <v>1</v>
      </c>
      <c r="F4478" s="143">
        <v>1</v>
      </c>
      <c r="G4478" s="143">
        <v>1</v>
      </c>
      <c r="H4478" s="89">
        <v>1</v>
      </c>
      <c r="I4478" s="143">
        <v>1</v>
      </c>
      <c r="J4478" s="710">
        <f>(VLOOKUP($C4478,[2]Sheet1!$A$2:$P$18,$M4478+1)/12)*12*D4478</f>
        <v>219336.17893036499</v>
      </c>
      <c r="K4478" s="711"/>
      <c r="M4478" s="62">
        <f t="shared" si="337"/>
        <v>5</v>
      </c>
    </row>
    <row r="4479" spans="1:13">
      <c r="A4479" s="88"/>
      <c r="B4479" s="90" t="s">
        <v>1018</v>
      </c>
      <c r="C4479" s="69"/>
      <c r="D4479" s="143"/>
      <c r="E4479" s="89"/>
      <c r="F4479" s="143"/>
      <c r="G4479" s="143"/>
      <c r="H4479" s="89"/>
      <c r="I4479" s="143"/>
      <c r="J4479" s="710"/>
      <c r="K4479" s="711"/>
      <c r="M4479" s="62">
        <f t="shared" si="337"/>
        <v>5</v>
      </c>
    </row>
    <row r="4480" spans="1:13">
      <c r="A4480" s="88">
        <f>+A4478+1</f>
        <v>487</v>
      </c>
      <c r="B4480" s="69" t="s">
        <v>2548</v>
      </c>
      <c r="C4480" s="69">
        <v>14</v>
      </c>
      <c r="D4480" s="143"/>
      <c r="E4480" s="89">
        <v>1</v>
      </c>
      <c r="F4480" s="143"/>
      <c r="G4480" s="143"/>
      <c r="H4480" s="89">
        <v>1</v>
      </c>
      <c r="I4480" s="143"/>
      <c r="J4480" s="710">
        <f>(VLOOKUP($C4480,[2]Sheet1!$A$2:$P$18,$M4480+1)/12)*12*D4480</f>
        <v>0</v>
      </c>
      <c r="K4480" s="711"/>
      <c r="M4480" s="62">
        <f t="shared" si="337"/>
        <v>3</v>
      </c>
    </row>
    <row r="4481" spans="1:13">
      <c r="A4481" s="88">
        <f t="shared" si="338"/>
        <v>488</v>
      </c>
      <c r="B4481" s="69" t="s">
        <v>3812</v>
      </c>
      <c r="C4481" s="69">
        <v>12</v>
      </c>
      <c r="D4481" s="143">
        <v>1</v>
      </c>
      <c r="E4481" s="143">
        <v>1</v>
      </c>
      <c r="F4481" s="143">
        <v>1</v>
      </c>
      <c r="G4481" s="143">
        <v>1</v>
      </c>
      <c r="H4481" s="143">
        <v>1</v>
      </c>
      <c r="I4481" s="143">
        <v>1</v>
      </c>
      <c r="J4481" s="710">
        <f>(VLOOKUP($C4481,[2]Sheet1!$A$2:$P$18,$M4481+1)/12)*12*D4481</f>
        <v>552685.0537200002</v>
      </c>
      <c r="K4481" s="711"/>
      <c r="M4481" s="62">
        <f t="shared" si="337"/>
        <v>3</v>
      </c>
    </row>
    <row r="4482" spans="1:13">
      <c r="A4482" s="88">
        <f t="shared" si="338"/>
        <v>489</v>
      </c>
      <c r="B4482" s="69" t="s">
        <v>52</v>
      </c>
      <c r="C4482" s="69">
        <v>8</v>
      </c>
      <c r="D4482" s="143">
        <v>0</v>
      </c>
      <c r="E4482" s="143">
        <v>0</v>
      </c>
      <c r="F4482" s="143">
        <v>0</v>
      </c>
      <c r="G4482" s="143">
        <v>0</v>
      </c>
      <c r="H4482" s="143">
        <v>0</v>
      </c>
      <c r="I4482" s="143">
        <v>0</v>
      </c>
      <c r="J4482" s="710">
        <f>(VLOOKUP($C4482,[2]Sheet1!$A$2:$P$18,$M4482+1)/12)*12*D4482</f>
        <v>0</v>
      </c>
      <c r="K4482" s="711"/>
      <c r="M4482" s="62">
        <f t="shared" si="337"/>
        <v>3</v>
      </c>
    </row>
    <row r="4483" spans="1:13">
      <c r="A4483" s="88">
        <f t="shared" si="338"/>
        <v>490</v>
      </c>
      <c r="B4483" s="69" t="s">
        <v>1019</v>
      </c>
      <c r="C4483" s="69">
        <v>6</v>
      </c>
      <c r="D4483" s="143">
        <v>0</v>
      </c>
      <c r="E4483" s="143">
        <v>0</v>
      </c>
      <c r="F4483" s="143">
        <v>0</v>
      </c>
      <c r="G4483" s="143">
        <v>0</v>
      </c>
      <c r="H4483" s="143">
        <v>0</v>
      </c>
      <c r="I4483" s="143">
        <v>0</v>
      </c>
      <c r="J4483" s="710">
        <f>(VLOOKUP($C4483,[2]Sheet1!$A$2:$P$18,$M4483+1)/12)*12*D4483</f>
        <v>0</v>
      </c>
      <c r="K4483" s="711"/>
      <c r="M4483" s="62">
        <f t="shared" si="337"/>
        <v>5</v>
      </c>
    </row>
    <row r="4484" spans="1:13">
      <c r="A4484" s="88">
        <f t="shared" si="338"/>
        <v>491</v>
      </c>
      <c r="B4484" s="69" t="s">
        <v>1020</v>
      </c>
      <c r="C4484" s="69">
        <v>7</v>
      </c>
      <c r="D4484" s="143">
        <v>0</v>
      </c>
      <c r="E4484" s="143">
        <v>0</v>
      </c>
      <c r="F4484" s="143">
        <v>0</v>
      </c>
      <c r="G4484" s="143">
        <v>0</v>
      </c>
      <c r="H4484" s="143">
        <v>0</v>
      </c>
      <c r="I4484" s="143">
        <v>0</v>
      </c>
      <c r="J4484" s="710">
        <f>(VLOOKUP($C4484,[2]Sheet1!$A$2:$P$18,$M4484+1)/12)*12*D4484</f>
        <v>0</v>
      </c>
      <c r="K4484" s="711"/>
      <c r="M4484" s="62">
        <f t="shared" si="337"/>
        <v>3</v>
      </c>
    </row>
    <row r="4485" spans="1:13">
      <c r="A4485" s="88">
        <f t="shared" si="338"/>
        <v>492</v>
      </c>
      <c r="B4485" s="69" t="s">
        <v>1021</v>
      </c>
      <c r="C4485" s="69">
        <v>6</v>
      </c>
      <c r="D4485" s="143">
        <v>0</v>
      </c>
      <c r="E4485" s="143">
        <v>0</v>
      </c>
      <c r="F4485" s="143">
        <v>0</v>
      </c>
      <c r="G4485" s="143">
        <v>0</v>
      </c>
      <c r="H4485" s="143">
        <v>0</v>
      </c>
      <c r="I4485" s="143">
        <v>0</v>
      </c>
      <c r="J4485" s="710">
        <f>(VLOOKUP($C4485,[2]Sheet1!$A$2:$P$18,$M4485+1)/12)*12*D4485</f>
        <v>0</v>
      </c>
      <c r="K4485" s="711"/>
      <c r="M4485" s="62">
        <f t="shared" si="337"/>
        <v>5</v>
      </c>
    </row>
    <row r="4486" spans="1:13">
      <c r="A4486" s="88">
        <f t="shared" si="338"/>
        <v>493</v>
      </c>
      <c r="B4486" s="69" t="s">
        <v>1573</v>
      </c>
      <c r="C4486" s="69">
        <v>3</v>
      </c>
      <c r="D4486" s="143">
        <v>0</v>
      </c>
      <c r="E4486" s="143">
        <v>0</v>
      </c>
      <c r="F4486" s="143">
        <v>0</v>
      </c>
      <c r="G4486" s="143">
        <v>0</v>
      </c>
      <c r="H4486" s="143">
        <v>0</v>
      </c>
      <c r="I4486" s="143">
        <v>0</v>
      </c>
      <c r="J4486" s="710">
        <f>(VLOOKUP($C4486,[2]Sheet1!$A$2:$P$18,$M4486+1)/12)*12*D4486</f>
        <v>0</v>
      </c>
      <c r="K4486" s="711"/>
      <c r="M4486" s="62">
        <f t="shared" si="337"/>
        <v>5</v>
      </c>
    </row>
    <row r="4487" spans="1:13">
      <c r="A4487" s="88">
        <f t="shared" si="338"/>
        <v>494</v>
      </c>
      <c r="B4487" s="69" t="s">
        <v>2269</v>
      </c>
      <c r="C4487" s="69">
        <v>4</v>
      </c>
      <c r="D4487" s="143">
        <v>1</v>
      </c>
      <c r="E4487" s="143">
        <v>1</v>
      </c>
      <c r="F4487" s="143">
        <v>1</v>
      </c>
      <c r="G4487" s="143">
        <v>1</v>
      </c>
      <c r="H4487" s="143">
        <v>1</v>
      </c>
      <c r="I4487" s="143">
        <v>1</v>
      </c>
      <c r="J4487" s="710">
        <f>(VLOOKUP($C4487,[2]Sheet1!$A$2:$P$18,$M4487+1)/12)*12*D4487</f>
        <v>224542.978930365</v>
      </c>
      <c r="K4487" s="711"/>
      <c r="M4487" s="62">
        <f t="shared" si="337"/>
        <v>5</v>
      </c>
    </row>
    <row r="4488" spans="1:13">
      <c r="A4488" s="92" t="s">
        <v>1840</v>
      </c>
      <c r="B4488" s="93" t="s">
        <v>1684</v>
      </c>
      <c r="C4488" s="94"/>
      <c r="D4488" s="123">
        <f t="shared" ref="D4488:J4488" si="339">SUM(D4191:D4478)</f>
        <v>557</v>
      </c>
      <c r="E4488" s="123">
        <f t="shared" si="339"/>
        <v>588</v>
      </c>
      <c r="F4488" s="123">
        <f t="shared" si="339"/>
        <v>557</v>
      </c>
      <c r="G4488" s="123">
        <f>SUM(G4191:G4478)</f>
        <v>557</v>
      </c>
      <c r="H4488" s="123">
        <f t="shared" si="339"/>
        <v>378</v>
      </c>
      <c r="I4488" s="123">
        <f t="shared" si="339"/>
        <v>557</v>
      </c>
      <c r="J4488" s="123">
        <f t="shared" si="339"/>
        <v>150126282.45829535</v>
      </c>
      <c r="K4488" s="378"/>
      <c r="M4488" s="62">
        <f t="shared" si="337"/>
        <v>5</v>
      </c>
    </row>
    <row r="4489" spans="1:13">
      <c r="A4489" s="88" t="s">
        <v>1840</v>
      </c>
      <c r="B4489" s="97" t="s">
        <v>1199</v>
      </c>
      <c r="C4489" s="69"/>
      <c r="D4489" s="89"/>
      <c r="E4489" s="89"/>
      <c r="F4489" s="99"/>
      <c r="G4489" s="240" t="s">
        <v>243</v>
      </c>
      <c r="H4489" s="240" t="s">
        <v>4130</v>
      </c>
      <c r="I4489" s="240" t="s">
        <v>4202</v>
      </c>
      <c r="J4489" s="241" t="s">
        <v>4200</v>
      </c>
      <c r="K4489" s="375"/>
      <c r="M4489" s="62">
        <f t="shared" si="337"/>
        <v>5</v>
      </c>
    </row>
    <row r="4490" spans="1:13">
      <c r="A4490" s="88">
        <v>1</v>
      </c>
      <c r="B4490" s="69" t="s">
        <v>2035</v>
      </c>
      <c r="C4490" s="69"/>
      <c r="D4490" s="89"/>
      <c r="E4490" s="89"/>
      <c r="F4490" s="89"/>
      <c r="G4490" s="100">
        <f>J4488*0.2</f>
        <v>30025256.491659071</v>
      </c>
      <c r="H4490" s="100">
        <f>G4490*1.02</f>
        <v>30625761.621492252</v>
      </c>
      <c r="I4490" s="100">
        <f>H4490*1.02</f>
        <v>31238276.853922099</v>
      </c>
      <c r="J4490" s="100">
        <f>SUM(G4490:I4490)</f>
        <v>91889294.967073426</v>
      </c>
      <c r="K4490" s="114"/>
      <c r="M4490" s="62">
        <f t="shared" ref="M4490:M4498" si="340">IF(C4490&gt;6,3,5)</f>
        <v>5</v>
      </c>
    </row>
    <row r="4491" spans="1:13">
      <c r="A4491" s="92" t="s">
        <v>1840</v>
      </c>
      <c r="B4491" s="93" t="s">
        <v>1684</v>
      </c>
      <c r="C4491" s="94"/>
      <c r="D4491" s="101"/>
      <c r="E4491" s="101"/>
      <c r="F4491" s="123"/>
      <c r="G4491" s="123">
        <f>SUM(G4490:G4490)</f>
        <v>30025256.491659071</v>
      </c>
      <c r="H4491" s="123">
        <f>SUM(H4490:H4490)</f>
        <v>30625761.621492252</v>
      </c>
      <c r="I4491" s="123">
        <f>SUM(I4490:I4490)</f>
        <v>31238276.853922099</v>
      </c>
      <c r="J4491" s="123">
        <f>SUM(J4490:J4490)</f>
        <v>91889294.967073426</v>
      </c>
      <c r="K4491" s="378"/>
      <c r="M4491" s="62">
        <f t="shared" si="340"/>
        <v>5</v>
      </c>
    </row>
    <row r="4492" spans="1:13">
      <c r="A4492" s="88" t="s">
        <v>1840</v>
      </c>
      <c r="B4492" s="69" t="s">
        <v>1119</v>
      </c>
      <c r="C4492" s="69"/>
      <c r="D4492" s="89"/>
      <c r="E4492" s="89"/>
      <c r="F4492" s="91"/>
      <c r="G4492" s="100">
        <f>G4491+J4488</f>
        <v>180151538.94995442</v>
      </c>
      <c r="H4492" s="100">
        <f>G4492*1.02</f>
        <v>183754569.72895351</v>
      </c>
      <c r="I4492" s="100">
        <f>H4492*1.02</f>
        <v>187429661.12353259</v>
      </c>
      <c r="J4492" s="100">
        <f>SUM(G4492:I4492)</f>
        <v>551335769.80244052</v>
      </c>
      <c r="K4492" s="114"/>
      <c r="L4492" s="112"/>
      <c r="M4492" s="62">
        <f t="shared" si="340"/>
        <v>5</v>
      </c>
    </row>
    <row r="4493" spans="1:13">
      <c r="A4493" s="88" t="s">
        <v>1840</v>
      </c>
      <c r="B4493" s="69" t="s">
        <v>3944</v>
      </c>
      <c r="C4493" s="69"/>
      <c r="D4493" s="89"/>
      <c r="E4493" s="89"/>
      <c r="F4493" s="89"/>
      <c r="G4493" s="89">
        <f>C4538</f>
        <v>729900000</v>
      </c>
      <c r="H4493" s="89">
        <f>D4538</f>
        <v>625334016</v>
      </c>
      <c r="I4493" s="89">
        <f>E4538</f>
        <v>557523967</v>
      </c>
      <c r="J4493" s="100">
        <f>SUM(G4493:I4493)</f>
        <v>1912757983</v>
      </c>
      <c r="K4493" s="114"/>
      <c r="M4493" s="62">
        <f t="shared" si="340"/>
        <v>5</v>
      </c>
    </row>
    <row r="4494" spans="1:13">
      <c r="A4494" s="92" t="s">
        <v>1840</v>
      </c>
      <c r="B4494" s="93" t="s">
        <v>2843</v>
      </c>
      <c r="C4494" s="94"/>
      <c r="D4494" s="101"/>
      <c r="E4494" s="101"/>
      <c r="F4494" s="123"/>
      <c r="G4494" s="123">
        <f>SUM(G4492:G4493)</f>
        <v>910051538.94995439</v>
      </c>
      <c r="H4494" s="123">
        <f>SUM(H4492:H4493)</f>
        <v>809088585.72895348</v>
      </c>
      <c r="I4494" s="123">
        <f>SUM(I4492:I4493)</f>
        <v>744953628.12353253</v>
      </c>
      <c r="J4494" s="123">
        <f>SUM(J4492:J4493)</f>
        <v>2464093752.8024406</v>
      </c>
      <c r="K4494" s="378"/>
      <c r="M4494" s="62">
        <f t="shared" si="340"/>
        <v>5</v>
      </c>
    </row>
    <row r="4495" spans="1:13" ht="15">
      <c r="A4495" s="62" t="s">
        <v>1840</v>
      </c>
      <c r="C4495" s="77"/>
      <c r="D4495" s="78" t="s">
        <v>5434</v>
      </c>
      <c r="J4495" s="584"/>
      <c r="K4495" s="584"/>
      <c r="M4495" s="62">
        <f t="shared" si="340"/>
        <v>5</v>
      </c>
    </row>
    <row r="4496" spans="1:13" ht="15">
      <c r="C4496" s="77"/>
      <c r="D4496" s="78" t="s">
        <v>716</v>
      </c>
      <c r="J4496" s="584"/>
      <c r="K4496" s="584"/>
      <c r="M4496" s="62">
        <f t="shared" si="340"/>
        <v>5</v>
      </c>
    </row>
    <row r="4497" spans="1:13" ht="15">
      <c r="C4497" s="79" t="s">
        <v>717</v>
      </c>
      <c r="D4497" s="78" t="s">
        <v>3811</v>
      </c>
      <c r="J4497" s="584"/>
      <c r="K4497" s="584"/>
      <c r="M4497" s="62">
        <f t="shared" si="340"/>
        <v>3</v>
      </c>
    </row>
    <row r="4498" spans="1:13" ht="15">
      <c r="C4498" s="79" t="s">
        <v>718</v>
      </c>
      <c r="D4498" s="78" t="s">
        <v>2203</v>
      </c>
      <c r="J4498" s="584"/>
      <c r="K4498" s="584"/>
      <c r="M4498" s="62">
        <f t="shared" si="340"/>
        <v>3</v>
      </c>
    </row>
    <row r="4499" spans="1:13" ht="15">
      <c r="A4499" s="634" t="s">
        <v>1839</v>
      </c>
      <c r="B4499" s="635" t="s">
        <v>903</v>
      </c>
      <c r="C4499" s="1037" t="s">
        <v>4127</v>
      </c>
      <c r="D4499" s="1038"/>
      <c r="E4499" s="1039"/>
      <c r="F4499" s="635" t="s">
        <v>1684</v>
      </c>
      <c r="G4499" s="1037" t="s">
        <v>4132</v>
      </c>
      <c r="H4499" s="1038"/>
      <c r="I4499" s="1039"/>
      <c r="J4499" s="726"/>
      <c r="K4499" s="727"/>
    </row>
    <row r="4500" spans="1:13">
      <c r="A4500" s="636" t="s">
        <v>1620</v>
      </c>
      <c r="B4500" s="637"/>
      <c r="C4500" s="635" t="s">
        <v>1841</v>
      </c>
      <c r="D4500" s="635" t="s">
        <v>4133</v>
      </c>
      <c r="E4500" s="635" t="s">
        <v>4133</v>
      </c>
      <c r="F4500" s="1056" t="s">
        <v>4200</v>
      </c>
      <c r="G4500" s="634" t="s">
        <v>4135</v>
      </c>
      <c r="H4500" s="1051" t="s">
        <v>4182</v>
      </c>
      <c r="I4500" s="634" t="s">
        <v>4135</v>
      </c>
      <c r="J4500" s="728" t="s">
        <v>4136</v>
      </c>
      <c r="K4500" s="727"/>
    </row>
    <row r="4501" spans="1:13" ht="12.75" customHeight="1">
      <c r="A4501" s="638" t="s">
        <v>387</v>
      </c>
      <c r="B4501" s="639"/>
      <c r="C4501" s="638">
        <v>2015</v>
      </c>
      <c r="D4501" s="638">
        <v>2016</v>
      </c>
      <c r="E4501" s="638">
        <v>2017</v>
      </c>
      <c r="F4501" s="1057"/>
      <c r="G4501" s="638" t="s">
        <v>4304</v>
      </c>
      <c r="H4501" s="1052"/>
      <c r="I4501" s="638" t="s">
        <v>4303</v>
      </c>
      <c r="J4501" s="639"/>
      <c r="K4501" s="729"/>
    </row>
    <row r="4502" spans="1:13">
      <c r="A4502" s="158">
        <v>2</v>
      </c>
      <c r="B4502" s="158" t="s">
        <v>1695</v>
      </c>
      <c r="C4502" s="159">
        <v>2000000</v>
      </c>
      <c r="D4502" s="159">
        <f>C4502*1.03</f>
        <v>2060000</v>
      </c>
      <c r="E4502" s="159">
        <f>J4502*1.03</f>
        <v>0</v>
      </c>
      <c r="F4502" s="159">
        <f>SUM(C4502:E4502)</f>
        <v>4060000</v>
      </c>
      <c r="G4502" s="159">
        <v>1504000</v>
      </c>
      <c r="H4502" s="159">
        <v>2060000</v>
      </c>
      <c r="I4502" s="159">
        <v>1966000</v>
      </c>
      <c r="J4502" s="159"/>
      <c r="K4502" s="383"/>
      <c r="M4502" s="62" t="e">
        <f>IF(#REF!&gt;6,3,5)</f>
        <v>#REF!</v>
      </c>
    </row>
    <row r="4503" spans="1:13">
      <c r="A4503" s="158">
        <f t="shared" ref="A4503:A4536" si="341">+A4502+1</f>
        <v>3</v>
      </c>
      <c r="B4503" s="158" t="s">
        <v>1696</v>
      </c>
      <c r="C4503" s="159" t="s">
        <v>1386</v>
      </c>
      <c r="D4503" s="159" t="s">
        <v>1386</v>
      </c>
      <c r="E4503" s="159" t="s">
        <v>1386</v>
      </c>
      <c r="F4503" s="159">
        <f t="shared" ref="F4503:F4536" si="342">SUM(C4503:E4503)</f>
        <v>0</v>
      </c>
      <c r="G4503" s="159"/>
      <c r="H4503" s="159" t="s">
        <v>1386</v>
      </c>
      <c r="I4503" s="159"/>
      <c r="J4503" s="159"/>
      <c r="K4503" s="383"/>
      <c r="M4503" s="62" t="e">
        <f>IF(#REF!&gt;6,3,5)</f>
        <v>#REF!</v>
      </c>
    </row>
    <row r="4504" spans="1:13">
      <c r="A4504" s="158">
        <f t="shared" si="341"/>
        <v>4</v>
      </c>
      <c r="B4504" s="158" t="s">
        <v>1701</v>
      </c>
      <c r="C4504" s="159" t="s">
        <v>1386</v>
      </c>
      <c r="D4504" s="159" t="s">
        <v>1386</v>
      </c>
      <c r="E4504" s="159" t="s">
        <v>1386</v>
      </c>
      <c r="F4504" s="159">
        <f t="shared" si="342"/>
        <v>0</v>
      </c>
      <c r="G4504" s="159"/>
      <c r="H4504" s="159" t="s">
        <v>1386</v>
      </c>
      <c r="I4504" s="159"/>
      <c r="J4504" s="159"/>
      <c r="K4504" s="383"/>
      <c r="M4504" s="62" t="e">
        <f>IF(#REF!&gt;6,3,5)</f>
        <v>#REF!</v>
      </c>
    </row>
    <row r="4505" spans="1:13">
      <c r="A4505" s="158">
        <f t="shared" si="341"/>
        <v>5</v>
      </c>
      <c r="B4505" s="158" t="s">
        <v>1778</v>
      </c>
      <c r="C4505" s="159">
        <v>1000000</v>
      </c>
      <c r="D4505" s="159">
        <f t="shared" ref="D4505:D4511" si="343">C4505*1.03</f>
        <v>1030000</v>
      </c>
      <c r="E4505" s="159">
        <f t="shared" ref="E4505:E4511" si="344">J4505*1.03</f>
        <v>0</v>
      </c>
      <c r="F4505" s="159">
        <f t="shared" si="342"/>
        <v>2030000</v>
      </c>
      <c r="G4505" s="159">
        <v>56000</v>
      </c>
      <c r="H4505" s="159">
        <v>8240000</v>
      </c>
      <c r="I4505" s="159">
        <v>41000</v>
      </c>
      <c r="J4505" s="159"/>
      <c r="K4505" s="383"/>
      <c r="M4505" s="62" t="e">
        <f>IF(#REF!&gt;6,3,5)</f>
        <v>#REF!</v>
      </c>
    </row>
    <row r="4506" spans="1:13">
      <c r="A4506" s="158">
        <f t="shared" si="341"/>
        <v>6</v>
      </c>
      <c r="B4506" s="158" t="s">
        <v>1718</v>
      </c>
      <c r="C4506" s="159">
        <v>1000000</v>
      </c>
      <c r="D4506" s="159">
        <f t="shared" si="343"/>
        <v>1030000</v>
      </c>
      <c r="E4506" s="159">
        <f t="shared" si="344"/>
        <v>0</v>
      </c>
      <c r="F4506" s="159">
        <f t="shared" si="342"/>
        <v>2030000</v>
      </c>
      <c r="G4506" s="159">
        <v>130955</v>
      </c>
      <c r="H4506" s="159">
        <v>721000</v>
      </c>
      <c r="I4506" s="159">
        <v>0</v>
      </c>
      <c r="J4506" s="159"/>
      <c r="K4506" s="383"/>
      <c r="M4506" s="62" t="e">
        <f>IF(#REF!&gt;6,3,5)</f>
        <v>#REF!</v>
      </c>
    </row>
    <row r="4507" spans="1:13">
      <c r="A4507" s="158">
        <f t="shared" si="341"/>
        <v>7</v>
      </c>
      <c r="B4507" s="158" t="s">
        <v>2162</v>
      </c>
      <c r="C4507" s="159">
        <v>2000000</v>
      </c>
      <c r="D4507" s="159">
        <f t="shared" si="343"/>
        <v>2060000</v>
      </c>
      <c r="E4507" s="159">
        <f t="shared" si="344"/>
        <v>0</v>
      </c>
      <c r="F4507" s="159">
        <f t="shared" si="342"/>
        <v>4060000</v>
      </c>
      <c r="G4507" s="159">
        <v>360955</v>
      </c>
      <c r="H4507" s="159">
        <v>2060000</v>
      </c>
      <c r="I4507" s="159">
        <v>381402</v>
      </c>
      <c r="J4507" s="159"/>
      <c r="K4507" s="383"/>
      <c r="M4507" s="62" t="e">
        <f>IF(#REF!&gt;6,3,5)</f>
        <v>#REF!</v>
      </c>
    </row>
    <row r="4508" spans="1:13">
      <c r="A4508" s="158">
        <f t="shared" si="341"/>
        <v>8</v>
      </c>
      <c r="B4508" s="158" t="s">
        <v>1385</v>
      </c>
      <c r="C4508" s="159" t="s">
        <v>1386</v>
      </c>
      <c r="D4508" s="159" t="s">
        <v>1386</v>
      </c>
      <c r="E4508" s="159" t="s">
        <v>1386</v>
      </c>
      <c r="F4508" s="159" t="s">
        <v>1386</v>
      </c>
      <c r="G4508" s="159" t="s">
        <v>1386</v>
      </c>
      <c r="H4508" s="159" t="s">
        <v>1386</v>
      </c>
      <c r="I4508" s="159" t="s">
        <v>1386</v>
      </c>
      <c r="J4508" s="159"/>
      <c r="K4508" s="383"/>
      <c r="M4508" s="62" t="e">
        <f>IF(#REF!&gt;6,3,5)</f>
        <v>#REF!</v>
      </c>
    </row>
    <row r="4509" spans="1:13">
      <c r="A4509" s="158">
        <f t="shared" si="341"/>
        <v>9</v>
      </c>
      <c r="B4509" s="158" t="s">
        <v>2061</v>
      </c>
      <c r="C4509" s="159" t="s">
        <v>1386</v>
      </c>
      <c r="D4509" s="159" t="s">
        <v>1386</v>
      </c>
      <c r="E4509" s="159" t="s">
        <v>1386</v>
      </c>
      <c r="F4509" s="159" t="s">
        <v>1386</v>
      </c>
      <c r="G4509" s="159" t="s">
        <v>1386</v>
      </c>
      <c r="H4509" s="159" t="s">
        <v>1386</v>
      </c>
      <c r="I4509" s="159" t="s">
        <v>1386</v>
      </c>
      <c r="J4509" s="159"/>
      <c r="K4509" s="383"/>
      <c r="M4509" s="62" t="e">
        <f>IF(#REF!&gt;6,3,5)</f>
        <v>#REF!</v>
      </c>
    </row>
    <row r="4510" spans="1:13">
      <c r="A4510" s="158">
        <f t="shared" si="341"/>
        <v>10</v>
      </c>
      <c r="B4510" s="158" t="s">
        <v>2685</v>
      </c>
      <c r="C4510" s="159">
        <v>1000000</v>
      </c>
      <c r="D4510" s="159">
        <f t="shared" si="343"/>
        <v>1030000</v>
      </c>
      <c r="E4510" s="159">
        <f t="shared" si="344"/>
        <v>0</v>
      </c>
      <c r="F4510" s="159">
        <f t="shared" si="342"/>
        <v>2030000</v>
      </c>
      <c r="G4510" s="159">
        <v>60000</v>
      </c>
      <c r="H4510" s="159">
        <v>1133000</v>
      </c>
      <c r="I4510" s="159">
        <v>700000</v>
      </c>
      <c r="J4510" s="159"/>
      <c r="K4510" s="383"/>
      <c r="M4510" s="62" t="e">
        <f>IF(#REF!&gt;6,3,5)</f>
        <v>#REF!</v>
      </c>
    </row>
    <row r="4511" spans="1:13">
      <c r="A4511" s="158">
        <f t="shared" si="341"/>
        <v>11</v>
      </c>
      <c r="B4511" s="158" t="s">
        <v>764</v>
      </c>
      <c r="C4511" s="159">
        <v>100000</v>
      </c>
      <c r="D4511" s="159">
        <f t="shared" si="343"/>
        <v>103000</v>
      </c>
      <c r="E4511" s="159">
        <f t="shared" si="344"/>
        <v>0</v>
      </c>
      <c r="F4511" s="159">
        <f t="shared" si="342"/>
        <v>203000</v>
      </c>
      <c r="G4511" s="159">
        <v>180000</v>
      </c>
      <c r="H4511" s="159">
        <v>103000</v>
      </c>
      <c r="I4511" s="159">
        <v>0</v>
      </c>
      <c r="J4511" s="159"/>
      <c r="K4511" s="383"/>
      <c r="M4511" s="62" t="e">
        <f>IF(#REF!&gt;6,3,5)</f>
        <v>#REF!</v>
      </c>
    </row>
    <row r="4512" spans="1:13">
      <c r="A4512" s="158">
        <f t="shared" si="341"/>
        <v>12</v>
      </c>
      <c r="B4512" s="158" t="s">
        <v>2688</v>
      </c>
      <c r="C4512" s="159">
        <v>3500000</v>
      </c>
      <c r="D4512" s="159">
        <v>3500000</v>
      </c>
      <c r="E4512" s="159">
        <v>3500000</v>
      </c>
      <c r="F4512" s="159">
        <f t="shared" si="342"/>
        <v>10500000</v>
      </c>
      <c r="G4512" s="159">
        <v>1075662</v>
      </c>
      <c r="H4512" s="159">
        <v>3500000</v>
      </c>
      <c r="I4512" s="159">
        <f>3162742.8</f>
        <v>3162742.8</v>
      </c>
      <c r="J4512" s="159"/>
      <c r="K4512" s="383"/>
      <c r="M4512" s="62" t="e">
        <f>IF(#REF!&gt;6,3,5)</f>
        <v>#REF!</v>
      </c>
    </row>
    <row r="4513" spans="1:13">
      <c r="A4513" s="158">
        <f t="shared" si="341"/>
        <v>13</v>
      </c>
      <c r="B4513" s="158" t="s">
        <v>2249</v>
      </c>
      <c r="C4513" s="159">
        <v>100000</v>
      </c>
      <c r="D4513" s="159">
        <f t="shared" ref="D4513:D4521" si="345">C4513*1.03</f>
        <v>103000</v>
      </c>
      <c r="E4513" s="159">
        <f t="shared" ref="E4513:E4521" si="346">J4513*1.03</f>
        <v>0</v>
      </c>
      <c r="F4513" s="159">
        <f t="shared" si="342"/>
        <v>203000</v>
      </c>
      <c r="G4513" s="159"/>
      <c r="H4513" s="159">
        <v>103000</v>
      </c>
      <c r="I4513" s="159"/>
      <c r="J4513" s="159"/>
      <c r="K4513" s="383"/>
      <c r="M4513" s="62" t="e">
        <f>IF(#REF!&gt;6,3,5)</f>
        <v>#REF!</v>
      </c>
    </row>
    <row r="4514" spans="1:13">
      <c r="A4514" s="158">
        <f t="shared" si="341"/>
        <v>14</v>
      </c>
      <c r="B4514" s="158" t="s">
        <v>1336</v>
      </c>
      <c r="C4514" s="159">
        <v>2000000</v>
      </c>
      <c r="D4514" s="159">
        <v>2000000</v>
      </c>
      <c r="E4514" s="159">
        <v>2000000</v>
      </c>
      <c r="F4514" s="159">
        <f t="shared" si="342"/>
        <v>6000000</v>
      </c>
      <c r="G4514" s="159">
        <v>225000</v>
      </c>
      <c r="H4514" s="159">
        <v>2163000</v>
      </c>
      <c r="I4514" s="159">
        <v>403495</v>
      </c>
      <c r="J4514" s="159"/>
      <c r="K4514" s="383"/>
      <c r="M4514" s="62" t="e">
        <f>IF(#REF!&gt;6,3,5)</f>
        <v>#REF!</v>
      </c>
    </row>
    <row r="4515" spans="1:13">
      <c r="A4515" s="158">
        <f t="shared" si="341"/>
        <v>15</v>
      </c>
      <c r="B4515" s="158" t="s">
        <v>3575</v>
      </c>
      <c r="C4515" s="159">
        <v>5000000</v>
      </c>
      <c r="D4515" s="159">
        <f t="shared" si="345"/>
        <v>5150000</v>
      </c>
      <c r="E4515" s="159">
        <f t="shared" si="346"/>
        <v>0</v>
      </c>
      <c r="F4515" s="159">
        <f t="shared" si="342"/>
        <v>10150000</v>
      </c>
      <c r="G4515" s="159"/>
      <c r="H4515" s="159">
        <v>5150000</v>
      </c>
      <c r="I4515" s="159"/>
      <c r="J4515" s="159"/>
      <c r="K4515" s="383"/>
      <c r="M4515" s="62" t="e">
        <f>IF(#REF!&gt;6,3,5)</f>
        <v>#REF!</v>
      </c>
    </row>
    <row r="4516" spans="1:13">
      <c r="A4516" s="158">
        <f t="shared" si="341"/>
        <v>16</v>
      </c>
      <c r="B4516" s="187" t="s">
        <v>3508</v>
      </c>
      <c r="C4516" s="159">
        <v>25700000</v>
      </c>
      <c r="D4516" s="159">
        <f t="shared" si="345"/>
        <v>26471000</v>
      </c>
      <c r="E4516" s="159">
        <f t="shared" si="346"/>
        <v>0</v>
      </c>
      <c r="F4516" s="159">
        <f t="shared" si="342"/>
        <v>52171000</v>
      </c>
      <c r="G4516" s="159"/>
      <c r="H4516" s="159">
        <v>26522000</v>
      </c>
      <c r="I4516" s="159"/>
      <c r="J4516" s="159"/>
      <c r="K4516" s="383"/>
      <c r="M4516" s="62" t="e">
        <f>IF(#REF!&gt;6,3,5)</f>
        <v>#REF!</v>
      </c>
    </row>
    <row r="4517" spans="1:13" ht="32.25">
      <c r="A4517" s="158">
        <f t="shared" si="341"/>
        <v>17</v>
      </c>
      <c r="B4517" s="419" t="s">
        <v>2509</v>
      </c>
      <c r="C4517" s="159">
        <v>10000000</v>
      </c>
      <c r="D4517" s="159">
        <f t="shared" si="345"/>
        <v>10300000</v>
      </c>
      <c r="E4517" s="159">
        <f t="shared" si="346"/>
        <v>0</v>
      </c>
      <c r="F4517" s="159">
        <f t="shared" si="342"/>
        <v>20300000</v>
      </c>
      <c r="G4517" s="159"/>
      <c r="H4517" s="159">
        <v>6098999.75</v>
      </c>
      <c r="I4517" s="159"/>
      <c r="J4517" s="159"/>
      <c r="K4517" s="383"/>
      <c r="M4517" s="62" t="e">
        <f>IF(#REF!&gt;6,3,5)</f>
        <v>#REF!</v>
      </c>
    </row>
    <row r="4518" spans="1:13" ht="32.25">
      <c r="A4518" s="158">
        <f t="shared" si="341"/>
        <v>18</v>
      </c>
      <c r="B4518" s="419" t="s">
        <v>2290</v>
      </c>
      <c r="C4518" s="159">
        <v>10000000</v>
      </c>
      <c r="D4518" s="159">
        <f t="shared" si="345"/>
        <v>10300000</v>
      </c>
      <c r="E4518" s="159">
        <f t="shared" si="346"/>
        <v>0</v>
      </c>
      <c r="F4518" s="159">
        <f t="shared" si="342"/>
        <v>20300000</v>
      </c>
      <c r="G4518" s="159"/>
      <c r="H4518" s="159">
        <v>10300000</v>
      </c>
      <c r="I4518" s="159"/>
      <c r="J4518" s="159"/>
      <c r="K4518" s="383"/>
      <c r="M4518" s="62" t="e">
        <f>IF(#REF!&gt;6,3,5)</f>
        <v>#REF!</v>
      </c>
    </row>
    <row r="4519" spans="1:13" ht="25.5">
      <c r="A4519" s="158">
        <f t="shared" si="341"/>
        <v>19</v>
      </c>
      <c r="B4519" s="187" t="s">
        <v>1004</v>
      </c>
      <c r="C4519" s="159">
        <v>7000000</v>
      </c>
      <c r="D4519" s="159">
        <f t="shared" si="345"/>
        <v>7210000</v>
      </c>
      <c r="E4519" s="159">
        <f t="shared" si="346"/>
        <v>0</v>
      </c>
      <c r="F4519" s="159">
        <f t="shared" si="342"/>
        <v>14210000</v>
      </c>
      <c r="G4519" s="159"/>
      <c r="H4519" s="159">
        <v>5150000</v>
      </c>
      <c r="I4519" s="159">
        <f>118000</f>
        <v>118000</v>
      </c>
      <c r="J4519" s="159"/>
      <c r="K4519" s="383"/>
      <c r="M4519" s="62" t="e">
        <f>IF(#REF!&gt;6,3,5)</f>
        <v>#REF!</v>
      </c>
    </row>
    <row r="4520" spans="1:13" ht="25.5">
      <c r="A4520" s="158">
        <f>+A4519+1</f>
        <v>20</v>
      </c>
      <c r="B4520" s="187" t="s">
        <v>4045</v>
      </c>
      <c r="C4520" s="159">
        <v>10000000</v>
      </c>
      <c r="D4520" s="159">
        <f t="shared" si="345"/>
        <v>10300000</v>
      </c>
      <c r="E4520" s="159">
        <f t="shared" si="346"/>
        <v>0</v>
      </c>
      <c r="F4520" s="159">
        <f t="shared" si="342"/>
        <v>20300000</v>
      </c>
      <c r="G4520" s="159">
        <v>395000</v>
      </c>
      <c r="H4520" s="159">
        <v>15779000</v>
      </c>
      <c r="I4520" s="159">
        <v>0</v>
      </c>
      <c r="J4520" s="159"/>
      <c r="K4520" s="383"/>
      <c r="M4520" s="62" t="e">
        <f>IF(#REF!&gt;6,3,5)</f>
        <v>#REF!</v>
      </c>
    </row>
    <row r="4521" spans="1:13">
      <c r="A4521" s="158">
        <f t="shared" si="341"/>
        <v>21</v>
      </c>
      <c r="B4521" s="187" t="s">
        <v>1005</v>
      </c>
      <c r="C4521" s="159">
        <v>4000000</v>
      </c>
      <c r="D4521" s="159">
        <f t="shared" si="345"/>
        <v>4120000</v>
      </c>
      <c r="E4521" s="159">
        <f t="shared" si="346"/>
        <v>0</v>
      </c>
      <c r="F4521" s="159">
        <f t="shared" si="342"/>
        <v>8120000</v>
      </c>
      <c r="G4521" s="159"/>
      <c r="H4521" s="159">
        <v>3090000</v>
      </c>
      <c r="I4521" s="159"/>
      <c r="J4521" s="159"/>
      <c r="K4521" s="383"/>
      <c r="M4521" s="62" t="e">
        <f>IF(#REF!&gt;6,3,5)</f>
        <v>#REF!</v>
      </c>
    </row>
    <row r="4522" spans="1:13">
      <c r="A4522" s="942"/>
      <c r="B4522" s="943"/>
      <c r="C4522" s="944"/>
      <c r="D4522" s="945"/>
      <c r="E4522" s="946"/>
      <c r="F4522" s="947"/>
      <c r="G4522" s="944"/>
      <c r="H4522" s="945"/>
      <c r="I4522" s="946"/>
      <c r="J4522" s="947"/>
      <c r="K4522" s="383"/>
    </row>
    <row r="4523" spans="1:13" ht="15">
      <c r="A4523" s="634" t="s">
        <v>1839</v>
      </c>
      <c r="B4523" s="635" t="s">
        <v>903</v>
      </c>
      <c r="C4523" s="1037" t="s">
        <v>4127</v>
      </c>
      <c r="D4523" s="1038"/>
      <c r="E4523" s="1039"/>
      <c r="F4523" s="635" t="s">
        <v>1684</v>
      </c>
      <c r="G4523" s="1037" t="s">
        <v>4132</v>
      </c>
      <c r="H4523" s="1038"/>
      <c r="I4523" s="1039"/>
      <c r="J4523" s="726"/>
      <c r="K4523" s="727"/>
    </row>
    <row r="4524" spans="1:13">
      <c r="A4524" s="636" t="s">
        <v>1620</v>
      </c>
      <c r="B4524" s="637"/>
      <c r="C4524" s="635" t="s">
        <v>1841</v>
      </c>
      <c r="D4524" s="635" t="s">
        <v>4133</v>
      </c>
      <c r="E4524" s="635" t="s">
        <v>4133</v>
      </c>
      <c r="F4524" s="1056" t="s">
        <v>4200</v>
      </c>
      <c r="G4524" s="634" t="s">
        <v>4135</v>
      </c>
      <c r="H4524" s="1051" t="s">
        <v>4182</v>
      </c>
      <c r="I4524" s="634" t="s">
        <v>4135</v>
      </c>
      <c r="J4524" s="728" t="s">
        <v>4136</v>
      </c>
      <c r="K4524" s="727"/>
    </row>
    <row r="4525" spans="1:13">
      <c r="A4525" s="638" t="s">
        <v>387</v>
      </c>
      <c r="B4525" s="639"/>
      <c r="C4525" s="813" t="s">
        <v>243</v>
      </c>
      <c r="D4525" s="638">
        <v>2016</v>
      </c>
      <c r="E4525" s="638">
        <v>2017</v>
      </c>
      <c r="F4525" s="1057"/>
      <c r="G4525" s="638" t="s">
        <v>4304</v>
      </c>
      <c r="H4525" s="1052"/>
      <c r="I4525" s="638" t="s">
        <v>4303</v>
      </c>
      <c r="J4525" s="639"/>
      <c r="K4525" s="729"/>
    </row>
    <row r="4526" spans="1:13">
      <c r="A4526" s="158">
        <f>+A4521+1</f>
        <v>22</v>
      </c>
      <c r="B4526" s="187" t="s">
        <v>3892</v>
      </c>
      <c r="C4526" s="159">
        <v>20000000</v>
      </c>
      <c r="D4526" s="159">
        <f t="shared" ref="D4526:E4529" si="347">C4526*1.03</f>
        <v>20600000</v>
      </c>
      <c r="E4526" s="159">
        <f t="shared" si="347"/>
        <v>21218000</v>
      </c>
      <c r="F4526" s="159">
        <f t="shared" si="342"/>
        <v>61818000</v>
      </c>
      <c r="G4526" s="159"/>
      <c r="H4526" s="159">
        <v>23304000</v>
      </c>
      <c r="I4526" s="159"/>
      <c r="J4526" s="159"/>
      <c r="K4526" s="383"/>
      <c r="M4526" s="62" t="e">
        <f>IF(#REF!&gt;6,3,5)</f>
        <v>#REF!</v>
      </c>
    </row>
    <row r="4527" spans="1:13">
      <c r="A4527" s="158">
        <f t="shared" si="341"/>
        <v>23</v>
      </c>
      <c r="B4527" s="187" t="s">
        <v>2289</v>
      </c>
      <c r="C4527" s="159">
        <v>60000000</v>
      </c>
      <c r="D4527" s="159">
        <f t="shared" si="347"/>
        <v>61800000</v>
      </c>
      <c r="E4527" s="159">
        <f t="shared" si="347"/>
        <v>63654000</v>
      </c>
      <c r="F4527" s="159">
        <f t="shared" si="342"/>
        <v>185454000</v>
      </c>
      <c r="G4527" s="159"/>
      <c r="H4527" s="159">
        <v>82400000</v>
      </c>
      <c r="I4527" s="159">
        <f>13300000</f>
        <v>13300000</v>
      </c>
      <c r="J4527" s="159"/>
      <c r="K4527" s="383"/>
      <c r="M4527" s="62" t="e">
        <f>IF(#REF!&gt;6,3,5)</f>
        <v>#REF!</v>
      </c>
    </row>
    <row r="4528" spans="1:13" ht="25.5">
      <c r="A4528" s="158">
        <f t="shared" si="341"/>
        <v>24</v>
      </c>
      <c r="B4528" s="187" t="s">
        <v>4250</v>
      </c>
      <c r="C4528" s="159">
        <v>100000000</v>
      </c>
      <c r="D4528" s="159">
        <f t="shared" si="347"/>
        <v>103000000</v>
      </c>
      <c r="E4528" s="159">
        <f t="shared" si="347"/>
        <v>106090000</v>
      </c>
      <c r="F4528" s="159">
        <f t="shared" si="342"/>
        <v>309090000</v>
      </c>
      <c r="G4528" s="159"/>
      <c r="H4528" s="160">
        <v>5600000</v>
      </c>
      <c r="I4528" s="159"/>
      <c r="J4528" s="159"/>
      <c r="K4528" s="383"/>
      <c r="M4528" s="62" t="e">
        <f>IF(#REF!&gt;6,3,5)</f>
        <v>#REF!</v>
      </c>
    </row>
    <row r="4529" spans="1:13">
      <c r="A4529" s="158">
        <f t="shared" si="341"/>
        <v>25</v>
      </c>
      <c r="B4529" s="187" t="s">
        <v>1187</v>
      </c>
      <c r="C4529" s="159">
        <v>1000000</v>
      </c>
      <c r="D4529" s="159">
        <f t="shared" si="347"/>
        <v>1030000</v>
      </c>
      <c r="E4529" s="159">
        <f t="shared" si="347"/>
        <v>1060900</v>
      </c>
      <c r="F4529" s="159">
        <f t="shared" si="342"/>
        <v>3090900</v>
      </c>
      <c r="G4529" s="159"/>
      <c r="H4529" s="159">
        <v>1030000</v>
      </c>
      <c r="I4529" s="159"/>
      <c r="J4529" s="159"/>
      <c r="K4529" s="383"/>
      <c r="M4529" s="62" t="e">
        <f>IF(#REF!&gt;6,3,5)</f>
        <v>#REF!</v>
      </c>
    </row>
    <row r="4530" spans="1:13" ht="25.5">
      <c r="A4530" s="187">
        <f t="shared" si="341"/>
        <v>26</v>
      </c>
      <c r="B4530" s="187" t="s">
        <v>1349</v>
      </c>
      <c r="C4530" s="199">
        <v>10000000</v>
      </c>
      <c r="D4530" s="199">
        <v>10000000</v>
      </c>
      <c r="E4530" s="199">
        <v>10000000</v>
      </c>
      <c r="F4530" s="159">
        <f t="shared" si="342"/>
        <v>30000000</v>
      </c>
      <c r="G4530" s="199"/>
      <c r="H4530" s="199">
        <v>10000000</v>
      </c>
      <c r="I4530" s="199"/>
      <c r="J4530" s="159"/>
      <c r="K4530" s="383"/>
      <c r="L4530" s="186"/>
      <c r="M4530" s="62" t="e">
        <f>IF(#REF!&gt;6,3,5)</f>
        <v>#REF!</v>
      </c>
    </row>
    <row r="4531" spans="1:13" ht="25.5">
      <c r="A4531" s="192">
        <f t="shared" si="341"/>
        <v>27</v>
      </c>
      <c r="B4531" s="192" t="s">
        <v>3838</v>
      </c>
      <c r="C4531" s="159">
        <v>130000000</v>
      </c>
      <c r="D4531" s="159">
        <f t="shared" ref="D4531:E4536" si="348">C4531*1.03</f>
        <v>133900000</v>
      </c>
      <c r="E4531" s="159">
        <f t="shared" si="348"/>
        <v>137917000</v>
      </c>
      <c r="F4531" s="159">
        <f t="shared" si="342"/>
        <v>401817000</v>
      </c>
      <c r="G4531" s="159">
        <v>5000000</v>
      </c>
      <c r="H4531" s="159">
        <v>61800000</v>
      </c>
      <c r="I4531" s="159">
        <v>0</v>
      </c>
      <c r="J4531" s="159"/>
      <c r="K4531" s="383"/>
    </row>
    <row r="4532" spans="1:13" ht="25.5">
      <c r="A4532" s="192">
        <f t="shared" si="341"/>
        <v>28</v>
      </c>
      <c r="B4532" s="192" t="s">
        <v>3839</v>
      </c>
      <c r="C4532" s="159">
        <v>200000000</v>
      </c>
      <c r="D4532" s="159">
        <v>80000000</v>
      </c>
      <c r="E4532" s="159">
        <v>80000000</v>
      </c>
      <c r="F4532" s="159">
        <f t="shared" si="342"/>
        <v>360000000</v>
      </c>
      <c r="G4532" s="159">
        <v>18000000</v>
      </c>
      <c r="H4532" s="159">
        <v>200000000</v>
      </c>
      <c r="I4532" s="159">
        <f>130000000</f>
        <v>130000000</v>
      </c>
      <c r="J4532" s="159"/>
      <c r="K4532" s="383"/>
    </row>
    <row r="4533" spans="1:13" ht="25.5">
      <c r="A4533" s="192">
        <f t="shared" si="341"/>
        <v>29</v>
      </c>
      <c r="B4533" s="192" t="s">
        <v>3891</v>
      </c>
      <c r="C4533" s="159">
        <v>10000000</v>
      </c>
      <c r="D4533" s="159">
        <f t="shared" si="348"/>
        <v>10300000</v>
      </c>
      <c r="E4533" s="159">
        <f t="shared" si="348"/>
        <v>10609000</v>
      </c>
      <c r="F4533" s="159">
        <f t="shared" si="342"/>
        <v>30909000</v>
      </c>
      <c r="G4533" s="159"/>
      <c r="H4533" s="159">
        <v>5000000</v>
      </c>
      <c r="I4533" s="159"/>
      <c r="J4533" s="159"/>
      <c r="K4533" s="383"/>
      <c r="L4533" s="112"/>
    </row>
    <row r="4534" spans="1:13">
      <c r="A4534" s="192">
        <f t="shared" si="341"/>
        <v>30</v>
      </c>
      <c r="B4534" s="192" t="s">
        <v>1350</v>
      </c>
      <c r="C4534" s="159">
        <v>5000000</v>
      </c>
      <c r="D4534" s="159">
        <f t="shared" si="348"/>
        <v>5150000</v>
      </c>
      <c r="E4534" s="159">
        <f t="shared" si="348"/>
        <v>5304500</v>
      </c>
      <c r="F4534" s="159">
        <f t="shared" si="342"/>
        <v>15454500</v>
      </c>
      <c r="G4534" s="159"/>
      <c r="H4534" s="159">
        <v>3090000</v>
      </c>
      <c r="I4534" s="159"/>
      <c r="J4534" s="159"/>
      <c r="K4534" s="383"/>
      <c r="L4534" s="238"/>
      <c r="M4534" s="62" t="e">
        <f>IF(#REF!&gt;6,3,5)</f>
        <v>#REF!</v>
      </c>
    </row>
    <row r="4535" spans="1:13">
      <c r="A4535" s="192">
        <f t="shared" si="341"/>
        <v>31</v>
      </c>
      <c r="B4535" s="192" t="s">
        <v>4118</v>
      </c>
      <c r="C4535" s="159">
        <v>25000000</v>
      </c>
      <c r="D4535" s="159">
        <f t="shared" si="348"/>
        <v>25750000</v>
      </c>
      <c r="E4535" s="159">
        <f t="shared" si="348"/>
        <v>26522500</v>
      </c>
      <c r="F4535" s="159">
        <f t="shared" si="342"/>
        <v>77272500</v>
      </c>
      <c r="G4535" s="159"/>
      <c r="H4535" s="159">
        <v>35600000</v>
      </c>
      <c r="I4535" s="159"/>
      <c r="J4535" s="159"/>
      <c r="K4535" s="383"/>
      <c r="L4535" s="238"/>
    </row>
    <row r="4536" spans="1:13">
      <c r="A4536" s="192">
        <f t="shared" si="341"/>
        <v>32</v>
      </c>
      <c r="B4536" s="192" t="s">
        <v>4119</v>
      </c>
      <c r="C4536" s="159">
        <v>84500000</v>
      </c>
      <c r="D4536" s="159">
        <f t="shared" si="348"/>
        <v>87035000</v>
      </c>
      <c r="E4536" s="159">
        <f t="shared" si="348"/>
        <v>89646050</v>
      </c>
      <c r="F4536" s="159">
        <f t="shared" si="342"/>
        <v>261181050</v>
      </c>
      <c r="G4536" s="159"/>
      <c r="H4536" s="159">
        <v>82400000</v>
      </c>
      <c r="I4536" s="159">
        <f>6000000</f>
        <v>6000000</v>
      </c>
      <c r="J4536" s="159"/>
      <c r="K4536" s="383"/>
      <c r="L4536" s="238"/>
    </row>
    <row r="4537" spans="1:13">
      <c r="A4537" s="158"/>
      <c r="B4537" s="158"/>
      <c r="C4537" s="159"/>
      <c r="D4537" s="159"/>
      <c r="E4537" s="159"/>
      <c r="F4537" s="159"/>
      <c r="G4537" s="159"/>
      <c r="H4537" s="159"/>
      <c r="I4537" s="159"/>
      <c r="J4537" s="159"/>
      <c r="K4537" s="383"/>
      <c r="M4537" s="62" t="e">
        <f>IF(#REF!&gt;6,3,5)</f>
        <v>#REF!</v>
      </c>
    </row>
    <row r="4538" spans="1:13">
      <c r="A4538" s="161"/>
      <c r="B4538" s="161" t="s">
        <v>1684</v>
      </c>
      <c r="C4538" s="162">
        <f t="shared" ref="C4538:I4538" si="349">SUM(C4502:C4537)</f>
        <v>729900000</v>
      </c>
      <c r="D4538" s="162">
        <f t="shared" si="349"/>
        <v>625334016</v>
      </c>
      <c r="E4538" s="162">
        <f t="shared" si="349"/>
        <v>557523967</v>
      </c>
      <c r="F4538" s="162">
        <f t="shared" si="349"/>
        <v>1912753950</v>
      </c>
      <c r="G4538" s="162">
        <f>SUM(G4502:G4537)</f>
        <v>26987572</v>
      </c>
      <c r="H4538" s="162">
        <f t="shared" si="349"/>
        <v>602396999.75</v>
      </c>
      <c r="I4538" s="162">
        <f t="shared" si="349"/>
        <v>156072639.80000001</v>
      </c>
      <c r="J4538" s="162"/>
      <c r="K4538" s="384"/>
      <c r="M4538" s="62" t="e">
        <f>IF(#REF!&gt;6,3,5)</f>
        <v>#REF!</v>
      </c>
    </row>
    <row r="4539" spans="1:13" ht="15">
      <c r="C4539" s="163"/>
      <c r="D4539" s="164" t="s">
        <v>5434</v>
      </c>
      <c r="E4539" s="165"/>
      <c r="F4539" s="165"/>
      <c r="G4539" s="165"/>
      <c r="H4539" s="165"/>
      <c r="I4539" s="165"/>
      <c r="J4539" s="584"/>
      <c r="K4539" s="584"/>
      <c r="M4539" s="62">
        <f t="shared" ref="M4539:M4556" si="350">IF(C4539&gt;6,3,5)</f>
        <v>5</v>
      </c>
    </row>
    <row r="4540" spans="1:13" ht="15">
      <c r="C4540" s="166"/>
      <c r="D4540" s="164" t="s">
        <v>1693</v>
      </c>
      <c r="E4540" s="165"/>
      <c r="F4540" s="165"/>
      <c r="G4540" s="165"/>
      <c r="H4540" s="165"/>
      <c r="I4540" s="165"/>
      <c r="J4540" s="584"/>
      <c r="K4540" s="584"/>
      <c r="M4540" s="62">
        <f t="shared" si="350"/>
        <v>5</v>
      </c>
    </row>
    <row r="4541" spans="1:13" ht="15">
      <c r="C4541" s="79" t="s">
        <v>717</v>
      </c>
      <c r="D4541" s="164" t="s">
        <v>4046</v>
      </c>
      <c r="E4541" s="165"/>
      <c r="F4541" s="165"/>
      <c r="G4541" s="165"/>
      <c r="H4541" s="165"/>
      <c r="I4541" s="165"/>
      <c r="J4541" s="584"/>
      <c r="K4541" s="584"/>
      <c r="M4541" s="62">
        <f t="shared" si="350"/>
        <v>3</v>
      </c>
    </row>
    <row r="4542" spans="1:13" ht="15.75" thickBot="1">
      <c r="C4542" s="79" t="s">
        <v>718</v>
      </c>
      <c r="D4542" s="164" t="s">
        <v>3762</v>
      </c>
      <c r="E4542" s="165"/>
      <c r="F4542" s="165"/>
      <c r="G4542" s="165"/>
      <c r="H4542" s="165"/>
      <c r="I4542" s="165"/>
      <c r="J4542" s="584"/>
      <c r="K4542" s="584"/>
      <c r="M4542" s="62">
        <f t="shared" si="350"/>
        <v>3</v>
      </c>
    </row>
    <row r="4543" spans="1:13" ht="15.75" thickTop="1">
      <c r="A4543" s="1047" t="s">
        <v>2791</v>
      </c>
      <c r="B4543" s="1049" t="s">
        <v>4126</v>
      </c>
      <c r="C4543" s="1049" t="s">
        <v>854</v>
      </c>
      <c r="D4543" s="1040" t="s">
        <v>4127</v>
      </c>
      <c r="E4543" s="1041"/>
      <c r="F4543" s="1041"/>
      <c r="G4543" s="1040" t="s">
        <v>904</v>
      </c>
      <c r="H4543" s="1041"/>
      <c r="I4543" s="1042"/>
      <c r="J4543" s="1035" t="s">
        <v>855</v>
      </c>
      <c r="K4543" s="389"/>
    </row>
    <row r="4544" spans="1:13" ht="26.25" thickBot="1">
      <c r="A4544" s="1048"/>
      <c r="B4544" s="1050"/>
      <c r="C4544" s="1050"/>
      <c r="D4544" s="285" t="s">
        <v>5505</v>
      </c>
      <c r="E4544" s="285" t="s">
        <v>4485</v>
      </c>
      <c r="F4544" s="285" t="s">
        <v>4486</v>
      </c>
      <c r="G4544" s="287" t="s">
        <v>4487</v>
      </c>
      <c r="H4544" s="285" t="s">
        <v>4488</v>
      </c>
      <c r="I4544" s="287" t="s">
        <v>4489</v>
      </c>
      <c r="J4544" s="1036"/>
      <c r="K4544" s="712"/>
    </row>
    <row r="4545" spans="1:13" ht="13.5" thickTop="1">
      <c r="A4545" s="88"/>
      <c r="B4545" s="90" t="s">
        <v>1830</v>
      </c>
      <c r="C4545" s="167"/>
      <c r="D4545" s="155"/>
      <c r="E4545" s="155"/>
      <c r="F4545" s="155"/>
      <c r="G4545" s="155"/>
      <c r="H4545" s="155"/>
      <c r="I4545" s="155"/>
      <c r="J4545" s="713"/>
      <c r="K4545" s="711"/>
      <c r="M4545" s="62">
        <f t="shared" si="350"/>
        <v>5</v>
      </c>
    </row>
    <row r="4546" spans="1:13">
      <c r="A4546" s="88">
        <v>1</v>
      </c>
      <c r="B4546" s="69" t="s">
        <v>4245</v>
      </c>
      <c r="C4546" s="167">
        <v>9</v>
      </c>
      <c r="D4546" s="155">
        <v>0</v>
      </c>
      <c r="E4546" s="155">
        <v>1</v>
      </c>
      <c r="F4546" s="155">
        <v>0</v>
      </c>
      <c r="G4546" s="155">
        <v>0</v>
      </c>
      <c r="H4546" s="155">
        <v>1</v>
      </c>
      <c r="I4546" s="155">
        <v>0</v>
      </c>
      <c r="J4546" s="710">
        <f>(VLOOKUP($C4546,[2]Sheet1!$A$2:$P$18,$M4546+1)/12)*12*D4546</f>
        <v>0</v>
      </c>
      <c r="K4546" s="711"/>
      <c r="M4546" s="62">
        <f t="shared" si="350"/>
        <v>3</v>
      </c>
    </row>
    <row r="4547" spans="1:13">
      <c r="A4547" s="88"/>
      <c r="B4547" s="69" t="s">
        <v>4246</v>
      </c>
      <c r="C4547" s="167">
        <v>8</v>
      </c>
      <c r="D4547" s="155">
        <v>1</v>
      </c>
      <c r="E4547" s="155">
        <v>1</v>
      </c>
      <c r="F4547" s="155">
        <v>0</v>
      </c>
      <c r="G4547" s="155">
        <v>0</v>
      </c>
      <c r="H4547" s="155">
        <v>1</v>
      </c>
      <c r="I4547" s="155">
        <v>1</v>
      </c>
      <c r="J4547" s="710">
        <f>(VLOOKUP($C4547,[2]Sheet1!$A$2:$P$18,$M4547+1)/12)*12*D4547</f>
        <v>342141.27408</v>
      </c>
      <c r="K4547" s="711"/>
      <c r="M4547" s="62">
        <f>IF(C4547&gt;6,3,5)</f>
        <v>3</v>
      </c>
    </row>
    <row r="4548" spans="1:13">
      <c r="A4548" s="88"/>
      <c r="B4548" s="69" t="s">
        <v>342</v>
      </c>
      <c r="C4548" s="167">
        <v>7</v>
      </c>
      <c r="D4548" s="155">
        <v>1</v>
      </c>
      <c r="E4548" s="155">
        <v>1</v>
      </c>
      <c r="F4548" s="155">
        <v>0</v>
      </c>
      <c r="G4548" s="155">
        <v>0</v>
      </c>
      <c r="H4548" s="155">
        <v>1</v>
      </c>
      <c r="I4548" s="155">
        <v>1</v>
      </c>
      <c r="J4548" s="710">
        <f>(VLOOKUP($C4548,[2]Sheet1!$A$2:$P$18,$M4548+1)/12)*12*D4548</f>
        <v>307706.70240000007</v>
      </c>
      <c r="K4548" s="711"/>
      <c r="M4548" s="62">
        <f>IF(C4548&gt;6,3,5)</f>
        <v>3</v>
      </c>
    </row>
    <row r="4549" spans="1:13">
      <c r="A4549" s="88">
        <f>+A4546+1</f>
        <v>2</v>
      </c>
      <c r="B4549" s="69" t="s">
        <v>405</v>
      </c>
      <c r="C4549" s="167">
        <v>6</v>
      </c>
      <c r="D4549" s="155">
        <v>1</v>
      </c>
      <c r="E4549" s="155">
        <v>1</v>
      </c>
      <c r="F4549" s="155">
        <v>1</v>
      </c>
      <c r="G4549" s="155">
        <v>1</v>
      </c>
      <c r="H4549" s="155">
        <v>1</v>
      </c>
      <c r="I4549" s="155">
        <v>1</v>
      </c>
      <c r="J4549" s="710">
        <f>(VLOOKUP($C4549,[2]Sheet1!$A$2:$P$18,$M4549+1)/12)*12*D4549</f>
        <v>238099.37893036497</v>
      </c>
      <c r="K4549" s="711"/>
      <c r="M4549" s="62">
        <f t="shared" si="350"/>
        <v>5</v>
      </c>
    </row>
    <row r="4550" spans="1:13">
      <c r="A4550" s="88">
        <f t="shared" ref="A4550:A4578" si="351">+A4549+1</f>
        <v>3</v>
      </c>
      <c r="B4550" s="69" t="s">
        <v>3770</v>
      </c>
      <c r="C4550" s="167">
        <v>5</v>
      </c>
      <c r="D4550" s="155">
        <v>1</v>
      </c>
      <c r="E4550" s="155">
        <v>1</v>
      </c>
      <c r="F4550" s="155">
        <v>1</v>
      </c>
      <c r="G4550" s="155">
        <v>1</v>
      </c>
      <c r="H4550" s="155">
        <v>1</v>
      </c>
      <c r="I4550" s="155">
        <v>1</v>
      </c>
      <c r="J4550" s="710">
        <f>(VLOOKUP($C4550,[2]Sheet1!$A$2:$P$18,$M4550+1)/12)*12*D4550</f>
        <v>229569.77893036499</v>
      </c>
      <c r="K4550" s="711"/>
      <c r="M4550" s="62">
        <f t="shared" si="350"/>
        <v>5</v>
      </c>
    </row>
    <row r="4551" spans="1:13">
      <c r="A4551" s="88">
        <f t="shared" si="351"/>
        <v>4</v>
      </c>
      <c r="B4551" s="69" t="s">
        <v>3662</v>
      </c>
      <c r="C4551" s="167">
        <v>4</v>
      </c>
      <c r="D4551" s="155">
        <v>1</v>
      </c>
      <c r="E4551" s="155">
        <v>1</v>
      </c>
      <c r="F4551" s="155">
        <v>1</v>
      </c>
      <c r="G4551" s="155">
        <v>1</v>
      </c>
      <c r="H4551" s="155">
        <v>1</v>
      </c>
      <c r="I4551" s="155">
        <v>1</v>
      </c>
      <c r="J4551" s="710">
        <f>(VLOOKUP($C4551,[2]Sheet1!$A$2:$P$18,$M4551+1)/12)*12*D4551</f>
        <v>224542.978930365</v>
      </c>
      <c r="K4551" s="711"/>
      <c r="M4551" s="62">
        <f t="shared" si="350"/>
        <v>5</v>
      </c>
    </row>
    <row r="4552" spans="1:13">
      <c r="A4552" s="88">
        <f t="shared" si="351"/>
        <v>5</v>
      </c>
      <c r="B4552" s="69" t="s">
        <v>957</v>
      </c>
      <c r="C4552" s="167">
        <v>3</v>
      </c>
      <c r="D4552" s="155">
        <v>5</v>
      </c>
      <c r="E4552" s="155">
        <v>5</v>
      </c>
      <c r="F4552" s="155">
        <v>5</v>
      </c>
      <c r="G4552" s="155">
        <v>5</v>
      </c>
      <c r="H4552" s="155">
        <v>5</v>
      </c>
      <c r="I4552" s="155">
        <v>5</v>
      </c>
      <c r="J4552" s="710">
        <f>(VLOOKUP($C4552,[2]Sheet1!$A$2:$P$18,$M4552+1)/12)*12*D4552</f>
        <v>1096680.8946518248</v>
      </c>
      <c r="K4552" s="711"/>
      <c r="M4552" s="62">
        <f t="shared" si="350"/>
        <v>5</v>
      </c>
    </row>
    <row r="4553" spans="1:13">
      <c r="A4553" s="88">
        <f t="shared" si="351"/>
        <v>6</v>
      </c>
      <c r="B4553" s="69" t="s">
        <v>2741</v>
      </c>
      <c r="C4553" s="167">
        <v>13</v>
      </c>
      <c r="D4553" s="155">
        <v>0</v>
      </c>
      <c r="E4553" s="155">
        <v>0</v>
      </c>
      <c r="F4553" s="155">
        <v>0</v>
      </c>
      <c r="G4553" s="155">
        <v>0</v>
      </c>
      <c r="H4553" s="155">
        <v>0</v>
      </c>
      <c r="I4553" s="155">
        <v>0</v>
      </c>
      <c r="J4553" s="710">
        <f>(VLOOKUP($C4553,[2]Sheet1!$A$2:$P$18,$M4553+1)/12)*12*D4553</f>
        <v>0</v>
      </c>
      <c r="K4553" s="711"/>
      <c r="M4553" s="62">
        <f t="shared" si="350"/>
        <v>3</v>
      </c>
    </row>
    <row r="4554" spans="1:13">
      <c r="A4554" s="88">
        <f t="shared" si="351"/>
        <v>7</v>
      </c>
      <c r="B4554" s="69" t="s">
        <v>888</v>
      </c>
      <c r="C4554" s="167">
        <v>9</v>
      </c>
      <c r="D4554" s="155">
        <v>0</v>
      </c>
      <c r="E4554" s="155">
        <v>0</v>
      </c>
      <c r="F4554" s="155">
        <v>0</v>
      </c>
      <c r="G4554" s="155">
        <v>0</v>
      </c>
      <c r="H4554" s="155">
        <v>0</v>
      </c>
      <c r="I4554" s="155">
        <v>0</v>
      </c>
      <c r="J4554" s="710">
        <f>(VLOOKUP($C4554,[2]Sheet1!$A$2:$P$18,$M4554+1)/12)*12*D4554</f>
        <v>0</v>
      </c>
      <c r="K4554" s="711"/>
      <c r="M4554" s="62">
        <f t="shared" si="350"/>
        <v>3</v>
      </c>
    </row>
    <row r="4555" spans="1:13">
      <c r="A4555" s="88">
        <f t="shared" si="351"/>
        <v>8</v>
      </c>
      <c r="B4555" s="69" t="s">
        <v>1228</v>
      </c>
      <c r="C4555" s="167">
        <v>8</v>
      </c>
      <c r="D4555" s="155">
        <v>0</v>
      </c>
      <c r="E4555" s="155">
        <v>0</v>
      </c>
      <c r="F4555" s="155">
        <v>0</v>
      </c>
      <c r="G4555" s="155">
        <v>0</v>
      </c>
      <c r="H4555" s="155">
        <v>0</v>
      </c>
      <c r="I4555" s="155">
        <v>0</v>
      </c>
      <c r="J4555" s="710">
        <f>(VLOOKUP($C4555,[2]Sheet1!$A$2:$P$18,$M4555+1)/12)*12*D4555</f>
        <v>0</v>
      </c>
      <c r="K4555" s="711"/>
      <c r="M4555" s="62">
        <f t="shared" si="350"/>
        <v>3</v>
      </c>
    </row>
    <row r="4556" spans="1:13">
      <c r="A4556" s="88">
        <f t="shared" si="351"/>
        <v>9</v>
      </c>
      <c r="B4556" s="69" t="s">
        <v>1229</v>
      </c>
      <c r="C4556" s="167">
        <v>7</v>
      </c>
      <c r="D4556" s="155">
        <v>0</v>
      </c>
      <c r="E4556" s="155">
        <v>0</v>
      </c>
      <c r="F4556" s="155">
        <v>0</v>
      </c>
      <c r="G4556" s="155">
        <v>0</v>
      </c>
      <c r="H4556" s="155">
        <v>0</v>
      </c>
      <c r="I4556" s="155">
        <v>0</v>
      </c>
      <c r="J4556" s="710">
        <f>(VLOOKUP($C4556,[2]Sheet1!$A$2:$P$18,$M4556+1)/12)*12*D4556</f>
        <v>0</v>
      </c>
      <c r="K4556" s="711"/>
      <c r="M4556" s="62">
        <f t="shared" si="350"/>
        <v>3</v>
      </c>
    </row>
    <row r="4557" spans="1:13">
      <c r="A4557" s="88">
        <f t="shared" si="351"/>
        <v>10</v>
      </c>
      <c r="B4557" s="69" t="s">
        <v>2742</v>
      </c>
      <c r="C4557" s="167">
        <v>6</v>
      </c>
      <c r="D4557" s="155">
        <v>0</v>
      </c>
      <c r="E4557" s="155">
        <v>0</v>
      </c>
      <c r="F4557" s="155">
        <v>0</v>
      </c>
      <c r="G4557" s="155">
        <v>0</v>
      </c>
      <c r="H4557" s="155">
        <v>0</v>
      </c>
      <c r="I4557" s="155">
        <v>0</v>
      </c>
      <c r="J4557" s="710">
        <f>(VLOOKUP($C4557,[2]Sheet1!$A$2:$P$18,$M4557+1)/12)*12*D4557</f>
        <v>0</v>
      </c>
      <c r="K4557" s="711"/>
      <c r="M4557" s="62">
        <f t="shared" ref="M4557:M4621" si="352">IF(C4557&gt;6,3,5)</f>
        <v>5</v>
      </c>
    </row>
    <row r="4558" spans="1:13">
      <c r="A4558" s="88">
        <f t="shared" si="351"/>
        <v>11</v>
      </c>
      <c r="B4558" s="69" t="s">
        <v>2706</v>
      </c>
      <c r="C4558" s="167">
        <v>5</v>
      </c>
      <c r="D4558" s="155">
        <v>0</v>
      </c>
      <c r="E4558" s="155">
        <v>0</v>
      </c>
      <c r="F4558" s="155">
        <v>0</v>
      </c>
      <c r="G4558" s="155">
        <v>0</v>
      </c>
      <c r="H4558" s="155">
        <v>0</v>
      </c>
      <c r="I4558" s="155">
        <v>0</v>
      </c>
      <c r="J4558" s="710">
        <f>(VLOOKUP($C4558,[2]Sheet1!$A$2:$P$18,$M4558+1)/12)*12*D4558</f>
        <v>0</v>
      </c>
      <c r="K4558" s="711"/>
      <c r="M4558" s="62">
        <f t="shared" si="352"/>
        <v>5</v>
      </c>
    </row>
    <row r="4559" spans="1:13">
      <c r="A4559" s="88">
        <f t="shared" si="351"/>
        <v>12</v>
      </c>
      <c r="B4559" s="69" t="s">
        <v>3896</v>
      </c>
      <c r="C4559" s="167">
        <v>6</v>
      </c>
      <c r="D4559" s="155">
        <v>2</v>
      </c>
      <c r="E4559" s="155">
        <v>2</v>
      </c>
      <c r="F4559" s="155">
        <v>2</v>
      </c>
      <c r="G4559" s="155">
        <v>2</v>
      </c>
      <c r="H4559" s="155">
        <v>2</v>
      </c>
      <c r="I4559" s="155">
        <v>2</v>
      </c>
      <c r="J4559" s="710">
        <f>(VLOOKUP($C4559,[2]Sheet1!$A$2:$P$18,$M4559+1)/12)*12*D4559</f>
        <v>476198.75786072994</v>
      </c>
      <c r="K4559" s="711"/>
      <c r="M4559" s="62">
        <f t="shared" si="352"/>
        <v>5</v>
      </c>
    </row>
    <row r="4560" spans="1:13">
      <c r="A4560" s="88">
        <f t="shared" si="351"/>
        <v>13</v>
      </c>
      <c r="B4560" s="69" t="s">
        <v>1749</v>
      </c>
      <c r="C4560" s="167">
        <v>6</v>
      </c>
      <c r="D4560" s="155">
        <v>1</v>
      </c>
      <c r="E4560" s="155">
        <v>1</v>
      </c>
      <c r="F4560" s="155">
        <v>1</v>
      </c>
      <c r="G4560" s="155">
        <v>1</v>
      </c>
      <c r="H4560" s="155">
        <v>1</v>
      </c>
      <c r="I4560" s="155">
        <v>1</v>
      </c>
      <c r="J4560" s="710">
        <f>(VLOOKUP($C4560,[2]Sheet1!$A$2:$P$18,$M4560+1)/12)*12*D4560</f>
        <v>238099.37893036497</v>
      </c>
      <c r="K4560" s="711"/>
      <c r="M4560" s="62">
        <f t="shared" si="352"/>
        <v>5</v>
      </c>
    </row>
    <row r="4561" spans="1:13">
      <c r="A4561" s="88">
        <f t="shared" si="351"/>
        <v>14</v>
      </c>
      <c r="B4561" s="69" t="s">
        <v>3796</v>
      </c>
      <c r="C4561" s="167">
        <v>5</v>
      </c>
      <c r="D4561" s="155">
        <v>0</v>
      </c>
      <c r="E4561" s="155">
        <v>0</v>
      </c>
      <c r="F4561" s="155">
        <v>0</v>
      </c>
      <c r="G4561" s="155">
        <v>0</v>
      </c>
      <c r="H4561" s="155">
        <v>0</v>
      </c>
      <c r="I4561" s="155">
        <v>0</v>
      </c>
      <c r="J4561" s="710">
        <f>(VLOOKUP($C4561,[2]Sheet1!$A$2:$P$18,$M4561+1)/12)*12*D4561</f>
        <v>0</v>
      </c>
      <c r="K4561" s="711"/>
      <c r="M4561" s="62">
        <f t="shared" si="352"/>
        <v>5</v>
      </c>
    </row>
    <row r="4562" spans="1:13">
      <c r="A4562" s="88">
        <f t="shared" si="351"/>
        <v>15</v>
      </c>
      <c r="B4562" s="69" t="s">
        <v>3797</v>
      </c>
      <c r="C4562" s="167">
        <v>4</v>
      </c>
      <c r="D4562" s="155">
        <v>0</v>
      </c>
      <c r="E4562" s="155">
        <v>1</v>
      </c>
      <c r="F4562" s="155">
        <v>1</v>
      </c>
      <c r="G4562" s="155">
        <v>1</v>
      </c>
      <c r="H4562" s="155">
        <v>1</v>
      </c>
      <c r="I4562" s="155">
        <v>0</v>
      </c>
      <c r="J4562" s="710">
        <f>(VLOOKUP($C4562,[2]Sheet1!$A$2:$P$18,$M4562+1)/12)*12*D4562</f>
        <v>0</v>
      </c>
      <c r="K4562" s="711"/>
      <c r="M4562" s="62">
        <f t="shared" si="352"/>
        <v>5</v>
      </c>
    </row>
    <row r="4563" spans="1:13">
      <c r="A4563" s="88">
        <f t="shared" si="351"/>
        <v>16</v>
      </c>
      <c r="B4563" s="69" t="s">
        <v>3798</v>
      </c>
      <c r="C4563" s="167">
        <v>3</v>
      </c>
      <c r="D4563" s="155">
        <v>2</v>
      </c>
      <c r="E4563" s="155">
        <v>2</v>
      </c>
      <c r="F4563" s="155">
        <v>2</v>
      </c>
      <c r="G4563" s="155">
        <v>2</v>
      </c>
      <c r="H4563" s="155">
        <v>2</v>
      </c>
      <c r="I4563" s="155">
        <v>2</v>
      </c>
      <c r="J4563" s="710">
        <f>(VLOOKUP($C4563,[2]Sheet1!$A$2:$P$18,$M4563+1)/12)*12*D4563</f>
        <v>438672.35786072997</v>
      </c>
      <c r="K4563" s="711"/>
      <c r="M4563" s="62">
        <f t="shared" si="352"/>
        <v>5</v>
      </c>
    </row>
    <row r="4564" spans="1:13">
      <c r="A4564" s="88">
        <f t="shared" si="351"/>
        <v>17</v>
      </c>
      <c r="B4564" s="69" t="s">
        <v>2563</v>
      </c>
      <c r="C4564" s="167">
        <v>7</v>
      </c>
      <c r="D4564" s="155">
        <v>4</v>
      </c>
      <c r="E4564" s="155">
        <v>4</v>
      </c>
      <c r="F4564" s="155">
        <v>4</v>
      </c>
      <c r="G4564" s="155">
        <v>4</v>
      </c>
      <c r="H4564" s="155">
        <v>4</v>
      </c>
      <c r="I4564" s="155">
        <v>4</v>
      </c>
      <c r="J4564" s="710">
        <f>(VLOOKUP($C4564,[2]Sheet1!$A$2:$P$18,$M4564+1)/12)*12*D4564</f>
        <v>1230826.8096000003</v>
      </c>
      <c r="K4564" s="711"/>
      <c r="M4564" s="62">
        <f t="shared" si="352"/>
        <v>3</v>
      </c>
    </row>
    <row r="4565" spans="1:13">
      <c r="A4565" s="88">
        <f t="shared" si="351"/>
        <v>18</v>
      </c>
      <c r="B4565" s="69" t="s">
        <v>2972</v>
      </c>
      <c r="C4565" s="167">
        <v>6</v>
      </c>
      <c r="D4565" s="155">
        <v>2</v>
      </c>
      <c r="E4565" s="155">
        <v>2</v>
      </c>
      <c r="F4565" s="155">
        <v>2</v>
      </c>
      <c r="G4565" s="155">
        <v>2</v>
      </c>
      <c r="H4565" s="155">
        <v>2</v>
      </c>
      <c r="I4565" s="155">
        <v>2</v>
      </c>
      <c r="J4565" s="710">
        <f>(VLOOKUP($C4565,[2]Sheet1!$A$2:$P$18,$M4565+1)/12)*12*D4565</f>
        <v>476198.75786072994</v>
      </c>
      <c r="K4565" s="711"/>
      <c r="M4565" s="62">
        <f t="shared" si="352"/>
        <v>5</v>
      </c>
    </row>
    <row r="4566" spans="1:13">
      <c r="A4566" s="88">
        <f t="shared" si="351"/>
        <v>19</v>
      </c>
      <c r="B4566" s="69" t="s">
        <v>1794</v>
      </c>
      <c r="C4566" s="167">
        <v>5</v>
      </c>
      <c r="D4566" s="155">
        <v>0</v>
      </c>
      <c r="E4566" s="155">
        <v>0</v>
      </c>
      <c r="F4566" s="155">
        <v>0</v>
      </c>
      <c r="G4566" s="155">
        <v>0</v>
      </c>
      <c r="H4566" s="155">
        <v>0</v>
      </c>
      <c r="I4566" s="155">
        <v>0</v>
      </c>
      <c r="J4566" s="710">
        <f>(VLOOKUP($C4566,[2]Sheet1!$A$2:$P$18,$M4566+1)/12)*12*D4566</f>
        <v>0</v>
      </c>
      <c r="K4566" s="711"/>
      <c r="M4566" s="62">
        <f t="shared" si="352"/>
        <v>5</v>
      </c>
    </row>
    <row r="4567" spans="1:13">
      <c r="A4567" s="88">
        <f t="shared" si="351"/>
        <v>20</v>
      </c>
      <c r="B4567" s="69" t="s">
        <v>2231</v>
      </c>
      <c r="C4567" s="167">
        <v>4</v>
      </c>
      <c r="D4567" s="155">
        <v>2</v>
      </c>
      <c r="E4567" s="155">
        <v>0</v>
      </c>
      <c r="F4567" s="155">
        <v>0</v>
      </c>
      <c r="G4567" s="155">
        <v>0</v>
      </c>
      <c r="H4567" s="155">
        <v>0</v>
      </c>
      <c r="I4567" s="155">
        <v>2</v>
      </c>
      <c r="J4567" s="710">
        <f>(VLOOKUP($C4567,[2]Sheet1!$A$2:$P$18,$M4567+1)/12)*12*D4567</f>
        <v>449085.95786073001</v>
      </c>
      <c r="K4567" s="711"/>
      <c r="M4567" s="62">
        <f t="shared" si="352"/>
        <v>5</v>
      </c>
    </row>
    <row r="4568" spans="1:13">
      <c r="A4568" s="88">
        <f t="shared" si="351"/>
        <v>21</v>
      </c>
      <c r="B4568" s="69" t="s">
        <v>4028</v>
      </c>
      <c r="C4568" s="167">
        <v>3</v>
      </c>
      <c r="D4568" s="155">
        <v>2</v>
      </c>
      <c r="E4568" s="155">
        <v>2</v>
      </c>
      <c r="F4568" s="155">
        <v>2</v>
      </c>
      <c r="G4568" s="155">
        <v>2</v>
      </c>
      <c r="H4568" s="155">
        <v>2</v>
      </c>
      <c r="I4568" s="155">
        <v>2</v>
      </c>
      <c r="J4568" s="710">
        <f>(VLOOKUP($C4568,[2]Sheet1!$A$2:$P$18,$M4568+1)/12)*12*D4568</f>
        <v>438672.35786072997</v>
      </c>
      <c r="K4568" s="711"/>
      <c r="M4568" s="62">
        <f t="shared" si="352"/>
        <v>5</v>
      </c>
    </row>
    <row r="4569" spans="1:13">
      <c r="A4569" s="88">
        <f t="shared" si="351"/>
        <v>22</v>
      </c>
      <c r="B4569" s="69" t="s">
        <v>2179</v>
      </c>
      <c r="C4569" s="167">
        <v>5</v>
      </c>
      <c r="D4569" s="155">
        <v>0</v>
      </c>
      <c r="E4569" s="155">
        <v>0</v>
      </c>
      <c r="F4569" s="155">
        <v>0</v>
      </c>
      <c r="G4569" s="155">
        <v>0</v>
      </c>
      <c r="H4569" s="155">
        <v>0</v>
      </c>
      <c r="I4569" s="155">
        <v>0</v>
      </c>
      <c r="J4569" s="710">
        <f>(VLOOKUP($C4569,[2]Sheet1!$A$2:$P$18,$M4569+1)/12)*12*D4569</f>
        <v>0</v>
      </c>
      <c r="K4569" s="711"/>
      <c r="M4569" s="62">
        <f t="shared" si="352"/>
        <v>5</v>
      </c>
    </row>
    <row r="4570" spans="1:13">
      <c r="A4570" s="88">
        <f t="shared" si="351"/>
        <v>23</v>
      </c>
      <c r="B4570" s="69" t="s">
        <v>2542</v>
      </c>
      <c r="C4570" s="167">
        <v>4</v>
      </c>
      <c r="D4570" s="155">
        <v>2</v>
      </c>
      <c r="E4570" s="155">
        <v>3</v>
      </c>
      <c r="F4570" s="155">
        <v>3</v>
      </c>
      <c r="G4570" s="155">
        <v>3</v>
      </c>
      <c r="H4570" s="155">
        <v>3</v>
      </c>
      <c r="I4570" s="155">
        <v>2</v>
      </c>
      <c r="J4570" s="710">
        <f>(VLOOKUP($C4570,[2]Sheet1!$A$2:$P$18,$M4570+1)/12)*12*D4570</f>
        <v>449085.95786073001</v>
      </c>
      <c r="K4570" s="711"/>
      <c r="M4570" s="62">
        <f t="shared" si="352"/>
        <v>5</v>
      </c>
    </row>
    <row r="4571" spans="1:13">
      <c r="A4571" s="88">
        <f t="shared" si="351"/>
        <v>24</v>
      </c>
      <c r="B4571" s="69" t="s">
        <v>2543</v>
      </c>
      <c r="C4571" s="167">
        <v>3</v>
      </c>
      <c r="D4571" s="155">
        <v>3</v>
      </c>
      <c r="E4571" s="155">
        <v>0</v>
      </c>
      <c r="F4571" s="155">
        <v>0</v>
      </c>
      <c r="G4571" s="155">
        <v>0</v>
      </c>
      <c r="H4571" s="155">
        <v>0</v>
      </c>
      <c r="I4571" s="155">
        <v>3</v>
      </c>
      <c r="J4571" s="710">
        <f>(VLOOKUP($C4571,[2]Sheet1!$A$2:$P$18,$M4571+1)/12)*12*D4571</f>
        <v>658008.53679109493</v>
      </c>
      <c r="K4571" s="711"/>
      <c r="M4571" s="62">
        <f t="shared" si="352"/>
        <v>5</v>
      </c>
    </row>
    <row r="4572" spans="1:13">
      <c r="A4572" s="88">
        <f t="shared" si="351"/>
        <v>25</v>
      </c>
      <c r="B4572" s="69" t="s">
        <v>2686</v>
      </c>
      <c r="C4572" s="167">
        <v>5</v>
      </c>
      <c r="D4572" s="155">
        <v>3</v>
      </c>
      <c r="E4572" s="155">
        <v>0</v>
      </c>
      <c r="F4572" s="155">
        <v>0</v>
      </c>
      <c r="G4572" s="155">
        <v>0</v>
      </c>
      <c r="H4572" s="155">
        <v>0</v>
      </c>
      <c r="I4572" s="155">
        <v>3</v>
      </c>
      <c r="J4572" s="710">
        <f>(VLOOKUP($C4572,[2]Sheet1!$A$2:$P$18,$M4572+1)/12)*12*D4572</f>
        <v>688709.33679109497</v>
      </c>
      <c r="K4572" s="711"/>
      <c r="M4572" s="62">
        <f t="shared" si="352"/>
        <v>5</v>
      </c>
    </row>
    <row r="4573" spans="1:13">
      <c r="A4573" s="88">
        <f t="shared" si="351"/>
        <v>26</v>
      </c>
      <c r="B4573" s="69" t="s">
        <v>2694</v>
      </c>
      <c r="C4573" s="167">
        <v>3</v>
      </c>
      <c r="D4573" s="155">
        <v>0</v>
      </c>
      <c r="E4573" s="155">
        <v>0</v>
      </c>
      <c r="F4573" s="155">
        <v>0</v>
      </c>
      <c r="G4573" s="155">
        <v>0</v>
      </c>
      <c r="H4573" s="155">
        <v>0</v>
      </c>
      <c r="I4573" s="155">
        <v>0</v>
      </c>
      <c r="J4573" s="710">
        <f>(VLOOKUP($C4573,[2]Sheet1!$A$2:$P$18,$M4573+1)/12)*12*D4573</f>
        <v>0</v>
      </c>
      <c r="K4573" s="711"/>
      <c r="M4573" s="62">
        <f t="shared" si="352"/>
        <v>5</v>
      </c>
    </row>
    <row r="4574" spans="1:13">
      <c r="A4574" s="88">
        <f t="shared" si="351"/>
        <v>27</v>
      </c>
      <c r="B4574" s="69" t="s">
        <v>2181</v>
      </c>
      <c r="C4574" s="167">
        <v>4</v>
      </c>
      <c r="D4574" s="155">
        <v>0</v>
      </c>
      <c r="E4574" s="155">
        <v>0</v>
      </c>
      <c r="F4574" s="155">
        <v>0</v>
      </c>
      <c r="G4574" s="155">
        <v>0</v>
      </c>
      <c r="H4574" s="155">
        <v>0</v>
      </c>
      <c r="I4574" s="155">
        <v>0</v>
      </c>
      <c r="J4574" s="710">
        <f>(VLOOKUP($C4574,[2]Sheet1!$A$2:$P$18,$M4574+1)/12)*12*D4574</f>
        <v>0</v>
      </c>
      <c r="K4574" s="711"/>
      <c r="M4574" s="62">
        <f t="shared" si="352"/>
        <v>5</v>
      </c>
    </row>
    <row r="4575" spans="1:13">
      <c r="A4575" s="88">
        <f t="shared" si="351"/>
        <v>28</v>
      </c>
      <c r="B4575" s="69" t="s">
        <v>2364</v>
      </c>
      <c r="C4575" s="167">
        <v>2</v>
      </c>
      <c r="D4575" s="155">
        <v>0</v>
      </c>
      <c r="E4575" s="155">
        <v>0</v>
      </c>
      <c r="F4575" s="155">
        <v>0</v>
      </c>
      <c r="G4575" s="155">
        <v>0</v>
      </c>
      <c r="H4575" s="155">
        <v>0</v>
      </c>
      <c r="I4575" s="155">
        <v>0</v>
      </c>
      <c r="J4575" s="710">
        <f>(VLOOKUP($C4575,[2]Sheet1!$A$2:$P$18,$M4575+1)/12)*12*D4575</f>
        <v>0</v>
      </c>
      <c r="K4575" s="711"/>
      <c r="M4575" s="62">
        <f t="shared" si="352"/>
        <v>5</v>
      </c>
    </row>
    <row r="4576" spans="1:13">
      <c r="A4576" s="88">
        <f t="shared" si="351"/>
        <v>29</v>
      </c>
      <c r="B4576" s="69" t="s">
        <v>2707</v>
      </c>
      <c r="C4576" s="167">
        <v>3</v>
      </c>
      <c r="D4576" s="155">
        <v>0</v>
      </c>
      <c r="E4576" s="155">
        <v>0</v>
      </c>
      <c r="F4576" s="155">
        <v>0</v>
      </c>
      <c r="G4576" s="155">
        <v>0</v>
      </c>
      <c r="H4576" s="155">
        <v>0</v>
      </c>
      <c r="I4576" s="155">
        <v>0</v>
      </c>
      <c r="J4576" s="710">
        <f>(VLOOKUP($C4576,[2]Sheet1!$A$2:$P$18,$M4576+1)/12)*12*D4576</f>
        <v>0</v>
      </c>
      <c r="K4576" s="711"/>
      <c r="M4576" s="62">
        <f t="shared" si="352"/>
        <v>5</v>
      </c>
    </row>
    <row r="4577" spans="1:13">
      <c r="A4577" s="88">
        <f t="shared" si="351"/>
        <v>30</v>
      </c>
      <c r="B4577" s="69" t="s">
        <v>2172</v>
      </c>
      <c r="C4577" s="167">
        <v>2</v>
      </c>
      <c r="D4577" s="155">
        <v>5</v>
      </c>
      <c r="E4577" s="155">
        <v>5</v>
      </c>
      <c r="F4577" s="155">
        <v>5</v>
      </c>
      <c r="G4577" s="155">
        <v>5</v>
      </c>
      <c r="H4577" s="155">
        <v>5</v>
      </c>
      <c r="I4577" s="155">
        <v>5</v>
      </c>
      <c r="J4577" s="710">
        <f>(VLOOKUP($C4577,[2]Sheet1!$A$2:$P$18,$M4577+1)/12)*12*D4577</f>
        <v>1073286.8946518251</v>
      </c>
      <c r="K4577" s="711"/>
      <c r="M4577" s="62">
        <f t="shared" si="352"/>
        <v>5</v>
      </c>
    </row>
    <row r="4578" spans="1:13">
      <c r="A4578" s="88">
        <f t="shared" si="351"/>
        <v>31</v>
      </c>
      <c r="B4578" s="69" t="s">
        <v>3674</v>
      </c>
      <c r="C4578" s="167">
        <v>2</v>
      </c>
      <c r="D4578" s="155">
        <v>2</v>
      </c>
      <c r="E4578" s="155">
        <v>1</v>
      </c>
      <c r="F4578" s="155">
        <v>0</v>
      </c>
      <c r="G4578" s="155">
        <v>0</v>
      </c>
      <c r="H4578" s="155">
        <v>0</v>
      </c>
      <c r="I4578" s="155">
        <v>2</v>
      </c>
      <c r="J4578" s="710">
        <f>(VLOOKUP($C4578,[2]Sheet1!$A$2:$P$18,$M4578+1)/12)*12*D4578</f>
        <v>429314.75786073005</v>
      </c>
      <c r="K4578" s="711"/>
      <c r="M4578" s="62">
        <f t="shared" si="352"/>
        <v>5</v>
      </c>
    </row>
    <row r="4579" spans="1:13">
      <c r="A4579" s="88"/>
      <c r="B4579" s="90" t="s">
        <v>2313</v>
      </c>
      <c r="C4579" s="167"/>
      <c r="D4579" s="155"/>
      <c r="E4579" s="155"/>
      <c r="F4579" s="155"/>
      <c r="G4579" s="155"/>
      <c r="H4579" s="155"/>
      <c r="I4579" s="155"/>
      <c r="J4579" s="710"/>
      <c r="K4579" s="711"/>
      <c r="M4579" s="62">
        <f t="shared" si="352"/>
        <v>5</v>
      </c>
    </row>
    <row r="4580" spans="1:13">
      <c r="A4580" s="88">
        <f>+A4578+1</f>
        <v>32</v>
      </c>
      <c r="B4580" s="69" t="s">
        <v>1317</v>
      </c>
      <c r="C4580" s="167">
        <v>6</v>
      </c>
      <c r="D4580" s="155">
        <v>0</v>
      </c>
      <c r="E4580" s="155">
        <v>0</v>
      </c>
      <c r="F4580" s="155">
        <v>0</v>
      </c>
      <c r="G4580" s="155">
        <v>0</v>
      </c>
      <c r="H4580" s="155">
        <v>0</v>
      </c>
      <c r="I4580" s="155">
        <v>0</v>
      </c>
      <c r="J4580" s="710">
        <f>(VLOOKUP($C4580,[2]Sheet1!$A$2:$P$18,$M4580+1)/12)*12*D4580</f>
        <v>0</v>
      </c>
      <c r="K4580" s="711"/>
      <c r="M4580" s="62">
        <f t="shared" si="352"/>
        <v>5</v>
      </c>
    </row>
    <row r="4581" spans="1:13" ht="13.5" thickBot="1">
      <c r="A4581" s="88">
        <f t="shared" ref="A4581:A4596" si="353">+A4580+1</f>
        <v>33</v>
      </c>
      <c r="B4581" s="69" t="s">
        <v>602</v>
      </c>
      <c r="C4581" s="167">
        <v>5</v>
      </c>
      <c r="D4581" s="155">
        <v>0</v>
      </c>
      <c r="E4581" s="155">
        <v>0</v>
      </c>
      <c r="F4581" s="155">
        <v>0</v>
      </c>
      <c r="G4581" s="155">
        <v>0</v>
      </c>
      <c r="H4581" s="155">
        <v>0</v>
      </c>
      <c r="I4581" s="155">
        <v>0</v>
      </c>
      <c r="J4581" s="710">
        <f>(VLOOKUP($C4581,[2]Sheet1!$A$2:$P$18,$M4581+1)/12)*12*D4581</f>
        <v>0</v>
      </c>
      <c r="K4581" s="711"/>
      <c r="M4581" s="62">
        <f t="shared" si="352"/>
        <v>5</v>
      </c>
    </row>
    <row r="4582" spans="1:13" ht="15.75" thickTop="1">
      <c r="A4582" s="1047" t="s">
        <v>2791</v>
      </c>
      <c r="B4582" s="1049" t="s">
        <v>4126</v>
      </c>
      <c r="C4582" s="1049" t="s">
        <v>854</v>
      </c>
      <c r="D4582" s="1040" t="s">
        <v>4127</v>
      </c>
      <c r="E4582" s="1041"/>
      <c r="F4582" s="1041"/>
      <c r="G4582" s="1040" t="s">
        <v>904</v>
      </c>
      <c r="H4582" s="1041"/>
      <c r="I4582" s="1042"/>
      <c r="J4582" s="1035" t="s">
        <v>855</v>
      </c>
      <c r="K4582" s="389"/>
    </row>
    <row r="4583" spans="1:13" ht="26.25" thickBot="1">
      <c r="A4583" s="1048"/>
      <c r="B4583" s="1050"/>
      <c r="C4583" s="1050"/>
      <c r="D4583" s="285" t="s">
        <v>5505</v>
      </c>
      <c r="E4583" s="285" t="s">
        <v>4485</v>
      </c>
      <c r="F4583" s="285" t="s">
        <v>4486</v>
      </c>
      <c r="G4583" s="287" t="s">
        <v>4487</v>
      </c>
      <c r="H4583" s="285" t="s">
        <v>4488</v>
      </c>
      <c r="I4583" s="287" t="s">
        <v>4489</v>
      </c>
      <c r="J4583" s="1036"/>
      <c r="K4583" s="712"/>
    </row>
    <row r="4584" spans="1:13" ht="13.5" thickTop="1">
      <c r="A4584" s="88">
        <f>+A4581+1</f>
        <v>34</v>
      </c>
      <c r="B4584" s="69" t="s">
        <v>603</v>
      </c>
      <c r="C4584" s="167">
        <v>4</v>
      </c>
      <c r="D4584" s="155">
        <v>0</v>
      </c>
      <c r="E4584" s="155">
        <v>0</v>
      </c>
      <c r="F4584" s="155">
        <v>0</v>
      </c>
      <c r="G4584" s="155">
        <v>0</v>
      </c>
      <c r="H4584" s="155">
        <v>0</v>
      </c>
      <c r="I4584" s="155">
        <v>0</v>
      </c>
      <c r="J4584" s="710">
        <f>(VLOOKUP($C4584,[2]Sheet1!$A$2:$P$18,$M4584+1)/12)*12*D4584</f>
        <v>0</v>
      </c>
      <c r="K4584" s="711"/>
      <c r="M4584" s="62">
        <f t="shared" si="352"/>
        <v>5</v>
      </c>
    </row>
    <row r="4585" spans="1:13">
      <c r="A4585" s="88">
        <f t="shared" si="353"/>
        <v>35</v>
      </c>
      <c r="B4585" s="69" t="s">
        <v>604</v>
      </c>
      <c r="C4585" s="167">
        <v>3</v>
      </c>
      <c r="D4585" s="155">
        <v>0</v>
      </c>
      <c r="E4585" s="155">
        <v>0</v>
      </c>
      <c r="F4585" s="155">
        <v>0</v>
      </c>
      <c r="G4585" s="155">
        <v>0</v>
      </c>
      <c r="H4585" s="155">
        <v>0</v>
      </c>
      <c r="I4585" s="155">
        <v>0</v>
      </c>
      <c r="J4585" s="710">
        <f>(VLOOKUP($C4585,[2]Sheet1!$A$2:$P$18,$M4585+1)/12)*12*D4585</f>
        <v>0</v>
      </c>
      <c r="K4585" s="711"/>
      <c r="M4585" s="62">
        <f t="shared" si="352"/>
        <v>5</v>
      </c>
    </row>
    <row r="4586" spans="1:13">
      <c r="A4586" s="88">
        <f t="shared" si="353"/>
        <v>36</v>
      </c>
      <c r="B4586" s="69" t="s">
        <v>2314</v>
      </c>
      <c r="C4586" s="167">
        <v>10</v>
      </c>
      <c r="D4586" s="155">
        <v>0</v>
      </c>
      <c r="E4586" s="155">
        <v>0</v>
      </c>
      <c r="F4586" s="155">
        <v>0</v>
      </c>
      <c r="G4586" s="155">
        <v>0</v>
      </c>
      <c r="H4586" s="155">
        <v>0</v>
      </c>
      <c r="I4586" s="155">
        <v>0</v>
      </c>
      <c r="J4586" s="710">
        <f>(VLOOKUP($C4586,[2]Sheet1!$A$2:$P$18,$M4586+1)/12)*12*D4586</f>
        <v>0</v>
      </c>
      <c r="K4586" s="711"/>
      <c r="M4586" s="62">
        <f t="shared" si="352"/>
        <v>3</v>
      </c>
    </row>
    <row r="4587" spans="1:13">
      <c r="A4587" s="88">
        <f>+A4586+1</f>
        <v>37</v>
      </c>
      <c r="B4587" s="69" t="s">
        <v>2315</v>
      </c>
      <c r="C4587" s="167">
        <v>9</v>
      </c>
      <c r="D4587" s="155">
        <v>0</v>
      </c>
      <c r="E4587" s="155">
        <v>0</v>
      </c>
      <c r="F4587" s="155">
        <v>0</v>
      </c>
      <c r="G4587" s="155">
        <v>0</v>
      </c>
      <c r="H4587" s="155">
        <v>0</v>
      </c>
      <c r="I4587" s="155">
        <v>0</v>
      </c>
      <c r="J4587" s="710">
        <f>(VLOOKUP($C4587,[2]Sheet1!$A$2:$P$18,$M4587+1)/12)*12*D4587</f>
        <v>0</v>
      </c>
      <c r="K4587" s="711"/>
      <c r="M4587" s="62">
        <f t="shared" si="352"/>
        <v>3</v>
      </c>
    </row>
    <row r="4588" spans="1:13">
      <c r="A4588" s="88">
        <f t="shared" si="353"/>
        <v>38</v>
      </c>
      <c r="B4588" s="69" t="s">
        <v>1699</v>
      </c>
      <c r="C4588" s="167">
        <v>8</v>
      </c>
      <c r="D4588" s="155">
        <v>0</v>
      </c>
      <c r="E4588" s="155">
        <v>0</v>
      </c>
      <c r="F4588" s="155">
        <v>0</v>
      </c>
      <c r="G4588" s="155">
        <v>0</v>
      </c>
      <c r="H4588" s="155">
        <v>0</v>
      </c>
      <c r="I4588" s="155">
        <v>0</v>
      </c>
      <c r="J4588" s="710">
        <f>(VLOOKUP($C4588,[2]Sheet1!$A$2:$P$18,$M4588+1)/12)*12*D4588</f>
        <v>0</v>
      </c>
      <c r="K4588" s="711"/>
      <c r="M4588" s="62">
        <f t="shared" si="352"/>
        <v>3</v>
      </c>
    </row>
    <row r="4589" spans="1:13">
      <c r="A4589" s="88">
        <f t="shared" si="353"/>
        <v>39</v>
      </c>
      <c r="B4589" s="69" t="s">
        <v>2066</v>
      </c>
      <c r="C4589" s="167">
        <v>7</v>
      </c>
      <c r="D4589" s="155">
        <v>0</v>
      </c>
      <c r="E4589" s="155">
        <v>0</v>
      </c>
      <c r="F4589" s="155">
        <v>0</v>
      </c>
      <c r="G4589" s="155">
        <v>0</v>
      </c>
      <c r="H4589" s="155">
        <v>0</v>
      </c>
      <c r="I4589" s="155">
        <v>0</v>
      </c>
      <c r="J4589" s="710">
        <f>(VLOOKUP($C4589,[2]Sheet1!$A$2:$P$18,$M4589+1)/12)*12*D4589</f>
        <v>0</v>
      </c>
      <c r="K4589" s="711"/>
      <c r="M4589" s="62">
        <f t="shared" si="352"/>
        <v>3</v>
      </c>
    </row>
    <row r="4590" spans="1:13">
      <c r="A4590" s="88">
        <f>+A4589+1</f>
        <v>40</v>
      </c>
      <c r="B4590" s="69" t="s">
        <v>263</v>
      </c>
      <c r="C4590" s="167">
        <v>9</v>
      </c>
      <c r="D4590" s="155">
        <v>0</v>
      </c>
      <c r="E4590" s="155">
        <v>0</v>
      </c>
      <c r="F4590" s="155">
        <v>0</v>
      </c>
      <c r="G4590" s="155">
        <v>0</v>
      </c>
      <c r="H4590" s="155">
        <v>0</v>
      </c>
      <c r="I4590" s="155">
        <v>0</v>
      </c>
      <c r="J4590" s="710">
        <f>(VLOOKUP($C4590,[2]Sheet1!$A$2:$P$18,$M4590+1)/12)*12*D4590</f>
        <v>0</v>
      </c>
      <c r="K4590" s="711"/>
      <c r="M4590" s="62">
        <f t="shared" si="352"/>
        <v>3</v>
      </c>
    </row>
    <row r="4591" spans="1:13">
      <c r="A4591" s="88">
        <f t="shared" si="353"/>
        <v>41</v>
      </c>
      <c r="B4591" s="69" t="s">
        <v>2470</v>
      </c>
      <c r="C4591" s="167">
        <v>8</v>
      </c>
      <c r="D4591" s="155">
        <v>0</v>
      </c>
      <c r="E4591" s="155">
        <v>0</v>
      </c>
      <c r="F4591" s="155">
        <v>0</v>
      </c>
      <c r="G4591" s="155">
        <v>0</v>
      </c>
      <c r="H4591" s="155">
        <v>0</v>
      </c>
      <c r="I4591" s="155">
        <v>0</v>
      </c>
      <c r="J4591" s="710">
        <f>(VLOOKUP($C4591,[2]Sheet1!$A$2:$P$18,$M4591+1)/12)*12*D4591</f>
        <v>0</v>
      </c>
      <c r="K4591" s="711"/>
      <c r="M4591" s="62">
        <f t="shared" si="352"/>
        <v>3</v>
      </c>
    </row>
    <row r="4592" spans="1:13">
      <c r="A4592" s="88">
        <f t="shared" si="353"/>
        <v>42</v>
      </c>
      <c r="B4592" s="69" t="s">
        <v>1777</v>
      </c>
      <c r="C4592" s="167">
        <v>7</v>
      </c>
      <c r="D4592" s="155">
        <v>1</v>
      </c>
      <c r="E4592" s="155">
        <v>1</v>
      </c>
      <c r="F4592" s="155">
        <v>1</v>
      </c>
      <c r="G4592" s="155">
        <v>1</v>
      </c>
      <c r="H4592" s="155">
        <v>1</v>
      </c>
      <c r="I4592" s="155">
        <v>1</v>
      </c>
      <c r="J4592" s="710">
        <f>(VLOOKUP($C4592,[2]Sheet1!$A$2:$P$18,$M4592+1)/12)*12*D4592</f>
        <v>307706.70240000007</v>
      </c>
      <c r="K4592" s="711"/>
      <c r="M4592" s="62">
        <f t="shared" si="352"/>
        <v>3</v>
      </c>
    </row>
    <row r="4593" spans="1:13">
      <c r="A4593" s="88">
        <f t="shared" si="353"/>
        <v>43</v>
      </c>
      <c r="B4593" s="69" t="s">
        <v>2785</v>
      </c>
      <c r="C4593" s="167">
        <v>6</v>
      </c>
      <c r="D4593" s="155">
        <v>1</v>
      </c>
      <c r="E4593" s="155">
        <v>1</v>
      </c>
      <c r="F4593" s="155">
        <v>1</v>
      </c>
      <c r="G4593" s="155">
        <v>1</v>
      </c>
      <c r="H4593" s="155">
        <v>1</v>
      </c>
      <c r="I4593" s="155">
        <v>1</v>
      </c>
      <c r="J4593" s="710">
        <f>(VLOOKUP($C4593,[2]Sheet1!$A$2:$P$18,$M4593+1)/12)*12*D4593</f>
        <v>238099.37893036497</v>
      </c>
      <c r="K4593" s="711"/>
      <c r="M4593" s="62">
        <f t="shared" si="352"/>
        <v>5</v>
      </c>
    </row>
    <row r="4594" spans="1:13">
      <c r="A4594" s="88">
        <f t="shared" si="353"/>
        <v>44</v>
      </c>
      <c r="B4594" s="69" t="s">
        <v>583</v>
      </c>
      <c r="C4594" s="167">
        <v>5</v>
      </c>
      <c r="D4594" s="155">
        <v>1</v>
      </c>
      <c r="E4594" s="155">
        <v>1</v>
      </c>
      <c r="F4594" s="155">
        <v>1</v>
      </c>
      <c r="G4594" s="155">
        <v>1</v>
      </c>
      <c r="H4594" s="155">
        <v>1</v>
      </c>
      <c r="I4594" s="155">
        <v>1</v>
      </c>
      <c r="J4594" s="710">
        <f>(VLOOKUP($C4594,[2]Sheet1!$A$2:$P$18,$M4594+1)/12)*12*D4594</f>
        <v>229569.77893036499</v>
      </c>
      <c r="K4594" s="711"/>
      <c r="M4594" s="62">
        <f t="shared" si="352"/>
        <v>5</v>
      </c>
    </row>
    <row r="4595" spans="1:13">
      <c r="A4595" s="88">
        <f>+A4594+1</f>
        <v>45</v>
      </c>
      <c r="B4595" s="69" t="s">
        <v>2471</v>
      </c>
      <c r="C4595" s="167">
        <v>4</v>
      </c>
      <c r="D4595" s="155">
        <v>1</v>
      </c>
      <c r="E4595" s="155">
        <v>1</v>
      </c>
      <c r="F4595" s="155">
        <v>1</v>
      </c>
      <c r="G4595" s="155">
        <v>1</v>
      </c>
      <c r="H4595" s="155">
        <v>1</v>
      </c>
      <c r="I4595" s="155">
        <v>1</v>
      </c>
      <c r="J4595" s="710">
        <f>(VLOOKUP($C4595,[2]Sheet1!$A$2:$P$18,$M4595+1)/12)*12*D4595</f>
        <v>224542.978930365</v>
      </c>
      <c r="K4595" s="711"/>
      <c r="M4595" s="62">
        <f t="shared" si="352"/>
        <v>5</v>
      </c>
    </row>
    <row r="4596" spans="1:13">
      <c r="A4596" s="88">
        <f t="shared" si="353"/>
        <v>46</v>
      </c>
      <c r="B4596" s="69" t="s">
        <v>2875</v>
      </c>
      <c r="C4596" s="167">
        <v>3</v>
      </c>
      <c r="D4596" s="155">
        <v>0</v>
      </c>
      <c r="E4596" s="155">
        <v>0</v>
      </c>
      <c r="F4596" s="155">
        <v>0</v>
      </c>
      <c r="G4596" s="155">
        <v>0</v>
      </c>
      <c r="H4596" s="155">
        <v>0</v>
      </c>
      <c r="I4596" s="155">
        <v>0</v>
      </c>
      <c r="J4596" s="710">
        <f>(VLOOKUP($C4596,[2]Sheet1!$A$2:$P$18,$M4596+1)/12)*12*D4596</f>
        <v>0</v>
      </c>
      <c r="K4596" s="711"/>
      <c r="M4596" s="62">
        <f t="shared" si="352"/>
        <v>5</v>
      </c>
    </row>
    <row r="4597" spans="1:13">
      <c r="A4597" s="88"/>
      <c r="B4597" s="90" t="s">
        <v>2868</v>
      </c>
      <c r="C4597" s="167"/>
      <c r="D4597" s="155"/>
      <c r="E4597" s="155"/>
      <c r="F4597" s="155"/>
      <c r="G4597" s="155"/>
      <c r="H4597" s="155"/>
      <c r="I4597" s="155"/>
      <c r="J4597" s="710"/>
      <c r="K4597" s="711"/>
      <c r="M4597" s="62">
        <f t="shared" si="352"/>
        <v>5</v>
      </c>
    </row>
    <row r="4598" spans="1:13">
      <c r="A4598" s="88">
        <f>+A4596+1</f>
        <v>47</v>
      </c>
      <c r="B4598" s="69" t="s">
        <v>3532</v>
      </c>
      <c r="C4598" s="167">
        <v>16</v>
      </c>
      <c r="D4598" s="155">
        <v>1</v>
      </c>
      <c r="E4598" s="155">
        <v>1</v>
      </c>
      <c r="F4598" s="155">
        <v>1</v>
      </c>
      <c r="G4598" s="155">
        <v>1</v>
      </c>
      <c r="H4598" s="155">
        <v>1</v>
      </c>
      <c r="I4598" s="155">
        <v>1</v>
      </c>
      <c r="J4598" s="710">
        <f>(VLOOKUP($C4598,[2]Sheet1!$A$2:$P$18,$M4598+1)/12)*12*D4598</f>
        <v>677281.26084</v>
      </c>
      <c r="K4598" s="711"/>
      <c r="M4598" s="62">
        <f t="shared" si="352"/>
        <v>3</v>
      </c>
    </row>
    <row r="4599" spans="1:13">
      <c r="A4599" s="88">
        <f t="shared" ref="A4599:A4610" si="354">+A4598+1</f>
        <v>48</v>
      </c>
      <c r="B4599" s="69" t="s">
        <v>1256</v>
      </c>
      <c r="C4599" s="167">
        <v>15</v>
      </c>
      <c r="D4599" s="155">
        <v>1</v>
      </c>
      <c r="E4599" s="155">
        <v>1</v>
      </c>
      <c r="F4599" s="155">
        <v>1</v>
      </c>
      <c r="G4599" s="155">
        <v>1</v>
      </c>
      <c r="H4599" s="155">
        <v>1</v>
      </c>
      <c r="I4599" s="155">
        <v>1</v>
      </c>
      <c r="J4599" s="710">
        <f>(VLOOKUP($C4599,[2]Sheet1!$A$2:$P$18,$M4599+1)/12)*12*D4599</f>
        <v>658331.89992</v>
      </c>
      <c r="K4599" s="711"/>
      <c r="M4599" s="62">
        <f t="shared" si="352"/>
        <v>3</v>
      </c>
    </row>
    <row r="4600" spans="1:13">
      <c r="A4600" s="88">
        <f t="shared" si="354"/>
        <v>49</v>
      </c>
      <c r="B4600" s="69" t="s">
        <v>3533</v>
      </c>
      <c r="C4600" s="167">
        <v>14</v>
      </c>
      <c r="D4600" s="155">
        <v>1</v>
      </c>
      <c r="E4600" s="155">
        <v>1</v>
      </c>
      <c r="F4600" s="155">
        <v>1</v>
      </c>
      <c r="G4600" s="155">
        <v>1</v>
      </c>
      <c r="H4600" s="155">
        <v>1</v>
      </c>
      <c r="I4600" s="155">
        <v>1</v>
      </c>
      <c r="J4600" s="710">
        <f>(VLOOKUP($C4600,[2]Sheet1!$A$2:$P$18,$M4600+1)/12)*12*D4600</f>
        <v>669099.40824000002</v>
      </c>
      <c r="K4600" s="711"/>
      <c r="M4600" s="62">
        <f t="shared" si="352"/>
        <v>3</v>
      </c>
    </row>
    <row r="4601" spans="1:13">
      <c r="A4601" s="88">
        <f t="shared" si="354"/>
        <v>50</v>
      </c>
      <c r="B4601" s="69" t="s">
        <v>4075</v>
      </c>
      <c r="C4601" s="167">
        <v>13</v>
      </c>
      <c r="D4601" s="155">
        <v>1</v>
      </c>
      <c r="E4601" s="155">
        <v>2</v>
      </c>
      <c r="F4601" s="155">
        <v>1</v>
      </c>
      <c r="G4601" s="155">
        <v>1</v>
      </c>
      <c r="H4601" s="155">
        <v>2</v>
      </c>
      <c r="I4601" s="155">
        <v>1</v>
      </c>
      <c r="J4601" s="710">
        <f>(VLOOKUP($C4601,[2]Sheet1!$A$2:$P$18,$M4601+1)/12)*12*D4601</f>
        <v>628759.53804000001</v>
      </c>
      <c r="K4601" s="711"/>
      <c r="M4601" s="62">
        <f t="shared" si="352"/>
        <v>3</v>
      </c>
    </row>
    <row r="4602" spans="1:13">
      <c r="A4602" s="88">
        <f t="shared" si="354"/>
        <v>51</v>
      </c>
      <c r="B4602" s="69" t="s">
        <v>2869</v>
      </c>
      <c r="C4602" s="167">
        <v>12</v>
      </c>
      <c r="D4602" s="155">
        <v>3</v>
      </c>
      <c r="E4602" s="155">
        <v>3</v>
      </c>
      <c r="F4602" s="155">
        <v>3</v>
      </c>
      <c r="G4602" s="155">
        <v>3</v>
      </c>
      <c r="H4602" s="155">
        <v>3</v>
      </c>
      <c r="I4602" s="155">
        <v>3</v>
      </c>
      <c r="J4602" s="710">
        <f>(VLOOKUP($C4602,[2]Sheet1!$A$2:$P$18,$M4602+1)/12)*12*D4602</f>
        <v>1658055.1611600006</v>
      </c>
      <c r="K4602" s="711"/>
      <c r="M4602" s="62">
        <f t="shared" si="352"/>
        <v>3</v>
      </c>
    </row>
    <row r="4603" spans="1:13">
      <c r="A4603" s="88">
        <f t="shared" si="354"/>
        <v>52</v>
      </c>
      <c r="B4603" s="69" t="s">
        <v>2871</v>
      </c>
      <c r="C4603" s="167">
        <v>10</v>
      </c>
      <c r="D4603" s="155">
        <v>2</v>
      </c>
      <c r="E4603" s="155">
        <v>2</v>
      </c>
      <c r="F4603" s="155">
        <v>2</v>
      </c>
      <c r="G4603" s="155">
        <v>2</v>
      </c>
      <c r="H4603" s="155">
        <v>2</v>
      </c>
      <c r="I4603" s="155">
        <v>2</v>
      </c>
      <c r="J4603" s="710">
        <f>(VLOOKUP($C4603,[2]Sheet1!$A$2:$P$18,$M4603+1)/12)*12*D4603</f>
        <v>967949.1374400002</v>
      </c>
      <c r="K4603" s="711"/>
      <c r="M4603" s="62">
        <f t="shared" si="352"/>
        <v>3</v>
      </c>
    </row>
    <row r="4604" spans="1:13">
      <c r="A4604" s="88">
        <f t="shared" si="354"/>
        <v>53</v>
      </c>
      <c r="B4604" s="69" t="s">
        <v>2695</v>
      </c>
      <c r="C4604" s="167">
        <v>9</v>
      </c>
      <c r="D4604" s="155">
        <v>1</v>
      </c>
      <c r="E4604" s="155">
        <v>2</v>
      </c>
      <c r="F4604" s="155">
        <v>1</v>
      </c>
      <c r="G4604" s="155">
        <v>1</v>
      </c>
      <c r="H4604" s="155">
        <v>1</v>
      </c>
      <c r="I4604" s="155">
        <v>1</v>
      </c>
      <c r="J4604" s="710">
        <f>(VLOOKUP($C4604,[2]Sheet1!$A$2:$P$18,$M4604+1)/12)*12*D4604</f>
        <v>409681.90619999997</v>
      </c>
      <c r="K4604" s="711"/>
      <c r="M4604" s="62">
        <f t="shared" si="352"/>
        <v>3</v>
      </c>
    </row>
    <row r="4605" spans="1:13">
      <c r="A4605" s="88">
        <f>+A4604+1</f>
        <v>54</v>
      </c>
      <c r="B4605" s="69" t="s">
        <v>3959</v>
      </c>
      <c r="C4605" s="167">
        <v>8</v>
      </c>
      <c r="D4605" s="155">
        <v>3</v>
      </c>
      <c r="E4605" s="155">
        <v>3</v>
      </c>
      <c r="F4605" s="155">
        <v>3</v>
      </c>
      <c r="G4605" s="155">
        <v>3</v>
      </c>
      <c r="H4605" s="155">
        <v>3</v>
      </c>
      <c r="I4605" s="155">
        <v>3</v>
      </c>
      <c r="J4605" s="710">
        <f>(VLOOKUP($C4605,[2]Sheet1!$A$2:$P$18,$M4605+1)/12)*12*D4605</f>
        <v>1026423.82224</v>
      </c>
      <c r="K4605" s="711"/>
      <c r="M4605" s="62">
        <f t="shared" si="352"/>
        <v>3</v>
      </c>
    </row>
    <row r="4606" spans="1:13">
      <c r="A4606" s="88">
        <f t="shared" si="354"/>
        <v>55</v>
      </c>
      <c r="B4606" s="69" t="s">
        <v>909</v>
      </c>
      <c r="C4606" s="167">
        <v>7</v>
      </c>
      <c r="D4606" s="155">
        <v>1</v>
      </c>
      <c r="E4606" s="155">
        <v>1</v>
      </c>
      <c r="F4606" s="155">
        <v>1</v>
      </c>
      <c r="G4606" s="155">
        <v>1</v>
      </c>
      <c r="H4606" s="155">
        <v>1</v>
      </c>
      <c r="I4606" s="155">
        <v>1</v>
      </c>
      <c r="J4606" s="710">
        <f>(VLOOKUP($C4606,[2]Sheet1!$A$2:$P$18,$M4606+1)/12)*12*D4606</f>
        <v>307706.70240000007</v>
      </c>
      <c r="K4606" s="711"/>
      <c r="M4606" s="62">
        <f t="shared" si="352"/>
        <v>3</v>
      </c>
    </row>
    <row r="4607" spans="1:13">
      <c r="A4607" s="88">
        <f t="shared" si="354"/>
        <v>56</v>
      </c>
      <c r="B4607" s="69" t="s">
        <v>3422</v>
      </c>
      <c r="C4607" s="167">
        <v>6</v>
      </c>
      <c r="D4607" s="155">
        <v>1</v>
      </c>
      <c r="E4607" s="155">
        <v>1</v>
      </c>
      <c r="F4607" s="155">
        <v>1</v>
      </c>
      <c r="G4607" s="155">
        <v>1</v>
      </c>
      <c r="H4607" s="155">
        <v>1</v>
      </c>
      <c r="I4607" s="155">
        <v>1</v>
      </c>
      <c r="J4607" s="710">
        <f>(VLOOKUP($C4607,[2]Sheet1!$A$2:$P$18,$M4607+1)/12)*12*D4607</f>
        <v>238099.37893036497</v>
      </c>
      <c r="K4607" s="711"/>
      <c r="M4607" s="62">
        <f t="shared" si="352"/>
        <v>5</v>
      </c>
    </row>
    <row r="4608" spans="1:13">
      <c r="A4608" s="88">
        <f t="shared" si="354"/>
        <v>57</v>
      </c>
      <c r="B4608" s="69" t="s">
        <v>1410</v>
      </c>
      <c r="C4608" s="167">
        <v>5</v>
      </c>
      <c r="D4608" s="155">
        <v>0</v>
      </c>
      <c r="E4608" s="155">
        <v>0</v>
      </c>
      <c r="F4608" s="155">
        <v>0</v>
      </c>
      <c r="G4608" s="155">
        <v>0</v>
      </c>
      <c r="H4608" s="155">
        <v>0</v>
      </c>
      <c r="I4608" s="155">
        <v>0</v>
      </c>
      <c r="J4608" s="710">
        <f>(VLOOKUP($C4608,[2]Sheet1!$A$2:$P$18,$M4608+1)/12)*12*D4608</f>
        <v>0</v>
      </c>
      <c r="K4608" s="711"/>
      <c r="M4608" s="62">
        <f t="shared" si="352"/>
        <v>5</v>
      </c>
    </row>
    <row r="4609" spans="1:13">
      <c r="A4609" s="88">
        <f t="shared" si="354"/>
        <v>58</v>
      </c>
      <c r="B4609" s="69" t="s">
        <v>1411</v>
      </c>
      <c r="C4609" s="167">
        <v>5</v>
      </c>
      <c r="D4609" s="155">
        <v>0</v>
      </c>
      <c r="E4609" s="155">
        <v>0</v>
      </c>
      <c r="F4609" s="155">
        <v>0</v>
      </c>
      <c r="G4609" s="155">
        <v>0</v>
      </c>
      <c r="H4609" s="155">
        <v>0</v>
      </c>
      <c r="I4609" s="155">
        <v>0</v>
      </c>
      <c r="J4609" s="710">
        <f>(VLOOKUP($C4609,[2]Sheet1!$A$2:$P$18,$M4609+1)/12)*12*D4609</f>
        <v>0</v>
      </c>
      <c r="K4609" s="711"/>
      <c r="M4609" s="62">
        <f t="shared" si="352"/>
        <v>5</v>
      </c>
    </row>
    <row r="4610" spans="1:13">
      <c r="A4610" s="88">
        <f t="shared" si="354"/>
        <v>59</v>
      </c>
      <c r="B4610" s="69" t="s">
        <v>3423</v>
      </c>
      <c r="C4610" s="167">
        <v>5</v>
      </c>
      <c r="D4610" s="155">
        <v>1</v>
      </c>
      <c r="E4610" s="155">
        <v>1</v>
      </c>
      <c r="F4610" s="155">
        <v>1</v>
      </c>
      <c r="G4610" s="155">
        <v>1</v>
      </c>
      <c r="H4610" s="155">
        <v>1</v>
      </c>
      <c r="I4610" s="155">
        <v>1</v>
      </c>
      <c r="J4610" s="710">
        <f>(VLOOKUP($C4610,[2]Sheet1!$A$2:$P$18,$M4610+1)/12)*12*D4610</f>
        <v>229569.77893036499</v>
      </c>
      <c r="K4610" s="711"/>
      <c r="M4610" s="62">
        <f t="shared" si="352"/>
        <v>5</v>
      </c>
    </row>
    <row r="4611" spans="1:13">
      <c r="A4611" s="88"/>
      <c r="B4611" s="90" t="s">
        <v>3424</v>
      </c>
      <c r="C4611" s="167"/>
      <c r="D4611" s="155"/>
      <c r="E4611" s="155"/>
      <c r="F4611" s="155"/>
      <c r="G4611" s="155"/>
      <c r="H4611" s="155"/>
      <c r="I4611" s="155"/>
      <c r="J4611" s="710"/>
      <c r="K4611" s="711"/>
      <c r="M4611" s="62">
        <f t="shared" si="352"/>
        <v>5</v>
      </c>
    </row>
    <row r="4612" spans="1:13">
      <c r="A4612" s="88">
        <f>+A4610+1</f>
        <v>60</v>
      </c>
      <c r="B4612" s="69" t="s">
        <v>3272</v>
      </c>
      <c r="C4612" s="167">
        <v>14</v>
      </c>
      <c r="D4612" s="155">
        <v>0</v>
      </c>
      <c r="E4612" s="155">
        <v>0</v>
      </c>
      <c r="F4612" s="155">
        <v>0</v>
      </c>
      <c r="G4612" s="155">
        <v>0</v>
      </c>
      <c r="H4612" s="155">
        <v>0</v>
      </c>
      <c r="I4612" s="155">
        <v>0</v>
      </c>
      <c r="J4612" s="710">
        <f>(VLOOKUP($C4612,[2]Sheet1!$A$2:$P$18,$M4612+1)/12)*12*D4612</f>
        <v>0</v>
      </c>
      <c r="K4612" s="711"/>
      <c r="M4612" s="62">
        <f t="shared" si="352"/>
        <v>3</v>
      </c>
    </row>
    <row r="4613" spans="1:13">
      <c r="A4613" s="88">
        <f t="shared" ref="A4613:A4631" si="355">+A4612+1</f>
        <v>61</v>
      </c>
      <c r="B4613" s="69" t="s">
        <v>3273</v>
      </c>
      <c r="C4613" s="167">
        <v>13</v>
      </c>
      <c r="D4613" s="155">
        <v>0</v>
      </c>
      <c r="E4613" s="155">
        <v>0</v>
      </c>
      <c r="F4613" s="155">
        <v>0</v>
      </c>
      <c r="G4613" s="155">
        <v>0</v>
      </c>
      <c r="H4613" s="155">
        <v>0</v>
      </c>
      <c r="I4613" s="155">
        <v>0</v>
      </c>
      <c r="J4613" s="710">
        <f>(VLOOKUP($C4613,[2]Sheet1!$A$2:$P$18,$M4613+1)/12)*12*D4613</f>
        <v>0</v>
      </c>
      <c r="K4613" s="711"/>
      <c r="M4613" s="62">
        <f t="shared" si="352"/>
        <v>3</v>
      </c>
    </row>
    <row r="4614" spans="1:13">
      <c r="A4614" s="88">
        <f t="shared" si="355"/>
        <v>62</v>
      </c>
      <c r="B4614" s="69" t="s">
        <v>491</v>
      </c>
      <c r="C4614" s="167">
        <v>12</v>
      </c>
      <c r="D4614" s="155">
        <v>0</v>
      </c>
      <c r="E4614" s="155">
        <v>0</v>
      </c>
      <c r="F4614" s="155">
        <v>0</v>
      </c>
      <c r="G4614" s="155">
        <v>0</v>
      </c>
      <c r="H4614" s="155">
        <v>0</v>
      </c>
      <c r="I4614" s="155">
        <v>0</v>
      </c>
      <c r="J4614" s="710">
        <f>(VLOOKUP($C4614,[2]Sheet1!$A$2:$P$18,$M4614+1)/12)*12*D4614</f>
        <v>0</v>
      </c>
      <c r="K4614" s="711"/>
      <c r="M4614" s="62">
        <f t="shared" si="352"/>
        <v>3</v>
      </c>
    </row>
    <row r="4615" spans="1:13">
      <c r="A4615" s="88">
        <f t="shared" si="355"/>
        <v>63</v>
      </c>
      <c r="B4615" s="69" t="s">
        <v>492</v>
      </c>
      <c r="C4615" s="167">
        <v>10</v>
      </c>
      <c r="D4615" s="155">
        <v>0</v>
      </c>
      <c r="E4615" s="155">
        <v>0</v>
      </c>
      <c r="F4615" s="155">
        <v>0</v>
      </c>
      <c r="G4615" s="155">
        <v>0</v>
      </c>
      <c r="H4615" s="155">
        <v>0</v>
      </c>
      <c r="I4615" s="155">
        <v>0</v>
      </c>
      <c r="J4615" s="710">
        <f>(VLOOKUP($C4615,[2]Sheet1!$A$2:$P$18,$M4615+1)/12)*12*D4615</f>
        <v>0</v>
      </c>
      <c r="K4615" s="711"/>
      <c r="M4615" s="62">
        <f t="shared" si="352"/>
        <v>3</v>
      </c>
    </row>
    <row r="4616" spans="1:13">
      <c r="A4616" s="88">
        <f t="shared" si="355"/>
        <v>64</v>
      </c>
      <c r="B4616" s="69" t="s">
        <v>493</v>
      </c>
      <c r="C4616" s="167">
        <v>9</v>
      </c>
      <c r="D4616" s="155">
        <v>0</v>
      </c>
      <c r="E4616" s="155">
        <v>0</v>
      </c>
      <c r="F4616" s="155">
        <v>0</v>
      </c>
      <c r="G4616" s="155">
        <v>0</v>
      </c>
      <c r="H4616" s="155">
        <v>0</v>
      </c>
      <c r="I4616" s="155">
        <v>0</v>
      </c>
      <c r="J4616" s="710">
        <f>(VLOOKUP($C4616,[2]Sheet1!$A$2:$P$18,$M4616+1)/12)*12*D4616</f>
        <v>0</v>
      </c>
      <c r="K4616" s="711"/>
      <c r="M4616" s="62">
        <f t="shared" si="352"/>
        <v>3</v>
      </c>
    </row>
    <row r="4617" spans="1:13">
      <c r="A4617" s="88">
        <f t="shared" si="355"/>
        <v>65</v>
      </c>
      <c r="B4617" s="69" t="s">
        <v>2974</v>
      </c>
      <c r="C4617" s="167">
        <v>8</v>
      </c>
      <c r="D4617" s="155">
        <v>0</v>
      </c>
      <c r="E4617" s="155">
        <v>0</v>
      </c>
      <c r="F4617" s="155">
        <v>0</v>
      </c>
      <c r="G4617" s="155">
        <v>0</v>
      </c>
      <c r="H4617" s="155">
        <v>0</v>
      </c>
      <c r="I4617" s="155">
        <v>0</v>
      </c>
      <c r="J4617" s="710">
        <f>(VLOOKUP($C4617,[2]Sheet1!$A$2:$P$18,$M4617+1)/12)*12*D4617</f>
        <v>0</v>
      </c>
      <c r="K4617" s="711"/>
      <c r="M4617" s="62">
        <f t="shared" si="352"/>
        <v>3</v>
      </c>
    </row>
    <row r="4618" spans="1:13">
      <c r="A4618" s="88">
        <f t="shared" si="355"/>
        <v>66</v>
      </c>
      <c r="B4618" s="69" t="s">
        <v>2631</v>
      </c>
      <c r="C4618" s="167">
        <v>7</v>
      </c>
      <c r="D4618" s="155">
        <v>0</v>
      </c>
      <c r="E4618" s="155">
        <v>0</v>
      </c>
      <c r="F4618" s="155">
        <v>0</v>
      </c>
      <c r="G4618" s="155">
        <v>0</v>
      </c>
      <c r="H4618" s="155">
        <v>0</v>
      </c>
      <c r="I4618" s="155">
        <v>0</v>
      </c>
      <c r="J4618" s="710">
        <f>(VLOOKUP($C4618,[2]Sheet1!$A$2:$P$18,$M4618+1)/12)*12*D4618</f>
        <v>0</v>
      </c>
      <c r="K4618" s="711"/>
      <c r="M4618" s="62">
        <f t="shared" si="352"/>
        <v>3</v>
      </c>
    </row>
    <row r="4619" spans="1:13">
      <c r="A4619" s="88">
        <f t="shared" si="355"/>
        <v>67</v>
      </c>
      <c r="B4619" s="69" t="s">
        <v>2632</v>
      </c>
      <c r="C4619" s="167">
        <v>6</v>
      </c>
      <c r="D4619" s="155">
        <v>2</v>
      </c>
      <c r="E4619" s="155">
        <v>2</v>
      </c>
      <c r="F4619" s="155">
        <v>2</v>
      </c>
      <c r="G4619" s="155">
        <v>2</v>
      </c>
      <c r="H4619" s="155">
        <v>2</v>
      </c>
      <c r="I4619" s="155">
        <v>2</v>
      </c>
      <c r="J4619" s="710">
        <f>(VLOOKUP($C4619,[2]Sheet1!$A$2:$P$18,$M4619+1)/12)*12*D4619</f>
        <v>476198.75786072994</v>
      </c>
      <c r="K4619" s="711"/>
      <c r="M4619" s="62">
        <f t="shared" si="352"/>
        <v>5</v>
      </c>
    </row>
    <row r="4620" spans="1:13">
      <c r="A4620" s="88">
        <f t="shared" si="355"/>
        <v>68</v>
      </c>
      <c r="B4620" s="69" t="s">
        <v>2633</v>
      </c>
      <c r="C4620" s="167">
        <v>5</v>
      </c>
      <c r="D4620" s="155">
        <v>1</v>
      </c>
      <c r="E4620" s="155">
        <v>1</v>
      </c>
      <c r="F4620" s="155">
        <v>1</v>
      </c>
      <c r="G4620" s="155">
        <v>1</v>
      </c>
      <c r="H4620" s="155">
        <v>1</v>
      </c>
      <c r="I4620" s="155">
        <v>1</v>
      </c>
      <c r="J4620" s="710">
        <f>(VLOOKUP($C4620,[2]Sheet1!$A$2:$P$18,$M4620+1)/12)*12*D4620</f>
        <v>229569.77893036499</v>
      </c>
      <c r="K4620" s="711"/>
      <c r="M4620" s="62">
        <f t="shared" si="352"/>
        <v>5</v>
      </c>
    </row>
    <row r="4621" spans="1:13">
      <c r="A4621" s="88">
        <f t="shared" si="355"/>
        <v>69</v>
      </c>
      <c r="B4621" s="69" t="s">
        <v>3804</v>
      </c>
      <c r="C4621" s="167">
        <v>4</v>
      </c>
      <c r="D4621" s="155">
        <v>1</v>
      </c>
      <c r="E4621" s="155">
        <v>1</v>
      </c>
      <c r="F4621" s="155">
        <v>1</v>
      </c>
      <c r="G4621" s="155">
        <v>1</v>
      </c>
      <c r="H4621" s="155">
        <v>1</v>
      </c>
      <c r="I4621" s="155">
        <v>1</v>
      </c>
      <c r="J4621" s="710">
        <f>(VLOOKUP($C4621,[2]Sheet1!$A$2:$P$18,$M4621+1)/12)*12*D4621</f>
        <v>224542.978930365</v>
      </c>
      <c r="K4621" s="711"/>
      <c r="M4621" s="62">
        <f t="shared" si="352"/>
        <v>5</v>
      </c>
    </row>
    <row r="4622" spans="1:13">
      <c r="A4622" s="88">
        <f t="shared" si="355"/>
        <v>70</v>
      </c>
      <c r="B4622" s="69" t="s">
        <v>1802</v>
      </c>
      <c r="C4622" s="167">
        <v>12</v>
      </c>
      <c r="D4622" s="155">
        <v>0</v>
      </c>
      <c r="E4622" s="155">
        <v>0</v>
      </c>
      <c r="F4622" s="155">
        <v>0</v>
      </c>
      <c r="G4622" s="155">
        <v>0</v>
      </c>
      <c r="H4622" s="155">
        <v>0</v>
      </c>
      <c r="I4622" s="155">
        <v>0</v>
      </c>
      <c r="J4622" s="710">
        <f>(VLOOKUP($C4622,[2]Sheet1!$A$2:$P$18,$M4622+1)/12)*12*D4622</f>
        <v>0</v>
      </c>
      <c r="K4622" s="711"/>
      <c r="M4622" s="62">
        <f t="shared" ref="M4622:M4683" si="356">IF(C4622&gt;6,3,5)</f>
        <v>3</v>
      </c>
    </row>
    <row r="4623" spans="1:13">
      <c r="A4623" s="88">
        <f t="shared" si="355"/>
        <v>71</v>
      </c>
      <c r="B4623" s="69" t="s">
        <v>2917</v>
      </c>
      <c r="C4623" s="167">
        <v>9</v>
      </c>
      <c r="D4623" s="155">
        <v>0</v>
      </c>
      <c r="E4623" s="155">
        <v>0</v>
      </c>
      <c r="F4623" s="155">
        <v>0</v>
      </c>
      <c r="G4623" s="155">
        <v>0</v>
      </c>
      <c r="H4623" s="155">
        <v>0</v>
      </c>
      <c r="I4623" s="155">
        <v>0</v>
      </c>
      <c r="J4623" s="710">
        <f>(VLOOKUP($C4623,[2]Sheet1!$A$2:$P$18,$M4623+1)/12)*12*D4623</f>
        <v>0</v>
      </c>
      <c r="K4623" s="711"/>
      <c r="M4623" s="62">
        <f t="shared" si="356"/>
        <v>3</v>
      </c>
    </row>
    <row r="4624" spans="1:13" ht="13.5" thickBot="1">
      <c r="A4624" s="88">
        <f t="shared" si="355"/>
        <v>72</v>
      </c>
      <c r="B4624" s="69" t="s">
        <v>1803</v>
      </c>
      <c r="C4624" s="167">
        <v>7</v>
      </c>
      <c r="D4624" s="155">
        <v>0</v>
      </c>
      <c r="E4624" s="155">
        <v>0</v>
      </c>
      <c r="F4624" s="155">
        <v>0</v>
      </c>
      <c r="G4624" s="155">
        <v>0</v>
      </c>
      <c r="H4624" s="155">
        <v>0</v>
      </c>
      <c r="I4624" s="155">
        <v>0</v>
      </c>
      <c r="J4624" s="710">
        <f>(VLOOKUP($C4624,[2]Sheet1!$A$2:$P$18,$M4624+1)/12)*12*D4624</f>
        <v>0</v>
      </c>
      <c r="K4624" s="711"/>
      <c r="M4624" s="62">
        <f t="shared" si="356"/>
        <v>3</v>
      </c>
    </row>
    <row r="4625" spans="1:13" ht="15.75" thickTop="1">
      <c r="A4625" s="1047" t="s">
        <v>2791</v>
      </c>
      <c r="B4625" s="1049" t="s">
        <v>4126</v>
      </c>
      <c r="C4625" s="1049" t="s">
        <v>854</v>
      </c>
      <c r="D4625" s="1040" t="s">
        <v>4127</v>
      </c>
      <c r="E4625" s="1041"/>
      <c r="F4625" s="1041"/>
      <c r="G4625" s="1040" t="s">
        <v>904</v>
      </c>
      <c r="H4625" s="1041"/>
      <c r="I4625" s="1042"/>
      <c r="J4625" s="1035" t="s">
        <v>855</v>
      </c>
      <c r="K4625" s="389"/>
    </row>
    <row r="4626" spans="1:13" ht="26.25" thickBot="1">
      <c r="A4626" s="1048"/>
      <c r="B4626" s="1050"/>
      <c r="C4626" s="1050"/>
      <c r="D4626" s="285" t="s">
        <v>5505</v>
      </c>
      <c r="E4626" s="285" t="s">
        <v>4485</v>
      </c>
      <c r="F4626" s="285" t="s">
        <v>4486</v>
      </c>
      <c r="G4626" s="287" t="s">
        <v>4487</v>
      </c>
      <c r="H4626" s="285" t="s">
        <v>4488</v>
      </c>
      <c r="I4626" s="287" t="s">
        <v>4489</v>
      </c>
      <c r="J4626" s="1036"/>
      <c r="K4626" s="712"/>
    </row>
    <row r="4627" spans="1:13" ht="13.5" thickTop="1">
      <c r="A4627" s="88">
        <f>+A4624+1</f>
        <v>73</v>
      </c>
      <c r="B4627" s="69" t="s">
        <v>425</v>
      </c>
      <c r="C4627" s="167">
        <v>5</v>
      </c>
      <c r="D4627" s="155">
        <v>0</v>
      </c>
      <c r="E4627" s="155">
        <v>0</v>
      </c>
      <c r="F4627" s="155">
        <v>0</v>
      </c>
      <c r="G4627" s="155">
        <v>0</v>
      </c>
      <c r="H4627" s="155">
        <v>0</v>
      </c>
      <c r="I4627" s="155">
        <v>0</v>
      </c>
      <c r="J4627" s="710">
        <f>(VLOOKUP($C4627,[2]Sheet1!$A$2:$P$18,$M4627+1)/12)*12*D4627</f>
        <v>0</v>
      </c>
      <c r="K4627" s="711"/>
      <c r="M4627" s="62">
        <f t="shared" si="356"/>
        <v>5</v>
      </c>
    </row>
    <row r="4628" spans="1:13">
      <c r="A4628" s="88">
        <f>+A4627+1</f>
        <v>74</v>
      </c>
      <c r="B4628" s="69" t="s">
        <v>399</v>
      </c>
      <c r="C4628" s="167">
        <v>6</v>
      </c>
      <c r="D4628" s="155">
        <v>1</v>
      </c>
      <c r="E4628" s="155">
        <v>1</v>
      </c>
      <c r="F4628" s="155">
        <v>1</v>
      </c>
      <c r="G4628" s="155">
        <v>1</v>
      </c>
      <c r="H4628" s="155">
        <v>1</v>
      </c>
      <c r="I4628" s="155">
        <v>1</v>
      </c>
      <c r="J4628" s="710">
        <f>(VLOOKUP($C4628,[2]Sheet1!$A$2:$P$18,$M4628+1)/12)*12*D4628</f>
        <v>238099.37893036497</v>
      </c>
      <c r="K4628" s="711"/>
      <c r="M4628" s="62">
        <f t="shared" si="356"/>
        <v>5</v>
      </c>
    </row>
    <row r="4629" spans="1:13">
      <c r="A4629" s="88">
        <f t="shared" si="355"/>
        <v>75</v>
      </c>
      <c r="B4629" s="69" t="s">
        <v>72</v>
      </c>
      <c r="C4629" s="167">
        <v>5</v>
      </c>
      <c r="D4629" s="155">
        <v>0</v>
      </c>
      <c r="E4629" s="155">
        <v>0</v>
      </c>
      <c r="F4629" s="155">
        <v>0</v>
      </c>
      <c r="G4629" s="155">
        <v>0</v>
      </c>
      <c r="H4629" s="155">
        <v>0</v>
      </c>
      <c r="I4629" s="155">
        <v>0</v>
      </c>
      <c r="J4629" s="710">
        <f>(VLOOKUP($C4629,[2]Sheet1!$A$2:$P$18,$M4629+1)/12)*12*D4629</f>
        <v>0</v>
      </c>
      <c r="K4629" s="711"/>
      <c r="M4629" s="62">
        <f t="shared" si="356"/>
        <v>5</v>
      </c>
    </row>
    <row r="4630" spans="1:13">
      <c r="A4630" s="88">
        <f t="shared" si="355"/>
        <v>76</v>
      </c>
      <c r="B4630" s="69" t="s">
        <v>73</v>
      </c>
      <c r="C4630" s="167">
        <v>4</v>
      </c>
      <c r="D4630" s="155">
        <v>0</v>
      </c>
      <c r="E4630" s="155">
        <v>0</v>
      </c>
      <c r="F4630" s="155">
        <v>0</v>
      </c>
      <c r="G4630" s="155">
        <v>0</v>
      </c>
      <c r="H4630" s="155">
        <v>0</v>
      </c>
      <c r="I4630" s="155">
        <v>0</v>
      </c>
      <c r="J4630" s="710">
        <f>(VLOOKUP($C4630,[2]Sheet1!$A$2:$P$18,$M4630+1)/12)*12*D4630</f>
        <v>0</v>
      </c>
      <c r="K4630" s="711"/>
      <c r="M4630" s="62">
        <f t="shared" si="356"/>
        <v>5</v>
      </c>
    </row>
    <row r="4631" spans="1:13">
      <c r="A4631" s="88">
        <f t="shared" si="355"/>
        <v>77</v>
      </c>
      <c r="B4631" s="69" t="s">
        <v>1618</v>
      </c>
      <c r="C4631" s="167">
        <v>4</v>
      </c>
      <c r="D4631" s="155">
        <v>0</v>
      </c>
      <c r="E4631" s="155">
        <v>0</v>
      </c>
      <c r="F4631" s="155">
        <v>0</v>
      </c>
      <c r="G4631" s="155">
        <v>0</v>
      </c>
      <c r="H4631" s="155">
        <v>0</v>
      </c>
      <c r="I4631" s="155">
        <v>0</v>
      </c>
      <c r="J4631" s="710">
        <f>(VLOOKUP($C4631,[2]Sheet1!$A$2:$P$18,$M4631+1)/12)*12*D4631</f>
        <v>0</v>
      </c>
      <c r="K4631" s="711"/>
      <c r="M4631" s="62">
        <f t="shared" si="356"/>
        <v>5</v>
      </c>
    </row>
    <row r="4632" spans="1:13">
      <c r="A4632" s="88">
        <f>+A4631+1</f>
        <v>78</v>
      </c>
      <c r="B4632" s="69" t="s">
        <v>3206</v>
      </c>
      <c r="C4632" s="167">
        <v>5</v>
      </c>
      <c r="D4632" s="155">
        <v>0</v>
      </c>
      <c r="E4632" s="155">
        <v>0</v>
      </c>
      <c r="F4632" s="155">
        <v>0</v>
      </c>
      <c r="G4632" s="155">
        <v>0</v>
      </c>
      <c r="H4632" s="155">
        <v>0</v>
      </c>
      <c r="I4632" s="155">
        <v>0</v>
      </c>
      <c r="J4632" s="710">
        <f>(VLOOKUP($C4632,[2]Sheet1!$A$2:$P$18,$M4632+1)/12)*12*D4632</f>
        <v>0</v>
      </c>
      <c r="K4632" s="711"/>
      <c r="M4632" s="62">
        <f t="shared" si="356"/>
        <v>5</v>
      </c>
    </row>
    <row r="4633" spans="1:13">
      <c r="A4633" s="88"/>
      <c r="B4633" s="90" t="s">
        <v>3207</v>
      </c>
      <c r="C4633" s="167"/>
      <c r="D4633" s="155"/>
      <c r="E4633" s="155"/>
      <c r="F4633" s="155"/>
      <c r="G4633" s="155"/>
      <c r="H4633" s="155"/>
      <c r="I4633" s="155"/>
      <c r="J4633" s="710"/>
      <c r="K4633" s="711"/>
      <c r="M4633" s="62">
        <f t="shared" si="356"/>
        <v>5</v>
      </c>
    </row>
    <row r="4634" spans="1:13">
      <c r="A4634" s="88">
        <f>+A4632+1</f>
        <v>79</v>
      </c>
      <c r="B4634" s="69" t="s">
        <v>3208</v>
      </c>
      <c r="C4634" s="167">
        <v>10</v>
      </c>
      <c r="D4634" s="155">
        <v>1</v>
      </c>
      <c r="E4634" s="155">
        <v>1</v>
      </c>
      <c r="F4634" s="155">
        <v>1</v>
      </c>
      <c r="G4634" s="155">
        <v>1</v>
      </c>
      <c r="H4634" s="155">
        <v>1</v>
      </c>
      <c r="I4634" s="155">
        <v>1</v>
      </c>
      <c r="J4634" s="710">
        <f>(VLOOKUP($C4634,[2]Sheet1!$A$2:$P$18,$M4634+1)/12)*12*D4634</f>
        <v>483974.5687200001</v>
      </c>
      <c r="K4634" s="711"/>
      <c r="M4634" s="62">
        <f t="shared" si="356"/>
        <v>3</v>
      </c>
    </row>
    <row r="4635" spans="1:13">
      <c r="A4635" s="88">
        <f t="shared" ref="A4635:A4644" si="357">+A4634+1</f>
        <v>80</v>
      </c>
      <c r="B4635" s="69" t="s">
        <v>2498</v>
      </c>
      <c r="C4635" s="167">
        <v>9</v>
      </c>
      <c r="D4635" s="155">
        <v>1</v>
      </c>
      <c r="E4635" s="155">
        <v>1</v>
      </c>
      <c r="F4635" s="155">
        <v>0</v>
      </c>
      <c r="G4635" s="155">
        <v>0</v>
      </c>
      <c r="H4635" s="155">
        <v>1</v>
      </c>
      <c r="I4635" s="155">
        <v>1</v>
      </c>
      <c r="J4635" s="710">
        <f>(VLOOKUP($C4635,[2]Sheet1!$A$2:$P$18,$M4635+1)/12)*12*D4635</f>
        <v>409681.90619999997</v>
      </c>
      <c r="K4635" s="711"/>
      <c r="M4635" s="62">
        <f t="shared" si="356"/>
        <v>3</v>
      </c>
    </row>
    <row r="4636" spans="1:13">
      <c r="A4636" s="88">
        <f t="shared" si="357"/>
        <v>81</v>
      </c>
      <c r="B4636" s="69" t="s">
        <v>71</v>
      </c>
      <c r="C4636" s="167">
        <v>8</v>
      </c>
      <c r="D4636" s="155">
        <v>2</v>
      </c>
      <c r="E4636" s="155">
        <v>3</v>
      </c>
      <c r="F4636" s="155">
        <v>1</v>
      </c>
      <c r="G4636" s="155">
        <v>1</v>
      </c>
      <c r="H4636" s="155">
        <v>2</v>
      </c>
      <c r="I4636" s="155">
        <v>2</v>
      </c>
      <c r="J4636" s="710">
        <f>(VLOOKUP($C4636,[2]Sheet1!$A$2:$P$18,$M4636+1)/12)*12*D4636</f>
        <v>684282.54816000001</v>
      </c>
      <c r="K4636" s="711"/>
      <c r="M4636" s="62">
        <f t="shared" si="356"/>
        <v>3</v>
      </c>
    </row>
    <row r="4637" spans="1:13">
      <c r="A4637" s="88">
        <f t="shared" si="357"/>
        <v>82</v>
      </c>
      <c r="B4637" s="69" t="s">
        <v>3860</v>
      </c>
      <c r="C4637" s="167">
        <v>7</v>
      </c>
      <c r="D4637" s="155">
        <v>4</v>
      </c>
      <c r="E4637" s="155">
        <v>4</v>
      </c>
      <c r="F4637" s="155">
        <v>4</v>
      </c>
      <c r="G4637" s="155">
        <v>4</v>
      </c>
      <c r="H4637" s="155">
        <v>4</v>
      </c>
      <c r="I4637" s="155">
        <v>4</v>
      </c>
      <c r="J4637" s="710">
        <f>(VLOOKUP($C4637,[2]Sheet1!$A$2:$P$18,$M4637+1)/12)*12*D4637</f>
        <v>1230826.8096000003</v>
      </c>
      <c r="K4637" s="711"/>
      <c r="M4637" s="62">
        <f t="shared" si="356"/>
        <v>3</v>
      </c>
    </row>
    <row r="4638" spans="1:13">
      <c r="A4638" s="88">
        <f>+A4637+1</f>
        <v>83</v>
      </c>
      <c r="B4638" s="69" t="s">
        <v>2532</v>
      </c>
      <c r="C4638" s="167">
        <v>6</v>
      </c>
      <c r="D4638" s="155">
        <v>0</v>
      </c>
      <c r="E4638" s="155">
        <v>1</v>
      </c>
      <c r="F4638" s="155">
        <v>0</v>
      </c>
      <c r="G4638" s="155">
        <v>0</v>
      </c>
      <c r="H4638" s="155">
        <v>0</v>
      </c>
      <c r="I4638" s="155">
        <v>0</v>
      </c>
      <c r="J4638" s="710">
        <f>(VLOOKUP($C4638,[2]Sheet1!$A$2:$P$18,$M4638+1)/12)*12*D4638</f>
        <v>0</v>
      </c>
      <c r="K4638" s="711"/>
      <c r="M4638" s="62">
        <f t="shared" si="356"/>
        <v>5</v>
      </c>
    </row>
    <row r="4639" spans="1:13">
      <c r="A4639" s="88">
        <f t="shared" si="357"/>
        <v>84</v>
      </c>
      <c r="B4639" s="69" t="s">
        <v>2533</v>
      </c>
      <c r="C4639" s="167">
        <v>5</v>
      </c>
      <c r="D4639" s="155">
        <v>0</v>
      </c>
      <c r="E4639" s="155">
        <v>0</v>
      </c>
      <c r="F4639" s="155">
        <v>0</v>
      </c>
      <c r="G4639" s="155">
        <v>0</v>
      </c>
      <c r="H4639" s="155">
        <v>0</v>
      </c>
      <c r="I4639" s="155">
        <v>0</v>
      </c>
      <c r="J4639" s="710">
        <f>(VLOOKUP($C4639,[2]Sheet1!$A$2:$P$18,$M4639+1)/12)*12*D4639</f>
        <v>0</v>
      </c>
      <c r="K4639" s="711"/>
      <c r="M4639" s="62">
        <f t="shared" si="356"/>
        <v>5</v>
      </c>
    </row>
    <row r="4640" spans="1:13">
      <c r="A4640" s="88">
        <f t="shared" si="357"/>
        <v>85</v>
      </c>
      <c r="B4640" s="69" t="s">
        <v>2534</v>
      </c>
      <c r="C4640" s="167">
        <v>4</v>
      </c>
      <c r="D4640" s="155">
        <v>0</v>
      </c>
      <c r="E4640" s="155">
        <v>1</v>
      </c>
      <c r="F4640" s="155">
        <v>0</v>
      </c>
      <c r="G4640" s="155">
        <v>0</v>
      </c>
      <c r="H4640" s="155">
        <v>0</v>
      </c>
      <c r="I4640" s="155">
        <v>0</v>
      </c>
      <c r="J4640" s="710">
        <f>(VLOOKUP($C4640,[2]Sheet1!$A$2:$P$18,$M4640+1)/12)*12*D4640</f>
        <v>0</v>
      </c>
      <c r="K4640" s="711"/>
      <c r="M4640" s="62">
        <f t="shared" si="356"/>
        <v>5</v>
      </c>
    </row>
    <row r="4641" spans="1:13">
      <c r="A4641" s="88">
        <f t="shared" si="357"/>
        <v>86</v>
      </c>
      <c r="B4641" s="69" t="s">
        <v>2535</v>
      </c>
      <c r="C4641" s="167">
        <v>3</v>
      </c>
      <c r="D4641" s="155">
        <v>0</v>
      </c>
      <c r="E4641" s="155">
        <v>0</v>
      </c>
      <c r="F4641" s="155">
        <v>0</v>
      </c>
      <c r="G4641" s="155">
        <v>0</v>
      </c>
      <c r="H4641" s="155">
        <v>0</v>
      </c>
      <c r="I4641" s="155">
        <v>0</v>
      </c>
      <c r="J4641" s="710">
        <f>(VLOOKUP($C4641,[2]Sheet1!$A$2:$P$18,$M4641+1)/12)*12*D4641</f>
        <v>0</v>
      </c>
      <c r="K4641" s="711"/>
      <c r="M4641" s="62">
        <f t="shared" si="356"/>
        <v>5</v>
      </c>
    </row>
    <row r="4642" spans="1:13">
      <c r="A4642" s="88">
        <f t="shared" si="357"/>
        <v>87</v>
      </c>
      <c r="B4642" s="69" t="s">
        <v>2536</v>
      </c>
      <c r="C4642" s="167">
        <v>9</v>
      </c>
      <c r="D4642" s="155">
        <v>0</v>
      </c>
      <c r="E4642" s="155">
        <v>0</v>
      </c>
      <c r="F4642" s="155">
        <v>0</v>
      </c>
      <c r="G4642" s="155">
        <v>0</v>
      </c>
      <c r="H4642" s="155">
        <v>0</v>
      </c>
      <c r="I4642" s="155">
        <v>0</v>
      </c>
      <c r="J4642" s="710">
        <f>(VLOOKUP($C4642,[2]Sheet1!$A$2:$P$18,$M4642+1)/12)*12*D4642</f>
        <v>0</v>
      </c>
      <c r="K4642" s="711"/>
      <c r="M4642" s="62">
        <f t="shared" si="356"/>
        <v>3</v>
      </c>
    </row>
    <row r="4643" spans="1:13">
      <c r="A4643" s="88">
        <f t="shared" si="357"/>
        <v>88</v>
      </c>
      <c r="B4643" s="69" t="s">
        <v>3576</v>
      </c>
      <c r="C4643" s="167">
        <v>4</v>
      </c>
      <c r="D4643" s="155">
        <v>1</v>
      </c>
      <c r="E4643" s="155">
        <v>0</v>
      </c>
      <c r="F4643" s="155">
        <v>0</v>
      </c>
      <c r="G4643" s="155">
        <v>0</v>
      </c>
      <c r="H4643" s="155">
        <v>0</v>
      </c>
      <c r="I4643" s="155">
        <v>1</v>
      </c>
      <c r="J4643" s="710">
        <f>(VLOOKUP($C4643,[2]Sheet1!$A$2:$P$18,$M4643+1)/12)*12*D4643</f>
        <v>224542.978930365</v>
      </c>
      <c r="K4643" s="711"/>
      <c r="M4643" s="62">
        <f t="shared" si="356"/>
        <v>5</v>
      </c>
    </row>
    <row r="4644" spans="1:13">
      <c r="A4644" s="88">
        <f t="shared" si="357"/>
        <v>89</v>
      </c>
      <c r="B4644" s="69" t="s">
        <v>3409</v>
      </c>
      <c r="C4644" s="167">
        <v>5</v>
      </c>
      <c r="D4644" s="155">
        <v>0</v>
      </c>
      <c r="E4644" s="155">
        <v>0</v>
      </c>
      <c r="F4644" s="155">
        <v>0</v>
      </c>
      <c r="G4644" s="155">
        <v>0</v>
      </c>
      <c r="H4644" s="155">
        <v>0</v>
      </c>
      <c r="I4644" s="155">
        <v>0</v>
      </c>
      <c r="J4644" s="710">
        <f>(VLOOKUP($C4644,[2]Sheet1!$A$2:$P$18,$M4644+1)/12)*12*D4644</f>
        <v>0</v>
      </c>
      <c r="K4644" s="711"/>
      <c r="M4644" s="62">
        <f t="shared" si="356"/>
        <v>5</v>
      </c>
    </row>
    <row r="4645" spans="1:13">
      <c r="A4645" s="88"/>
      <c r="B4645" s="90" t="s">
        <v>3410</v>
      </c>
      <c r="C4645" s="167"/>
      <c r="D4645" s="155"/>
      <c r="E4645" s="155"/>
      <c r="F4645" s="155"/>
      <c r="G4645" s="155"/>
      <c r="H4645" s="155"/>
      <c r="I4645" s="155"/>
      <c r="J4645" s="710"/>
      <c r="K4645" s="711"/>
      <c r="M4645" s="62">
        <f t="shared" si="356"/>
        <v>5</v>
      </c>
    </row>
    <row r="4646" spans="1:13">
      <c r="A4646" s="88">
        <f>+A4644+1</f>
        <v>90</v>
      </c>
      <c r="B4646" s="69" t="s">
        <v>3583</v>
      </c>
      <c r="C4646" s="167">
        <v>14</v>
      </c>
      <c r="D4646" s="155">
        <v>1</v>
      </c>
      <c r="E4646" s="155">
        <v>0</v>
      </c>
      <c r="F4646" s="155">
        <v>0</v>
      </c>
      <c r="G4646" s="155">
        <v>0</v>
      </c>
      <c r="H4646" s="155">
        <v>0</v>
      </c>
      <c r="I4646" s="155">
        <v>1</v>
      </c>
      <c r="J4646" s="710">
        <f>(VLOOKUP($C4646,[2]Sheet1!$A$2:$P$18,$M4646+1)/12)*12*D4646</f>
        <v>669099.40824000002</v>
      </c>
      <c r="K4646" s="711"/>
      <c r="M4646" s="62">
        <f t="shared" si="356"/>
        <v>3</v>
      </c>
    </row>
    <row r="4647" spans="1:13">
      <c r="A4647" s="88">
        <f t="shared" ref="A4647:A4659" si="358">+A4646+1</f>
        <v>91</v>
      </c>
      <c r="B4647" s="69" t="s">
        <v>343</v>
      </c>
      <c r="C4647" s="167">
        <v>13</v>
      </c>
      <c r="D4647" s="155">
        <v>2</v>
      </c>
      <c r="E4647" s="155">
        <v>0</v>
      </c>
      <c r="F4647" s="155">
        <v>0</v>
      </c>
      <c r="G4647" s="155">
        <v>0</v>
      </c>
      <c r="H4647" s="155">
        <v>0</v>
      </c>
      <c r="I4647" s="155">
        <v>2</v>
      </c>
      <c r="J4647" s="710">
        <f>(VLOOKUP($C4647,[2]Sheet1!$A$2:$P$18,$M4647+1)/12)*12*D4647</f>
        <v>1257519.07608</v>
      </c>
      <c r="K4647" s="711"/>
      <c r="M4647" s="62">
        <f t="shared" si="356"/>
        <v>3</v>
      </c>
    </row>
    <row r="4648" spans="1:13">
      <c r="A4648" s="88">
        <f>+A4647+1</f>
        <v>92</v>
      </c>
      <c r="B4648" s="69" t="s">
        <v>1022</v>
      </c>
      <c r="C4648" s="167">
        <v>12</v>
      </c>
      <c r="D4648" s="155">
        <v>1</v>
      </c>
      <c r="E4648" s="155">
        <v>1</v>
      </c>
      <c r="F4648" s="155">
        <v>0</v>
      </c>
      <c r="G4648" s="155">
        <v>0</v>
      </c>
      <c r="H4648" s="155">
        <v>1</v>
      </c>
      <c r="I4648" s="155">
        <v>1</v>
      </c>
      <c r="J4648" s="710">
        <f>(VLOOKUP($C4648,[2]Sheet1!$A$2:$P$18,$M4648+1)/12)*12*D4648</f>
        <v>552685.0537200002</v>
      </c>
      <c r="K4648" s="711"/>
      <c r="M4648" s="62">
        <f t="shared" si="356"/>
        <v>3</v>
      </c>
    </row>
    <row r="4649" spans="1:13">
      <c r="A4649" s="88">
        <f t="shared" si="358"/>
        <v>93</v>
      </c>
      <c r="B4649" s="69" t="s">
        <v>1023</v>
      </c>
      <c r="C4649" s="167">
        <v>10</v>
      </c>
      <c r="D4649" s="155">
        <v>2</v>
      </c>
      <c r="E4649" s="155">
        <v>1</v>
      </c>
      <c r="F4649" s="155">
        <v>1</v>
      </c>
      <c r="G4649" s="155">
        <v>1</v>
      </c>
      <c r="H4649" s="155">
        <v>1</v>
      </c>
      <c r="I4649" s="155">
        <v>2</v>
      </c>
      <c r="J4649" s="710">
        <f>(VLOOKUP($C4649,[2]Sheet1!$A$2:$P$18,$M4649+1)/12)*12*D4649</f>
        <v>967949.1374400002</v>
      </c>
      <c r="K4649" s="711"/>
      <c r="M4649" s="62">
        <f t="shared" si="356"/>
        <v>3</v>
      </c>
    </row>
    <row r="4650" spans="1:13">
      <c r="A4650" s="88">
        <f t="shared" si="358"/>
        <v>94</v>
      </c>
      <c r="B4650" s="69" t="s">
        <v>1024</v>
      </c>
      <c r="C4650" s="167">
        <v>9</v>
      </c>
      <c r="D4650" s="155">
        <v>0</v>
      </c>
      <c r="E4650" s="155">
        <v>0</v>
      </c>
      <c r="F4650" s="155">
        <v>0</v>
      </c>
      <c r="G4650" s="155">
        <v>0</v>
      </c>
      <c r="H4650" s="155">
        <v>0</v>
      </c>
      <c r="I4650" s="155">
        <v>0</v>
      </c>
      <c r="J4650" s="710">
        <f>(VLOOKUP($C4650,[2]Sheet1!$A$2:$P$18,$M4650+1)/12)*12*D4650</f>
        <v>0</v>
      </c>
      <c r="K4650" s="711"/>
      <c r="M4650" s="62">
        <f t="shared" si="356"/>
        <v>3</v>
      </c>
    </row>
    <row r="4651" spans="1:13">
      <c r="A4651" s="88">
        <f t="shared" si="358"/>
        <v>95</v>
      </c>
      <c r="B4651" s="69" t="s">
        <v>1178</v>
      </c>
      <c r="C4651" s="167">
        <v>8</v>
      </c>
      <c r="D4651" s="155">
        <v>4</v>
      </c>
      <c r="E4651" s="155">
        <v>1</v>
      </c>
      <c r="F4651" s="155">
        <v>0</v>
      </c>
      <c r="G4651" s="155">
        <v>0</v>
      </c>
      <c r="H4651" s="155">
        <v>1</v>
      </c>
      <c r="I4651" s="155">
        <v>4</v>
      </c>
      <c r="J4651" s="710">
        <f>(VLOOKUP($C4651,[2]Sheet1!$A$2:$P$18,$M4651+1)/12)*12*D4651</f>
        <v>1368565.09632</v>
      </c>
      <c r="K4651" s="711"/>
      <c r="M4651" s="62">
        <f t="shared" si="356"/>
        <v>3</v>
      </c>
    </row>
    <row r="4652" spans="1:13">
      <c r="A4652" s="88">
        <f t="shared" si="358"/>
        <v>96</v>
      </c>
      <c r="B4652" s="69" t="s">
        <v>1179</v>
      </c>
      <c r="C4652" s="167">
        <v>7</v>
      </c>
      <c r="D4652" s="155">
        <v>4</v>
      </c>
      <c r="E4652" s="155">
        <v>1</v>
      </c>
      <c r="F4652" s="155">
        <v>1</v>
      </c>
      <c r="G4652" s="155">
        <v>1</v>
      </c>
      <c r="H4652" s="155">
        <v>1</v>
      </c>
      <c r="I4652" s="155">
        <v>4</v>
      </c>
      <c r="J4652" s="710">
        <f>(VLOOKUP($C4652,[2]Sheet1!$A$2:$P$18,$M4652+1)/12)*12*D4652</f>
        <v>1230826.8096000003</v>
      </c>
      <c r="K4652" s="711"/>
      <c r="M4652" s="62">
        <f t="shared" si="356"/>
        <v>3</v>
      </c>
    </row>
    <row r="4653" spans="1:13">
      <c r="A4653" s="88">
        <f t="shared" si="358"/>
        <v>97</v>
      </c>
      <c r="B4653" s="69" t="s">
        <v>110</v>
      </c>
      <c r="C4653" s="167">
        <v>6</v>
      </c>
      <c r="D4653" s="155">
        <v>4</v>
      </c>
      <c r="E4653" s="155">
        <v>1</v>
      </c>
      <c r="F4653" s="155">
        <v>1</v>
      </c>
      <c r="G4653" s="155">
        <v>1</v>
      </c>
      <c r="H4653" s="155">
        <v>1</v>
      </c>
      <c r="I4653" s="155">
        <v>4</v>
      </c>
      <c r="J4653" s="710">
        <f>(VLOOKUP($C4653,[2]Sheet1!$A$2:$P$18,$M4653+1)/12)*12*D4653</f>
        <v>952397.51572145987</v>
      </c>
      <c r="K4653" s="711"/>
      <c r="M4653" s="62">
        <f t="shared" si="356"/>
        <v>5</v>
      </c>
    </row>
    <row r="4654" spans="1:13">
      <c r="A4654" s="88">
        <f t="shared" si="358"/>
        <v>98</v>
      </c>
      <c r="B4654" s="69" t="s">
        <v>3859</v>
      </c>
      <c r="C4654" s="167">
        <v>7</v>
      </c>
      <c r="D4654" s="155">
        <v>6</v>
      </c>
      <c r="E4654" s="155">
        <v>1</v>
      </c>
      <c r="F4654" s="155">
        <v>1</v>
      </c>
      <c r="G4654" s="155">
        <v>1</v>
      </c>
      <c r="H4654" s="155">
        <v>0</v>
      </c>
      <c r="I4654" s="155">
        <v>6</v>
      </c>
      <c r="J4654" s="710">
        <f>(VLOOKUP($C4654,[2]Sheet1!$A$2:$P$18,$M4654+1)/12)*12*D4654</f>
        <v>1846240.2144000004</v>
      </c>
      <c r="K4654" s="711"/>
      <c r="M4654" s="62">
        <f t="shared" si="356"/>
        <v>3</v>
      </c>
    </row>
    <row r="4655" spans="1:13">
      <c r="A4655" s="88">
        <f t="shared" si="358"/>
        <v>99</v>
      </c>
      <c r="B4655" s="69" t="s">
        <v>2475</v>
      </c>
      <c r="C4655" s="167">
        <v>5</v>
      </c>
      <c r="D4655" s="155">
        <v>7</v>
      </c>
      <c r="E4655" s="155">
        <v>0</v>
      </c>
      <c r="F4655" s="155">
        <v>0</v>
      </c>
      <c r="G4655" s="155">
        <v>0</v>
      </c>
      <c r="H4655" s="155">
        <v>0</v>
      </c>
      <c r="I4655" s="155">
        <v>7</v>
      </c>
      <c r="J4655" s="710">
        <f>(VLOOKUP($C4655,[2]Sheet1!$A$2:$P$18,$M4655+1)/12)*12*D4655</f>
        <v>1606988.4525125548</v>
      </c>
      <c r="K4655" s="711"/>
      <c r="M4655" s="62">
        <f t="shared" si="356"/>
        <v>5</v>
      </c>
    </row>
    <row r="4656" spans="1:13">
      <c r="A4656" s="88">
        <f t="shared" si="358"/>
        <v>100</v>
      </c>
      <c r="B4656" s="69" t="s">
        <v>1179</v>
      </c>
      <c r="C4656" s="167">
        <v>4</v>
      </c>
      <c r="D4656" s="155">
        <v>6</v>
      </c>
      <c r="E4656" s="155">
        <v>0</v>
      </c>
      <c r="F4656" s="155">
        <v>0</v>
      </c>
      <c r="G4656" s="155">
        <v>0</v>
      </c>
      <c r="H4656" s="155">
        <v>0</v>
      </c>
      <c r="I4656" s="155">
        <v>6</v>
      </c>
      <c r="J4656" s="710">
        <f>(VLOOKUP($C4656,[2]Sheet1!$A$2:$P$18,$M4656+1)/12)*12*D4656</f>
        <v>1347257.8735821899</v>
      </c>
      <c r="K4656" s="711"/>
      <c r="M4656" s="62">
        <f t="shared" si="356"/>
        <v>5</v>
      </c>
    </row>
    <row r="4657" spans="1:13">
      <c r="A4657" s="88">
        <f t="shared" si="358"/>
        <v>101</v>
      </c>
      <c r="B4657" s="69" t="s">
        <v>2476</v>
      </c>
      <c r="C4657" s="167">
        <v>4</v>
      </c>
      <c r="D4657" s="155">
        <v>7</v>
      </c>
      <c r="E4657" s="155">
        <v>0</v>
      </c>
      <c r="F4657" s="155">
        <v>0</v>
      </c>
      <c r="G4657" s="155">
        <v>0</v>
      </c>
      <c r="H4657" s="155">
        <v>0</v>
      </c>
      <c r="I4657" s="155">
        <v>7</v>
      </c>
      <c r="J4657" s="710">
        <f>(VLOOKUP($C4657,[2]Sheet1!$A$2:$P$18,$M4657+1)/12)*12*D4657</f>
        <v>1571800.852512555</v>
      </c>
      <c r="K4657" s="711"/>
      <c r="M4657" s="62">
        <f t="shared" si="356"/>
        <v>5</v>
      </c>
    </row>
    <row r="4658" spans="1:13">
      <c r="A4658" s="88">
        <f t="shared" si="358"/>
        <v>102</v>
      </c>
      <c r="B4658" s="69" t="s">
        <v>72</v>
      </c>
      <c r="C4658" s="167">
        <v>7</v>
      </c>
      <c r="D4658" s="155">
        <v>0</v>
      </c>
      <c r="E4658" s="155">
        <v>1</v>
      </c>
      <c r="F4658" s="155">
        <v>0</v>
      </c>
      <c r="G4658" s="155">
        <v>0</v>
      </c>
      <c r="H4658" s="155">
        <v>0</v>
      </c>
      <c r="I4658" s="155">
        <v>0</v>
      </c>
      <c r="J4658" s="710">
        <f>(VLOOKUP($C4658,[2]Sheet1!$A$2:$P$18,$M4658+1)/12)*12*D4658</f>
        <v>0</v>
      </c>
      <c r="K4658" s="711"/>
      <c r="M4658" s="62">
        <f t="shared" si="356"/>
        <v>3</v>
      </c>
    </row>
    <row r="4659" spans="1:13">
      <c r="A4659" s="88">
        <f t="shared" si="358"/>
        <v>103</v>
      </c>
      <c r="B4659" s="69" t="s">
        <v>1618</v>
      </c>
      <c r="C4659" s="167">
        <v>6</v>
      </c>
      <c r="D4659" s="155">
        <v>0</v>
      </c>
      <c r="E4659" s="155">
        <v>1</v>
      </c>
      <c r="F4659" s="155">
        <v>0</v>
      </c>
      <c r="G4659" s="155">
        <v>0</v>
      </c>
      <c r="H4659" s="155">
        <v>0</v>
      </c>
      <c r="I4659" s="155">
        <v>0</v>
      </c>
      <c r="J4659" s="710">
        <f>(VLOOKUP($C4659,[2]Sheet1!$A$2:$P$18,$M4659+1)/12)*12*D4659</f>
        <v>0</v>
      </c>
      <c r="K4659" s="711"/>
      <c r="M4659" s="62">
        <f t="shared" si="356"/>
        <v>5</v>
      </c>
    </row>
    <row r="4660" spans="1:13">
      <c r="A4660" s="88"/>
      <c r="B4660" s="90" t="s">
        <v>2477</v>
      </c>
      <c r="C4660" s="167"/>
      <c r="D4660" s="155"/>
      <c r="E4660" s="155"/>
      <c r="F4660" s="155"/>
      <c r="G4660" s="155"/>
      <c r="H4660" s="155"/>
      <c r="I4660" s="155"/>
      <c r="J4660" s="710"/>
      <c r="K4660" s="711"/>
      <c r="M4660" s="62">
        <f t="shared" si="356"/>
        <v>5</v>
      </c>
    </row>
    <row r="4661" spans="1:13">
      <c r="A4661" s="88">
        <f>+A4659+1</f>
        <v>104</v>
      </c>
      <c r="B4661" s="69" t="s">
        <v>3851</v>
      </c>
      <c r="C4661" s="167">
        <v>15</v>
      </c>
      <c r="D4661" s="155">
        <v>1</v>
      </c>
      <c r="E4661" s="155">
        <v>0</v>
      </c>
      <c r="F4661" s="155">
        <v>0</v>
      </c>
      <c r="G4661" s="155">
        <v>0</v>
      </c>
      <c r="H4661" s="155">
        <v>0</v>
      </c>
      <c r="I4661" s="155">
        <v>1</v>
      </c>
      <c r="J4661" s="710">
        <f>(VLOOKUP($C4661,[2]Sheet1!$A$2:$P$18,$M4661+1)/12)*12*D4661</f>
        <v>658331.89992</v>
      </c>
      <c r="K4661" s="711"/>
      <c r="M4661" s="62">
        <f t="shared" si="356"/>
        <v>3</v>
      </c>
    </row>
    <row r="4662" spans="1:13">
      <c r="A4662" s="88">
        <f t="shared" ref="A4662:A4679" si="359">+A4661+1</f>
        <v>105</v>
      </c>
      <c r="B4662" s="69" t="s">
        <v>1966</v>
      </c>
      <c r="C4662" s="167">
        <v>14</v>
      </c>
      <c r="D4662" s="155">
        <v>1</v>
      </c>
      <c r="E4662" s="155">
        <v>0</v>
      </c>
      <c r="F4662" s="155">
        <v>0</v>
      </c>
      <c r="G4662" s="155">
        <v>0</v>
      </c>
      <c r="H4662" s="155">
        <v>0</v>
      </c>
      <c r="I4662" s="155">
        <v>1</v>
      </c>
      <c r="J4662" s="710">
        <f>(VLOOKUP($C4662,[2]Sheet1!$A$2:$P$18,$M4662+1)/12)*12*D4662</f>
        <v>669099.40824000002</v>
      </c>
      <c r="K4662" s="711"/>
      <c r="M4662" s="62">
        <f t="shared" si="356"/>
        <v>3</v>
      </c>
    </row>
    <row r="4663" spans="1:13">
      <c r="A4663" s="88">
        <f t="shared" si="359"/>
        <v>106</v>
      </c>
      <c r="B4663" s="69" t="s">
        <v>2478</v>
      </c>
      <c r="C4663" s="167">
        <v>13</v>
      </c>
      <c r="D4663" s="155">
        <v>0</v>
      </c>
      <c r="E4663" s="155">
        <v>0</v>
      </c>
      <c r="F4663" s="155">
        <v>0</v>
      </c>
      <c r="G4663" s="155">
        <v>0</v>
      </c>
      <c r="H4663" s="155">
        <v>0</v>
      </c>
      <c r="I4663" s="155">
        <v>0</v>
      </c>
      <c r="J4663" s="710">
        <f>(VLOOKUP($C4663,[2]Sheet1!$A$2:$P$18,$M4663+1)/12)*12*D4663</f>
        <v>0</v>
      </c>
      <c r="K4663" s="711"/>
      <c r="M4663" s="62">
        <f t="shared" si="356"/>
        <v>3</v>
      </c>
    </row>
    <row r="4664" spans="1:13">
      <c r="A4664" s="88">
        <f t="shared" si="359"/>
        <v>107</v>
      </c>
      <c r="B4664" s="69" t="s">
        <v>2479</v>
      </c>
      <c r="C4664" s="167">
        <v>12</v>
      </c>
      <c r="D4664" s="155">
        <v>3</v>
      </c>
      <c r="E4664" s="155">
        <v>0</v>
      </c>
      <c r="F4664" s="155">
        <v>0</v>
      </c>
      <c r="G4664" s="155">
        <v>0</v>
      </c>
      <c r="H4664" s="155">
        <v>0</v>
      </c>
      <c r="I4664" s="155">
        <v>3</v>
      </c>
      <c r="J4664" s="710">
        <f>(VLOOKUP($C4664,[2]Sheet1!$A$2:$P$18,$M4664+1)/12)*12*D4664</f>
        <v>1658055.1611600006</v>
      </c>
      <c r="K4664" s="711"/>
      <c r="M4664" s="62">
        <f t="shared" si="356"/>
        <v>3</v>
      </c>
    </row>
    <row r="4665" spans="1:13">
      <c r="A4665" s="88">
        <f t="shared" si="359"/>
        <v>108</v>
      </c>
      <c r="B4665" s="69" t="s">
        <v>2480</v>
      </c>
      <c r="C4665" s="167">
        <v>10</v>
      </c>
      <c r="D4665" s="155">
        <v>4</v>
      </c>
      <c r="E4665" s="155">
        <v>1</v>
      </c>
      <c r="F4665" s="155">
        <v>1</v>
      </c>
      <c r="G4665" s="155">
        <v>1</v>
      </c>
      <c r="H4665" s="155">
        <v>1</v>
      </c>
      <c r="I4665" s="155">
        <v>4</v>
      </c>
      <c r="J4665" s="710">
        <f>(VLOOKUP($C4665,[2]Sheet1!$A$2:$P$18,$M4665+1)/12)*12*D4665</f>
        <v>1935898.2748800004</v>
      </c>
      <c r="K4665" s="711"/>
      <c r="M4665" s="62">
        <f t="shared" si="356"/>
        <v>3</v>
      </c>
    </row>
    <row r="4666" spans="1:13">
      <c r="A4666" s="88">
        <f t="shared" si="359"/>
        <v>109</v>
      </c>
      <c r="B4666" s="69" t="s">
        <v>2792</v>
      </c>
      <c r="C4666" s="167">
        <v>9</v>
      </c>
      <c r="D4666" s="155">
        <v>6</v>
      </c>
      <c r="E4666" s="155">
        <v>1</v>
      </c>
      <c r="F4666" s="155">
        <v>0</v>
      </c>
      <c r="G4666" s="155">
        <v>0</v>
      </c>
      <c r="H4666" s="155">
        <v>1</v>
      </c>
      <c r="I4666" s="155">
        <v>6</v>
      </c>
      <c r="J4666" s="710">
        <f>(VLOOKUP($C4666,[2]Sheet1!$A$2:$P$18,$M4666+1)/12)*12*D4666</f>
        <v>2458091.4371999996</v>
      </c>
      <c r="K4666" s="711"/>
      <c r="M4666" s="62">
        <f t="shared" si="356"/>
        <v>3</v>
      </c>
    </row>
    <row r="4667" spans="1:13" ht="13.5" thickBot="1">
      <c r="A4667" s="88">
        <f>+A4666+1</f>
        <v>110</v>
      </c>
      <c r="B4667" s="69" t="s">
        <v>2793</v>
      </c>
      <c r="C4667" s="167">
        <v>8</v>
      </c>
      <c r="D4667" s="155">
        <v>6</v>
      </c>
      <c r="E4667" s="155">
        <v>1</v>
      </c>
      <c r="F4667" s="155">
        <v>1</v>
      </c>
      <c r="G4667" s="155">
        <v>1</v>
      </c>
      <c r="H4667" s="155">
        <v>1</v>
      </c>
      <c r="I4667" s="155">
        <v>6</v>
      </c>
      <c r="J4667" s="710">
        <f>(VLOOKUP($C4667,[2]Sheet1!$A$2:$P$18,$M4667+1)/12)*12*D4667</f>
        <v>2052847.64448</v>
      </c>
      <c r="K4667" s="711"/>
      <c r="M4667" s="62">
        <f t="shared" si="356"/>
        <v>3</v>
      </c>
    </row>
    <row r="4668" spans="1:13" ht="15.75" thickTop="1">
      <c r="A4668" s="1047" t="s">
        <v>2791</v>
      </c>
      <c r="B4668" s="1049" t="s">
        <v>4126</v>
      </c>
      <c r="C4668" s="1049" t="s">
        <v>854</v>
      </c>
      <c r="D4668" s="1040" t="s">
        <v>4127</v>
      </c>
      <c r="E4668" s="1041"/>
      <c r="F4668" s="1041"/>
      <c r="G4668" s="1040" t="s">
        <v>904</v>
      </c>
      <c r="H4668" s="1041"/>
      <c r="I4668" s="1042"/>
      <c r="J4668" s="1035" t="s">
        <v>855</v>
      </c>
      <c r="K4668" s="389"/>
    </row>
    <row r="4669" spans="1:13" ht="26.25" thickBot="1">
      <c r="A4669" s="1048"/>
      <c r="B4669" s="1050"/>
      <c r="C4669" s="1050"/>
      <c r="D4669" s="285" t="s">
        <v>5505</v>
      </c>
      <c r="E4669" s="285" t="s">
        <v>4485</v>
      </c>
      <c r="F4669" s="285" t="s">
        <v>4486</v>
      </c>
      <c r="G4669" s="287" t="s">
        <v>4487</v>
      </c>
      <c r="H4669" s="285" t="s">
        <v>4488</v>
      </c>
      <c r="I4669" s="287" t="s">
        <v>4489</v>
      </c>
      <c r="J4669" s="1036"/>
      <c r="K4669" s="712"/>
    </row>
    <row r="4670" spans="1:13" ht="13.5" thickTop="1">
      <c r="A4670" s="88">
        <f>+A4667+1</f>
        <v>111</v>
      </c>
      <c r="B4670" s="69" t="s">
        <v>2636</v>
      </c>
      <c r="C4670" s="167">
        <v>7</v>
      </c>
      <c r="D4670" s="155">
        <v>8</v>
      </c>
      <c r="E4670" s="155">
        <v>0</v>
      </c>
      <c r="F4670" s="155">
        <v>0</v>
      </c>
      <c r="G4670" s="155">
        <v>0</v>
      </c>
      <c r="H4670" s="155">
        <v>0</v>
      </c>
      <c r="I4670" s="155">
        <v>8</v>
      </c>
      <c r="J4670" s="710">
        <f>(VLOOKUP($C4670,[2]Sheet1!$A$2:$P$18,$M4670+1)/12)*12*D4670</f>
        <v>2461653.6192000005</v>
      </c>
      <c r="K4670" s="711"/>
      <c r="M4670" s="62">
        <f t="shared" si="356"/>
        <v>3</v>
      </c>
    </row>
    <row r="4671" spans="1:13">
      <c r="A4671" s="88">
        <f>+A4670+1</f>
        <v>112</v>
      </c>
      <c r="B4671" s="69" t="s">
        <v>3878</v>
      </c>
      <c r="C4671" s="167">
        <v>6</v>
      </c>
      <c r="D4671" s="155">
        <v>8</v>
      </c>
      <c r="E4671" s="155">
        <v>1</v>
      </c>
      <c r="F4671" s="155">
        <v>0</v>
      </c>
      <c r="G4671" s="155">
        <v>0</v>
      </c>
      <c r="H4671" s="155">
        <v>0</v>
      </c>
      <c r="I4671" s="155">
        <v>8</v>
      </c>
      <c r="J4671" s="710">
        <f>(VLOOKUP($C4671,[2]Sheet1!$A$2:$P$18,$M4671+1)/12)*12*D4671</f>
        <v>1904795.0314429197</v>
      </c>
      <c r="K4671" s="711"/>
      <c r="M4671" s="62">
        <f t="shared" si="356"/>
        <v>5</v>
      </c>
    </row>
    <row r="4672" spans="1:13">
      <c r="A4672" s="88">
        <f>+A4671+1</f>
        <v>113</v>
      </c>
      <c r="B4672" s="69" t="s">
        <v>3852</v>
      </c>
      <c r="C4672" s="167">
        <v>5</v>
      </c>
      <c r="D4672" s="155">
        <v>4</v>
      </c>
      <c r="E4672" s="155">
        <v>0</v>
      </c>
      <c r="F4672" s="155">
        <v>0</v>
      </c>
      <c r="G4672" s="155">
        <v>0</v>
      </c>
      <c r="H4672" s="155">
        <v>0</v>
      </c>
      <c r="I4672" s="155">
        <v>4</v>
      </c>
      <c r="J4672" s="710">
        <f>(VLOOKUP($C4672,[2]Sheet1!$A$2:$P$18,$M4672+1)/12)*12*D4672</f>
        <v>918279.11572145997</v>
      </c>
      <c r="K4672" s="711"/>
      <c r="M4672" s="62">
        <f t="shared" si="356"/>
        <v>5</v>
      </c>
    </row>
    <row r="4673" spans="1:13">
      <c r="A4673" s="88">
        <f t="shared" si="359"/>
        <v>114</v>
      </c>
      <c r="B4673" s="69" t="s">
        <v>3853</v>
      </c>
      <c r="C4673" s="167">
        <v>4</v>
      </c>
      <c r="D4673" s="155">
        <v>6</v>
      </c>
      <c r="E4673" s="155">
        <v>1</v>
      </c>
      <c r="F4673" s="155">
        <v>0</v>
      </c>
      <c r="G4673" s="155">
        <v>0</v>
      </c>
      <c r="H4673" s="155">
        <v>0</v>
      </c>
      <c r="I4673" s="155">
        <v>6</v>
      </c>
      <c r="J4673" s="710">
        <f>(VLOOKUP($C4673,[2]Sheet1!$A$2:$P$18,$M4673+1)/12)*12*D4673</f>
        <v>1347257.8735821899</v>
      </c>
      <c r="K4673" s="711"/>
      <c r="M4673" s="62">
        <f t="shared" si="356"/>
        <v>5</v>
      </c>
    </row>
    <row r="4674" spans="1:13">
      <c r="A4674" s="88">
        <f t="shared" si="359"/>
        <v>115</v>
      </c>
      <c r="B4674" s="69" t="s">
        <v>2976</v>
      </c>
      <c r="C4674" s="167">
        <v>3</v>
      </c>
      <c r="D4674" s="155">
        <v>6</v>
      </c>
      <c r="E4674" s="155">
        <v>0</v>
      </c>
      <c r="F4674" s="155">
        <v>0</v>
      </c>
      <c r="G4674" s="155">
        <v>0</v>
      </c>
      <c r="H4674" s="155">
        <v>0</v>
      </c>
      <c r="I4674" s="155">
        <v>6</v>
      </c>
      <c r="J4674" s="710">
        <f>(VLOOKUP($C4674,[2]Sheet1!$A$2:$P$18,$M4674+1)/12)*12*D4674</f>
        <v>1316017.0735821899</v>
      </c>
      <c r="K4674" s="711"/>
      <c r="M4674" s="62">
        <f t="shared" si="356"/>
        <v>5</v>
      </c>
    </row>
    <row r="4675" spans="1:13">
      <c r="A4675" s="88">
        <f t="shared" si="359"/>
        <v>116</v>
      </c>
      <c r="B4675" s="69" t="s">
        <v>2977</v>
      </c>
      <c r="C4675" s="167">
        <v>5</v>
      </c>
      <c r="D4675" s="155">
        <v>1</v>
      </c>
      <c r="E4675" s="155">
        <v>0</v>
      </c>
      <c r="F4675" s="155">
        <v>0</v>
      </c>
      <c r="G4675" s="155">
        <v>0</v>
      </c>
      <c r="H4675" s="155">
        <v>0</v>
      </c>
      <c r="I4675" s="155">
        <v>1</v>
      </c>
      <c r="J4675" s="710">
        <f>(VLOOKUP($C4675,[2]Sheet1!$A$2:$P$18,$M4675+1)/12)*12*D4675</f>
        <v>229569.77893036499</v>
      </c>
      <c r="K4675" s="711"/>
      <c r="M4675" s="62">
        <f t="shared" si="356"/>
        <v>5</v>
      </c>
    </row>
    <row r="4676" spans="1:13">
      <c r="A4676" s="88">
        <f>+A4675+1</f>
        <v>117</v>
      </c>
      <c r="B4676" s="69" t="s">
        <v>2978</v>
      </c>
      <c r="C4676" s="167">
        <v>4</v>
      </c>
      <c r="D4676" s="155">
        <v>4</v>
      </c>
      <c r="E4676" s="155">
        <v>1</v>
      </c>
      <c r="F4676" s="155">
        <v>0</v>
      </c>
      <c r="G4676" s="155">
        <v>0</v>
      </c>
      <c r="H4676" s="155">
        <v>0</v>
      </c>
      <c r="I4676" s="155">
        <v>4</v>
      </c>
      <c r="J4676" s="710">
        <f>(VLOOKUP($C4676,[2]Sheet1!$A$2:$P$18,$M4676+1)/12)*12*D4676</f>
        <v>898171.91572146001</v>
      </c>
      <c r="K4676" s="711"/>
      <c r="M4676" s="62">
        <f t="shared" si="356"/>
        <v>5</v>
      </c>
    </row>
    <row r="4677" spans="1:13">
      <c r="A4677" s="88">
        <f t="shared" si="359"/>
        <v>118</v>
      </c>
      <c r="B4677" s="69" t="s">
        <v>2979</v>
      </c>
      <c r="C4677" s="167">
        <v>3</v>
      </c>
      <c r="D4677" s="155">
        <v>1</v>
      </c>
      <c r="E4677" s="155">
        <v>0</v>
      </c>
      <c r="F4677" s="155">
        <v>0</v>
      </c>
      <c r="G4677" s="155">
        <v>0</v>
      </c>
      <c r="H4677" s="155">
        <v>0</v>
      </c>
      <c r="I4677" s="155">
        <v>1</v>
      </c>
      <c r="J4677" s="710">
        <f>(VLOOKUP($C4677,[2]Sheet1!$A$2:$P$18,$M4677+1)/12)*12*D4677</f>
        <v>219336.17893036499</v>
      </c>
      <c r="K4677" s="711"/>
      <c r="M4677" s="62">
        <f t="shared" si="356"/>
        <v>5</v>
      </c>
    </row>
    <row r="4678" spans="1:13">
      <c r="A4678" s="88">
        <f t="shared" si="359"/>
        <v>119</v>
      </c>
      <c r="B4678" s="69" t="s">
        <v>761</v>
      </c>
      <c r="C4678" s="167">
        <v>5</v>
      </c>
      <c r="D4678" s="155">
        <v>0</v>
      </c>
      <c r="E4678" s="155">
        <v>0</v>
      </c>
      <c r="F4678" s="155">
        <v>0</v>
      </c>
      <c r="G4678" s="155">
        <v>0</v>
      </c>
      <c r="H4678" s="155">
        <v>0</v>
      </c>
      <c r="I4678" s="155">
        <v>0</v>
      </c>
      <c r="J4678" s="710">
        <f>(VLOOKUP($C4678,[2]Sheet1!$A$2:$P$18,$M4678+1)/12)*12*D4678</f>
        <v>0</v>
      </c>
      <c r="K4678" s="711"/>
      <c r="M4678" s="62">
        <f t="shared" si="356"/>
        <v>5</v>
      </c>
    </row>
    <row r="4679" spans="1:13">
      <c r="A4679" s="88">
        <f t="shared" si="359"/>
        <v>120</v>
      </c>
      <c r="B4679" s="69" t="s">
        <v>762</v>
      </c>
      <c r="C4679" s="167">
        <v>2</v>
      </c>
      <c r="D4679" s="155">
        <v>2</v>
      </c>
      <c r="E4679" s="155">
        <v>0</v>
      </c>
      <c r="F4679" s="155">
        <v>0</v>
      </c>
      <c r="G4679" s="155">
        <v>0</v>
      </c>
      <c r="H4679" s="155">
        <v>0</v>
      </c>
      <c r="I4679" s="155">
        <v>2</v>
      </c>
      <c r="J4679" s="710">
        <f>(VLOOKUP($C4679,[2]Sheet1!$A$2:$P$18,$M4679+1)/12)*12*D4679</f>
        <v>429314.75786073005</v>
      </c>
      <c r="K4679" s="711"/>
      <c r="M4679" s="62">
        <f t="shared" si="356"/>
        <v>5</v>
      </c>
    </row>
    <row r="4680" spans="1:13">
      <c r="A4680" s="92"/>
      <c r="B4680" s="93" t="s">
        <v>2241</v>
      </c>
      <c r="C4680" s="168"/>
      <c r="D4680" s="169">
        <f t="shared" ref="D4680:J4680" si="360">SUM(D4545:D4679)</f>
        <v>179</v>
      </c>
      <c r="E4680" s="169">
        <f t="shared" si="360"/>
        <v>86</v>
      </c>
      <c r="F4680" s="169">
        <f t="shared" si="360"/>
        <v>67</v>
      </c>
      <c r="G4680" s="169">
        <f>SUM(G4545:G4679)</f>
        <v>67</v>
      </c>
      <c r="H4680" s="169">
        <f t="shared" si="360"/>
        <v>75</v>
      </c>
      <c r="I4680" s="169">
        <f t="shared" si="360"/>
        <v>179</v>
      </c>
      <c r="J4680" s="169">
        <f t="shared" si="360"/>
        <v>54685546.070486851</v>
      </c>
      <c r="K4680" s="385"/>
      <c r="M4680" s="62">
        <f t="shared" si="356"/>
        <v>5</v>
      </c>
    </row>
    <row r="4681" spans="1:13">
      <c r="A4681" s="88"/>
      <c r="B4681" s="69"/>
      <c r="C4681" s="167"/>
      <c r="D4681" s="155"/>
      <c r="E4681" s="155"/>
      <c r="F4681" s="155"/>
      <c r="G4681" s="155"/>
      <c r="H4681" s="155"/>
      <c r="I4681" s="155"/>
      <c r="J4681" s="155"/>
      <c r="K4681" s="386"/>
      <c r="M4681" s="62">
        <f t="shared" si="356"/>
        <v>5</v>
      </c>
    </row>
    <row r="4682" spans="1:13">
      <c r="A4682" s="170"/>
      <c r="B4682" s="97" t="s">
        <v>1199</v>
      </c>
      <c r="C4682" s="167"/>
      <c r="D4682" s="155"/>
      <c r="E4682" s="155"/>
      <c r="F4682" s="99"/>
      <c r="G4682" s="240" t="s">
        <v>243</v>
      </c>
      <c r="H4682" s="240" t="s">
        <v>4130</v>
      </c>
      <c r="I4682" s="240" t="s">
        <v>4202</v>
      </c>
      <c r="J4682" s="241" t="s">
        <v>4200</v>
      </c>
      <c r="K4682" s="375"/>
      <c r="M4682" s="62">
        <f t="shared" si="356"/>
        <v>5</v>
      </c>
    </row>
    <row r="4683" spans="1:13">
      <c r="A4683" s="88">
        <v>1</v>
      </c>
      <c r="B4683" s="69" t="s">
        <v>763</v>
      </c>
      <c r="C4683" s="167"/>
      <c r="D4683" s="155"/>
      <c r="E4683" s="155"/>
      <c r="F4683" s="89"/>
      <c r="G4683" s="100">
        <f>J4680*0.2</f>
        <v>10937109.214097371</v>
      </c>
      <c r="H4683" s="100">
        <f>G4683*1.02</f>
        <v>11155851.398379318</v>
      </c>
      <c r="I4683" s="100">
        <f>H4683*1.02</f>
        <v>11378968.426346906</v>
      </c>
      <c r="J4683" s="100">
        <f>SUM(G4683:I4683)</f>
        <v>33471929.038823597</v>
      </c>
      <c r="K4683" s="114"/>
      <c r="M4683" s="62">
        <f t="shared" si="356"/>
        <v>5</v>
      </c>
    </row>
    <row r="4684" spans="1:13">
      <c r="A4684" s="88"/>
      <c r="B4684" s="69"/>
      <c r="C4684" s="167"/>
      <c r="D4684" s="155"/>
      <c r="E4684" s="155"/>
      <c r="F4684" s="155"/>
      <c r="G4684" s="155"/>
      <c r="H4684" s="155"/>
      <c r="I4684" s="155"/>
      <c r="J4684" s="155"/>
      <c r="K4684" s="386"/>
      <c r="M4684" s="62">
        <f t="shared" ref="M4684:M4695" si="361">IF(C4684&gt;6,3,5)</f>
        <v>5</v>
      </c>
    </row>
    <row r="4685" spans="1:13">
      <c r="A4685" s="92"/>
      <c r="B4685" s="93" t="s">
        <v>2531</v>
      </c>
      <c r="C4685" s="168"/>
      <c r="D4685" s="171"/>
      <c r="E4685" s="171"/>
      <c r="F4685" s="169"/>
      <c r="G4685" s="169">
        <f>SUM(G4683:G4684)</f>
        <v>10937109.214097371</v>
      </c>
      <c r="H4685" s="169">
        <f>SUM(H4683:H4684)</f>
        <v>11155851.398379318</v>
      </c>
      <c r="I4685" s="169">
        <f>SUM(I4683:I4684)</f>
        <v>11378968.426346906</v>
      </c>
      <c r="J4685" s="169">
        <f>SUM(J4683:J4684)</f>
        <v>33471929.038823597</v>
      </c>
      <c r="K4685" s="385"/>
      <c r="M4685" s="62">
        <f t="shared" si="361"/>
        <v>5</v>
      </c>
    </row>
    <row r="4686" spans="1:13">
      <c r="A4686" s="88"/>
      <c r="B4686" s="69"/>
      <c r="C4686" s="167"/>
      <c r="D4686" s="155"/>
      <c r="E4686" s="155"/>
      <c r="F4686" s="155"/>
      <c r="G4686" s="155"/>
      <c r="H4686" s="155"/>
      <c r="I4686" s="155"/>
      <c r="J4686" s="155"/>
      <c r="K4686" s="386"/>
      <c r="M4686" s="62">
        <f t="shared" si="361"/>
        <v>5</v>
      </c>
    </row>
    <row r="4687" spans="1:13">
      <c r="A4687" s="88"/>
      <c r="B4687" s="69" t="s">
        <v>926</v>
      </c>
      <c r="C4687" s="167"/>
      <c r="D4687" s="155"/>
      <c r="E4687" s="155"/>
      <c r="F4687" s="155"/>
      <c r="G4687" s="100">
        <f>G4685+J4680</f>
        <v>65622655.284584224</v>
      </c>
      <c r="H4687" s="100">
        <f>G4687*1.02</f>
        <v>66935108.39027591</v>
      </c>
      <c r="I4687" s="100">
        <f>H4687*1.02</f>
        <v>68273810.558081433</v>
      </c>
      <c r="J4687" s="100">
        <f>SUM(G4687:I4687)</f>
        <v>200831574.23294157</v>
      </c>
      <c r="K4687" s="114"/>
      <c r="M4687" s="62">
        <f t="shared" si="361"/>
        <v>5</v>
      </c>
    </row>
    <row r="4688" spans="1:13">
      <c r="A4688" s="88"/>
      <c r="B4688" s="69" t="s">
        <v>2121</v>
      </c>
      <c r="C4688" s="167"/>
      <c r="D4688" s="155"/>
      <c r="E4688" s="155"/>
      <c r="F4688" s="155"/>
      <c r="G4688" s="155">
        <f>C4727</f>
        <v>25000000</v>
      </c>
      <c r="H4688" s="155">
        <f>D4727</f>
        <v>38800000</v>
      </c>
      <c r="I4688" s="155">
        <f>E4727</f>
        <v>38800000</v>
      </c>
      <c r="J4688" s="100">
        <f>SUM(G4688:I4688)</f>
        <v>102600000</v>
      </c>
      <c r="K4688" s="114"/>
      <c r="M4688" s="62">
        <f t="shared" si="361"/>
        <v>5</v>
      </c>
    </row>
    <row r="4689" spans="1:13">
      <c r="A4689" s="88"/>
      <c r="B4689" s="69"/>
      <c r="C4689" s="167"/>
      <c r="D4689" s="155"/>
      <c r="E4689" s="155"/>
      <c r="F4689" s="155"/>
      <c r="G4689" s="155"/>
      <c r="H4689" s="155"/>
      <c r="I4689" s="155"/>
      <c r="J4689" s="155"/>
      <c r="K4689" s="386"/>
      <c r="M4689" s="62">
        <f t="shared" si="361"/>
        <v>5</v>
      </c>
    </row>
    <row r="4690" spans="1:13" ht="13.5" thickBot="1">
      <c r="A4690" s="102"/>
      <c r="B4690" s="103" t="s">
        <v>2241</v>
      </c>
      <c r="C4690" s="172"/>
      <c r="D4690" s="173"/>
      <c r="E4690" s="173"/>
      <c r="F4690" s="174"/>
      <c r="G4690" s="174">
        <f>SUM(G4687:G4689)</f>
        <v>90622655.284584224</v>
      </c>
      <c r="H4690" s="174">
        <f>SUM(H4687:H4689)</f>
        <v>105735108.39027591</v>
      </c>
      <c r="I4690" s="174">
        <f>SUM(I4687:I4689)</f>
        <v>107073810.55808143</v>
      </c>
      <c r="J4690" s="174">
        <f>SUM(J4687:J4689)</f>
        <v>303431574.23294157</v>
      </c>
      <c r="K4690" s="385"/>
      <c r="M4690" s="62">
        <f t="shared" si="361"/>
        <v>5</v>
      </c>
    </row>
    <row r="4691" spans="1:13" ht="13.5" thickTop="1">
      <c r="C4691" s="175"/>
      <c r="D4691" s="165"/>
      <c r="E4691" s="165"/>
      <c r="F4691" s="165"/>
      <c r="G4691" s="165"/>
      <c r="H4691" s="165"/>
      <c r="I4691" s="165"/>
      <c r="J4691" s="165"/>
      <c r="K4691" s="165"/>
      <c r="M4691" s="62">
        <f t="shared" si="361"/>
        <v>5</v>
      </c>
    </row>
    <row r="4692" spans="1:13" ht="15">
      <c r="C4692" s="163"/>
      <c r="D4692" s="164" t="s">
        <v>5434</v>
      </c>
      <c r="E4692" s="165"/>
      <c r="F4692" s="165"/>
      <c r="G4692" s="165"/>
      <c r="H4692" s="165"/>
      <c r="I4692" s="165"/>
      <c r="J4692" s="584"/>
      <c r="K4692" s="584"/>
      <c r="M4692" s="62">
        <f t="shared" si="361"/>
        <v>5</v>
      </c>
    </row>
    <row r="4693" spans="1:13" ht="15">
      <c r="C4693" s="166"/>
      <c r="D4693" s="164" t="s">
        <v>716</v>
      </c>
      <c r="E4693" s="165"/>
      <c r="F4693" s="165"/>
      <c r="G4693" s="165"/>
      <c r="H4693" s="165"/>
      <c r="I4693" s="165"/>
      <c r="J4693" s="584"/>
      <c r="K4693" s="584"/>
      <c r="M4693" s="62">
        <f t="shared" si="361"/>
        <v>5</v>
      </c>
    </row>
    <row r="4694" spans="1:13" ht="15">
      <c r="C4694" s="79" t="s">
        <v>717</v>
      </c>
      <c r="D4694" s="164" t="s">
        <v>4046</v>
      </c>
      <c r="E4694" s="165"/>
      <c r="F4694" s="165"/>
      <c r="G4694" s="165"/>
      <c r="H4694" s="165"/>
      <c r="I4694" s="165"/>
      <c r="J4694" s="584"/>
      <c r="K4694" s="584"/>
      <c r="M4694" s="62">
        <f t="shared" si="361"/>
        <v>3</v>
      </c>
    </row>
    <row r="4695" spans="1:13" ht="15">
      <c r="C4695" s="79" t="s">
        <v>718</v>
      </c>
      <c r="D4695" s="164" t="s">
        <v>3762</v>
      </c>
      <c r="E4695" s="165"/>
      <c r="F4695" s="165"/>
      <c r="G4695" s="165"/>
      <c r="H4695" s="165"/>
      <c r="I4695" s="165"/>
      <c r="J4695" s="584"/>
      <c r="K4695" s="584"/>
      <c r="M4695" s="62">
        <f t="shared" si="361"/>
        <v>3</v>
      </c>
    </row>
    <row r="4696" spans="1:13" ht="15">
      <c r="A4696" s="634" t="s">
        <v>1839</v>
      </c>
      <c r="B4696" s="635" t="s">
        <v>903</v>
      </c>
      <c r="C4696" s="1037" t="s">
        <v>4127</v>
      </c>
      <c r="D4696" s="1038"/>
      <c r="E4696" s="1039"/>
      <c r="F4696" s="635" t="s">
        <v>1684</v>
      </c>
      <c r="G4696" s="1037" t="s">
        <v>4132</v>
      </c>
      <c r="H4696" s="1038"/>
      <c r="I4696" s="1039"/>
      <c r="J4696" s="726"/>
      <c r="K4696" s="727"/>
    </row>
    <row r="4697" spans="1:13">
      <c r="A4697" s="636" t="s">
        <v>1620</v>
      </c>
      <c r="B4697" s="637"/>
      <c r="C4697" s="635" t="s">
        <v>1841</v>
      </c>
      <c r="D4697" s="635" t="s">
        <v>4133</v>
      </c>
      <c r="E4697" s="635" t="s">
        <v>4133</v>
      </c>
      <c r="F4697" s="1056" t="s">
        <v>4200</v>
      </c>
      <c r="G4697" s="634" t="s">
        <v>4135</v>
      </c>
      <c r="H4697" s="1051" t="s">
        <v>4182</v>
      </c>
      <c r="I4697" s="634" t="s">
        <v>4135</v>
      </c>
      <c r="J4697" s="728" t="s">
        <v>4136</v>
      </c>
      <c r="K4697" s="727"/>
    </row>
    <row r="4698" spans="1:13" ht="12.75" customHeight="1">
      <c r="A4698" s="638" t="s">
        <v>387</v>
      </c>
      <c r="B4698" s="639"/>
      <c r="C4698" s="638">
        <v>2015</v>
      </c>
      <c r="D4698" s="638">
        <v>2016</v>
      </c>
      <c r="E4698" s="638">
        <v>2017</v>
      </c>
      <c r="F4698" s="1057"/>
      <c r="G4698" s="638" t="s">
        <v>4304</v>
      </c>
      <c r="H4698" s="1052"/>
      <c r="I4698" s="638" t="s">
        <v>4303</v>
      </c>
      <c r="J4698" s="639"/>
      <c r="K4698" s="729"/>
    </row>
    <row r="4699" spans="1:13">
      <c r="A4699" s="768">
        <v>2</v>
      </c>
      <c r="B4699" s="773" t="s">
        <v>1695</v>
      </c>
      <c r="C4699" s="390">
        <v>1500000</v>
      </c>
      <c r="D4699" s="390">
        <v>1500000</v>
      </c>
      <c r="E4699" s="390">
        <v>1500000</v>
      </c>
      <c r="F4699" s="390">
        <f>SUM(C4699:E4699)</f>
        <v>4500000</v>
      </c>
      <c r="G4699" s="390">
        <v>700000</v>
      </c>
      <c r="H4699" s="390">
        <v>1500000</v>
      </c>
      <c r="I4699" s="390">
        <v>440000</v>
      </c>
      <c r="J4699" s="390"/>
      <c r="K4699" s="734"/>
      <c r="M4699" s="62" t="e">
        <f>IF(#REF!&gt;6,3,5)</f>
        <v>#REF!</v>
      </c>
    </row>
    <row r="4700" spans="1:13">
      <c r="A4700" s="768">
        <f t="shared" ref="A4700:A4726" si="362">+A4699+1</f>
        <v>3</v>
      </c>
      <c r="B4700" s="773" t="s">
        <v>3763</v>
      </c>
      <c r="C4700" s="390" t="s">
        <v>3007</v>
      </c>
      <c r="D4700" s="390" t="s">
        <v>3007</v>
      </c>
      <c r="E4700" s="390" t="s">
        <v>3007</v>
      </c>
      <c r="F4700" s="390">
        <f t="shared" ref="F4700:F4726" si="363">SUM(C4700:E4700)</f>
        <v>0</v>
      </c>
      <c r="G4700" s="390"/>
      <c r="H4700" s="390" t="s">
        <v>3007</v>
      </c>
      <c r="I4700" s="390"/>
      <c r="J4700" s="390"/>
      <c r="K4700" s="734"/>
      <c r="M4700" s="62" t="e">
        <f>IF(#REF!&gt;6,3,5)</f>
        <v>#REF!</v>
      </c>
    </row>
    <row r="4701" spans="1:13">
      <c r="A4701" s="768">
        <f t="shared" si="362"/>
        <v>4</v>
      </c>
      <c r="B4701" s="773" t="s">
        <v>1701</v>
      </c>
      <c r="C4701" s="390" t="s">
        <v>3007</v>
      </c>
      <c r="D4701" s="390" t="s">
        <v>3007</v>
      </c>
      <c r="E4701" s="390" t="s">
        <v>3007</v>
      </c>
      <c r="F4701" s="390">
        <f t="shared" si="363"/>
        <v>0</v>
      </c>
      <c r="G4701" s="390"/>
      <c r="H4701" s="390" t="s">
        <v>3007</v>
      </c>
      <c r="I4701" s="390"/>
      <c r="J4701" s="390"/>
      <c r="K4701" s="734"/>
      <c r="M4701" s="62" t="e">
        <f>IF(#REF!&gt;6,3,5)</f>
        <v>#REF!</v>
      </c>
    </row>
    <row r="4702" spans="1:13">
      <c r="A4702" s="768">
        <f t="shared" si="362"/>
        <v>5</v>
      </c>
      <c r="B4702" s="773" t="s">
        <v>769</v>
      </c>
      <c r="C4702" s="390">
        <v>800000</v>
      </c>
      <c r="D4702" s="390">
        <v>800000</v>
      </c>
      <c r="E4702" s="390">
        <v>800000</v>
      </c>
      <c r="F4702" s="390">
        <f t="shared" si="363"/>
        <v>2400000</v>
      </c>
      <c r="G4702" s="390">
        <v>7500000</v>
      </c>
      <c r="H4702" s="390">
        <v>800000</v>
      </c>
      <c r="I4702" s="390">
        <v>11800</v>
      </c>
      <c r="J4702" s="390"/>
      <c r="K4702" s="734"/>
      <c r="M4702" s="62" t="e">
        <f>IF(#REF!&gt;6,3,5)</f>
        <v>#REF!</v>
      </c>
    </row>
    <row r="4703" spans="1:13" ht="25.5">
      <c r="A4703" s="768">
        <f t="shared" si="362"/>
        <v>6</v>
      </c>
      <c r="B4703" s="773" t="s">
        <v>2959</v>
      </c>
      <c r="C4703" s="390">
        <v>1000000</v>
      </c>
      <c r="D4703" s="390">
        <v>1000000</v>
      </c>
      <c r="E4703" s="390">
        <v>1000000</v>
      </c>
      <c r="F4703" s="390">
        <f t="shared" si="363"/>
        <v>3000000</v>
      </c>
      <c r="G4703" s="390">
        <v>417000</v>
      </c>
      <c r="H4703" s="390">
        <v>1000000</v>
      </c>
      <c r="I4703" s="390">
        <v>340000</v>
      </c>
      <c r="J4703" s="390"/>
      <c r="K4703" s="734"/>
      <c r="M4703" s="62" t="e">
        <f>IF(#REF!&gt;6,3,5)</f>
        <v>#REF!</v>
      </c>
    </row>
    <row r="4704" spans="1:13">
      <c r="A4704" s="768">
        <f t="shared" si="362"/>
        <v>7</v>
      </c>
      <c r="B4704" s="773" t="s">
        <v>3680</v>
      </c>
      <c r="C4704" s="390">
        <v>700000</v>
      </c>
      <c r="D4704" s="390">
        <v>2000000</v>
      </c>
      <c r="E4704" s="390">
        <v>2000000</v>
      </c>
      <c r="F4704" s="390">
        <f t="shared" si="363"/>
        <v>4700000</v>
      </c>
      <c r="G4704" s="390">
        <v>0</v>
      </c>
      <c r="H4704" s="390">
        <v>1000000</v>
      </c>
      <c r="I4704" s="390">
        <v>198000</v>
      </c>
      <c r="J4704" s="390"/>
      <c r="K4704" s="734"/>
      <c r="M4704" s="62" t="e">
        <f>IF(#REF!&gt;6,3,5)</f>
        <v>#REF!</v>
      </c>
    </row>
    <row r="4705" spans="1:13">
      <c r="A4705" s="768">
        <f t="shared" si="362"/>
        <v>8</v>
      </c>
      <c r="B4705" s="773" t="s">
        <v>1385</v>
      </c>
      <c r="C4705" s="390" t="s">
        <v>3007</v>
      </c>
      <c r="D4705" s="390" t="s">
        <v>3007</v>
      </c>
      <c r="E4705" s="390" t="s">
        <v>3007</v>
      </c>
      <c r="F4705" s="390">
        <f t="shared" si="363"/>
        <v>0</v>
      </c>
      <c r="G4705" s="390"/>
      <c r="H4705" s="390" t="s">
        <v>3007</v>
      </c>
      <c r="I4705" s="390"/>
      <c r="J4705" s="390"/>
      <c r="K4705" s="734"/>
      <c r="M4705" s="62" t="e">
        <f>IF(#REF!&gt;6,3,5)</f>
        <v>#REF!</v>
      </c>
    </row>
    <row r="4706" spans="1:13">
      <c r="A4706" s="768">
        <f t="shared" si="362"/>
        <v>9</v>
      </c>
      <c r="B4706" s="773" t="s">
        <v>2061</v>
      </c>
      <c r="C4706" s="390" t="s">
        <v>3007</v>
      </c>
      <c r="D4706" s="390" t="s">
        <v>3007</v>
      </c>
      <c r="E4706" s="390" t="s">
        <v>3007</v>
      </c>
      <c r="F4706" s="390">
        <f t="shared" si="363"/>
        <v>0</v>
      </c>
      <c r="G4706" s="390"/>
      <c r="H4706" s="390" t="s">
        <v>3007</v>
      </c>
      <c r="I4706" s="390"/>
      <c r="J4706" s="390"/>
      <c r="K4706" s="734"/>
      <c r="M4706" s="62" t="e">
        <f>IF(#REF!&gt;6,3,5)</f>
        <v>#REF!</v>
      </c>
    </row>
    <row r="4707" spans="1:13">
      <c r="A4707" s="768">
        <f t="shared" si="362"/>
        <v>10</v>
      </c>
      <c r="B4707" s="773" t="s">
        <v>2960</v>
      </c>
      <c r="C4707" s="390">
        <v>500000</v>
      </c>
      <c r="D4707" s="390">
        <v>1000000</v>
      </c>
      <c r="E4707" s="390">
        <v>1000000</v>
      </c>
      <c r="F4707" s="390">
        <f t="shared" si="363"/>
        <v>2500000</v>
      </c>
      <c r="G4707" s="390"/>
      <c r="H4707" s="390">
        <v>500000</v>
      </c>
      <c r="I4707" s="390"/>
      <c r="J4707" s="390"/>
      <c r="K4707" s="734"/>
      <c r="M4707" s="62" t="e">
        <f>IF(#REF!&gt;6,3,5)</f>
        <v>#REF!</v>
      </c>
    </row>
    <row r="4708" spans="1:13" ht="25.5">
      <c r="A4708" s="768">
        <f t="shared" si="362"/>
        <v>11</v>
      </c>
      <c r="B4708" s="773" t="s">
        <v>2209</v>
      </c>
      <c r="C4708" s="390">
        <v>100000</v>
      </c>
      <c r="D4708" s="390">
        <v>100000</v>
      </c>
      <c r="E4708" s="390">
        <v>100000</v>
      </c>
      <c r="F4708" s="390">
        <f t="shared" si="363"/>
        <v>300000</v>
      </c>
      <c r="G4708" s="390">
        <v>90000</v>
      </c>
      <c r="H4708" s="390">
        <v>100000</v>
      </c>
      <c r="I4708" s="390">
        <v>52500</v>
      </c>
      <c r="J4708" s="390"/>
      <c r="K4708" s="734"/>
      <c r="M4708" s="62" t="e">
        <f>IF(#REF!&gt;6,3,5)</f>
        <v>#REF!</v>
      </c>
    </row>
    <row r="4709" spans="1:13">
      <c r="A4709" s="768">
        <f t="shared" si="362"/>
        <v>12</v>
      </c>
      <c r="B4709" s="773" t="s">
        <v>2688</v>
      </c>
      <c r="C4709" s="390">
        <v>3000000</v>
      </c>
      <c r="D4709" s="390">
        <v>3000000</v>
      </c>
      <c r="E4709" s="390">
        <v>3000000</v>
      </c>
      <c r="F4709" s="390">
        <f t="shared" si="363"/>
        <v>9000000</v>
      </c>
      <c r="G4709" s="743">
        <v>1348552.5</v>
      </c>
      <c r="H4709" s="390">
        <v>3000000</v>
      </c>
      <c r="I4709" s="390">
        <v>1713192.84</v>
      </c>
      <c r="J4709" s="390"/>
      <c r="K4709" s="734"/>
      <c r="M4709" s="62" t="e">
        <f>IF(#REF!&gt;6,3,5)</f>
        <v>#REF!</v>
      </c>
    </row>
    <row r="4710" spans="1:13">
      <c r="A4710" s="768">
        <f t="shared" si="362"/>
        <v>13</v>
      </c>
      <c r="B4710" s="773" t="s">
        <v>2234</v>
      </c>
      <c r="C4710" s="390">
        <v>100000</v>
      </c>
      <c r="D4710" s="390">
        <v>100000</v>
      </c>
      <c r="E4710" s="390">
        <v>100000</v>
      </c>
      <c r="F4710" s="390">
        <f t="shared" si="363"/>
        <v>300000</v>
      </c>
      <c r="G4710" s="390"/>
      <c r="H4710" s="390">
        <v>100000</v>
      </c>
      <c r="I4710" s="390"/>
      <c r="J4710" s="390"/>
      <c r="K4710" s="734"/>
      <c r="M4710" s="62" t="e">
        <f>IF(#REF!&gt;6,3,5)</f>
        <v>#REF!</v>
      </c>
    </row>
    <row r="4711" spans="1:13">
      <c r="A4711" s="768">
        <f t="shared" si="362"/>
        <v>14</v>
      </c>
      <c r="B4711" s="773" t="s">
        <v>1336</v>
      </c>
      <c r="C4711" s="390">
        <v>1000000</v>
      </c>
      <c r="D4711" s="390">
        <v>1000000</v>
      </c>
      <c r="E4711" s="390">
        <v>1000000</v>
      </c>
      <c r="F4711" s="390">
        <f t="shared" si="363"/>
        <v>3000000</v>
      </c>
      <c r="G4711" s="390">
        <v>350000</v>
      </c>
      <c r="H4711" s="390">
        <v>1000000</v>
      </c>
      <c r="I4711" s="390">
        <v>150000</v>
      </c>
      <c r="J4711" s="390"/>
      <c r="K4711" s="734"/>
      <c r="M4711" s="62" t="e">
        <f>IF(#REF!&gt;6,3,5)</f>
        <v>#REF!</v>
      </c>
    </row>
    <row r="4712" spans="1:13">
      <c r="A4712" s="768">
        <f t="shared" si="362"/>
        <v>15</v>
      </c>
      <c r="B4712" s="773" t="s">
        <v>2962</v>
      </c>
      <c r="C4712" s="390">
        <v>500000</v>
      </c>
      <c r="D4712" s="390">
        <v>500000</v>
      </c>
      <c r="E4712" s="390">
        <v>500000</v>
      </c>
      <c r="F4712" s="390">
        <f t="shared" si="363"/>
        <v>1500000</v>
      </c>
      <c r="G4712" s="390">
        <v>90000</v>
      </c>
      <c r="H4712" s="390">
        <v>500000</v>
      </c>
      <c r="I4712" s="390">
        <v>70000</v>
      </c>
      <c r="J4712" s="390"/>
      <c r="K4712" s="734"/>
      <c r="M4712" s="62" t="e">
        <f>IF(#REF!&gt;6,3,5)</f>
        <v>#REF!</v>
      </c>
    </row>
    <row r="4713" spans="1:13">
      <c r="A4713" s="768">
        <f t="shared" si="362"/>
        <v>16</v>
      </c>
      <c r="B4713" s="773" t="s">
        <v>2963</v>
      </c>
      <c r="C4713" s="390">
        <v>8000000</v>
      </c>
      <c r="D4713" s="390">
        <v>20000000</v>
      </c>
      <c r="E4713" s="390">
        <v>20000000</v>
      </c>
      <c r="F4713" s="390">
        <f t="shared" si="363"/>
        <v>48000000</v>
      </c>
      <c r="G4713" s="390">
        <v>2000000</v>
      </c>
      <c r="H4713" s="390">
        <v>10000000</v>
      </c>
      <c r="I4713" s="390">
        <v>2650000</v>
      </c>
      <c r="J4713" s="390"/>
      <c r="K4713" s="734"/>
      <c r="M4713" s="62" t="e">
        <f>IF(#REF!&gt;6,3,5)</f>
        <v>#REF!</v>
      </c>
    </row>
    <row r="4714" spans="1:13">
      <c r="A4714" s="768">
        <f t="shared" si="362"/>
        <v>17</v>
      </c>
      <c r="B4714" s="773" t="s">
        <v>3767</v>
      </c>
      <c r="C4714" s="390">
        <v>1000000</v>
      </c>
      <c r="D4714" s="390">
        <v>1000000</v>
      </c>
      <c r="E4714" s="390">
        <v>1000000</v>
      </c>
      <c r="F4714" s="390">
        <f t="shared" si="363"/>
        <v>3000000</v>
      </c>
      <c r="G4714" s="390">
        <v>667500</v>
      </c>
      <c r="H4714" s="390">
        <v>1000000</v>
      </c>
      <c r="I4714" s="390">
        <v>986000</v>
      </c>
      <c r="J4714" s="390"/>
      <c r="K4714" s="734"/>
      <c r="M4714" s="62" t="e">
        <f>IF(#REF!&gt;6,3,5)</f>
        <v>#REF!</v>
      </c>
    </row>
    <row r="4715" spans="1:13" ht="25.5">
      <c r="A4715" s="768">
        <f t="shared" si="362"/>
        <v>18</v>
      </c>
      <c r="B4715" s="773" t="s">
        <v>3768</v>
      </c>
      <c r="C4715" s="390">
        <v>800000</v>
      </c>
      <c r="D4715" s="390">
        <v>800000</v>
      </c>
      <c r="E4715" s="390">
        <v>800000</v>
      </c>
      <c r="F4715" s="390">
        <f t="shared" si="363"/>
        <v>2400000</v>
      </c>
      <c r="G4715" s="390"/>
      <c r="H4715" s="390">
        <v>800000</v>
      </c>
      <c r="I4715" s="390"/>
      <c r="J4715" s="390"/>
      <c r="K4715" s="734"/>
      <c r="M4715" s="62" t="e">
        <f>IF(#REF!&gt;6,3,5)</f>
        <v>#REF!</v>
      </c>
    </row>
    <row r="4716" spans="1:13">
      <c r="A4716" s="768">
        <f t="shared" si="362"/>
        <v>19</v>
      </c>
      <c r="B4716" s="773" t="s">
        <v>3769</v>
      </c>
      <c r="C4716" s="390" t="s">
        <v>3007</v>
      </c>
      <c r="D4716" s="390" t="s">
        <v>3007</v>
      </c>
      <c r="E4716" s="390" t="s">
        <v>3007</v>
      </c>
      <c r="F4716" s="390">
        <f t="shared" si="363"/>
        <v>0</v>
      </c>
      <c r="G4716" s="390"/>
      <c r="H4716" s="390" t="s">
        <v>3007</v>
      </c>
      <c r="I4716" s="390"/>
      <c r="J4716" s="390"/>
      <c r="K4716" s="734"/>
      <c r="M4716" s="62" t="e">
        <f>IF(#REF!&gt;6,3,5)</f>
        <v>#REF!</v>
      </c>
    </row>
    <row r="4717" spans="1:13">
      <c r="A4717" s="768">
        <f t="shared" si="362"/>
        <v>20</v>
      </c>
      <c r="B4717" s="773" t="s">
        <v>1754</v>
      </c>
      <c r="C4717" s="390" t="s">
        <v>3007</v>
      </c>
      <c r="D4717" s="390" t="s">
        <v>3007</v>
      </c>
      <c r="E4717" s="390" t="s">
        <v>3007</v>
      </c>
      <c r="F4717" s="390">
        <f t="shared" si="363"/>
        <v>0</v>
      </c>
      <c r="G4717" s="390">
        <v>4000000</v>
      </c>
      <c r="H4717" s="390" t="s">
        <v>3007</v>
      </c>
      <c r="I4717" s="390"/>
      <c r="J4717" s="390"/>
      <c r="K4717" s="734"/>
      <c r="M4717" s="62" t="e">
        <f>IF(#REF!&gt;6,3,5)</f>
        <v>#REF!</v>
      </c>
    </row>
    <row r="4718" spans="1:13" ht="25.5">
      <c r="A4718" s="768">
        <f t="shared" si="362"/>
        <v>21</v>
      </c>
      <c r="B4718" s="773" t="s">
        <v>1757</v>
      </c>
      <c r="C4718" s="390" t="s">
        <v>3007</v>
      </c>
      <c r="D4718" s="390" t="s">
        <v>3007</v>
      </c>
      <c r="E4718" s="390" t="s">
        <v>3007</v>
      </c>
      <c r="F4718" s="390">
        <f t="shared" si="363"/>
        <v>0</v>
      </c>
      <c r="G4718" s="390"/>
      <c r="H4718" s="390" t="s">
        <v>3007</v>
      </c>
      <c r="I4718" s="390"/>
      <c r="J4718" s="390"/>
      <c r="K4718" s="734"/>
      <c r="M4718" s="62" t="e">
        <f>IF(#REF!&gt;6,3,5)</f>
        <v>#REF!</v>
      </c>
    </row>
    <row r="4719" spans="1:13">
      <c r="A4719" s="768">
        <f t="shared" si="362"/>
        <v>22</v>
      </c>
      <c r="B4719" s="773" t="s">
        <v>1912</v>
      </c>
      <c r="C4719" s="390" t="s">
        <v>3007</v>
      </c>
      <c r="D4719" s="390" t="s">
        <v>3007</v>
      </c>
      <c r="E4719" s="390" t="s">
        <v>3007</v>
      </c>
      <c r="F4719" s="390">
        <f t="shared" si="363"/>
        <v>0</v>
      </c>
      <c r="G4719" s="390"/>
      <c r="H4719" s="390" t="s">
        <v>3007</v>
      </c>
      <c r="I4719" s="390"/>
      <c r="J4719" s="390"/>
      <c r="K4719" s="734"/>
      <c r="M4719" s="62" t="e">
        <f>IF(#REF!&gt;6,3,5)</f>
        <v>#REF!</v>
      </c>
    </row>
    <row r="4720" spans="1:13" ht="25.5">
      <c r="A4720" s="768">
        <f t="shared" si="362"/>
        <v>23</v>
      </c>
      <c r="B4720" s="773" t="s">
        <v>1809</v>
      </c>
      <c r="C4720" s="390" t="s">
        <v>3007</v>
      </c>
      <c r="D4720" s="390" t="s">
        <v>3007</v>
      </c>
      <c r="E4720" s="390" t="s">
        <v>3007</v>
      </c>
      <c r="F4720" s="390">
        <f t="shared" si="363"/>
        <v>0</v>
      </c>
      <c r="G4720" s="390"/>
      <c r="H4720" s="390" t="s">
        <v>3007</v>
      </c>
      <c r="I4720" s="390"/>
      <c r="J4720" s="390"/>
      <c r="K4720" s="734"/>
      <c r="M4720" s="62" t="e">
        <f>IF(#REF!&gt;6,3,5)</f>
        <v>#REF!</v>
      </c>
    </row>
    <row r="4721" spans="1:13">
      <c r="A4721" s="768">
        <f t="shared" si="362"/>
        <v>24</v>
      </c>
      <c r="B4721" s="773" t="s">
        <v>1810</v>
      </c>
      <c r="C4721" s="390">
        <v>1000000</v>
      </c>
      <c r="D4721" s="390">
        <v>1000000</v>
      </c>
      <c r="E4721" s="390">
        <v>1000000</v>
      </c>
      <c r="F4721" s="390">
        <f t="shared" si="363"/>
        <v>3000000</v>
      </c>
      <c r="G4721" s="390"/>
      <c r="H4721" s="390">
        <v>1000000</v>
      </c>
      <c r="I4721" s="390">
        <v>1000000</v>
      </c>
      <c r="J4721" s="390"/>
      <c r="K4721" s="734"/>
      <c r="M4721" s="62" t="e">
        <f>IF(#REF!&gt;6,3,5)</f>
        <v>#REF!</v>
      </c>
    </row>
    <row r="4722" spans="1:13">
      <c r="A4722" s="768">
        <f t="shared" si="362"/>
        <v>25</v>
      </c>
      <c r="B4722" s="773" t="s">
        <v>2122</v>
      </c>
      <c r="C4722" s="390">
        <v>5000000</v>
      </c>
      <c r="D4722" s="390">
        <v>5000000</v>
      </c>
      <c r="E4722" s="390">
        <v>5000000</v>
      </c>
      <c r="F4722" s="390">
        <f t="shared" si="363"/>
        <v>15000000</v>
      </c>
      <c r="G4722" s="390"/>
      <c r="H4722" s="390">
        <v>5000000</v>
      </c>
      <c r="I4722" s="390"/>
      <c r="J4722" s="390"/>
      <c r="K4722" s="734"/>
      <c r="M4722" s="62" t="e">
        <f>IF(#REF!&gt;6,3,5)</f>
        <v>#REF!</v>
      </c>
    </row>
    <row r="4723" spans="1:13">
      <c r="A4723" s="768">
        <f t="shared" si="362"/>
        <v>26</v>
      </c>
      <c r="B4723" s="773" t="s">
        <v>109</v>
      </c>
      <c r="C4723" s="390" t="s">
        <v>3007</v>
      </c>
      <c r="D4723" s="390" t="s">
        <v>3007</v>
      </c>
      <c r="E4723" s="390" t="s">
        <v>3007</v>
      </c>
      <c r="F4723" s="390">
        <f t="shared" si="363"/>
        <v>0</v>
      </c>
      <c r="G4723" s="390"/>
      <c r="H4723" s="390" t="s">
        <v>3007</v>
      </c>
      <c r="I4723" s="390"/>
      <c r="J4723" s="390"/>
      <c r="K4723" s="734"/>
      <c r="M4723" s="62" t="e">
        <f>IF(#REF!&gt;6,3,5)</f>
        <v>#REF!</v>
      </c>
    </row>
    <row r="4724" spans="1:13" ht="38.25">
      <c r="A4724" s="768">
        <f t="shared" si="362"/>
        <v>27</v>
      </c>
      <c r="B4724" s="773" t="s">
        <v>3412</v>
      </c>
      <c r="C4724" s="390" t="s">
        <v>3007</v>
      </c>
      <c r="D4724" s="390" t="s">
        <v>3007</v>
      </c>
      <c r="E4724" s="390" t="s">
        <v>3007</v>
      </c>
      <c r="F4724" s="390">
        <f t="shared" si="363"/>
        <v>0</v>
      </c>
      <c r="G4724" s="390"/>
      <c r="H4724" s="390" t="s">
        <v>3007</v>
      </c>
      <c r="I4724" s="390"/>
      <c r="J4724" s="390"/>
      <c r="K4724" s="734"/>
    </row>
    <row r="4725" spans="1:13" ht="25.5">
      <c r="A4725" s="768">
        <f t="shared" si="362"/>
        <v>28</v>
      </c>
      <c r="B4725" s="773" t="s">
        <v>1032</v>
      </c>
      <c r="C4725" s="390" t="s">
        <v>3007</v>
      </c>
      <c r="D4725" s="390" t="s">
        <v>3007</v>
      </c>
      <c r="E4725" s="390" t="s">
        <v>3007</v>
      </c>
      <c r="F4725" s="390">
        <f t="shared" si="363"/>
        <v>0</v>
      </c>
      <c r="G4725" s="390"/>
      <c r="H4725" s="390" t="s">
        <v>3007</v>
      </c>
      <c r="I4725" s="390"/>
      <c r="J4725" s="390"/>
      <c r="K4725" s="734"/>
      <c r="M4725" s="62" t="e">
        <f>IF(#REF!&gt;6,3,5)</f>
        <v>#REF!</v>
      </c>
    </row>
    <row r="4726" spans="1:13">
      <c r="A4726" s="768">
        <f t="shared" si="362"/>
        <v>29</v>
      </c>
      <c r="B4726" s="773" t="s">
        <v>1033</v>
      </c>
      <c r="C4726" s="390" t="s">
        <v>3007</v>
      </c>
      <c r="D4726" s="390" t="s">
        <v>3007</v>
      </c>
      <c r="E4726" s="390" t="s">
        <v>3007</v>
      </c>
      <c r="F4726" s="390">
        <f t="shared" si="363"/>
        <v>0</v>
      </c>
      <c r="G4726" s="390"/>
      <c r="H4726" s="390" t="s">
        <v>3007</v>
      </c>
      <c r="I4726" s="390"/>
      <c r="J4726" s="390"/>
      <c r="K4726" s="734"/>
    </row>
    <row r="4727" spans="1:13">
      <c r="A4727" s="814" t="s">
        <v>1840</v>
      </c>
      <c r="B4727" s="815" t="s">
        <v>1684</v>
      </c>
      <c r="C4727" s="739">
        <f t="shared" ref="C4727:I4727" si="364">SUM(C4699:C4725)</f>
        <v>25000000</v>
      </c>
      <c r="D4727" s="739">
        <f t="shared" si="364"/>
        <v>38800000</v>
      </c>
      <c r="E4727" s="739">
        <f t="shared" si="364"/>
        <v>38800000</v>
      </c>
      <c r="F4727" s="739">
        <f t="shared" si="364"/>
        <v>102600000</v>
      </c>
      <c r="G4727" s="739">
        <f>SUM(G4699:G4725)</f>
        <v>17163052.5</v>
      </c>
      <c r="H4727" s="739">
        <f t="shared" si="364"/>
        <v>27300000</v>
      </c>
      <c r="I4727" s="739">
        <f t="shared" si="364"/>
        <v>7611492.8399999999</v>
      </c>
      <c r="J4727" s="739"/>
      <c r="K4727" s="740"/>
      <c r="M4727" s="62" t="e">
        <f>IF(#REF!&gt;6,3,5)</f>
        <v>#REF!</v>
      </c>
    </row>
    <row r="4728" spans="1:13">
      <c r="C4728" s="165"/>
      <c r="D4728" s="164" t="s">
        <v>5434</v>
      </c>
      <c r="E4728" s="165"/>
      <c r="F4728" s="165"/>
      <c r="G4728" s="62"/>
      <c r="H4728" s="62"/>
      <c r="I4728" s="62"/>
      <c r="M4728" s="62" t="e">
        <f>IF(#REF!&gt;6,3,5)</f>
        <v>#REF!</v>
      </c>
    </row>
    <row r="4729" spans="1:13">
      <c r="B4729" s="164"/>
      <c r="C4729" s="165"/>
      <c r="D4729" s="164" t="s">
        <v>1693</v>
      </c>
      <c r="E4729" s="165"/>
      <c r="F4729" s="165"/>
      <c r="G4729" s="79"/>
      <c r="H4729" s="79"/>
      <c r="I4729" s="79"/>
      <c r="J4729" s="164"/>
      <c r="K4729" s="164"/>
    </row>
    <row r="4730" spans="1:13">
      <c r="B4730" s="164"/>
      <c r="C4730" s="176" t="s">
        <v>1811</v>
      </c>
      <c r="D4730" s="164" t="s">
        <v>3624</v>
      </c>
      <c r="E4730" s="165"/>
      <c r="F4730" s="165"/>
      <c r="G4730" s="79"/>
      <c r="H4730" s="79"/>
      <c r="I4730" s="79"/>
      <c r="J4730" s="164"/>
      <c r="K4730" s="164"/>
    </row>
    <row r="4731" spans="1:13" ht="15.75" thickBot="1">
      <c r="C4731" s="79" t="s">
        <v>718</v>
      </c>
      <c r="D4731" s="164" t="s">
        <v>3625</v>
      </c>
      <c r="E4731" s="62"/>
      <c r="F4731" s="200"/>
      <c r="G4731" s="186"/>
      <c r="H4731" s="186"/>
      <c r="I4731" s="186"/>
      <c r="J4731" s="584"/>
      <c r="K4731" s="584"/>
      <c r="M4731" s="62">
        <f>IF(C4730&gt;6,3,5)</f>
        <v>3</v>
      </c>
    </row>
    <row r="4732" spans="1:13" ht="15.75" thickTop="1">
      <c r="A4732" s="1047" t="s">
        <v>2791</v>
      </c>
      <c r="B4732" s="1049" t="s">
        <v>4126</v>
      </c>
      <c r="C4732" s="1049" t="s">
        <v>854</v>
      </c>
      <c r="D4732" s="1040" t="s">
        <v>4127</v>
      </c>
      <c r="E4732" s="1041"/>
      <c r="F4732" s="1041"/>
      <c r="G4732" s="1040" t="s">
        <v>904</v>
      </c>
      <c r="H4732" s="1041"/>
      <c r="I4732" s="1042"/>
      <c r="J4732" s="1035" t="s">
        <v>855</v>
      </c>
      <c r="K4732" s="389"/>
    </row>
    <row r="4733" spans="1:13" ht="26.25" thickBot="1">
      <c r="A4733" s="1048"/>
      <c r="B4733" s="1050"/>
      <c r="C4733" s="1050"/>
      <c r="D4733" s="285" t="s">
        <v>5505</v>
      </c>
      <c r="E4733" s="285" t="s">
        <v>4485</v>
      </c>
      <c r="F4733" s="285" t="s">
        <v>4486</v>
      </c>
      <c r="G4733" s="287" t="s">
        <v>4487</v>
      </c>
      <c r="H4733" s="285" t="s">
        <v>4488</v>
      </c>
      <c r="I4733" s="287" t="s">
        <v>4489</v>
      </c>
      <c r="J4733" s="1036"/>
      <c r="K4733" s="712"/>
    </row>
    <row r="4734" spans="1:13" ht="13.5" thickTop="1">
      <c r="A4734" s="88"/>
      <c r="B4734" s="90" t="s">
        <v>1830</v>
      </c>
      <c r="C4734" s="167"/>
      <c r="D4734" s="155"/>
      <c r="E4734" s="155"/>
      <c r="F4734" s="155"/>
      <c r="G4734" s="155"/>
      <c r="H4734" s="155"/>
      <c r="I4734" s="155"/>
      <c r="J4734" s="713"/>
      <c r="K4734" s="711"/>
      <c r="M4734" s="62">
        <f t="shared" ref="M4734:M4745" si="365">IF(C4734&gt;6,3,5)</f>
        <v>5</v>
      </c>
    </row>
    <row r="4735" spans="1:13">
      <c r="A4735" s="88">
        <v>1</v>
      </c>
      <c r="B4735" s="69" t="s">
        <v>342</v>
      </c>
      <c r="C4735" s="167">
        <v>7</v>
      </c>
      <c r="D4735" s="155">
        <v>0</v>
      </c>
      <c r="E4735" s="155">
        <v>0</v>
      </c>
      <c r="F4735" s="155">
        <v>0</v>
      </c>
      <c r="G4735" s="155">
        <v>0</v>
      </c>
      <c r="H4735" s="155">
        <v>0</v>
      </c>
      <c r="I4735" s="155">
        <v>0</v>
      </c>
      <c r="J4735" s="710">
        <f>(VLOOKUP($C4735,[2]Sheet1!$A$2:$P$18,$M4735+1)/12)*12*D4735</f>
        <v>0</v>
      </c>
      <c r="K4735" s="711"/>
      <c r="M4735" s="62">
        <f t="shared" si="365"/>
        <v>3</v>
      </c>
    </row>
    <row r="4736" spans="1:13">
      <c r="A4736" s="88">
        <f t="shared" ref="A4736:A4765" si="366">+A4735+1</f>
        <v>2</v>
      </c>
      <c r="B4736" s="69" t="s">
        <v>405</v>
      </c>
      <c r="C4736" s="167">
        <v>6</v>
      </c>
      <c r="D4736" s="155">
        <v>1</v>
      </c>
      <c r="E4736" s="155">
        <v>1</v>
      </c>
      <c r="F4736" s="155">
        <v>1</v>
      </c>
      <c r="G4736" s="155">
        <v>1</v>
      </c>
      <c r="H4736" s="155">
        <v>1</v>
      </c>
      <c r="I4736" s="155">
        <v>1</v>
      </c>
      <c r="J4736" s="710">
        <f>(VLOOKUP($C4736,[2]Sheet1!$A$2:$P$18,$M4736+1)/12)*12*D4736</f>
        <v>238099.37893036497</v>
      </c>
      <c r="K4736" s="711"/>
      <c r="M4736" s="62">
        <f t="shared" si="365"/>
        <v>5</v>
      </c>
    </row>
    <row r="4737" spans="1:13">
      <c r="A4737" s="88">
        <f t="shared" si="366"/>
        <v>3</v>
      </c>
      <c r="B4737" s="69" t="s">
        <v>3770</v>
      </c>
      <c r="C4737" s="167">
        <v>5</v>
      </c>
      <c r="D4737" s="155">
        <v>1</v>
      </c>
      <c r="E4737" s="155">
        <v>1</v>
      </c>
      <c r="F4737" s="155">
        <v>1</v>
      </c>
      <c r="G4737" s="155">
        <v>1</v>
      </c>
      <c r="H4737" s="155">
        <v>1</v>
      </c>
      <c r="I4737" s="155">
        <v>1</v>
      </c>
      <c r="J4737" s="710">
        <f>(VLOOKUP($C4737,[2]Sheet1!$A$2:$P$18,$M4737+1)/12)*12*D4737</f>
        <v>229569.77893036499</v>
      </c>
      <c r="K4737" s="711"/>
      <c r="M4737" s="62">
        <f t="shared" si="365"/>
        <v>5</v>
      </c>
    </row>
    <row r="4738" spans="1:13">
      <c r="A4738" s="88">
        <f t="shared" si="366"/>
        <v>4</v>
      </c>
      <c r="B4738" s="69" t="s">
        <v>3662</v>
      </c>
      <c r="C4738" s="167">
        <v>4</v>
      </c>
      <c r="D4738" s="155">
        <v>1</v>
      </c>
      <c r="E4738" s="155">
        <v>1</v>
      </c>
      <c r="F4738" s="155">
        <v>1</v>
      </c>
      <c r="G4738" s="155">
        <v>1</v>
      </c>
      <c r="H4738" s="155">
        <v>1</v>
      </c>
      <c r="I4738" s="155">
        <v>1</v>
      </c>
      <c r="J4738" s="710">
        <f>(VLOOKUP($C4738,[2]Sheet1!$A$2:$P$18,$M4738+1)/12)*12*D4738</f>
        <v>224542.978930365</v>
      </c>
      <c r="K4738" s="711"/>
      <c r="M4738" s="62">
        <f t="shared" si="365"/>
        <v>5</v>
      </c>
    </row>
    <row r="4739" spans="1:13">
      <c r="A4739" s="88">
        <f t="shared" si="366"/>
        <v>5</v>
      </c>
      <c r="B4739" s="69" t="s">
        <v>957</v>
      </c>
      <c r="C4739" s="167">
        <v>3</v>
      </c>
      <c r="D4739" s="155">
        <v>5</v>
      </c>
      <c r="E4739" s="155">
        <v>5</v>
      </c>
      <c r="F4739" s="155">
        <v>5</v>
      </c>
      <c r="G4739" s="155">
        <v>5</v>
      </c>
      <c r="H4739" s="155">
        <v>5</v>
      </c>
      <c r="I4739" s="155">
        <v>5</v>
      </c>
      <c r="J4739" s="710">
        <f>(VLOOKUP($C4739,[2]Sheet1!$A$2:$P$18,$M4739+1)/12)*12*D4739</f>
        <v>1096680.8946518248</v>
      </c>
      <c r="K4739" s="711"/>
      <c r="M4739" s="62">
        <f t="shared" si="365"/>
        <v>5</v>
      </c>
    </row>
    <row r="4740" spans="1:13">
      <c r="A4740" s="88">
        <f t="shared" si="366"/>
        <v>6</v>
      </c>
      <c r="B4740" s="69" t="s">
        <v>2741</v>
      </c>
      <c r="C4740" s="167">
        <v>13</v>
      </c>
      <c r="D4740" s="155">
        <v>0</v>
      </c>
      <c r="E4740" s="155">
        <v>0</v>
      </c>
      <c r="F4740" s="155">
        <v>0</v>
      </c>
      <c r="G4740" s="155">
        <v>0</v>
      </c>
      <c r="H4740" s="155">
        <v>0</v>
      </c>
      <c r="I4740" s="155">
        <v>0</v>
      </c>
      <c r="J4740" s="710">
        <f>(VLOOKUP($C4740,[2]Sheet1!$A$2:$P$18,$M4740+1)/12)*12*D4740</f>
        <v>0</v>
      </c>
      <c r="K4740" s="711"/>
      <c r="M4740" s="62">
        <f t="shared" si="365"/>
        <v>3</v>
      </c>
    </row>
    <row r="4741" spans="1:13">
      <c r="A4741" s="88">
        <f t="shared" si="366"/>
        <v>7</v>
      </c>
      <c r="B4741" s="69" t="s">
        <v>888</v>
      </c>
      <c r="C4741" s="167">
        <v>9</v>
      </c>
      <c r="D4741" s="155">
        <v>0</v>
      </c>
      <c r="E4741" s="155">
        <v>0</v>
      </c>
      <c r="F4741" s="155">
        <v>0</v>
      </c>
      <c r="G4741" s="155">
        <v>0</v>
      </c>
      <c r="H4741" s="155">
        <v>0</v>
      </c>
      <c r="I4741" s="155">
        <v>0</v>
      </c>
      <c r="J4741" s="710">
        <f>(VLOOKUP($C4741,[2]Sheet1!$A$2:$P$18,$M4741+1)/12)*12*D4741</f>
        <v>0</v>
      </c>
      <c r="K4741" s="711"/>
      <c r="M4741" s="62">
        <f t="shared" si="365"/>
        <v>3</v>
      </c>
    </row>
    <row r="4742" spans="1:13">
      <c r="A4742" s="88">
        <f t="shared" si="366"/>
        <v>8</v>
      </c>
      <c r="B4742" s="69" t="s">
        <v>1228</v>
      </c>
      <c r="C4742" s="167">
        <v>8</v>
      </c>
      <c r="D4742" s="155">
        <v>0</v>
      </c>
      <c r="E4742" s="155">
        <v>0</v>
      </c>
      <c r="F4742" s="155">
        <v>0</v>
      </c>
      <c r="G4742" s="155">
        <v>0</v>
      </c>
      <c r="H4742" s="155">
        <v>0</v>
      </c>
      <c r="I4742" s="155">
        <v>0</v>
      </c>
      <c r="J4742" s="710">
        <f>(VLOOKUP($C4742,[2]Sheet1!$A$2:$P$18,$M4742+1)/12)*12*D4742</f>
        <v>0</v>
      </c>
      <c r="K4742" s="711"/>
      <c r="M4742" s="62">
        <f t="shared" si="365"/>
        <v>3</v>
      </c>
    </row>
    <row r="4743" spans="1:13">
      <c r="A4743" s="88">
        <f t="shared" si="366"/>
        <v>9</v>
      </c>
      <c r="B4743" s="69" t="s">
        <v>1229</v>
      </c>
      <c r="C4743" s="167">
        <v>7</v>
      </c>
      <c r="D4743" s="155">
        <v>0</v>
      </c>
      <c r="E4743" s="155">
        <v>0</v>
      </c>
      <c r="F4743" s="155">
        <v>0</v>
      </c>
      <c r="G4743" s="155">
        <v>0</v>
      </c>
      <c r="H4743" s="155">
        <v>0</v>
      </c>
      <c r="I4743" s="155">
        <v>0</v>
      </c>
      <c r="J4743" s="710">
        <f>(VLOOKUP($C4743,[2]Sheet1!$A$2:$P$18,$M4743+1)/12)*12*D4743</f>
        <v>0</v>
      </c>
      <c r="K4743" s="711"/>
      <c r="M4743" s="62">
        <f t="shared" si="365"/>
        <v>3</v>
      </c>
    </row>
    <row r="4744" spans="1:13">
      <c r="A4744" s="88">
        <f t="shared" si="366"/>
        <v>10</v>
      </c>
      <c r="B4744" s="69" t="s">
        <v>2742</v>
      </c>
      <c r="C4744" s="167">
        <v>6</v>
      </c>
      <c r="D4744" s="155">
        <v>0</v>
      </c>
      <c r="E4744" s="155">
        <v>0</v>
      </c>
      <c r="F4744" s="155">
        <v>0</v>
      </c>
      <c r="G4744" s="155">
        <v>0</v>
      </c>
      <c r="H4744" s="155">
        <v>0</v>
      </c>
      <c r="I4744" s="155">
        <v>0</v>
      </c>
      <c r="J4744" s="710">
        <f>(VLOOKUP($C4744,[2]Sheet1!$A$2:$P$18,$M4744+1)/12)*12*D4744</f>
        <v>0</v>
      </c>
      <c r="K4744" s="711"/>
      <c r="M4744" s="62">
        <f t="shared" si="365"/>
        <v>5</v>
      </c>
    </row>
    <row r="4745" spans="1:13">
      <c r="A4745" s="88">
        <f t="shared" si="366"/>
        <v>11</v>
      </c>
      <c r="B4745" s="69" t="s">
        <v>2706</v>
      </c>
      <c r="C4745" s="167">
        <v>5</v>
      </c>
      <c r="D4745" s="155">
        <v>0</v>
      </c>
      <c r="E4745" s="155">
        <v>0</v>
      </c>
      <c r="F4745" s="155">
        <v>0</v>
      </c>
      <c r="G4745" s="155">
        <v>0</v>
      </c>
      <c r="H4745" s="155">
        <v>0</v>
      </c>
      <c r="I4745" s="155">
        <v>0</v>
      </c>
      <c r="J4745" s="710">
        <f>(VLOOKUP($C4745,[2]Sheet1!$A$2:$P$18,$M4745+1)/12)*12*D4745</f>
        <v>0</v>
      </c>
      <c r="K4745" s="711"/>
      <c r="M4745" s="62">
        <f t="shared" si="365"/>
        <v>5</v>
      </c>
    </row>
    <row r="4746" spans="1:13">
      <c r="A4746" s="88">
        <f t="shared" si="366"/>
        <v>12</v>
      </c>
      <c r="B4746" s="69" t="s">
        <v>319</v>
      </c>
      <c r="C4746" s="167">
        <v>8</v>
      </c>
      <c r="D4746" s="155">
        <v>0</v>
      </c>
      <c r="E4746" s="155">
        <v>0</v>
      </c>
      <c r="F4746" s="155">
        <v>0</v>
      </c>
      <c r="G4746" s="155">
        <v>0</v>
      </c>
      <c r="H4746" s="155">
        <v>0</v>
      </c>
      <c r="I4746" s="155">
        <v>0</v>
      </c>
      <c r="J4746" s="710">
        <f>(VLOOKUP($C4746,[2]Sheet1!$A$2:$P$18,$M4746+1)/12)*12*D4746</f>
        <v>0</v>
      </c>
      <c r="K4746" s="711"/>
      <c r="M4746" s="62">
        <f t="shared" ref="M4746:M4811" si="367">IF(C4746&gt;6,3,5)</f>
        <v>3</v>
      </c>
    </row>
    <row r="4747" spans="1:13">
      <c r="A4747" s="88">
        <f t="shared" si="366"/>
        <v>13</v>
      </c>
      <c r="B4747" s="69" t="s">
        <v>1749</v>
      </c>
      <c r="C4747" s="167">
        <v>6</v>
      </c>
      <c r="D4747" s="155">
        <v>2</v>
      </c>
      <c r="E4747" s="155">
        <v>2</v>
      </c>
      <c r="F4747" s="155">
        <v>2</v>
      </c>
      <c r="G4747" s="155">
        <v>2</v>
      </c>
      <c r="H4747" s="155">
        <v>2</v>
      </c>
      <c r="I4747" s="155">
        <v>2</v>
      </c>
      <c r="J4747" s="710">
        <f>(VLOOKUP($C4747,[2]Sheet1!$A$2:$P$18,$M4747+1)/12)*12*D4747</f>
        <v>476198.75786072994</v>
      </c>
      <c r="K4747" s="711"/>
      <c r="M4747" s="62">
        <f t="shared" si="367"/>
        <v>5</v>
      </c>
    </row>
    <row r="4748" spans="1:13">
      <c r="A4748" s="88">
        <f t="shared" si="366"/>
        <v>14</v>
      </c>
      <c r="B4748" s="69" t="s">
        <v>3796</v>
      </c>
      <c r="C4748" s="167">
        <v>5</v>
      </c>
      <c r="D4748" s="155">
        <v>0</v>
      </c>
      <c r="E4748" s="155">
        <v>0</v>
      </c>
      <c r="F4748" s="155">
        <v>0</v>
      </c>
      <c r="G4748" s="155">
        <v>0</v>
      </c>
      <c r="H4748" s="155">
        <v>0</v>
      </c>
      <c r="I4748" s="155">
        <v>0</v>
      </c>
      <c r="J4748" s="710">
        <f>(VLOOKUP($C4748,[2]Sheet1!$A$2:$P$18,$M4748+1)/12)*12*D4748</f>
        <v>0</v>
      </c>
      <c r="K4748" s="711"/>
      <c r="M4748" s="62">
        <f t="shared" si="367"/>
        <v>5</v>
      </c>
    </row>
    <row r="4749" spans="1:13">
      <c r="A4749" s="88">
        <f t="shared" si="366"/>
        <v>15</v>
      </c>
      <c r="B4749" s="69" t="s">
        <v>3797</v>
      </c>
      <c r="C4749" s="167">
        <v>4</v>
      </c>
      <c r="D4749" s="155">
        <v>2</v>
      </c>
      <c r="E4749" s="155">
        <v>2</v>
      </c>
      <c r="F4749" s="155">
        <v>2</v>
      </c>
      <c r="G4749" s="155">
        <v>2</v>
      </c>
      <c r="H4749" s="155">
        <v>2</v>
      </c>
      <c r="I4749" s="155">
        <v>2</v>
      </c>
      <c r="J4749" s="710">
        <f>(VLOOKUP($C4749,[2]Sheet1!$A$2:$P$18,$M4749+1)/12)*12*D4749</f>
        <v>449085.95786073001</v>
      </c>
      <c r="K4749" s="711"/>
      <c r="M4749" s="62">
        <f t="shared" si="367"/>
        <v>5</v>
      </c>
    </row>
    <row r="4750" spans="1:13">
      <c r="A4750" s="88">
        <f t="shared" si="366"/>
        <v>16</v>
      </c>
      <c r="B4750" s="69" t="s">
        <v>3798</v>
      </c>
      <c r="C4750" s="167">
        <v>3</v>
      </c>
      <c r="D4750" s="155">
        <v>3</v>
      </c>
      <c r="E4750" s="155">
        <v>3</v>
      </c>
      <c r="F4750" s="155">
        <v>3</v>
      </c>
      <c r="G4750" s="155">
        <v>3</v>
      </c>
      <c r="H4750" s="155">
        <v>3</v>
      </c>
      <c r="I4750" s="155">
        <v>3</v>
      </c>
      <c r="J4750" s="710">
        <f>(VLOOKUP($C4750,[2]Sheet1!$A$2:$P$18,$M4750+1)/12)*12*D4750</f>
        <v>658008.53679109493</v>
      </c>
      <c r="K4750" s="711"/>
      <c r="M4750" s="62">
        <f t="shared" si="367"/>
        <v>5</v>
      </c>
    </row>
    <row r="4751" spans="1:13">
      <c r="A4751" s="88">
        <f t="shared" si="366"/>
        <v>17</v>
      </c>
      <c r="B4751" s="69" t="s">
        <v>2563</v>
      </c>
      <c r="C4751" s="167">
        <v>7</v>
      </c>
      <c r="D4751" s="155">
        <v>2</v>
      </c>
      <c r="E4751" s="155">
        <v>2</v>
      </c>
      <c r="F4751" s="155">
        <v>2</v>
      </c>
      <c r="G4751" s="155">
        <v>2</v>
      </c>
      <c r="H4751" s="155">
        <v>2</v>
      </c>
      <c r="I4751" s="155">
        <v>2</v>
      </c>
      <c r="J4751" s="710">
        <f>(VLOOKUP($C4751,[2]Sheet1!$A$2:$P$18,$M4751+1)/12)*12*D4751</f>
        <v>615413.40480000013</v>
      </c>
      <c r="K4751" s="711"/>
      <c r="M4751" s="62">
        <f t="shared" si="367"/>
        <v>3</v>
      </c>
    </row>
    <row r="4752" spans="1:13">
      <c r="A4752" s="88">
        <f t="shared" si="366"/>
        <v>18</v>
      </c>
      <c r="B4752" s="69" t="s">
        <v>2972</v>
      </c>
      <c r="C4752" s="167">
        <v>6</v>
      </c>
      <c r="D4752" s="155">
        <v>4</v>
      </c>
      <c r="E4752" s="155">
        <v>4</v>
      </c>
      <c r="F4752" s="155">
        <v>4</v>
      </c>
      <c r="G4752" s="155">
        <v>4</v>
      </c>
      <c r="H4752" s="155">
        <v>4</v>
      </c>
      <c r="I4752" s="155">
        <v>4</v>
      </c>
      <c r="J4752" s="710">
        <f>(VLOOKUP($C4752,[2]Sheet1!$A$2:$P$18,$M4752+1)/12)*12*D4752</f>
        <v>952397.51572145987</v>
      </c>
      <c r="K4752" s="711"/>
      <c r="M4752" s="62">
        <f t="shared" si="367"/>
        <v>5</v>
      </c>
    </row>
    <row r="4753" spans="1:13">
      <c r="A4753" s="88">
        <f t="shared" si="366"/>
        <v>19</v>
      </c>
      <c r="B4753" s="69" t="s">
        <v>1794</v>
      </c>
      <c r="C4753" s="167">
        <v>5</v>
      </c>
      <c r="D4753" s="155">
        <v>1</v>
      </c>
      <c r="E4753" s="155">
        <v>1</v>
      </c>
      <c r="F4753" s="155">
        <v>1</v>
      </c>
      <c r="G4753" s="155">
        <v>1</v>
      </c>
      <c r="H4753" s="155">
        <v>1</v>
      </c>
      <c r="I4753" s="155">
        <v>1</v>
      </c>
      <c r="J4753" s="710">
        <f>(VLOOKUP($C4753,[2]Sheet1!$A$2:$P$18,$M4753+1)/12)*12*D4753</f>
        <v>229569.77893036499</v>
      </c>
      <c r="K4753" s="711"/>
      <c r="M4753" s="62">
        <f t="shared" si="367"/>
        <v>5</v>
      </c>
    </row>
    <row r="4754" spans="1:13">
      <c r="A4754" s="88">
        <f t="shared" si="366"/>
        <v>20</v>
      </c>
      <c r="B4754" s="69" t="s">
        <v>2231</v>
      </c>
      <c r="C4754" s="167">
        <v>4</v>
      </c>
      <c r="D4754" s="155">
        <v>1</v>
      </c>
      <c r="E4754" s="155">
        <v>1</v>
      </c>
      <c r="F4754" s="155">
        <v>1</v>
      </c>
      <c r="G4754" s="155">
        <v>1</v>
      </c>
      <c r="H4754" s="155">
        <v>1</v>
      </c>
      <c r="I4754" s="155">
        <v>1</v>
      </c>
      <c r="J4754" s="710">
        <f>(VLOOKUP($C4754,[2]Sheet1!$A$2:$P$18,$M4754+1)/12)*12*D4754</f>
        <v>224542.978930365</v>
      </c>
      <c r="K4754" s="711"/>
      <c r="M4754" s="62">
        <f t="shared" si="367"/>
        <v>5</v>
      </c>
    </row>
    <row r="4755" spans="1:13">
      <c r="A4755" s="88">
        <f t="shared" si="366"/>
        <v>21</v>
      </c>
      <c r="B4755" s="69" t="s">
        <v>4028</v>
      </c>
      <c r="C4755" s="167">
        <v>3</v>
      </c>
      <c r="D4755" s="155">
        <v>5</v>
      </c>
      <c r="E4755" s="155">
        <v>5</v>
      </c>
      <c r="F4755" s="155">
        <v>5</v>
      </c>
      <c r="G4755" s="155">
        <v>5</v>
      </c>
      <c r="H4755" s="155">
        <v>5</v>
      </c>
      <c r="I4755" s="155">
        <v>5</v>
      </c>
      <c r="J4755" s="710">
        <f>(VLOOKUP($C4755,[2]Sheet1!$A$2:$P$18,$M4755+1)/12)*12*D4755</f>
        <v>1096680.8946518248</v>
      </c>
      <c r="K4755" s="711"/>
      <c r="M4755" s="62">
        <f t="shared" si="367"/>
        <v>5</v>
      </c>
    </row>
    <row r="4756" spans="1:13">
      <c r="A4756" s="88">
        <f t="shared" si="366"/>
        <v>22</v>
      </c>
      <c r="B4756" s="69" t="s">
        <v>2179</v>
      </c>
      <c r="C4756" s="167">
        <v>5</v>
      </c>
      <c r="D4756" s="155">
        <v>0</v>
      </c>
      <c r="E4756" s="155">
        <v>0</v>
      </c>
      <c r="F4756" s="155">
        <v>0</v>
      </c>
      <c r="G4756" s="155">
        <v>0</v>
      </c>
      <c r="H4756" s="155">
        <v>0</v>
      </c>
      <c r="I4756" s="155">
        <v>0</v>
      </c>
      <c r="J4756" s="710">
        <f>(VLOOKUP($C4756,[2]Sheet1!$A$2:$P$18,$M4756+1)/12)*12*D4756</f>
        <v>0</v>
      </c>
      <c r="K4756" s="711"/>
      <c r="M4756" s="62">
        <f t="shared" si="367"/>
        <v>5</v>
      </c>
    </row>
    <row r="4757" spans="1:13">
      <c r="A4757" s="88">
        <f t="shared" si="366"/>
        <v>23</v>
      </c>
      <c r="B4757" s="69" t="s">
        <v>2542</v>
      </c>
      <c r="C4757" s="167">
        <v>4</v>
      </c>
      <c r="D4757" s="155">
        <v>1</v>
      </c>
      <c r="E4757" s="155">
        <v>1</v>
      </c>
      <c r="F4757" s="155">
        <v>1</v>
      </c>
      <c r="G4757" s="155">
        <v>1</v>
      </c>
      <c r="H4757" s="155">
        <v>1</v>
      </c>
      <c r="I4757" s="155">
        <v>1</v>
      </c>
      <c r="J4757" s="710">
        <f>(VLOOKUP($C4757,[2]Sheet1!$A$2:$P$18,$M4757+1)/12)*12*D4757</f>
        <v>224542.978930365</v>
      </c>
      <c r="K4757" s="711"/>
      <c r="M4757" s="62">
        <f t="shared" si="367"/>
        <v>5</v>
      </c>
    </row>
    <row r="4758" spans="1:13">
      <c r="A4758" s="88">
        <f t="shared" si="366"/>
        <v>24</v>
      </c>
      <c r="B4758" s="69" t="s">
        <v>2543</v>
      </c>
      <c r="C4758" s="167">
        <v>3</v>
      </c>
      <c r="D4758" s="155">
        <v>1</v>
      </c>
      <c r="E4758" s="155">
        <v>1</v>
      </c>
      <c r="F4758" s="155">
        <v>1</v>
      </c>
      <c r="G4758" s="155">
        <v>1</v>
      </c>
      <c r="H4758" s="155">
        <v>1</v>
      </c>
      <c r="I4758" s="155">
        <v>1</v>
      </c>
      <c r="J4758" s="710">
        <f>(VLOOKUP($C4758,[2]Sheet1!$A$2:$P$18,$M4758+1)/12)*12*D4758</f>
        <v>219336.17893036499</v>
      </c>
      <c r="K4758" s="711"/>
      <c r="M4758" s="62">
        <f t="shared" si="367"/>
        <v>5</v>
      </c>
    </row>
    <row r="4759" spans="1:13">
      <c r="A4759" s="88">
        <f t="shared" si="366"/>
        <v>25</v>
      </c>
      <c r="B4759" s="69" t="s">
        <v>2686</v>
      </c>
      <c r="C4759" s="167">
        <v>5</v>
      </c>
      <c r="D4759" s="155">
        <v>0</v>
      </c>
      <c r="E4759" s="155">
        <v>0</v>
      </c>
      <c r="F4759" s="155">
        <v>0</v>
      </c>
      <c r="G4759" s="155">
        <v>0</v>
      </c>
      <c r="H4759" s="155">
        <v>0</v>
      </c>
      <c r="I4759" s="155">
        <v>0</v>
      </c>
      <c r="J4759" s="710">
        <f>(VLOOKUP($C4759,[2]Sheet1!$A$2:$P$18,$M4759+1)/12)*12*D4759</f>
        <v>0</v>
      </c>
      <c r="K4759" s="711"/>
      <c r="M4759" s="62">
        <f t="shared" si="367"/>
        <v>5</v>
      </c>
    </row>
    <row r="4760" spans="1:13">
      <c r="A4760" s="88">
        <f t="shared" si="366"/>
        <v>26</v>
      </c>
      <c r="B4760" s="69" t="s">
        <v>2694</v>
      </c>
      <c r="C4760" s="167">
        <v>3</v>
      </c>
      <c r="D4760" s="155">
        <v>0</v>
      </c>
      <c r="E4760" s="155">
        <v>0</v>
      </c>
      <c r="F4760" s="155">
        <v>0</v>
      </c>
      <c r="G4760" s="155">
        <v>0</v>
      </c>
      <c r="H4760" s="155">
        <v>0</v>
      </c>
      <c r="I4760" s="155">
        <v>0</v>
      </c>
      <c r="J4760" s="710">
        <f>(VLOOKUP($C4760,[2]Sheet1!$A$2:$P$18,$M4760+1)/12)*12*D4760</f>
        <v>0</v>
      </c>
      <c r="K4760" s="711"/>
      <c r="M4760" s="62">
        <f t="shared" si="367"/>
        <v>5</v>
      </c>
    </row>
    <row r="4761" spans="1:13">
      <c r="A4761" s="88">
        <f t="shared" si="366"/>
        <v>27</v>
      </c>
      <c r="B4761" s="69" t="s">
        <v>2181</v>
      </c>
      <c r="C4761" s="167">
        <v>4</v>
      </c>
      <c r="D4761" s="155">
        <v>0</v>
      </c>
      <c r="E4761" s="155">
        <v>0</v>
      </c>
      <c r="F4761" s="155">
        <v>0</v>
      </c>
      <c r="G4761" s="155">
        <v>0</v>
      </c>
      <c r="H4761" s="155">
        <v>0</v>
      </c>
      <c r="I4761" s="155">
        <v>0</v>
      </c>
      <c r="J4761" s="710">
        <f>(VLOOKUP($C4761,[2]Sheet1!$A$2:$P$18,$M4761+1)/12)*12*D4761</f>
        <v>0</v>
      </c>
      <c r="K4761" s="711"/>
      <c r="M4761" s="62">
        <f t="shared" si="367"/>
        <v>5</v>
      </c>
    </row>
    <row r="4762" spans="1:13">
      <c r="A4762" s="88">
        <f t="shared" si="366"/>
        <v>28</v>
      </c>
      <c r="B4762" s="69" t="s">
        <v>2364</v>
      </c>
      <c r="C4762" s="167">
        <v>2</v>
      </c>
      <c r="D4762" s="155">
        <v>0</v>
      </c>
      <c r="E4762" s="155">
        <v>0</v>
      </c>
      <c r="F4762" s="155">
        <v>0</v>
      </c>
      <c r="G4762" s="155">
        <v>0</v>
      </c>
      <c r="H4762" s="155">
        <v>0</v>
      </c>
      <c r="I4762" s="155">
        <v>0</v>
      </c>
      <c r="J4762" s="710">
        <f>(VLOOKUP($C4762,[2]Sheet1!$A$2:$P$18,$M4762+1)/12)*12*D4762</f>
        <v>0</v>
      </c>
      <c r="K4762" s="711"/>
      <c r="M4762" s="62">
        <f t="shared" si="367"/>
        <v>5</v>
      </c>
    </row>
    <row r="4763" spans="1:13">
      <c r="A4763" s="88">
        <f t="shared" si="366"/>
        <v>29</v>
      </c>
      <c r="B4763" s="69" t="s">
        <v>2707</v>
      </c>
      <c r="C4763" s="167">
        <v>3</v>
      </c>
      <c r="D4763" s="155">
        <v>0</v>
      </c>
      <c r="E4763" s="155">
        <v>0</v>
      </c>
      <c r="F4763" s="155">
        <v>0</v>
      </c>
      <c r="G4763" s="155">
        <v>0</v>
      </c>
      <c r="H4763" s="155">
        <v>0</v>
      </c>
      <c r="I4763" s="155">
        <v>0</v>
      </c>
      <c r="J4763" s="710">
        <f>(VLOOKUP($C4763,[2]Sheet1!$A$2:$P$18,$M4763+1)/12)*12*D4763</f>
        <v>0</v>
      </c>
      <c r="K4763" s="711"/>
      <c r="M4763" s="62">
        <f t="shared" si="367"/>
        <v>5</v>
      </c>
    </row>
    <row r="4764" spans="1:13">
      <c r="A4764" s="88">
        <f t="shared" si="366"/>
        <v>30</v>
      </c>
      <c r="B4764" s="69" t="s">
        <v>2172</v>
      </c>
      <c r="C4764" s="167">
        <v>2</v>
      </c>
      <c r="D4764" s="155">
        <v>5</v>
      </c>
      <c r="E4764" s="155">
        <v>5</v>
      </c>
      <c r="F4764" s="155">
        <v>5</v>
      </c>
      <c r="G4764" s="155">
        <v>5</v>
      </c>
      <c r="H4764" s="155">
        <v>5</v>
      </c>
      <c r="I4764" s="155">
        <v>5</v>
      </c>
      <c r="J4764" s="710">
        <f>(VLOOKUP($C4764,[2]Sheet1!$A$2:$P$18,$M4764+1)/12)*12*D4764</f>
        <v>1073286.8946518251</v>
      </c>
      <c r="K4764" s="711"/>
      <c r="M4764" s="62">
        <f t="shared" si="367"/>
        <v>5</v>
      </c>
    </row>
    <row r="4765" spans="1:13">
      <c r="A4765" s="88">
        <f t="shared" si="366"/>
        <v>31</v>
      </c>
      <c r="B4765" s="69" t="s">
        <v>3674</v>
      </c>
      <c r="C4765" s="167">
        <v>2</v>
      </c>
      <c r="D4765" s="155">
        <v>0</v>
      </c>
      <c r="E4765" s="155">
        <v>0</v>
      </c>
      <c r="F4765" s="155">
        <v>0</v>
      </c>
      <c r="G4765" s="155">
        <v>0</v>
      </c>
      <c r="H4765" s="155">
        <v>0</v>
      </c>
      <c r="I4765" s="155">
        <v>0</v>
      </c>
      <c r="J4765" s="710">
        <f>(VLOOKUP($C4765,[2]Sheet1!$A$2:$P$18,$M4765+1)/12)*12*D4765</f>
        <v>0</v>
      </c>
      <c r="K4765" s="711"/>
      <c r="M4765" s="62">
        <f t="shared" si="367"/>
        <v>5</v>
      </c>
    </row>
    <row r="4766" spans="1:13">
      <c r="A4766" s="88"/>
      <c r="B4766" s="90" t="s">
        <v>2123</v>
      </c>
      <c r="C4766" s="167"/>
      <c r="D4766" s="155"/>
      <c r="E4766" s="155"/>
      <c r="F4766" s="155"/>
      <c r="G4766" s="155"/>
      <c r="H4766" s="155"/>
      <c r="I4766" s="155"/>
      <c r="J4766" s="710"/>
      <c r="K4766" s="711"/>
      <c r="M4766" s="62">
        <f t="shared" si="367"/>
        <v>5</v>
      </c>
    </row>
    <row r="4767" spans="1:13">
      <c r="A4767" s="88">
        <f>A4765+1</f>
        <v>32</v>
      </c>
      <c r="B4767" s="69" t="s">
        <v>2124</v>
      </c>
      <c r="C4767" s="167">
        <v>16</v>
      </c>
      <c r="D4767" s="155">
        <v>0</v>
      </c>
      <c r="E4767" s="155">
        <v>1</v>
      </c>
      <c r="F4767" s="155">
        <v>1</v>
      </c>
      <c r="G4767" s="155">
        <v>1</v>
      </c>
      <c r="H4767" s="155">
        <v>1</v>
      </c>
      <c r="I4767" s="155">
        <v>0</v>
      </c>
      <c r="J4767" s="710">
        <f>(VLOOKUP($C4767,[2]Sheet1!$A$2:$P$18,$M4767+1)/12)*12*D4767</f>
        <v>0</v>
      </c>
      <c r="K4767" s="711"/>
      <c r="M4767" s="62">
        <f t="shared" si="367"/>
        <v>3</v>
      </c>
    </row>
    <row r="4768" spans="1:13">
      <c r="A4768" s="88">
        <f>A4767+1</f>
        <v>33</v>
      </c>
      <c r="B4768" s="69" t="s">
        <v>1117</v>
      </c>
      <c r="C4768" s="167">
        <v>14</v>
      </c>
      <c r="D4768" s="155">
        <v>1</v>
      </c>
      <c r="E4768" s="155">
        <v>1</v>
      </c>
      <c r="F4768" s="155">
        <v>1</v>
      </c>
      <c r="G4768" s="155">
        <v>1</v>
      </c>
      <c r="H4768" s="155">
        <v>1</v>
      </c>
      <c r="I4768" s="155">
        <v>1</v>
      </c>
      <c r="J4768" s="710">
        <f>(VLOOKUP($C4768,[2]Sheet1!$A$2:$P$18,$M4768+1)/12)*12*D4768</f>
        <v>669099.40824000002</v>
      </c>
      <c r="K4768" s="711"/>
      <c r="M4768" s="62">
        <f t="shared" si="367"/>
        <v>3</v>
      </c>
    </row>
    <row r="4769" spans="1:13">
      <c r="A4769" s="88">
        <f>A4767+1</f>
        <v>33</v>
      </c>
      <c r="B4769" s="69" t="s">
        <v>1280</v>
      </c>
      <c r="C4769" s="167">
        <v>14</v>
      </c>
      <c r="D4769" s="155">
        <v>0</v>
      </c>
      <c r="E4769" s="155">
        <v>1</v>
      </c>
      <c r="F4769" s="155">
        <v>0</v>
      </c>
      <c r="G4769" s="155">
        <v>0</v>
      </c>
      <c r="H4769" s="155">
        <v>1</v>
      </c>
      <c r="I4769" s="155">
        <v>0</v>
      </c>
      <c r="J4769" s="710">
        <f>(VLOOKUP($C4769,[2]Sheet1!$A$2:$P$18,$M4769+1)/12)*12*D4769</f>
        <v>0</v>
      </c>
      <c r="K4769" s="711"/>
      <c r="M4769" s="62">
        <f t="shared" si="367"/>
        <v>3</v>
      </c>
    </row>
    <row r="4770" spans="1:13" ht="13.5" thickBot="1">
      <c r="A4770" s="88">
        <f>A4768+1</f>
        <v>34</v>
      </c>
      <c r="B4770" s="69" t="s">
        <v>280</v>
      </c>
      <c r="C4770" s="167">
        <v>15</v>
      </c>
      <c r="D4770" s="155">
        <v>1</v>
      </c>
      <c r="E4770" s="155">
        <v>1</v>
      </c>
      <c r="F4770" s="155">
        <v>1</v>
      </c>
      <c r="G4770" s="155">
        <v>1</v>
      </c>
      <c r="H4770" s="155">
        <v>1</v>
      </c>
      <c r="I4770" s="155">
        <v>1</v>
      </c>
      <c r="J4770" s="710">
        <f>(VLOOKUP($C4770,[2]Sheet1!$A$2:$P$18,$M4770+1)/12)*12*D4770</f>
        <v>658331.89992</v>
      </c>
      <c r="K4770" s="711"/>
      <c r="M4770" s="62">
        <f t="shared" si="367"/>
        <v>3</v>
      </c>
    </row>
    <row r="4771" spans="1:13" ht="15.75" thickTop="1">
      <c r="A4771" s="1047" t="s">
        <v>2791</v>
      </c>
      <c r="B4771" s="1049" t="s">
        <v>4126</v>
      </c>
      <c r="C4771" s="1049" t="s">
        <v>854</v>
      </c>
      <c r="D4771" s="1040" t="s">
        <v>4127</v>
      </c>
      <c r="E4771" s="1041"/>
      <c r="F4771" s="1041"/>
      <c r="G4771" s="1040" t="s">
        <v>904</v>
      </c>
      <c r="H4771" s="1041"/>
      <c r="I4771" s="1042"/>
      <c r="J4771" s="1035" t="s">
        <v>855</v>
      </c>
      <c r="K4771" s="389"/>
    </row>
    <row r="4772" spans="1:13" ht="26.25" thickBot="1">
      <c r="A4772" s="1048"/>
      <c r="B4772" s="1050"/>
      <c r="C4772" s="1050"/>
      <c r="D4772" s="285" t="s">
        <v>5505</v>
      </c>
      <c r="E4772" s="285" t="s">
        <v>4485</v>
      </c>
      <c r="F4772" s="285" t="s">
        <v>4486</v>
      </c>
      <c r="G4772" s="287" t="s">
        <v>4487</v>
      </c>
      <c r="H4772" s="285" t="s">
        <v>4488</v>
      </c>
      <c r="I4772" s="287" t="s">
        <v>4489</v>
      </c>
      <c r="J4772" s="1036"/>
      <c r="K4772" s="712"/>
    </row>
    <row r="4773" spans="1:13" ht="13.5" thickTop="1">
      <c r="A4773" s="88">
        <f>A4769+1</f>
        <v>34</v>
      </c>
      <c r="B4773" s="69" t="s">
        <v>1281</v>
      </c>
      <c r="C4773" s="167">
        <v>12</v>
      </c>
      <c r="D4773" s="155">
        <v>1</v>
      </c>
      <c r="E4773" s="155">
        <v>1</v>
      </c>
      <c r="F4773" s="155">
        <v>1</v>
      </c>
      <c r="G4773" s="155">
        <v>1</v>
      </c>
      <c r="H4773" s="155">
        <v>1</v>
      </c>
      <c r="I4773" s="155">
        <v>1</v>
      </c>
      <c r="J4773" s="710">
        <f>(VLOOKUP($C4773,[2]Sheet1!$A$2:$P$18,$M4773+1)/12)*12*D4773</f>
        <v>552685.0537200002</v>
      </c>
      <c r="K4773" s="711"/>
      <c r="M4773" s="62">
        <f t="shared" si="367"/>
        <v>3</v>
      </c>
    </row>
    <row r="4774" spans="1:13">
      <c r="A4774" s="88">
        <f>A4770+1</f>
        <v>35</v>
      </c>
      <c r="B4774" s="69" t="s">
        <v>1282</v>
      </c>
      <c r="C4774" s="167">
        <v>9</v>
      </c>
      <c r="D4774" s="155">
        <v>3</v>
      </c>
      <c r="E4774" s="155">
        <v>1</v>
      </c>
      <c r="F4774" s="155">
        <v>0</v>
      </c>
      <c r="G4774" s="155">
        <v>0</v>
      </c>
      <c r="H4774" s="155">
        <v>1</v>
      </c>
      <c r="I4774" s="155">
        <v>3</v>
      </c>
      <c r="J4774" s="710">
        <f>(VLOOKUP($C4774,[2]Sheet1!$A$2:$P$18,$M4774+1)/12)*12*D4774</f>
        <v>1229045.7185999998</v>
      </c>
      <c r="K4774" s="711"/>
      <c r="M4774" s="62">
        <f t="shared" si="367"/>
        <v>3</v>
      </c>
    </row>
    <row r="4775" spans="1:13">
      <c r="A4775" s="88">
        <f>+A4774+1</f>
        <v>36</v>
      </c>
      <c r="B4775" s="69" t="s">
        <v>2089</v>
      </c>
      <c r="C4775" s="167">
        <v>8</v>
      </c>
      <c r="D4775" s="155">
        <v>6</v>
      </c>
      <c r="E4775" s="155">
        <v>3</v>
      </c>
      <c r="F4775" s="155">
        <v>3</v>
      </c>
      <c r="G4775" s="155">
        <v>3</v>
      </c>
      <c r="H4775" s="155">
        <v>3</v>
      </c>
      <c r="I4775" s="155">
        <v>6</v>
      </c>
      <c r="J4775" s="710">
        <f>(VLOOKUP($C4775,[2]Sheet1!$A$2:$P$18,$M4775+1)/12)*12*D4775</f>
        <v>2052847.64448</v>
      </c>
      <c r="K4775" s="711"/>
      <c r="M4775" s="62">
        <f t="shared" si="367"/>
        <v>3</v>
      </c>
    </row>
    <row r="4776" spans="1:13">
      <c r="A4776" s="88">
        <f t="shared" ref="A4776:A4792" si="368">+A4775+1</f>
        <v>37</v>
      </c>
      <c r="B4776" s="69" t="s">
        <v>1551</v>
      </c>
      <c r="C4776" s="167">
        <v>7</v>
      </c>
      <c r="D4776" s="155">
        <v>1</v>
      </c>
      <c r="E4776" s="155">
        <v>6</v>
      </c>
      <c r="F4776" s="155">
        <v>6</v>
      </c>
      <c r="G4776" s="155">
        <v>6</v>
      </c>
      <c r="H4776" s="155">
        <v>6</v>
      </c>
      <c r="I4776" s="155">
        <v>1</v>
      </c>
      <c r="J4776" s="710">
        <f>(VLOOKUP($C4776,[2]Sheet1!$A$2:$P$18,$M4776+1)/12)*12*D4776</f>
        <v>307706.70240000007</v>
      </c>
      <c r="K4776" s="711"/>
      <c r="M4776" s="62">
        <f t="shared" si="367"/>
        <v>3</v>
      </c>
    </row>
    <row r="4777" spans="1:13">
      <c r="A4777" s="88">
        <f t="shared" si="368"/>
        <v>38</v>
      </c>
      <c r="B4777" s="69" t="s">
        <v>2090</v>
      </c>
      <c r="C4777" s="167">
        <v>6</v>
      </c>
      <c r="D4777" s="155">
        <v>1</v>
      </c>
      <c r="E4777" s="155">
        <v>1</v>
      </c>
      <c r="F4777" s="155">
        <v>1</v>
      </c>
      <c r="G4777" s="155">
        <v>1</v>
      </c>
      <c r="H4777" s="155">
        <v>1</v>
      </c>
      <c r="I4777" s="155">
        <v>1</v>
      </c>
      <c r="J4777" s="710">
        <f>(VLOOKUP($C4777,[2]Sheet1!$A$2:$P$18,$M4777+1)/12)*12*D4777</f>
        <v>238099.37893036497</v>
      </c>
      <c r="K4777" s="711"/>
      <c r="M4777" s="62">
        <f t="shared" si="367"/>
        <v>5</v>
      </c>
    </row>
    <row r="4778" spans="1:13">
      <c r="A4778" s="88">
        <f t="shared" si="368"/>
        <v>39</v>
      </c>
      <c r="B4778" s="69" t="s">
        <v>1399</v>
      </c>
      <c r="C4778" s="167">
        <v>5</v>
      </c>
      <c r="D4778" s="155">
        <v>1</v>
      </c>
      <c r="E4778" s="155">
        <v>1</v>
      </c>
      <c r="F4778" s="155">
        <v>1</v>
      </c>
      <c r="G4778" s="155">
        <v>1</v>
      </c>
      <c r="H4778" s="155">
        <v>1</v>
      </c>
      <c r="I4778" s="155">
        <v>1</v>
      </c>
      <c r="J4778" s="710">
        <f>(VLOOKUP($C4778,[2]Sheet1!$A$2:$P$18,$M4778+1)/12)*12*D4778</f>
        <v>229569.77893036499</v>
      </c>
      <c r="K4778" s="711"/>
      <c r="M4778" s="62">
        <f t="shared" si="367"/>
        <v>5</v>
      </c>
    </row>
    <row r="4779" spans="1:13">
      <c r="A4779" s="88">
        <f t="shared" si="368"/>
        <v>40</v>
      </c>
      <c r="B4779" s="69" t="s">
        <v>699</v>
      </c>
      <c r="C4779" s="167">
        <v>4</v>
      </c>
      <c r="D4779" s="155">
        <v>2</v>
      </c>
      <c r="E4779" s="155">
        <v>2</v>
      </c>
      <c r="F4779" s="155">
        <v>2</v>
      </c>
      <c r="G4779" s="155">
        <v>2</v>
      </c>
      <c r="H4779" s="155">
        <v>2</v>
      </c>
      <c r="I4779" s="155">
        <v>2</v>
      </c>
      <c r="J4779" s="710">
        <f>(VLOOKUP($C4779,[2]Sheet1!$A$2:$P$18,$M4779+1)/12)*12*D4779</f>
        <v>449085.95786073001</v>
      </c>
      <c r="K4779" s="711"/>
      <c r="M4779" s="62">
        <f t="shared" si="367"/>
        <v>5</v>
      </c>
    </row>
    <row r="4780" spans="1:13">
      <c r="A4780" s="88">
        <f t="shared" si="368"/>
        <v>41</v>
      </c>
      <c r="B4780" s="69" t="s">
        <v>700</v>
      </c>
      <c r="C4780" s="167">
        <v>3</v>
      </c>
      <c r="D4780" s="155">
        <v>1</v>
      </c>
      <c r="E4780" s="155">
        <v>4</v>
      </c>
      <c r="F4780" s="155">
        <v>4</v>
      </c>
      <c r="G4780" s="155">
        <v>4</v>
      </c>
      <c r="H4780" s="155">
        <v>4</v>
      </c>
      <c r="I4780" s="155">
        <v>1</v>
      </c>
      <c r="J4780" s="710">
        <f>(VLOOKUP($C4780,[2]Sheet1!$A$2:$P$18,$M4780+1)/12)*12*D4780</f>
        <v>219336.17893036499</v>
      </c>
      <c r="K4780" s="711"/>
      <c r="M4780" s="62">
        <f t="shared" si="367"/>
        <v>5</v>
      </c>
    </row>
    <row r="4781" spans="1:13">
      <c r="A4781" s="88">
        <f t="shared" si="368"/>
        <v>42</v>
      </c>
      <c r="B4781" s="69" t="s">
        <v>701</v>
      </c>
      <c r="C4781" s="167">
        <v>4</v>
      </c>
      <c r="D4781" s="155">
        <v>0</v>
      </c>
      <c r="E4781" s="155">
        <v>1</v>
      </c>
      <c r="F4781" s="155">
        <v>0</v>
      </c>
      <c r="G4781" s="155">
        <v>0</v>
      </c>
      <c r="H4781" s="155">
        <v>1</v>
      </c>
      <c r="I4781" s="155">
        <v>0</v>
      </c>
      <c r="J4781" s="710">
        <f>(VLOOKUP($C4781,[2]Sheet1!$A$2:$P$18,$M4781+1)/12)*12*D4781</f>
        <v>0</v>
      </c>
      <c r="K4781" s="711"/>
      <c r="M4781" s="62">
        <f t="shared" si="367"/>
        <v>5</v>
      </c>
    </row>
    <row r="4782" spans="1:13">
      <c r="A4782" s="88">
        <f t="shared" si="368"/>
        <v>43</v>
      </c>
      <c r="B4782" s="69" t="s">
        <v>4030</v>
      </c>
      <c r="C4782" s="167">
        <v>3</v>
      </c>
      <c r="D4782" s="155">
        <v>4</v>
      </c>
      <c r="E4782" s="155">
        <v>4</v>
      </c>
      <c r="F4782" s="155">
        <v>4</v>
      </c>
      <c r="G4782" s="155">
        <v>4</v>
      </c>
      <c r="H4782" s="155">
        <v>4</v>
      </c>
      <c r="I4782" s="155">
        <v>4</v>
      </c>
      <c r="J4782" s="710">
        <f>(VLOOKUP($C4782,[2]Sheet1!$A$2:$P$18,$M4782+1)/12)*12*D4782</f>
        <v>877344.71572145994</v>
      </c>
      <c r="K4782" s="711"/>
      <c r="M4782" s="62">
        <f t="shared" si="367"/>
        <v>5</v>
      </c>
    </row>
    <row r="4783" spans="1:13">
      <c r="A4783" s="88">
        <f t="shared" si="368"/>
        <v>44</v>
      </c>
      <c r="B4783" s="69" t="s">
        <v>3896</v>
      </c>
      <c r="C4783" s="167">
        <v>5</v>
      </c>
      <c r="D4783" s="155">
        <v>0</v>
      </c>
      <c r="E4783" s="155">
        <v>0</v>
      </c>
      <c r="F4783" s="155">
        <v>0</v>
      </c>
      <c r="G4783" s="155">
        <v>0</v>
      </c>
      <c r="H4783" s="155">
        <v>0</v>
      </c>
      <c r="I4783" s="155">
        <v>0</v>
      </c>
      <c r="J4783" s="710">
        <f>(VLOOKUP($C4783,[2]Sheet1!$A$2:$P$18,$M4783+1)/12)*12*D4783</f>
        <v>0</v>
      </c>
      <c r="K4783" s="711"/>
      <c r="M4783" s="62">
        <f t="shared" si="367"/>
        <v>5</v>
      </c>
    </row>
    <row r="4784" spans="1:13">
      <c r="A4784" s="88">
        <f>+A4783+1</f>
        <v>45</v>
      </c>
      <c r="B4784" s="69" t="s">
        <v>3796</v>
      </c>
      <c r="C4784" s="167">
        <v>5</v>
      </c>
      <c r="D4784" s="155">
        <v>0</v>
      </c>
      <c r="E4784" s="155">
        <v>0</v>
      </c>
      <c r="F4784" s="155">
        <v>0</v>
      </c>
      <c r="G4784" s="155">
        <v>0</v>
      </c>
      <c r="H4784" s="155">
        <v>0</v>
      </c>
      <c r="I4784" s="155">
        <v>0</v>
      </c>
      <c r="J4784" s="710">
        <f>(VLOOKUP($C4784,[2]Sheet1!$A$2:$P$18,$M4784+1)/12)*12*D4784</f>
        <v>0</v>
      </c>
      <c r="K4784" s="711"/>
      <c r="M4784" s="62">
        <f t="shared" si="367"/>
        <v>5</v>
      </c>
    </row>
    <row r="4785" spans="1:13">
      <c r="A4785" s="88">
        <f t="shared" si="368"/>
        <v>46</v>
      </c>
      <c r="B4785" s="69" t="s">
        <v>3797</v>
      </c>
      <c r="C4785" s="167">
        <v>4</v>
      </c>
      <c r="D4785" s="155">
        <v>1</v>
      </c>
      <c r="E4785" s="155">
        <v>1</v>
      </c>
      <c r="F4785" s="155">
        <v>0</v>
      </c>
      <c r="G4785" s="155">
        <v>0</v>
      </c>
      <c r="H4785" s="155">
        <v>1</v>
      </c>
      <c r="I4785" s="155">
        <v>1</v>
      </c>
      <c r="J4785" s="710">
        <f>(VLOOKUP($C4785,[2]Sheet1!$A$2:$P$18,$M4785+1)/12)*12*D4785</f>
        <v>224542.978930365</v>
      </c>
      <c r="K4785" s="711"/>
      <c r="M4785" s="62">
        <f t="shared" si="367"/>
        <v>5</v>
      </c>
    </row>
    <row r="4786" spans="1:13">
      <c r="A4786" s="88">
        <f>+A4785+1</f>
        <v>47</v>
      </c>
      <c r="B4786" s="69" t="s">
        <v>702</v>
      </c>
      <c r="C4786" s="167">
        <v>6</v>
      </c>
      <c r="D4786" s="155">
        <v>2</v>
      </c>
      <c r="E4786" s="155">
        <v>2</v>
      </c>
      <c r="F4786" s="155">
        <v>2</v>
      </c>
      <c r="G4786" s="155">
        <v>2</v>
      </c>
      <c r="H4786" s="155">
        <v>2</v>
      </c>
      <c r="I4786" s="155">
        <v>2</v>
      </c>
      <c r="J4786" s="710">
        <f>(VLOOKUP($C4786,[2]Sheet1!$A$2:$P$18,$M4786+1)/12)*12*D4786</f>
        <v>476198.75786072994</v>
      </c>
      <c r="K4786" s="711"/>
      <c r="M4786" s="62">
        <f t="shared" si="367"/>
        <v>5</v>
      </c>
    </row>
    <row r="4787" spans="1:13">
      <c r="A4787" s="88">
        <f>+A4786+1</f>
        <v>48</v>
      </c>
      <c r="B4787" s="69" t="s">
        <v>2189</v>
      </c>
      <c r="C4787" s="167">
        <v>5</v>
      </c>
      <c r="D4787" s="155">
        <v>0</v>
      </c>
      <c r="E4787" s="155">
        <v>0</v>
      </c>
      <c r="F4787" s="155">
        <v>0</v>
      </c>
      <c r="G4787" s="155">
        <v>0</v>
      </c>
      <c r="H4787" s="155">
        <v>0</v>
      </c>
      <c r="I4787" s="155">
        <v>0</v>
      </c>
      <c r="J4787" s="710">
        <f>(VLOOKUP($C4787,[2]Sheet1!$A$2:$P$18,$M4787+1)/12)*12*D4787</f>
        <v>0</v>
      </c>
      <c r="K4787" s="711"/>
      <c r="M4787" s="62">
        <f t="shared" si="367"/>
        <v>5</v>
      </c>
    </row>
    <row r="4788" spans="1:13">
      <c r="A4788" s="88">
        <f>+A4787+1</f>
        <v>49</v>
      </c>
      <c r="B4788" s="69" t="s">
        <v>772</v>
      </c>
      <c r="C4788" s="167">
        <v>4</v>
      </c>
      <c r="D4788" s="155">
        <v>2</v>
      </c>
      <c r="E4788" s="155">
        <v>0</v>
      </c>
      <c r="F4788" s="155">
        <v>0</v>
      </c>
      <c r="G4788" s="155">
        <v>0</v>
      </c>
      <c r="H4788" s="155">
        <v>0</v>
      </c>
      <c r="I4788" s="155">
        <v>2</v>
      </c>
      <c r="J4788" s="710">
        <f>(VLOOKUP($C4788,[2]Sheet1!$A$2:$P$18,$M4788+1)/12)*12*D4788</f>
        <v>449085.95786073001</v>
      </c>
      <c r="K4788" s="711"/>
      <c r="M4788" s="62">
        <f t="shared" si="367"/>
        <v>5</v>
      </c>
    </row>
    <row r="4789" spans="1:13">
      <c r="A4789" s="88">
        <f t="shared" si="368"/>
        <v>50</v>
      </c>
      <c r="B4789" s="69" t="s">
        <v>679</v>
      </c>
      <c r="C4789" s="167">
        <v>3</v>
      </c>
      <c r="D4789" s="155">
        <v>2</v>
      </c>
      <c r="E4789" s="155">
        <v>2</v>
      </c>
      <c r="F4789" s="155">
        <v>2</v>
      </c>
      <c r="G4789" s="155">
        <v>2</v>
      </c>
      <c r="H4789" s="155">
        <v>2</v>
      </c>
      <c r="I4789" s="155">
        <v>2</v>
      </c>
      <c r="J4789" s="710">
        <f>(VLOOKUP($C4789,[2]Sheet1!$A$2:$P$18,$M4789+1)/12)*12*D4789</f>
        <v>438672.35786072997</v>
      </c>
      <c r="K4789" s="711"/>
      <c r="M4789" s="62">
        <f t="shared" si="367"/>
        <v>5</v>
      </c>
    </row>
    <row r="4790" spans="1:13">
      <c r="A4790" s="88">
        <f t="shared" si="368"/>
        <v>51</v>
      </c>
      <c r="B4790" s="69" t="s">
        <v>773</v>
      </c>
      <c r="C4790" s="167">
        <v>5</v>
      </c>
      <c r="D4790" s="155">
        <v>0</v>
      </c>
      <c r="E4790" s="155">
        <v>0</v>
      </c>
      <c r="F4790" s="155">
        <v>0</v>
      </c>
      <c r="G4790" s="155">
        <v>0</v>
      </c>
      <c r="H4790" s="155">
        <v>0</v>
      </c>
      <c r="I4790" s="155">
        <v>0</v>
      </c>
      <c r="J4790" s="710">
        <f>(VLOOKUP($C4790,[2]Sheet1!$A$2:$P$18,$M4790+1)/12)*12*D4790</f>
        <v>0</v>
      </c>
      <c r="K4790" s="711"/>
      <c r="M4790" s="62">
        <f t="shared" si="367"/>
        <v>5</v>
      </c>
    </row>
    <row r="4791" spans="1:13">
      <c r="A4791" s="88">
        <f t="shared" si="368"/>
        <v>52</v>
      </c>
      <c r="B4791" s="69" t="s">
        <v>1206</v>
      </c>
      <c r="C4791" s="167">
        <v>3</v>
      </c>
      <c r="D4791" s="155">
        <v>0</v>
      </c>
      <c r="E4791" s="155">
        <v>0</v>
      </c>
      <c r="F4791" s="155">
        <v>0</v>
      </c>
      <c r="G4791" s="155">
        <v>0</v>
      </c>
      <c r="H4791" s="155">
        <v>0</v>
      </c>
      <c r="I4791" s="155">
        <v>0</v>
      </c>
      <c r="J4791" s="710">
        <f>(VLOOKUP($C4791,[2]Sheet1!$A$2:$P$18,$M4791+1)/12)*12*D4791</f>
        <v>0</v>
      </c>
      <c r="K4791" s="711"/>
      <c r="M4791" s="62">
        <f t="shared" si="367"/>
        <v>5</v>
      </c>
    </row>
    <row r="4792" spans="1:13">
      <c r="A4792" s="88">
        <f t="shared" si="368"/>
        <v>53</v>
      </c>
      <c r="B4792" s="69" t="s">
        <v>2542</v>
      </c>
      <c r="C4792" s="167">
        <v>4</v>
      </c>
      <c r="D4792" s="155">
        <v>1</v>
      </c>
      <c r="E4792" s="155">
        <v>1</v>
      </c>
      <c r="F4792" s="155">
        <v>1</v>
      </c>
      <c r="G4792" s="155">
        <v>1</v>
      </c>
      <c r="H4792" s="155">
        <v>1</v>
      </c>
      <c r="I4792" s="155">
        <v>1</v>
      </c>
      <c r="J4792" s="710">
        <f>(VLOOKUP($C4792,[2]Sheet1!$A$2:$P$18,$M4792+1)/12)*12*D4792</f>
        <v>224542.978930365</v>
      </c>
      <c r="K4792" s="711"/>
      <c r="M4792" s="62">
        <f t="shared" si="367"/>
        <v>5</v>
      </c>
    </row>
    <row r="4793" spans="1:13">
      <c r="A4793" s="88">
        <f>+A4792+1</f>
        <v>54</v>
      </c>
      <c r="B4793" s="69" t="s">
        <v>2543</v>
      </c>
      <c r="C4793" s="167">
        <v>2</v>
      </c>
      <c r="D4793" s="155">
        <v>3</v>
      </c>
      <c r="E4793" s="155">
        <v>3</v>
      </c>
      <c r="F4793" s="155">
        <v>3</v>
      </c>
      <c r="G4793" s="155">
        <v>3</v>
      </c>
      <c r="H4793" s="155">
        <v>3</v>
      </c>
      <c r="I4793" s="155">
        <v>3</v>
      </c>
      <c r="J4793" s="710">
        <f>(VLOOKUP($C4793,[2]Sheet1!$A$2:$P$18,$M4793+1)/12)*12*D4793</f>
        <v>643972.13679109514</v>
      </c>
      <c r="K4793" s="711"/>
      <c r="M4793" s="62">
        <f t="shared" si="367"/>
        <v>5</v>
      </c>
    </row>
    <row r="4794" spans="1:13">
      <c r="A4794" s="88">
        <f>+A4793+1</f>
        <v>55</v>
      </c>
      <c r="B4794" s="69" t="s">
        <v>3675</v>
      </c>
      <c r="C4794" s="167">
        <v>2</v>
      </c>
      <c r="D4794" s="155">
        <v>0</v>
      </c>
      <c r="E4794" s="155">
        <v>1</v>
      </c>
      <c r="F4794" s="155">
        <v>0</v>
      </c>
      <c r="G4794" s="155">
        <v>0</v>
      </c>
      <c r="H4794" s="155">
        <v>1</v>
      </c>
      <c r="I4794" s="155">
        <v>0</v>
      </c>
      <c r="J4794" s="710">
        <f>(VLOOKUP($C4794,[2]Sheet1!$A$2:$P$18,$M4794+1)/12)*12*D4794</f>
        <v>0</v>
      </c>
      <c r="K4794" s="711"/>
      <c r="M4794" s="62">
        <f t="shared" si="367"/>
        <v>5</v>
      </c>
    </row>
    <row r="4795" spans="1:13">
      <c r="A4795" s="88">
        <f>+A4794+1</f>
        <v>56</v>
      </c>
      <c r="B4795" s="69" t="s">
        <v>1050</v>
      </c>
      <c r="C4795" s="167">
        <v>1</v>
      </c>
      <c r="D4795" s="155">
        <v>5</v>
      </c>
      <c r="E4795" s="155">
        <v>5</v>
      </c>
      <c r="F4795" s="155">
        <v>5</v>
      </c>
      <c r="G4795" s="155">
        <v>5</v>
      </c>
      <c r="H4795" s="155">
        <v>5</v>
      </c>
      <c r="I4795" s="155">
        <v>5</v>
      </c>
      <c r="J4795" s="710">
        <f>(VLOOKUP($C4795,[2]Sheet1!$A$2:$P$18,$M4795+1)/12)*12*D4795</f>
        <v>1035537.8946518248</v>
      </c>
      <c r="K4795" s="711"/>
      <c r="M4795" s="62">
        <f t="shared" si="367"/>
        <v>5</v>
      </c>
    </row>
    <row r="4796" spans="1:13">
      <c r="A4796" s="88">
        <f>+A4795+1</f>
        <v>57</v>
      </c>
      <c r="B4796" s="69" t="s">
        <v>3674</v>
      </c>
      <c r="C4796" s="167">
        <v>1</v>
      </c>
      <c r="D4796" s="155">
        <v>1</v>
      </c>
      <c r="E4796" s="155">
        <v>1</v>
      </c>
      <c r="F4796" s="155">
        <v>0</v>
      </c>
      <c r="G4796" s="155">
        <v>0</v>
      </c>
      <c r="H4796" s="155">
        <v>0</v>
      </c>
      <c r="I4796" s="155">
        <v>1</v>
      </c>
      <c r="J4796" s="710">
        <f>(VLOOKUP($C4796,[2]Sheet1!$A$2:$P$18,$M4796+1)/12)*12*D4796</f>
        <v>207107.57893036498</v>
      </c>
      <c r="K4796" s="711"/>
      <c r="M4796" s="62">
        <f t="shared" si="367"/>
        <v>5</v>
      </c>
    </row>
    <row r="4797" spans="1:13">
      <c r="A4797" s="88"/>
      <c r="B4797" s="90" t="s">
        <v>2313</v>
      </c>
      <c r="C4797" s="167"/>
      <c r="D4797" s="155"/>
      <c r="E4797" s="155"/>
      <c r="F4797" s="155"/>
      <c r="G4797" s="155"/>
      <c r="H4797" s="155"/>
      <c r="I4797" s="155"/>
      <c r="J4797" s="710"/>
      <c r="K4797" s="711"/>
      <c r="M4797" s="62">
        <f t="shared" si="367"/>
        <v>5</v>
      </c>
    </row>
    <row r="4798" spans="1:13">
      <c r="A4798" s="88">
        <f>+A4796+1</f>
        <v>58</v>
      </c>
      <c r="B4798" s="69" t="s">
        <v>2867</v>
      </c>
      <c r="C4798" s="167">
        <v>7</v>
      </c>
      <c r="D4798" s="155">
        <v>0</v>
      </c>
      <c r="E4798" s="155">
        <v>0</v>
      </c>
      <c r="F4798" s="155">
        <v>0</v>
      </c>
      <c r="G4798" s="155">
        <v>0</v>
      </c>
      <c r="H4798" s="155">
        <v>0</v>
      </c>
      <c r="I4798" s="155">
        <v>0</v>
      </c>
      <c r="J4798" s="710">
        <f>(VLOOKUP($C4798,[2]Sheet1!$A$2:$P$18,$M4798+1)/12)*12*D4798</f>
        <v>0</v>
      </c>
      <c r="K4798" s="711"/>
      <c r="M4798" s="62">
        <f t="shared" si="367"/>
        <v>3</v>
      </c>
    </row>
    <row r="4799" spans="1:13">
      <c r="A4799" s="88">
        <f>+A4798+1</f>
        <v>59</v>
      </c>
      <c r="B4799" s="69" t="s">
        <v>1317</v>
      </c>
      <c r="C4799" s="167">
        <v>6</v>
      </c>
      <c r="D4799" s="155">
        <v>0</v>
      </c>
      <c r="E4799" s="155">
        <v>0</v>
      </c>
      <c r="F4799" s="155">
        <v>0</v>
      </c>
      <c r="G4799" s="155">
        <v>0</v>
      </c>
      <c r="H4799" s="155">
        <v>0</v>
      </c>
      <c r="I4799" s="155">
        <v>0</v>
      </c>
      <c r="J4799" s="710">
        <f>(VLOOKUP($C4799,[2]Sheet1!$A$2:$P$18,$M4799+1)/12)*12*D4799</f>
        <v>0</v>
      </c>
      <c r="K4799" s="711"/>
      <c r="M4799" s="62">
        <f t="shared" si="367"/>
        <v>5</v>
      </c>
    </row>
    <row r="4800" spans="1:13">
      <c r="A4800" s="88">
        <f t="shared" ref="A4800:A4805" si="369">+A4799+1</f>
        <v>60</v>
      </c>
      <c r="B4800" s="69" t="s">
        <v>602</v>
      </c>
      <c r="C4800" s="167">
        <v>5</v>
      </c>
      <c r="D4800" s="155">
        <v>1</v>
      </c>
      <c r="E4800" s="155">
        <v>1</v>
      </c>
      <c r="F4800" s="155">
        <v>1</v>
      </c>
      <c r="G4800" s="155">
        <v>1</v>
      </c>
      <c r="H4800" s="155">
        <v>1</v>
      </c>
      <c r="I4800" s="155">
        <v>1</v>
      </c>
      <c r="J4800" s="710">
        <f>(VLOOKUP($C4800,[2]Sheet1!$A$2:$P$18,$M4800+1)/12)*12*D4800</f>
        <v>229569.77893036499</v>
      </c>
      <c r="K4800" s="711"/>
      <c r="M4800" s="62">
        <f t="shared" si="367"/>
        <v>5</v>
      </c>
    </row>
    <row r="4801" spans="1:13">
      <c r="A4801" s="88">
        <f t="shared" si="369"/>
        <v>61</v>
      </c>
      <c r="B4801" s="69" t="s">
        <v>603</v>
      </c>
      <c r="C4801" s="167">
        <v>4</v>
      </c>
      <c r="D4801" s="155">
        <v>0</v>
      </c>
      <c r="E4801" s="155">
        <v>0</v>
      </c>
      <c r="F4801" s="155">
        <v>0</v>
      </c>
      <c r="G4801" s="155">
        <v>0</v>
      </c>
      <c r="H4801" s="155">
        <v>0</v>
      </c>
      <c r="I4801" s="155">
        <v>0</v>
      </c>
      <c r="J4801" s="710">
        <f>(VLOOKUP($C4801,[2]Sheet1!$A$2:$P$18,$M4801+1)/12)*12*D4801</f>
        <v>0</v>
      </c>
      <c r="K4801" s="711"/>
      <c r="M4801" s="62">
        <f t="shared" si="367"/>
        <v>5</v>
      </c>
    </row>
    <row r="4802" spans="1:13">
      <c r="A4802" s="88">
        <f t="shared" si="369"/>
        <v>62</v>
      </c>
      <c r="B4802" s="69" t="s">
        <v>604</v>
      </c>
      <c r="C4802" s="167">
        <v>3</v>
      </c>
      <c r="D4802" s="155">
        <v>0</v>
      </c>
      <c r="E4802" s="155">
        <v>0</v>
      </c>
      <c r="F4802" s="155">
        <v>0</v>
      </c>
      <c r="G4802" s="155">
        <v>0</v>
      </c>
      <c r="H4802" s="155">
        <v>0</v>
      </c>
      <c r="I4802" s="155">
        <v>0</v>
      </c>
      <c r="J4802" s="710">
        <f>(VLOOKUP($C4802,[2]Sheet1!$A$2:$P$18,$M4802+1)/12)*12*D4802</f>
        <v>0</v>
      </c>
      <c r="K4802" s="711"/>
      <c r="M4802" s="62">
        <f t="shared" si="367"/>
        <v>5</v>
      </c>
    </row>
    <row r="4803" spans="1:13">
      <c r="A4803" s="88">
        <f t="shared" si="369"/>
        <v>63</v>
      </c>
      <c r="B4803" s="69" t="s">
        <v>798</v>
      </c>
      <c r="C4803" s="167">
        <v>6</v>
      </c>
      <c r="D4803" s="155">
        <v>0</v>
      </c>
      <c r="E4803" s="155">
        <v>0</v>
      </c>
      <c r="F4803" s="155">
        <v>0</v>
      </c>
      <c r="G4803" s="155">
        <v>0</v>
      </c>
      <c r="H4803" s="155">
        <v>0</v>
      </c>
      <c r="I4803" s="155">
        <v>0</v>
      </c>
      <c r="J4803" s="710">
        <f>(VLOOKUP($C4803,[2]Sheet1!$A$2:$P$18,$M4803+1)/12)*12*D4803</f>
        <v>0</v>
      </c>
      <c r="K4803" s="711"/>
      <c r="M4803" s="62">
        <f t="shared" si="367"/>
        <v>5</v>
      </c>
    </row>
    <row r="4804" spans="1:13">
      <c r="A4804" s="88">
        <f t="shared" si="369"/>
        <v>64</v>
      </c>
      <c r="B4804" s="69" t="s">
        <v>583</v>
      </c>
      <c r="C4804" s="167">
        <v>5</v>
      </c>
      <c r="D4804" s="155">
        <v>0</v>
      </c>
      <c r="E4804" s="155">
        <v>0</v>
      </c>
      <c r="F4804" s="155">
        <v>0</v>
      </c>
      <c r="G4804" s="155">
        <v>0</v>
      </c>
      <c r="H4804" s="155">
        <v>0</v>
      </c>
      <c r="I4804" s="155">
        <v>0</v>
      </c>
      <c r="J4804" s="710">
        <f>(VLOOKUP($C4804,[2]Sheet1!$A$2:$P$18,$M4804+1)/12)*12*D4804</f>
        <v>0</v>
      </c>
      <c r="K4804" s="711"/>
      <c r="M4804" s="62">
        <f t="shared" si="367"/>
        <v>5</v>
      </c>
    </row>
    <row r="4805" spans="1:13">
      <c r="A4805" s="88">
        <f t="shared" si="369"/>
        <v>65</v>
      </c>
      <c r="B4805" s="69" t="s">
        <v>1051</v>
      </c>
      <c r="C4805" s="167">
        <v>4</v>
      </c>
      <c r="D4805" s="155">
        <v>0</v>
      </c>
      <c r="E4805" s="155">
        <v>0</v>
      </c>
      <c r="F4805" s="155">
        <v>0</v>
      </c>
      <c r="G4805" s="155">
        <v>0</v>
      </c>
      <c r="H4805" s="155">
        <v>0</v>
      </c>
      <c r="I4805" s="155">
        <v>0</v>
      </c>
      <c r="J4805" s="710">
        <f>(VLOOKUP($C4805,[2]Sheet1!$A$2:$P$18,$M4805+1)/12)*12*D4805</f>
        <v>0</v>
      </c>
      <c r="K4805" s="711"/>
      <c r="M4805" s="62">
        <f t="shared" si="367"/>
        <v>5</v>
      </c>
    </row>
    <row r="4806" spans="1:13">
      <c r="A4806" s="88"/>
      <c r="B4806" s="90" t="s">
        <v>1052</v>
      </c>
      <c r="C4806" s="167"/>
      <c r="D4806" s="155"/>
      <c r="E4806" s="155"/>
      <c r="F4806" s="155"/>
      <c r="G4806" s="155"/>
      <c r="H4806" s="155"/>
      <c r="I4806" s="155"/>
      <c r="J4806" s="710"/>
      <c r="K4806" s="711"/>
      <c r="M4806" s="62">
        <f t="shared" si="367"/>
        <v>5</v>
      </c>
    </row>
    <row r="4807" spans="1:13">
      <c r="A4807" s="88">
        <f>+A4805+1</f>
        <v>66</v>
      </c>
      <c r="B4807" s="69" t="s">
        <v>1290</v>
      </c>
      <c r="C4807" s="167">
        <v>16</v>
      </c>
      <c r="D4807" s="155">
        <v>0</v>
      </c>
      <c r="E4807" s="155">
        <v>1</v>
      </c>
      <c r="F4807" s="155">
        <v>1</v>
      </c>
      <c r="G4807" s="155">
        <v>1</v>
      </c>
      <c r="H4807" s="155">
        <v>1</v>
      </c>
      <c r="I4807" s="155">
        <v>0</v>
      </c>
      <c r="J4807" s="710">
        <f>(VLOOKUP($C4807,[2]Sheet1!$A$2:$P$18,$M4807+1)/12)*12*D4807</f>
        <v>0</v>
      </c>
      <c r="K4807" s="711"/>
      <c r="M4807" s="62">
        <f t="shared" si="367"/>
        <v>3</v>
      </c>
    </row>
    <row r="4808" spans="1:13">
      <c r="A4808" s="88">
        <f t="shared" ref="A4808:A4831" si="370">+A4807+1</f>
        <v>67</v>
      </c>
      <c r="B4808" s="69" t="s">
        <v>1099</v>
      </c>
      <c r="C4808" s="167">
        <v>15</v>
      </c>
      <c r="D4808" s="155">
        <v>1</v>
      </c>
      <c r="E4808" s="155">
        <v>1</v>
      </c>
      <c r="F4808" s="155">
        <v>1</v>
      </c>
      <c r="G4808" s="155">
        <v>1</v>
      </c>
      <c r="H4808" s="155">
        <v>1</v>
      </c>
      <c r="I4808" s="155">
        <v>1</v>
      </c>
      <c r="J4808" s="710">
        <f>(VLOOKUP($C4808,[2]Sheet1!$A$2:$P$18,$M4808+1)/12)*12*D4808</f>
        <v>658331.89992</v>
      </c>
      <c r="K4808" s="711"/>
      <c r="M4808" s="62">
        <f t="shared" si="367"/>
        <v>3</v>
      </c>
    </row>
    <row r="4809" spans="1:13">
      <c r="A4809" s="88">
        <f t="shared" si="370"/>
        <v>68</v>
      </c>
      <c r="B4809" s="69" t="s">
        <v>2011</v>
      </c>
      <c r="C4809" s="167">
        <v>14</v>
      </c>
      <c r="D4809" s="155">
        <v>1</v>
      </c>
      <c r="E4809" s="155">
        <v>1</v>
      </c>
      <c r="F4809" s="155">
        <v>1</v>
      </c>
      <c r="G4809" s="155">
        <v>1</v>
      </c>
      <c r="H4809" s="155">
        <v>1</v>
      </c>
      <c r="I4809" s="155">
        <v>1</v>
      </c>
      <c r="J4809" s="710">
        <f>(VLOOKUP($C4809,[2]Sheet1!$A$2:$P$18,$M4809+1)/12)*12*D4809</f>
        <v>669099.40824000002</v>
      </c>
      <c r="K4809" s="711"/>
      <c r="M4809" s="62">
        <f t="shared" si="367"/>
        <v>3</v>
      </c>
    </row>
    <row r="4810" spans="1:13">
      <c r="A4810" s="88">
        <f t="shared" si="370"/>
        <v>69</v>
      </c>
      <c r="B4810" s="69" t="s">
        <v>775</v>
      </c>
      <c r="C4810" s="167">
        <v>12</v>
      </c>
      <c r="D4810" s="155">
        <v>1</v>
      </c>
      <c r="E4810" s="155">
        <v>1</v>
      </c>
      <c r="F4810" s="155">
        <v>1</v>
      </c>
      <c r="G4810" s="155">
        <v>1</v>
      </c>
      <c r="H4810" s="155">
        <v>1</v>
      </c>
      <c r="I4810" s="155">
        <v>1</v>
      </c>
      <c r="J4810" s="710">
        <f>(VLOOKUP($C4810,[2]Sheet1!$A$2:$P$18,$M4810+1)/12)*12*D4810</f>
        <v>552685.0537200002</v>
      </c>
      <c r="K4810" s="711"/>
      <c r="M4810" s="62">
        <f t="shared" si="367"/>
        <v>3</v>
      </c>
    </row>
    <row r="4811" spans="1:13">
      <c r="A4811" s="88">
        <f t="shared" si="370"/>
        <v>70</v>
      </c>
      <c r="B4811" s="69" t="s">
        <v>776</v>
      </c>
      <c r="C4811" s="167">
        <v>9</v>
      </c>
      <c r="D4811" s="155">
        <v>1</v>
      </c>
      <c r="E4811" s="155">
        <v>0</v>
      </c>
      <c r="F4811" s="155">
        <v>1</v>
      </c>
      <c r="G4811" s="155">
        <v>1</v>
      </c>
      <c r="H4811" s="155">
        <v>0</v>
      </c>
      <c r="I4811" s="155">
        <v>1</v>
      </c>
      <c r="J4811" s="710">
        <f>(VLOOKUP($C4811,[2]Sheet1!$A$2:$P$18,$M4811+1)/12)*12*D4811</f>
        <v>409681.90619999997</v>
      </c>
      <c r="K4811" s="711"/>
      <c r="M4811" s="62">
        <f t="shared" si="367"/>
        <v>3</v>
      </c>
    </row>
    <row r="4812" spans="1:13">
      <c r="A4812" s="88">
        <f t="shared" si="370"/>
        <v>71</v>
      </c>
      <c r="B4812" s="69" t="s">
        <v>953</v>
      </c>
      <c r="C4812" s="167">
        <v>8</v>
      </c>
      <c r="D4812" s="155">
        <v>0</v>
      </c>
      <c r="E4812" s="155">
        <v>1</v>
      </c>
      <c r="F4812" s="155">
        <v>0</v>
      </c>
      <c r="G4812" s="155">
        <v>0</v>
      </c>
      <c r="H4812" s="155">
        <v>0</v>
      </c>
      <c r="I4812" s="155">
        <v>0</v>
      </c>
      <c r="J4812" s="710">
        <f>(VLOOKUP($C4812,[2]Sheet1!$A$2:$P$18,$M4812+1)/12)*12*D4812</f>
        <v>0</v>
      </c>
      <c r="K4812" s="711"/>
      <c r="M4812" s="62">
        <f t="shared" ref="M4812:M4842" si="371">IF(C4812&gt;6,3,5)</f>
        <v>3</v>
      </c>
    </row>
    <row r="4813" spans="1:13" ht="13.5" thickBot="1">
      <c r="A4813" s="88">
        <f t="shared" si="370"/>
        <v>72</v>
      </c>
      <c r="B4813" s="69" t="s">
        <v>1795</v>
      </c>
      <c r="C4813" s="167">
        <v>7</v>
      </c>
      <c r="D4813" s="155">
        <v>1</v>
      </c>
      <c r="E4813" s="155">
        <v>1</v>
      </c>
      <c r="F4813" s="155">
        <v>1</v>
      </c>
      <c r="G4813" s="155">
        <v>1</v>
      </c>
      <c r="H4813" s="155">
        <v>1</v>
      </c>
      <c r="I4813" s="155">
        <v>1</v>
      </c>
      <c r="J4813" s="710">
        <f>(VLOOKUP($C4813,[2]Sheet1!$A$2:$P$18,$M4813+1)/12)*12*D4813</f>
        <v>307706.70240000007</v>
      </c>
      <c r="K4813" s="711"/>
      <c r="M4813" s="62">
        <f t="shared" si="371"/>
        <v>3</v>
      </c>
    </row>
    <row r="4814" spans="1:13" ht="15.75" thickTop="1">
      <c r="A4814" s="1047" t="s">
        <v>2791</v>
      </c>
      <c r="B4814" s="1049" t="s">
        <v>4126</v>
      </c>
      <c r="C4814" s="1049" t="s">
        <v>854</v>
      </c>
      <c r="D4814" s="1040" t="s">
        <v>4127</v>
      </c>
      <c r="E4814" s="1041"/>
      <c r="F4814" s="1041"/>
      <c r="G4814" s="1040" t="s">
        <v>904</v>
      </c>
      <c r="H4814" s="1041"/>
      <c r="I4814" s="1042"/>
      <c r="J4814" s="1035" t="s">
        <v>855</v>
      </c>
      <c r="K4814" s="389"/>
    </row>
    <row r="4815" spans="1:13" ht="26.25" thickBot="1">
      <c r="A4815" s="1048"/>
      <c r="B4815" s="1050"/>
      <c r="C4815" s="1050"/>
      <c r="D4815" s="285" t="s">
        <v>5505</v>
      </c>
      <c r="E4815" s="285" t="s">
        <v>4485</v>
      </c>
      <c r="F4815" s="285" t="s">
        <v>4486</v>
      </c>
      <c r="G4815" s="287" t="s">
        <v>4487</v>
      </c>
      <c r="H4815" s="285" t="s">
        <v>4488</v>
      </c>
      <c r="I4815" s="287" t="s">
        <v>4489</v>
      </c>
      <c r="J4815" s="1036"/>
      <c r="K4815" s="712"/>
    </row>
    <row r="4816" spans="1:13" ht="13.5" thickTop="1">
      <c r="A4816" s="88">
        <f>+A4813+1</f>
        <v>73</v>
      </c>
      <c r="B4816" s="69" t="s">
        <v>2090</v>
      </c>
      <c r="C4816" s="167">
        <v>6</v>
      </c>
      <c r="D4816" s="155">
        <v>1</v>
      </c>
      <c r="E4816" s="155">
        <v>6</v>
      </c>
      <c r="F4816" s="155">
        <v>6</v>
      </c>
      <c r="G4816" s="155">
        <v>6</v>
      </c>
      <c r="H4816" s="155">
        <v>6</v>
      </c>
      <c r="I4816" s="155">
        <v>1</v>
      </c>
      <c r="J4816" s="710">
        <f>(VLOOKUP($C4816,[2]Sheet1!$A$2:$P$18,$M4816+1)/12)*12*D4816</f>
        <v>238099.37893036497</v>
      </c>
      <c r="K4816" s="711"/>
      <c r="M4816" s="62">
        <f t="shared" si="371"/>
        <v>5</v>
      </c>
    </row>
    <row r="4817" spans="1:13">
      <c r="A4817" s="88">
        <f>+A4816+1</f>
        <v>74</v>
      </c>
      <c r="B4817" s="69" t="s">
        <v>1796</v>
      </c>
      <c r="C4817" s="167">
        <v>5</v>
      </c>
      <c r="D4817" s="155">
        <v>6</v>
      </c>
      <c r="E4817" s="155">
        <v>2</v>
      </c>
      <c r="F4817" s="155">
        <v>1</v>
      </c>
      <c r="G4817" s="155">
        <v>1</v>
      </c>
      <c r="H4817" s="155">
        <v>2</v>
      </c>
      <c r="I4817" s="155">
        <v>6</v>
      </c>
      <c r="J4817" s="710">
        <f>(VLOOKUP($C4817,[2]Sheet1!$A$2:$P$18,$M4817+1)/12)*12*D4817</f>
        <v>1377418.6735821899</v>
      </c>
      <c r="K4817" s="711"/>
      <c r="M4817" s="62">
        <f t="shared" si="371"/>
        <v>5</v>
      </c>
    </row>
    <row r="4818" spans="1:13">
      <c r="A4818" s="88">
        <f>+A4817+1</f>
        <v>75</v>
      </c>
      <c r="B4818" s="69" t="s">
        <v>1798</v>
      </c>
      <c r="C4818" s="167">
        <v>4</v>
      </c>
      <c r="D4818" s="155">
        <v>2</v>
      </c>
      <c r="E4818" s="155">
        <v>2</v>
      </c>
      <c r="F4818" s="155">
        <v>2</v>
      </c>
      <c r="G4818" s="155">
        <v>2</v>
      </c>
      <c r="H4818" s="155">
        <v>2</v>
      </c>
      <c r="I4818" s="155">
        <v>2</v>
      </c>
      <c r="J4818" s="710">
        <f>(VLOOKUP($C4818,[2]Sheet1!$A$2:$P$18,$M4818+1)/12)*12*D4818</f>
        <v>449085.95786073001</v>
      </c>
      <c r="K4818" s="711"/>
      <c r="M4818" s="62">
        <f t="shared" si="371"/>
        <v>5</v>
      </c>
    </row>
    <row r="4819" spans="1:13">
      <c r="A4819" s="88">
        <f t="shared" si="370"/>
        <v>76</v>
      </c>
      <c r="B4819" s="69" t="s">
        <v>2236</v>
      </c>
      <c r="C4819" s="167">
        <v>3</v>
      </c>
      <c r="D4819" s="155">
        <v>2</v>
      </c>
      <c r="E4819" s="155">
        <v>3</v>
      </c>
      <c r="F4819" s="155">
        <v>3</v>
      </c>
      <c r="G4819" s="155">
        <v>3</v>
      </c>
      <c r="H4819" s="155">
        <v>3</v>
      </c>
      <c r="I4819" s="155">
        <v>2</v>
      </c>
      <c r="J4819" s="710">
        <f>(VLOOKUP($C4819,[2]Sheet1!$A$2:$P$18,$M4819+1)/12)*12*D4819</f>
        <v>438672.35786072997</v>
      </c>
      <c r="K4819" s="711"/>
      <c r="M4819" s="62">
        <f t="shared" si="371"/>
        <v>5</v>
      </c>
    </row>
    <row r="4820" spans="1:13">
      <c r="A4820" s="88">
        <f>+A4819+1</f>
        <v>77</v>
      </c>
      <c r="B4820" s="69" t="s">
        <v>701</v>
      </c>
      <c r="C4820" s="167">
        <v>4</v>
      </c>
      <c r="D4820" s="155">
        <v>0</v>
      </c>
      <c r="E4820" s="155">
        <v>2</v>
      </c>
      <c r="F4820" s="155">
        <v>0</v>
      </c>
      <c r="G4820" s="155">
        <v>0</v>
      </c>
      <c r="H4820" s="155">
        <v>0</v>
      </c>
      <c r="I4820" s="155">
        <v>0</v>
      </c>
      <c r="J4820" s="710">
        <f>(VLOOKUP($C4820,[2]Sheet1!$A$2:$P$18,$M4820+1)/12)*12*D4820</f>
        <v>0</v>
      </c>
      <c r="K4820" s="711"/>
      <c r="M4820" s="62">
        <f t="shared" si="371"/>
        <v>5</v>
      </c>
    </row>
    <row r="4821" spans="1:13">
      <c r="A4821" s="88">
        <f t="shared" si="370"/>
        <v>78</v>
      </c>
      <c r="B4821" s="69" t="s">
        <v>4030</v>
      </c>
      <c r="C4821" s="167">
        <v>3</v>
      </c>
      <c r="D4821" s="155">
        <v>4</v>
      </c>
      <c r="E4821" s="155">
        <v>4</v>
      </c>
      <c r="F4821" s="155">
        <v>4</v>
      </c>
      <c r="G4821" s="155">
        <v>4</v>
      </c>
      <c r="H4821" s="155">
        <v>4</v>
      </c>
      <c r="I4821" s="155">
        <v>4</v>
      </c>
      <c r="J4821" s="710">
        <f>(VLOOKUP($C4821,[2]Sheet1!$A$2:$P$18,$M4821+1)/12)*12*D4821</f>
        <v>877344.71572145994</v>
      </c>
      <c r="K4821" s="711"/>
      <c r="M4821" s="62">
        <f t="shared" si="371"/>
        <v>5</v>
      </c>
    </row>
    <row r="4822" spans="1:13">
      <c r="A4822" s="88">
        <f t="shared" si="370"/>
        <v>79</v>
      </c>
      <c r="B4822" s="69" t="s">
        <v>3896</v>
      </c>
      <c r="C4822" s="167">
        <v>6</v>
      </c>
      <c r="D4822" s="155">
        <v>0</v>
      </c>
      <c r="E4822" s="155">
        <v>0</v>
      </c>
      <c r="F4822" s="155">
        <v>0</v>
      </c>
      <c r="G4822" s="155">
        <v>0</v>
      </c>
      <c r="H4822" s="155">
        <v>0</v>
      </c>
      <c r="I4822" s="155">
        <v>0</v>
      </c>
      <c r="J4822" s="710">
        <f>(VLOOKUP($C4822,[2]Sheet1!$A$2:$P$18,$M4822+1)/12)*12*D4822</f>
        <v>0</v>
      </c>
      <c r="K4822" s="711"/>
      <c r="M4822" s="62">
        <f t="shared" si="371"/>
        <v>5</v>
      </c>
    </row>
    <row r="4823" spans="1:13">
      <c r="A4823" s="88">
        <f t="shared" si="370"/>
        <v>80</v>
      </c>
      <c r="B4823" s="69" t="s">
        <v>702</v>
      </c>
      <c r="C4823" s="167">
        <v>6</v>
      </c>
      <c r="D4823" s="155">
        <v>2</v>
      </c>
      <c r="E4823" s="155">
        <v>2</v>
      </c>
      <c r="F4823" s="155">
        <v>2</v>
      </c>
      <c r="G4823" s="155">
        <v>2</v>
      </c>
      <c r="H4823" s="155">
        <v>2</v>
      </c>
      <c r="I4823" s="155">
        <v>2</v>
      </c>
      <c r="J4823" s="710">
        <f>(VLOOKUP($C4823,[2]Sheet1!$A$2:$P$18,$M4823+1)/12)*12*D4823</f>
        <v>476198.75786072994</v>
      </c>
      <c r="K4823" s="711"/>
      <c r="M4823" s="62">
        <f t="shared" si="371"/>
        <v>5</v>
      </c>
    </row>
    <row r="4824" spans="1:13">
      <c r="A4824" s="88">
        <f t="shared" si="370"/>
        <v>81</v>
      </c>
      <c r="B4824" s="69" t="s">
        <v>2189</v>
      </c>
      <c r="C4824" s="167">
        <v>5</v>
      </c>
      <c r="D4824" s="155">
        <v>0</v>
      </c>
      <c r="E4824" s="155">
        <v>0</v>
      </c>
      <c r="F4824" s="155">
        <v>0</v>
      </c>
      <c r="G4824" s="155">
        <v>0</v>
      </c>
      <c r="H4824" s="155">
        <v>0</v>
      </c>
      <c r="I4824" s="155">
        <v>0</v>
      </c>
      <c r="J4824" s="710">
        <f>(VLOOKUP($C4824,[2]Sheet1!$A$2:$P$18,$M4824+1)/12)*12*D4824</f>
        <v>0</v>
      </c>
      <c r="K4824" s="711"/>
      <c r="M4824" s="62">
        <f t="shared" si="371"/>
        <v>5</v>
      </c>
    </row>
    <row r="4825" spans="1:13">
      <c r="A4825" s="88">
        <f t="shared" si="370"/>
        <v>82</v>
      </c>
      <c r="B4825" s="69" t="s">
        <v>772</v>
      </c>
      <c r="C4825" s="167">
        <v>4</v>
      </c>
      <c r="D4825" s="155">
        <v>0</v>
      </c>
      <c r="E4825" s="155">
        <v>0</v>
      </c>
      <c r="F4825" s="155">
        <v>0</v>
      </c>
      <c r="G4825" s="155">
        <v>0</v>
      </c>
      <c r="H4825" s="155">
        <v>0</v>
      </c>
      <c r="I4825" s="155">
        <v>0</v>
      </c>
      <c r="J4825" s="710">
        <f>(VLOOKUP($C4825,[2]Sheet1!$A$2:$P$18,$M4825+1)/12)*12*D4825</f>
        <v>0</v>
      </c>
      <c r="K4825" s="711"/>
      <c r="M4825" s="62">
        <f t="shared" si="371"/>
        <v>5</v>
      </c>
    </row>
    <row r="4826" spans="1:13">
      <c r="A4826" s="88">
        <f t="shared" si="370"/>
        <v>83</v>
      </c>
      <c r="B4826" s="69" t="s">
        <v>679</v>
      </c>
      <c r="C4826" s="167">
        <v>3</v>
      </c>
      <c r="D4826" s="155">
        <v>2</v>
      </c>
      <c r="E4826" s="155">
        <v>2</v>
      </c>
      <c r="F4826" s="155">
        <v>2</v>
      </c>
      <c r="G4826" s="155">
        <v>2</v>
      </c>
      <c r="H4826" s="155">
        <v>2</v>
      </c>
      <c r="I4826" s="155">
        <v>2</v>
      </c>
      <c r="J4826" s="710">
        <f>(VLOOKUP($C4826,[2]Sheet1!$A$2:$P$18,$M4826+1)/12)*12*D4826</f>
        <v>438672.35786072997</v>
      </c>
      <c r="K4826" s="711"/>
      <c r="M4826" s="62">
        <f t="shared" si="371"/>
        <v>5</v>
      </c>
    </row>
    <row r="4827" spans="1:13">
      <c r="A4827" s="88">
        <f t="shared" si="370"/>
        <v>84</v>
      </c>
      <c r="B4827" s="69" t="s">
        <v>2542</v>
      </c>
      <c r="C4827" s="167">
        <v>4</v>
      </c>
      <c r="D4827" s="155">
        <v>0</v>
      </c>
      <c r="E4827" s="155">
        <v>1</v>
      </c>
      <c r="F4827" s="155">
        <v>1</v>
      </c>
      <c r="G4827" s="155">
        <v>1</v>
      </c>
      <c r="H4827" s="155">
        <v>1</v>
      </c>
      <c r="I4827" s="155">
        <v>0</v>
      </c>
      <c r="J4827" s="710">
        <f>(VLOOKUP($C4827,[2]Sheet1!$A$2:$P$18,$M4827+1)/12)*12*D4827</f>
        <v>0</v>
      </c>
      <c r="K4827" s="711"/>
      <c r="M4827" s="62">
        <f t="shared" si="371"/>
        <v>5</v>
      </c>
    </row>
    <row r="4828" spans="1:13">
      <c r="A4828" s="88">
        <f t="shared" si="370"/>
        <v>85</v>
      </c>
      <c r="B4828" s="69" t="s">
        <v>2543</v>
      </c>
      <c r="C4828" s="167">
        <v>2</v>
      </c>
      <c r="D4828" s="155">
        <v>2</v>
      </c>
      <c r="E4828" s="155">
        <v>3</v>
      </c>
      <c r="F4828" s="155">
        <v>3</v>
      </c>
      <c r="G4828" s="155">
        <v>3</v>
      </c>
      <c r="H4828" s="155">
        <v>3</v>
      </c>
      <c r="I4828" s="155">
        <v>2</v>
      </c>
      <c r="J4828" s="710">
        <f>(VLOOKUP($C4828,[2]Sheet1!$A$2:$P$18,$M4828+1)/12)*12*D4828</f>
        <v>429314.75786073005</v>
      </c>
      <c r="K4828" s="711"/>
      <c r="M4828" s="62">
        <f t="shared" si="371"/>
        <v>5</v>
      </c>
    </row>
    <row r="4829" spans="1:13">
      <c r="A4829" s="88">
        <f t="shared" si="370"/>
        <v>86</v>
      </c>
      <c r="B4829" s="69" t="s">
        <v>3675</v>
      </c>
      <c r="C4829" s="167">
        <v>2</v>
      </c>
      <c r="D4829" s="155">
        <v>2</v>
      </c>
      <c r="E4829" s="155">
        <v>5</v>
      </c>
      <c r="F4829" s="155">
        <v>5</v>
      </c>
      <c r="G4829" s="155">
        <v>5</v>
      </c>
      <c r="H4829" s="155">
        <v>5</v>
      </c>
      <c r="I4829" s="155">
        <v>2</v>
      </c>
      <c r="J4829" s="710">
        <f>(VLOOKUP($C4829,[2]Sheet1!$A$2:$P$18,$M4829+1)/12)*12*D4829</f>
        <v>429314.75786073005</v>
      </c>
      <c r="K4829" s="711"/>
      <c r="M4829" s="62">
        <f t="shared" si="371"/>
        <v>5</v>
      </c>
    </row>
    <row r="4830" spans="1:13">
      <c r="A4830" s="88">
        <f t="shared" si="370"/>
        <v>87</v>
      </c>
      <c r="B4830" s="69" t="s">
        <v>1050</v>
      </c>
      <c r="C4830" s="167">
        <v>1</v>
      </c>
      <c r="D4830" s="155">
        <v>7</v>
      </c>
      <c r="E4830" s="155">
        <v>7</v>
      </c>
      <c r="F4830" s="155">
        <v>7</v>
      </c>
      <c r="G4830" s="155">
        <v>7</v>
      </c>
      <c r="H4830" s="155">
        <v>7</v>
      </c>
      <c r="I4830" s="155">
        <v>7</v>
      </c>
      <c r="J4830" s="710">
        <f>(VLOOKUP($C4830,[2]Sheet1!$A$2:$P$18,$M4830+1)/12)*12*D4830</f>
        <v>1449753.0525125549</v>
      </c>
      <c r="K4830" s="711"/>
      <c r="M4830" s="62">
        <f t="shared" si="371"/>
        <v>5</v>
      </c>
    </row>
    <row r="4831" spans="1:13">
      <c r="A4831" s="88">
        <f t="shared" si="370"/>
        <v>88</v>
      </c>
      <c r="B4831" s="69" t="s">
        <v>3674</v>
      </c>
      <c r="C4831" s="167">
        <v>1</v>
      </c>
      <c r="D4831" s="155">
        <v>5</v>
      </c>
      <c r="E4831" s="155">
        <v>5</v>
      </c>
      <c r="F4831" s="155">
        <v>5</v>
      </c>
      <c r="G4831" s="155">
        <v>5</v>
      </c>
      <c r="H4831" s="155">
        <v>5</v>
      </c>
      <c r="I4831" s="155">
        <v>5</v>
      </c>
      <c r="J4831" s="710">
        <f>(VLOOKUP($C4831,[2]Sheet1!$A$2:$P$18,$M4831+1)/12)*12*D4831</f>
        <v>1035537.8946518248</v>
      </c>
      <c r="K4831" s="711"/>
      <c r="M4831" s="62">
        <f t="shared" si="371"/>
        <v>5</v>
      </c>
    </row>
    <row r="4832" spans="1:13">
      <c r="A4832" s="92"/>
      <c r="B4832" s="93" t="s">
        <v>2241</v>
      </c>
      <c r="C4832" s="168"/>
      <c r="D4832" s="169">
        <f t="shared" ref="D4832:J4832" si="372">SUM(D4734:D4831)</f>
        <v>115</v>
      </c>
      <c r="E4832" s="169">
        <f t="shared" si="372"/>
        <v>130</v>
      </c>
      <c r="F4832" s="169">
        <f t="shared" si="372"/>
        <v>121</v>
      </c>
      <c r="G4832" s="169">
        <f>SUM(G4734:G4831)</f>
        <v>121</v>
      </c>
      <c r="H4832" s="169">
        <f t="shared" si="372"/>
        <v>126</v>
      </c>
      <c r="I4832" s="169">
        <f t="shared" si="372"/>
        <v>115</v>
      </c>
      <c r="J4832" s="169">
        <f t="shared" si="372"/>
        <v>29657257.401024684</v>
      </c>
      <c r="K4832" s="385"/>
      <c r="M4832" s="62">
        <f t="shared" si="371"/>
        <v>5</v>
      </c>
    </row>
    <row r="4833" spans="1:13">
      <c r="A4833" s="88"/>
      <c r="B4833" s="97" t="s">
        <v>1199</v>
      </c>
      <c r="C4833" s="167"/>
      <c r="D4833" s="155"/>
      <c r="E4833" s="155"/>
      <c r="F4833" s="99"/>
      <c r="G4833" s="240" t="s">
        <v>243</v>
      </c>
      <c r="H4833" s="240" t="s">
        <v>4130</v>
      </c>
      <c r="I4833" s="240" t="s">
        <v>4202</v>
      </c>
      <c r="J4833" s="241" t="s">
        <v>4200</v>
      </c>
      <c r="K4833" s="375"/>
      <c r="M4833" s="62">
        <f t="shared" si="371"/>
        <v>5</v>
      </c>
    </row>
    <row r="4834" spans="1:13">
      <c r="A4834" s="88">
        <v>1</v>
      </c>
      <c r="B4834" s="69" t="s">
        <v>763</v>
      </c>
      <c r="C4834" s="167"/>
      <c r="D4834" s="155"/>
      <c r="E4834" s="155"/>
      <c r="F4834" s="89"/>
      <c r="G4834" s="100">
        <f>J4832*0.2</f>
        <v>5931451.480204937</v>
      </c>
      <c r="H4834" s="100">
        <f>G4834*1.02</f>
        <v>6050080.5098090358</v>
      </c>
      <c r="I4834" s="100">
        <f>H4834*1.02</f>
        <v>6171082.1200052164</v>
      </c>
      <c r="J4834" s="100">
        <f>SUM(G4834:I4834)</f>
        <v>18152614.110019188</v>
      </c>
      <c r="K4834" s="114"/>
      <c r="M4834" s="62">
        <f t="shared" si="371"/>
        <v>5</v>
      </c>
    </row>
    <row r="4835" spans="1:13">
      <c r="A4835" s="92"/>
      <c r="B4835" s="93" t="s">
        <v>2531</v>
      </c>
      <c r="C4835" s="168"/>
      <c r="D4835" s="171"/>
      <c r="E4835" s="171"/>
      <c r="F4835" s="169"/>
      <c r="G4835" s="169">
        <f>SUM(G4834:G4834)</f>
        <v>5931451.480204937</v>
      </c>
      <c r="H4835" s="169">
        <f>SUM(H4834:H4834)</f>
        <v>6050080.5098090358</v>
      </c>
      <c r="I4835" s="169">
        <f>SUM(I4834:I4834)</f>
        <v>6171082.1200052164</v>
      </c>
      <c r="J4835" s="169">
        <f>SUM(J4834:J4834)</f>
        <v>18152614.110019188</v>
      </c>
      <c r="K4835" s="385"/>
      <c r="M4835" s="62">
        <f t="shared" si="371"/>
        <v>5</v>
      </c>
    </row>
    <row r="4836" spans="1:13">
      <c r="A4836" s="88">
        <v>1</v>
      </c>
      <c r="B4836" s="69" t="s">
        <v>926</v>
      </c>
      <c r="C4836" s="167"/>
      <c r="D4836" s="155"/>
      <c r="E4836" s="155"/>
      <c r="F4836" s="91"/>
      <c r="G4836" s="100">
        <f>G4835+J4832</f>
        <v>35588708.881229624</v>
      </c>
      <c r="H4836" s="100">
        <f>G4836*1.02</f>
        <v>36300483.058854215</v>
      </c>
      <c r="I4836" s="100">
        <f>H4836*1.02</f>
        <v>37026492.720031299</v>
      </c>
      <c r="J4836" s="100">
        <f>SUM(G4836:I4836)</f>
        <v>108915684.66011512</v>
      </c>
      <c r="K4836" s="114"/>
      <c r="M4836" s="62">
        <f t="shared" si="371"/>
        <v>5</v>
      </c>
    </row>
    <row r="4837" spans="1:13">
      <c r="A4837" s="88">
        <f>A4836+1</f>
        <v>2</v>
      </c>
      <c r="B4837" s="69" t="s">
        <v>2121</v>
      </c>
      <c r="C4837" s="167"/>
      <c r="D4837" s="155"/>
      <c r="E4837" s="155"/>
      <c r="F4837" s="91"/>
      <c r="G4837" s="91">
        <f>C4872</f>
        <v>124000000</v>
      </c>
      <c r="H4837" s="91">
        <f>D4872</f>
        <v>621900000</v>
      </c>
      <c r="I4837" s="91">
        <f>E4872</f>
        <v>621900000</v>
      </c>
      <c r="J4837" s="100">
        <f>SUM(G4837:I4837)</f>
        <v>1367800000</v>
      </c>
      <c r="K4837" s="114"/>
      <c r="M4837" s="62">
        <f t="shared" si="371"/>
        <v>5</v>
      </c>
    </row>
    <row r="4838" spans="1:13" ht="13.5" thickBot="1">
      <c r="A4838" s="102"/>
      <c r="B4838" s="103" t="s">
        <v>2241</v>
      </c>
      <c r="C4838" s="172"/>
      <c r="D4838" s="173"/>
      <c r="E4838" s="173"/>
      <c r="F4838" s="174"/>
      <c r="G4838" s="174">
        <f>SUM(G4836:G4837)</f>
        <v>159588708.88122964</v>
      </c>
      <c r="H4838" s="174">
        <f>SUM(H4836:H4837)</f>
        <v>658200483.05885422</v>
      </c>
      <c r="I4838" s="174">
        <f>SUM(I4836:I4837)</f>
        <v>658926492.72003126</v>
      </c>
      <c r="J4838" s="174">
        <f>SUM(J4836:J4837)</f>
        <v>1476715684.6601152</v>
      </c>
      <c r="K4838" s="385"/>
      <c r="M4838" s="62">
        <f t="shared" si="371"/>
        <v>5</v>
      </c>
    </row>
    <row r="4839" spans="1:13" ht="15.75" thickTop="1">
      <c r="C4839" s="163"/>
      <c r="D4839" s="164" t="s">
        <v>5434</v>
      </c>
      <c r="E4839" s="165"/>
      <c r="F4839" s="165"/>
      <c r="G4839" s="165"/>
      <c r="H4839" s="165"/>
      <c r="I4839" s="165"/>
      <c r="J4839" s="584"/>
      <c r="K4839" s="584"/>
      <c r="M4839" s="62">
        <f t="shared" si="371"/>
        <v>5</v>
      </c>
    </row>
    <row r="4840" spans="1:13" ht="15">
      <c r="C4840" s="163"/>
      <c r="D4840" s="164" t="s">
        <v>716</v>
      </c>
      <c r="E4840" s="165"/>
      <c r="F4840" s="165"/>
      <c r="G4840" s="165"/>
      <c r="H4840" s="165"/>
      <c r="I4840" s="165"/>
      <c r="J4840" s="584"/>
      <c r="K4840" s="584"/>
      <c r="M4840" s="62">
        <f t="shared" si="371"/>
        <v>5</v>
      </c>
    </row>
    <row r="4841" spans="1:13" ht="15">
      <c r="C4841" s="176" t="s">
        <v>1811</v>
      </c>
      <c r="D4841" s="1058" t="s">
        <v>3624</v>
      </c>
      <c r="E4841" s="1059"/>
      <c r="F4841" s="1059"/>
      <c r="G4841" s="1060"/>
      <c r="H4841" s="1060"/>
      <c r="I4841" s="1060"/>
      <c r="J4841" s="1060"/>
      <c r="K4841" s="816"/>
      <c r="M4841" s="62">
        <f t="shared" si="371"/>
        <v>3</v>
      </c>
    </row>
    <row r="4842" spans="1:13" ht="15">
      <c r="C4842" s="79" t="s">
        <v>718</v>
      </c>
      <c r="D4842" s="164" t="s">
        <v>3625</v>
      </c>
      <c r="E4842" s="165"/>
      <c r="F4842" s="165"/>
      <c r="G4842" s="165"/>
      <c r="H4842" s="165"/>
      <c r="I4842" s="165"/>
      <c r="J4842" s="584"/>
      <c r="K4842" s="584"/>
      <c r="M4842" s="62">
        <f t="shared" si="371"/>
        <v>3</v>
      </c>
    </row>
    <row r="4843" spans="1:13" ht="15">
      <c r="A4843" s="634" t="s">
        <v>1839</v>
      </c>
      <c r="B4843" s="635" t="s">
        <v>903</v>
      </c>
      <c r="C4843" s="1037" t="s">
        <v>4127</v>
      </c>
      <c r="D4843" s="1038"/>
      <c r="E4843" s="1039"/>
      <c r="F4843" s="635" t="s">
        <v>1684</v>
      </c>
      <c r="G4843" s="1037" t="s">
        <v>4132</v>
      </c>
      <c r="H4843" s="1038"/>
      <c r="I4843" s="1039"/>
      <c r="J4843" s="726"/>
      <c r="K4843" s="727"/>
    </row>
    <row r="4844" spans="1:13">
      <c r="A4844" s="636" t="s">
        <v>1620</v>
      </c>
      <c r="B4844" s="637"/>
      <c r="C4844" s="635" t="s">
        <v>1841</v>
      </c>
      <c r="D4844" s="635" t="s">
        <v>4133</v>
      </c>
      <c r="E4844" s="635" t="s">
        <v>4133</v>
      </c>
      <c r="F4844" s="1056" t="s">
        <v>4200</v>
      </c>
      <c r="G4844" s="634" t="s">
        <v>4135</v>
      </c>
      <c r="H4844" s="1051" t="s">
        <v>4182</v>
      </c>
      <c r="I4844" s="634" t="s">
        <v>4135</v>
      </c>
      <c r="J4844" s="728" t="s">
        <v>4136</v>
      </c>
      <c r="K4844" s="727"/>
    </row>
    <row r="4845" spans="1:13" ht="12.75" customHeight="1">
      <c r="A4845" s="638" t="s">
        <v>387</v>
      </c>
      <c r="B4845" s="639"/>
      <c r="C4845" s="638">
        <v>2015</v>
      </c>
      <c r="D4845" s="638">
        <v>2016</v>
      </c>
      <c r="E4845" s="638">
        <v>2017</v>
      </c>
      <c r="F4845" s="1057"/>
      <c r="G4845" s="638" t="s">
        <v>4304</v>
      </c>
      <c r="H4845" s="1052"/>
      <c r="I4845" s="638" t="s">
        <v>4303</v>
      </c>
      <c r="J4845" s="639"/>
      <c r="K4845" s="729"/>
    </row>
    <row r="4846" spans="1:13" ht="15" customHeight="1">
      <c r="A4846" s="788">
        <v>2</v>
      </c>
      <c r="B4846" s="775" t="s">
        <v>1695</v>
      </c>
      <c r="C4846" s="731">
        <v>1500000</v>
      </c>
      <c r="D4846" s="731">
        <v>1500000</v>
      </c>
      <c r="E4846" s="731">
        <v>1500000</v>
      </c>
      <c r="F4846" s="731">
        <f>SUM(C4846:E4846)</f>
        <v>4500000</v>
      </c>
      <c r="G4846" s="731">
        <v>690000</v>
      </c>
      <c r="H4846" s="731">
        <v>1500000</v>
      </c>
      <c r="I4846" s="731">
        <v>686300</v>
      </c>
      <c r="J4846" s="731"/>
      <c r="K4846" s="732"/>
      <c r="M4846" s="62" t="e">
        <f>IF(#REF!&gt;6,3,5)</f>
        <v>#REF!</v>
      </c>
    </row>
    <row r="4847" spans="1:13" ht="15" customHeight="1">
      <c r="A4847" s="788">
        <f t="shared" ref="A4847:A4870" si="373">+A4846+1</f>
        <v>3</v>
      </c>
      <c r="B4847" s="775" t="s">
        <v>3763</v>
      </c>
      <c r="C4847" s="731" t="s">
        <v>3007</v>
      </c>
      <c r="D4847" s="731" t="s">
        <v>3007</v>
      </c>
      <c r="E4847" s="731" t="s">
        <v>3007</v>
      </c>
      <c r="F4847" s="731">
        <f t="shared" ref="F4847:F4869" si="374">SUM(C4847:E4847)</f>
        <v>0</v>
      </c>
      <c r="G4847" s="731"/>
      <c r="H4847" s="731" t="s">
        <v>3007</v>
      </c>
      <c r="I4847" s="731"/>
      <c r="J4847" s="731"/>
      <c r="K4847" s="732"/>
      <c r="M4847" s="62" t="e">
        <f>IF(#REF!&gt;6,3,5)</f>
        <v>#REF!</v>
      </c>
    </row>
    <row r="4848" spans="1:13" ht="15" customHeight="1">
      <c r="A4848" s="788">
        <f t="shared" si="373"/>
        <v>4</v>
      </c>
      <c r="B4848" s="775" t="s">
        <v>1701</v>
      </c>
      <c r="C4848" s="731" t="s">
        <v>3007</v>
      </c>
      <c r="D4848" s="731" t="s">
        <v>3007</v>
      </c>
      <c r="E4848" s="731" t="s">
        <v>3007</v>
      </c>
      <c r="F4848" s="731">
        <f t="shared" si="374"/>
        <v>0</v>
      </c>
      <c r="G4848" s="731"/>
      <c r="H4848" s="731" t="s">
        <v>3007</v>
      </c>
      <c r="I4848" s="731"/>
      <c r="J4848" s="731"/>
      <c r="K4848" s="732"/>
      <c r="M4848" s="62" t="e">
        <f>IF(#REF!&gt;6,3,5)</f>
        <v>#REF!</v>
      </c>
    </row>
    <row r="4849" spans="1:13" ht="15" customHeight="1">
      <c r="A4849" s="788">
        <f t="shared" si="373"/>
        <v>5</v>
      </c>
      <c r="B4849" s="775" t="s">
        <v>769</v>
      </c>
      <c r="C4849" s="731">
        <v>500000</v>
      </c>
      <c r="D4849" s="731">
        <v>500000</v>
      </c>
      <c r="E4849" s="731">
        <v>500000</v>
      </c>
      <c r="F4849" s="731">
        <f t="shared" si="374"/>
        <v>1500000</v>
      </c>
      <c r="G4849" s="731">
        <v>360000</v>
      </c>
      <c r="H4849" s="731">
        <v>500000</v>
      </c>
      <c r="I4849" s="731">
        <v>260360</v>
      </c>
      <c r="J4849" s="731"/>
      <c r="K4849" s="732"/>
      <c r="M4849" s="62" t="e">
        <f>IF(#REF!&gt;6,3,5)</f>
        <v>#REF!</v>
      </c>
    </row>
    <row r="4850" spans="1:13" ht="15" customHeight="1">
      <c r="A4850" s="788">
        <f t="shared" si="373"/>
        <v>6</v>
      </c>
      <c r="B4850" s="775" t="s">
        <v>1814</v>
      </c>
      <c r="C4850" s="731">
        <v>500000</v>
      </c>
      <c r="D4850" s="731">
        <v>500000</v>
      </c>
      <c r="E4850" s="731">
        <v>500000</v>
      </c>
      <c r="F4850" s="731">
        <f t="shared" si="374"/>
        <v>1500000</v>
      </c>
      <c r="G4850" s="731">
        <v>160000</v>
      </c>
      <c r="H4850" s="731">
        <v>500000</v>
      </c>
      <c r="I4850" s="731">
        <v>861700</v>
      </c>
      <c r="J4850" s="731"/>
      <c r="K4850" s="732"/>
      <c r="M4850" s="62" t="e">
        <f>IF(#REF!&gt;6,3,5)</f>
        <v>#REF!</v>
      </c>
    </row>
    <row r="4851" spans="1:13" ht="15" customHeight="1">
      <c r="A4851" s="788">
        <f t="shared" si="373"/>
        <v>7</v>
      </c>
      <c r="B4851" s="775" t="s">
        <v>3628</v>
      </c>
      <c r="C4851" s="731">
        <v>1000000</v>
      </c>
      <c r="D4851" s="731">
        <v>1000000</v>
      </c>
      <c r="E4851" s="731">
        <v>1000000</v>
      </c>
      <c r="F4851" s="731">
        <f t="shared" si="374"/>
        <v>3000000</v>
      </c>
      <c r="G4851" s="731">
        <v>506000</v>
      </c>
      <c r="H4851" s="731">
        <v>1000000</v>
      </c>
      <c r="I4851" s="731">
        <v>296000</v>
      </c>
      <c r="J4851" s="731"/>
      <c r="K4851" s="732"/>
      <c r="M4851" s="62" t="e">
        <f>IF(#REF!&gt;6,3,5)</f>
        <v>#REF!</v>
      </c>
    </row>
    <row r="4852" spans="1:13" ht="15" customHeight="1">
      <c r="A4852" s="788">
        <f t="shared" si="373"/>
        <v>8</v>
      </c>
      <c r="B4852" s="775" t="s">
        <v>3629</v>
      </c>
      <c r="C4852" s="731"/>
      <c r="D4852" s="731"/>
      <c r="E4852" s="731"/>
      <c r="F4852" s="731">
        <f t="shared" si="374"/>
        <v>0</v>
      </c>
      <c r="G4852" s="731"/>
      <c r="H4852" s="731"/>
      <c r="I4852" s="731"/>
      <c r="J4852" s="731"/>
      <c r="K4852" s="732"/>
      <c r="M4852" s="62" t="e">
        <f>IF(#REF!&gt;6,3,5)</f>
        <v>#REF!</v>
      </c>
    </row>
    <row r="4853" spans="1:13" ht="15" customHeight="1">
      <c r="A4853" s="788">
        <f t="shared" si="373"/>
        <v>9</v>
      </c>
      <c r="B4853" s="775" t="s">
        <v>2061</v>
      </c>
      <c r="C4853" s="731"/>
      <c r="D4853" s="731"/>
      <c r="E4853" s="731"/>
      <c r="F4853" s="731">
        <f t="shared" si="374"/>
        <v>0</v>
      </c>
      <c r="G4853" s="731"/>
      <c r="H4853" s="731"/>
      <c r="I4853" s="731"/>
      <c r="J4853" s="731"/>
      <c r="K4853" s="732"/>
      <c r="M4853" s="62" t="e">
        <f>IF(#REF!&gt;6,3,5)</f>
        <v>#REF!</v>
      </c>
    </row>
    <row r="4854" spans="1:13" ht="15" customHeight="1">
      <c r="A4854" s="788">
        <f t="shared" si="373"/>
        <v>10</v>
      </c>
      <c r="B4854" s="775" t="s">
        <v>2960</v>
      </c>
      <c r="C4854" s="731">
        <v>500000</v>
      </c>
      <c r="D4854" s="731">
        <v>500000</v>
      </c>
      <c r="E4854" s="731">
        <v>500000</v>
      </c>
      <c r="F4854" s="731">
        <f t="shared" si="374"/>
        <v>1500000</v>
      </c>
      <c r="G4854" s="731">
        <v>383000</v>
      </c>
      <c r="H4854" s="731">
        <v>500000</v>
      </c>
      <c r="I4854" s="731">
        <v>120000</v>
      </c>
      <c r="J4854" s="731"/>
      <c r="K4854" s="732"/>
      <c r="M4854" s="62" t="e">
        <f>IF(#REF!&gt;6,3,5)</f>
        <v>#REF!</v>
      </c>
    </row>
    <row r="4855" spans="1:13" ht="15" customHeight="1">
      <c r="A4855" s="788">
        <f t="shared" si="373"/>
        <v>11</v>
      </c>
      <c r="B4855" s="775" t="s">
        <v>3630</v>
      </c>
      <c r="C4855" s="731">
        <v>100000</v>
      </c>
      <c r="D4855" s="731">
        <v>100000</v>
      </c>
      <c r="E4855" s="731">
        <v>100000</v>
      </c>
      <c r="F4855" s="731">
        <f t="shared" si="374"/>
        <v>300000</v>
      </c>
      <c r="G4855" s="731">
        <v>85400</v>
      </c>
      <c r="H4855" s="731">
        <v>100000</v>
      </c>
      <c r="I4855" s="731">
        <v>50200</v>
      </c>
      <c r="J4855" s="731"/>
      <c r="K4855" s="732"/>
      <c r="M4855" s="62" t="e">
        <f>IF(#REF!&gt;6,3,5)</f>
        <v>#REF!</v>
      </c>
    </row>
    <row r="4856" spans="1:13" ht="15" customHeight="1">
      <c r="A4856" s="788">
        <f t="shared" si="373"/>
        <v>12</v>
      </c>
      <c r="B4856" s="775" t="s">
        <v>2688</v>
      </c>
      <c r="C4856" s="731">
        <v>3000000</v>
      </c>
      <c r="D4856" s="731">
        <v>3000000</v>
      </c>
      <c r="E4856" s="731">
        <v>3000000</v>
      </c>
      <c r="F4856" s="731">
        <f t="shared" si="374"/>
        <v>9000000</v>
      </c>
      <c r="G4856" s="731">
        <v>1680300</v>
      </c>
      <c r="H4856" s="731">
        <v>3000000</v>
      </c>
      <c r="I4856" s="731">
        <v>2478200</v>
      </c>
      <c r="J4856" s="731"/>
      <c r="K4856" s="732"/>
      <c r="M4856" s="62" t="e">
        <f>IF(#REF!&gt;6,3,5)</f>
        <v>#REF!</v>
      </c>
    </row>
    <row r="4857" spans="1:13" ht="15" customHeight="1">
      <c r="A4857" s="788">
        <f t="shared" si="373"/>
        <v>13</v>
      </c>
      <c r="B4857" s="775" t="s">
        <v>2249</v>
      </c>
      <c r="C4857" s="731">
        <v>100000</v>
      </c>
      <c r="D4857" s="731">
        <v>200000</v>
      </c>
      <c r="E4857" s="731">
        <v>200000</v>
      </c>
      <c r="F4857" s="731">
        <f t="shared" si="374"/>
        <v>500000</v>
      </c>
      <c r="G4857" s="731"/>
      <c r="H4857" s="731">
        <v>200000</v>
      </c>
      <c r="I4857" s="731"/>
      <c r="J4857" s="731"/>
      <c r="K4857" s="732"/>
      <c r="M4857" s="62" t="e">
        <f>IF(#REF!&gt;6,3,5)</f>
        <v>#REF!</v>
      </c>
    </row>
    <row r="4858" spans="1:13" ht="15" customHeight="1">
      <c r="A4858" s="788">
        <f t="shared" si="373"/>
        <v>14</v>
      </c>
      <c r="B4858" s="775" t="s">
        <v>1336</v>
      </c>
      <c r="C4858" s="731">
        <v>600000</v>
      </c>
      <c r="D4858" s="731">
        <v>500000</v>
      </c>
      <c r="E4858" s="731">
        <v>500000</v>
      </c>
      <c r="F4858" s="731">
        <f t="shared" si="374"/>
        <v>1600000</v>
      </c>
      <c r="G4858" s="731"/>
      <c r="H4858" s="731">
        <v>500000</v>
      </c>
      <c r="I4858" s="731"/>
      <c r="J4858" s="731"/>
      <c r="K4858" s="732"/>
      <c r="M4858" s="62" t="e">
        <f>IF(#REF!&gt;6,3,5)</f>
        <v>#REF!</v>
      </c>
    </row>
    <row r="4859" spans="1:13" ht="15" customHeight="1">
      <c r="A4859" s="788">
        <f t="shared" si="373"/>
        <v>15</v>
      </c>
      <c r="B4859" s="775" t="s">
        <v>2873</v>
      </c>
      <c r="C4859" s="731">
        <v>500000</v>
      </c>
      <c r="D4859" s="731">
        <v>500000</v>
      </c>
      <c r="E4859" s="731">
        <v>500000</v>
      </c>
      <c r="F4859" s="731">
        <f t="shared" si="374"/>
        <v>1500000</v>
      </c>
      <c r="G4859" s="731"/>
      <c r="H4859" s="731">
        <v>500000</v>
      </c>
      <c r="I4859" s="731"/>
      <c r="J4859" s="731"/>
      <c r="K4859" s="732"/>
      <c r="M4859" s="62" t="e">
        <f>IF(#REF!&gt;6,3,5)</f>
        <v>#REF!</v>
      </c>
    </row>
    <row r="4860" spans="1:13" ht="15" customHeight="1">
      <c r="A4860" s="788">
        <f t="shared" si="373"/>
        <v>16</v>
      </c>
      <c r="B4860" s="775" t="s">
        <v>501</v>
      </c>
      <c r="C4860" s="731">
        <v>1000000</v>
      </c>
      <c r="D4860" s="731">
        <v>2000000</v>
      </c>
      <c r="E4860" s="731">
        <v>2000000</v>
      </c>
      <c r="F4860" s="731">
        <f t="shared" si="374"/>
        <v>5000000</v>
      </c>
      <c r="G4860" s="731"/>
      <c r="H4860" s="731" t="s">
        <v>1386</v>
      </c>
      <c r="I4860" s="731"/>
      <c r="J4860" s="731"/>
      <c r="K4860" s="732"/>
      <c r="M4860" s="62" t="e">
        <f>IF(#REF!&gt;6,3,5)</f>
        <v>#REF!</v>
      </c>
    </row>
    <row r="4861" spans="1:13" ht="15" customHeight="1">
      <c r="A4861" s="788">
        <f t="shared" si="373"/>
        <v>17</v>
      </c>
      <c r="B4861" s="775" t="s">
        <v>502</v>
      </c>
      <c r="C4861" s="731">
        <v>700000</v>
      </c>
      <c r="D4861" s="731">
        <v>500000</v>
      </c>
      <c r="E4861" s="731">
        <v>500000</v>
      </c>
      <c r="F4861" s="731">
        <f t="shared" si="374"/>
        <v>1700000</v>
      </c>
      <c r="G4861" s="731">
        <v>300000</v>
      </c>
      <c r="H4861" s="731">
        <v>500000</v>
      </c>
      <c r="I4861" s="731">
        <v>0</v>
      </c>
      <c r="J4861" s="731"/>
      <c r="K4861" s="732"/>
      <c r="M4861" s="62" t="e">
        <f>IF(#REF!&gt;6,3,5)</f>
        <v>#REF!</v>
      </c>
    </row>
    <row r="4862" spans="1:13" ht="25.5">
      <c r="A4862" s="788">
        <f t="shared" si="373"/>
        <v>18</v>
      </c>
      <c r="B4862" s="775" t="s">
        <v>669</v>
      </c>
      <c r="C4862" s="731">
        <v>1500000</v>
      </c>
      <c r="D4862" s="731">
        <v>5000000</v>
      </c>
      <c r="E4862" s="731">
        <v>5000000</v>
      </c>
      <c r="F4862" s="731">
        <f t="shared" si="374"/>
        <v>11500000</v>
      </c>
      <c r="G4862" s="731"/>
      <c r="H4862" s="731">
        <v>1000000</v>
      </c>
      <c r="I4862" s="731"/>
      <c r="J4862" s="731"/>
      <c r="K4862" s="732"/>
      <c r="M4862" s="62" t="e">
        <f>IF(#REF!&gt;6,3,5)</f>
        <v>#REF!</v>
      </c>
    </row>
    <row r="4863" spans="1:13" ht="15" customHeight="1">
      <c r="A4863" s="788">
        <f t="shared" si="373"/>
        <v>19</v>
      </c>
      <c r="B4863" s="775" t="s">
        <v>211</v>
      </c>
      <c r="C4863" s="731">
        <v>1500000</v>
      </c>
      <c r="D4863" s="731">
        <v>2500000</v>
      </c>
      <c r="E4863" s="731">
        <v>2500000</v>
      </c>
      <c r="F4863" s="731">
        <f t="shared" si="374"/>
        <v>6500000</v>
      </c>
      <c r="G4863" s="731"/>
      <c r="H4863" s="731">
        <v>1000000</v>
      </c>
      <c r="I4863" s="731">
        <f>2000000</f>
        <v>2000000</v>
      </c>
      <c r="J4863" s="731"/>
      <c r="K4863" s="732"/>
      <c r="M4863" s="62" t="e">
        <f>IF(#REF!&gt;6,3,5)</f>
        <v>#REF!</v>
      </c>
    </row>
    <row r="4864" spans="1:13" ht="15" customHeight="1">
      <c r="A4864" s="788">
        <f t="shared" si="373"/>
        <v>20</v>
      </c>
      <c r="B4864" s="775" t="s">
        <v>670</v>
      </c>
      <c r="C4864" s="731">
        <v>100000000</v>
      </c>
      <c r="D4864" s="731">
        <v>160000000</v>
      </c>
      <c r="E4864" s="731">
        <v>160000000</v>
      </c>
      <c r="F4864" s="731">
        <f t="shared" si="374"/>
        <v>420000000</v>
      </c>
      <c r="G4864" s="731">
        <v>70186110</v>
      </c>
      <c r="H4864" s="731">
        <v>110000000</v>
      </c>
      <c r="I4864" s="731">
        <f>48720990+2000000</f>
        <v>50720990</v>
      </c>
      <c r="J4864" s="817">
        <v>48720990</v>
      </c>
      <c r="K4864" s="732"/>
      <c r="M4864" s="62" t="e">
        <f>IF(#REF!&gt;6,3,5)</f>
        <v>#REF!</v>
      </c>
    </row>
    <row r="4865" spans="1:13" ht="27" customHeight="1">
      <c r="A4865" s="788">
        <f t="shared" si="373"/>
        <v>21</v>
      </c>
      <c r="B4865" s="775" t="s">
        <v>671</v>
      </c>
      <c r="C4865" s="731">
        <v>3000000</v>
      </c>
      <c r="D4865" s="731">
        <v>3000000</v>
      </c>
      <c r="E4865" s="731">
        <v>3000000</v>
      </c>
      <c r="F4865" s="731">
        <f t="shared" si="374"/>
        <v>9000000</v>
      </c>
      <c r="G4865" s="731">
        <v>520000</v>
      </c>
      <c r="H4865" s="731">
        <v>1000000</v>
      </c>
      <c r="I4865" s="731">
        <v>891000</v>
      </c>
      <c r="J4865" s="731"/>
      <c r="K4865" s="732"/>
      <c r="M4865" s="62" t="e">
        <f>IF(#REF!&gt;6,3,5)</f>
        <v>#REF!</v>
      </c>
    </row>
    <row r="4866" spans="1:13" ht="15" customHeight="1">
      <c r="A4866" s="788">
        <f t="shared" si="373"/>
        <v>22</v>
      </c>
      <c r="B4866" s="775" t="s">
        <v>672</v>
      </c>
      <c r="C4866" s="731" t="s">
        <v>1386</v>
      </c>
      <c r="D4866" s="731">
        <v>350000000</v>
      </c>
      <c r="E4866" s="731">
        <v>350000000</v>
      </c>
      <c r="F4866" s="731">
        <f t="shared" si="374"/>
        <v>700000000</v>
      </c>
      <c r="G4866" s="731"/>
      <c r="H4866" s="731" t="s">
        <v>1386</v>
      </c>
      <c r="I4866" s="731"/>
      <c r="J4866" s="731"/>
      <c r="K4866" s="732"/>
      <c r="L4866" s="197"/>
      <c r="M4866" s="62" t="e">
        <f>IF(#REF!&gt;6,3,5)</f>
        <v>#REF!</v>
      </c>
    </row>
    <row r="4867" spans="1:13" ht="15" customHeight="1">
      <c r="A4867" s="788">
        <f>+A4866+1</f>
        <v>23</v>
      </c>
      <c r="B4867" s="775" t="s">
        <v>213</v>
      </c>
      <c r="C4867" s="731" t="s">
        <v>1386</v>
      </c>
      <c r="D4867" s="731"/>
      <c r="E4867" s="731"/>
      <c r="F4867" s="731">
        <f t="shared" si="374"/>
        <v>0</v>
      </c>
      <c r="G4867" s="731"/>
      <c r="H4867" s="731" t="s">
        <v>1386</v>
      </c>
      <c r="I4867" s="731"/>
      <c r="J4867" s="731"/>
      <c r="K4867" s="732"/>
      <c r="L4867" s="197"/>
      <c r="M4867" s="62" t="e">
        <f>IF(#REF!&gt;6,3,5)</f>
        <v>#REF!</v>
      </c>
    </row>
    <row r="4868" spans="1:13" ht="27.75" customHeight="1">
      <c r="A4868" s="788">
        <f>+A4867+1</f>
        <v>24</v>
      </c>
      <c r="B4868" s="775" t="s">
        <v>212</v>
      </c>
      <c r="C4868" s="731">
        <v>5000000</v>
      </c>
      <c r="D4868" s="731">
        <v>84000000</v>
      </c>
      <c r="E4868" s="731">
        <v>84000000</v>
      </c>
      <c r="F4868" s="731">
        <f t="shared" si="374"/>
        <v>173000000</v>
      </c>
      <c r="G4868" s="731"/>
      <c r="H4868" s="731">
        <v>5000000</v>
      </c>
      <c r="I4868" s="731"/>
      <c r="J4868" s="731"/>
      <c r="K4868" s="732"/>
      <c r="M4868" s="62" t="e">
        <f>IF(#REF!&gt;6,3,5)</f>
        <v>#REF!</v>
      </c>
    </row>
    <row r="4869" spans="1:13" ht="15" customHeight="1">
      <c r="A4869" s="788">
        <f t="shared" si="373"/>
        <v>25</v>
      </c>
      <c r="B4869" s="775" t="s">
        <v>2074</v>
      </c>
      <c r="C4869" s="731">
        <v>3000000</v>
      </c>
      <c r="D4869" s="731">
        <v>3000000</v>
      </c>
      <c r="E4869" s="731">
        <v>3000000</v>
      </c>
      <c r="F4869" s="731">
        <f t="shared" si="374"/>
        <v>9000000</v>
      </c>
      <c r="G4869" s="731">
        <v>1869000</v>
      </c>
      <c r="H4869" s="731">
        <v>1000000</v>
      </c>
      <c r="I4869" s="731">
        <v>404100</v>
      </c>
      <c r="J4869" s="731"/>
      <c r="K4869" s="732"/>
      <c r="M4869" s="62" t="e">
        <f>IF(#REF!&gt;6,3,5)</f>
        <v>#REF!</v>
      </c>
    </row>
    <row r="4870" spans="1:13" ht="15" customHeight="1">
      <c r="A4870" s="788">
        <f t="shared" si="373"/>
        <v>26</v>
      </c>
      <c r="B4870" s="775" t="s">
        <v>4232</v>
      </c>
      <c r="C4870" s="731" t="s">
        <v>1386</v>
      </c>
      <c r="D4870" s="731">
        <v>3600000</v>
      </c>
      <c r="E4870" s="731">
        <v>3600000</v>
      </c>
      <c r="F4870" s="731">
        <f>SUM(C4870:E4870)</f>
        <v>7200000</v>
      </c>
      <c r="G4870" s="731"/>
      <c r="H4870" s="731"/>
      <c r="I4870" s="731"/>
      <c r="J4870" s="731"/>
      <c r="K4870" s="732"/>
    </row>
    <row r="4871" spans="1:13" ht="15" customHeight="1">
      <c r="A4871" s="788"/>
      <c r="B4871" s="775"/>
      <c r="C4871" s="731"/>
      <c r="D4871" s="731"/>
      <c r="E4871" s="731"/>
      <c r="F4871" s="731"/>
      <c r="G4871" s="731"/>
      <c r="H4871" s="731"/>
      <c r="I4871" s="731"/>
      <c r="J4871" s="731"/>
      <c r="K4871" s="732"/>
      <c r="M4871" s="62" t="e">
        <f>IF(#REF!&gt;6,3,5)</f>
        <v>#REF!</v>
      </c>
    </row>
    <row r="4872" spans="1:13">
      <c r="A4872" s="818"/>
      <c r="B4872" s="819" t="s">
        <v>1684</v>
      </c>
      <c r="C4872" s="820">
        <f t="shared" ref="C4872:I4872" si="375">SUM(C4846:C4871)</f>
        <v>124000000</v>
      </c>
      <c r="D4872" s="820">
        <f t="shared" si="375"/>
        <v>621900000</v>
      </c>
      <c r="E4872" s="820">
        <f t="shared" si="375"/>
        <v>621900000</v>
      </c>
      <c r="F4872" s="820">
        <f t="shared" si="375"/>
        <v>1367800000</v>
      </c>
      <c r="G4872" s="820">
        <f>SUM(G4846:G4871)</f>
        <v>76739810</v>
      </c>
      <c r="H4872" s="820">
        <f t="shared" si="375"/>
        <v>127800000</v>
      </c>
      <c r="I4872" s="820">
        <f t="shared" si="375"/>
        <v>58768850</v>
      </c>
      <c r="J4872" s="820"/>
      <c r="K4872" s="821"/>
      <c r="M4872" s="62" t="e">
        <f>IF(#REF!&gt;6,3,5)</f>
        <v>#REF!</v>
      </c>
    </row>
    <row r="4873" spans="1:13" ht="15">
      <c r="D4873" s="164" t="s">
        <v>5434</v>
      </c>
      <c r="E4873" s="165"/>
      <c r="F4873" s="165"/>
      <c r="G4873" s="165"/>
      <c r="H4873" s="165"/>
      <c r="I4873" s="165"/>
      <c r="J4873" s="584"/>
      <c r="K4873" s="584"/>
      <c r="M4873" s="62" t="e">
        <f>IF(#REF!&gt;6,3,5)</f>
        <v>#REF!</v>
      </c>
    </row>
    <row r="4874" spans="1:13" ht="15">
      <c r="D4874" s="164" t="s">
        <v>1693</v>
      </c>
      <c r="E4874" s="62"/>
      <c r="F4874" s="62"/>
      <c r="G4874" s="186"/>
      <c r="H4874" s="186"/>
      <c r="I4874" s="186"/>
      <c r="J4874" s="584"/>
      <c r="K4874" s="584"/>
      <c r="M4874" s="62">
        <f>IF(C4875&gt;6,3,5)</f>
        <v>3</v>
      </c>
    </row>
    <row r="4875" spans="1:13" ht="15">
      <c r="C4875" s="176" t="s">
        <v>1811</v>
      </c>
      <c r="D4875" s="1063" t="s">
        <v>2238</v>
      </c>
      <c r="E4875" s="1064"/>
      <c r="F4875" s="1064"/>
      <c r="G4875" s="186"/>
      <c r="H4875" s="186"/>
      <c r="I4875" s="186"/>
      <c r="J4875" s="584"/>
      <c r="K4875" s="584"/>
    </row>
    <row r="4876" spans="1:13" ht="15.75" thickBot="1">
      <c r="C4876" s="79" t="s">
        <v>718</v>
      </c>
      <c r="D4876" s="164" t="s">
        <v>269</v>
      </c>
      <c r="E4876" s="186"/>
      <c r="F4876" s="186"/>
      <c r="G4876" s="186"/>
      <c r="H4876" s="186"/>
      <c r="I4876" s="186"/>
      <c r="J4876" s="584"/>
      <c r="K4876" s="584"/>
    </row>
    <row r="4877" spans="1:13" ht="15.75" thickTop="1">
      <c r="A4877" s="1047" t="s">
        <v>2791</v>
      </c>
      <c r="B4877" s="1049" t="s">
        <v>4126</v>
      </c>
      <c r="C4877" s="1049" t="s">
        <v>854</v>
      </c>
      <c r="D4877" s="1040" t="s">
        <v>4127</v>
      </c>
      <c r="E4877" s="1041"/>
      <c r="F4877" s="1041"/>
      <c r="G4877" s="1040" t="s">
        <v>904</v>
      </c>
      <c r="H4877" s="1041"/>
      <c r="I4877" s="1042"/>
      <c r="J4877" s="1035" t="s">
        <v>855</v>
      </c>
      <c r="K4877" s="389"/>
    </row>
    <row r="4878" spans="1:13" ht="26.25" thickBot="1">
      <c r="A4878" s="1048"/>
      <c r="B4878" s="1050"/>
      <c r="C4878" s="1050"/>
      <c r="D4878" s="285" t="s">
        <v>5505</v>
      </c>
      <c r="E4878" s="285" t="s">
        <v>4485</v>
      </c>
      <c r="F4878" s="285" t="s">
        <v>4486</v>
      </c>
      <c r="G4878" s="287" t="s">
        <v>4487</v>
      </c>
      <c r="H4878" s="285" t="s">
        <v>4488</v>
      </c>
      <c r="I4878" s="287" t="s">
        <v>4489</v>
      </c>
      <c r="J4878" s="1036"/>
      <c r="K4878" s="712"/>
    </row>
    <row r="4879" spans="1:13" ht="13.5" thickTop="1">
      <c r="A4879" s="88">
        <v>1</v>
      </c>
      <c r="B4879" s="262" t="s">
        <v>1982</v>
      </c>
      <c r="C4879" s="167">
        <v>6</v>
      </c>
      <c r="D4879" s="155">
        <v>1</v>
      </c>
      <c r="E4879" s="155">
        <v>1</v>
      </c>
      <c r="F4879" s="155">
        <v>1</v>
      </c>
      <c r="G4879" s="155">
        <v>1</v>
      </c>
      <c r="H4879" s="155">
        <v>1</v>
      </c>
      <c r="I4879" s="155">
        <v>1</v>
      </c>
      <c r="J4879" s="710">
        <f>(VLOOKUP($C4879,[2]Sheet1!$A$2:$P$18,$M4879+1)/12)*12*D4879</f>
        <v>238099.37893036497</v>
      </c>
      <c r="K4879" s="711"/>
      <c r="M4879" s="62">
        <f t="shared" ref="M4879:M4936" si="376">IF(C4879&gt;6,3,5)</f>
        <v>5</v>
      </c>
    </row>
    <row r="4880" spans="1:13">
      <c r="A4880" s="88">
        <f t="shared" ref="A4880:A4895" si="377">+A4879+1</f>
        <v>2</v>
      </c>
      <c r="B4880" s="262" t="s">
        <v>1250</v>
      </c>
      <c r="C4880" s="167">
        <v>5</v>
      </c>
      <c r="D4880" s="155">
        <v>1</v>
      </c>
      <c r="E4880" s="155">
        <v>1</v>
      </c>
      <c r="F4880" s="155">
        <v>1</v>
      </c>
      <c r="G4880" s="155">
        <v>1</v>
      </c>
      <c r="H4880" s="155">
        <v>1</v>
      </c>
      <c r="I4880" s="155">
        <v>1</v>
      </c>
      <c r="J4880" s="710">
        <f>(VLOOKUP($C4880,[2]Sheet1!$A$2:$P$18,$M4880+1)/12)*12*D4880</f>
        <v>229569.77893036499</v>
      </c>
      <c r="K4880" s="711"/>
      <c r="M4880" s="62">
        <f t="shared" si="376"/>
        <v>5</v>
      </c>
    </row>
    <row r="4881" spans="1:13">
      <c r="A4881" s="88">
        <f t="shared" si="377"/>
        <v>3</v>
      </c>
      <c r="B4881" s="262" t="s">
        <v>682</v>
      </c>
      <c r="C4881" s="167">
        <v>4</v>
      </c>
      <c r="D4881" s="155">
        <v>4</v>
      </c>
      <c r="E4881" s="155">
        <v>4</v>
      </c>
      <c r="F4881" s="155">
        <v>4</v>
      </c>
      <c r="G4881" s="155">
        <v>4</v>
      </c>
      <c r="H4881" s="155">
        <v>4</v>
      </c>
      <c r="I4881" s="155">
        <v>4</v>
      </c>
      <c r="J4881" s="710">
        <f>(VLOOKUP($C4881,[2]Sheet1!$A$2:$P$18,$M4881+1)/12)*12*D4881</f>
        <v>898171.91572146001</v>
      </c>
      <c r="K4881" s="711"/>
      <c r="M4881" s="62">
        <f t="shared" si="376"/>
        <v>5</v>
      </c>
    </row>
    <row r="4882" spans="1:13">
      <c r="A4882" s="88">
        <f t="shared" si="377"/>
        <v>4</v>
      </c>
      <c r="B4882" s="262" t="s">
        <v>4030</v>
      </c>
      <c r="C4882" s="167">
        <v>3</v>
      </c>
      <c r="D4882" s="155">
        <v>5</v>
      </c>
      <c r="E4882" s="155">
        <v>4</v>
      </c>
      <c r="F4882" s="155">
        <v>5</v>
      </c>
      <c r="G4882" s="155">
        <v>5</v>
      </c>
      <c r="H4882" s="155">
        <v>4</v>
      </c>
      <c r="I4882" s="155">
        <v>5</v>
      </c>
      <c r="J4882" s="710">
        <f>(VLOOKUP($C4882,[2]Sheet1!$A$2:$P$18,$M4882+1)/12)*12*D4882</f>
        <v>1096680.8946518248</v>
      </c>
      <c r="K4882" s="711"/>
      <c r="M4882" s="62">
        <f t="shared" si="376"/>
        <v>5</v>
      </c>
    </row>
    <row r="4883" spans="1:13">
      <c r="A4883" s="88">
        <f t="shared" si="377"/>
        <v>5</v>
      </c>
      <c r="B4883" s="262" t="s">
        <v>2543</v>
      </c>
      <c r="C4883" s="167">
        <v>3</v>
      </c>
      <c r="D4883" s="155">
        <v>2</v>
      </c>
      <c r="E4883" s="155">
        <v>3</v>
      </c>
      <c r="F4883" s="155">
        <v>2</v>
      </c>
      <c r="G4883" s="155">
        <v>2</v>
      </c>
      <c r="H4883" s="155">
        <v>3</v>
      </c>
      <c r="I4883" s="155">
        <v>2</v>
      </c>
      <c r="J4883" s="710">
        <f>(VLOOKUP($C4883,[2]Sheet1!$A$2:$P$18,$M4883+1)/12)*12*D4883</f>
        <v>438672.35786072997</v>
      </c>
      <c r="K4883" s="711"/>
      <c r="M4883" s="62">
        <f t="shared" si="376"/>
        <v>5</v>
      </c>
    </row>
    <row r="4884" spans="1:13">
      <c r="A4884" s="88">
        <f t="shared" si="377"/>
        <v>6</v>
      </c>
      <c r="B4884" s="262" t="s">
        <v>2543</v>
      </c>
      <c r="C4884" s="167">
        <v>2</v>
      </c>
      <c r="D4884" s="155">
        <v>1</v>
      </c>
      <c r="E4884" s="155">
        <v>2</v>
      </c>
      <c r="F4884" s="155">
        <v>1</v>
      </c>
      <c r="G4884" s="155">
        <v>1</v>
      </c>
      <c r="H4884" s="155">
        <v>2</v>
      </c>
      <c r="I4884" s="155">
        <v>1</v>
      </c>
      <c r="J4884" s="710">
        <f>(VLOOKUP($C4884,[2]Sheet1!$A$2:$P$18,$M4884+1)/12)*12*D4884</f>
        <v>214657.37893036503</v>
      </c>
      <c r="K4884" s="711"/>
      <c r="M4884" s="62">
        <f t="shared" si="376"/>
        <v>5</v>
      </c>
    </row>
    <row r="4885" spans="1:13">
      <c r="A4885" s="88">
        <f t="shared" si="377"/>
        <v>7</v>
      </c>
      <c r="B4885" s="262" t="s">
        <v>2442</v>
      </c>
      <c r="C4885" s="167">
        <v>7</v>
      </c>
      <c r="D4885" s="155">
        <v>3</v>
      </c>
      <c r="E4885" s="155">
        <v>1</v>
      </c>
      <c r="F4885" s="155">
        <v>3</v>
      </c>
      <c r="G4885" s="155">
        <v>3</v>
      </c>
      <c r="H4885" s="155">
        <v>1</v>
      </c>
      <c r="I4885" s="155">
        <v>3</v>
      </c>
      <c r="J4885" s="710">
        <f>(VLOOKUP($C4885,[2]Sheet1!$A$2:$P$18,$M4885+1)/12)*12*D4885</f>
        <v>923120.1072000002</v>
      </c>
      <c r="K4885" s="711"/>
      <c r="M4885" s="62">
        <f t="shared" si="376"/>
        <v>3</v>
      </c>
    </row>
    <row r="4886" spans="1:13">
      <c r="A4886" s="88">
        <f t="shared" si="377"/>
        <v>8</v>
      </c>
      <c r="B4886" s="262" t="s">
        <v>2597</v>
      </c>
      <c r="C4886" s="167">
        <v>3</v>
      </c>
      <c r="D4886" s="155">
        <v>3</v>
      </c>
      <c r="E4886" s="155">
        <v>3</v>
      </c>
      <c r="F4886" s="155">
        <v>3</v>
      </c>
      <c r="G4886" s="155">
        <v>3</v>
      </c>
      <c r="H4886" s="155">
        <v>3</v>
      </c>
      <c r="I4886" s="155">
        <v>3</v>
      </c>
      <c r="J4886" s="710">
        <f>(VLOOKUP($C4886,[2]Sheet1!$A$2:$P$18,$M4886+1)/12)*12*D4886</f>
        <v>658008.53679109493</v>
      </c>
      <c r="K4886" s="711"/>
      <c r="M4886" s="62">
        <f t="shared" si="376"/>
        <v>5</v>
      </c>
    </row>
    <row r="4887" spans="1:13">
      <c r="A4887" s="88">
        <f t="shared" si="377"/>
        <v>9</v>
      </c>
      <c r="B4887" s="262" t="s">
        <v>3861</v>
      </c>
      <c r="C4887" s="167">
        <v>2</v>
      </c>
      <c r="D4887" s="155">
        <v>1</v>
      </c>
      <c r="E4887" s="155">
        <v>4</v>
      </c>
      <c r="F4887" s="155">
        <v>1</v>
      </c>
      <c r="G4887" s="155">
        <v>1</v>
      </c>
      <c r="H4887" s="155">
        <v>4</v>
      </c>
      <c r="I4887" s="155">
        <v>1</v>
      </c>
      <c r="J4887" s="710">
        <f>(VLOOKUP($C4887,[2]Sheet1!$A$2:$P$18,$M4887+1)/12)*12*D4887</f>
        <v>214657.37893036503</v>
      </c>
      <c r="K4887" s="711"/>
      <c r="M4887" s="62">
        <f t="shared" si="376"/>
        <v>5</v>
      </c>
    </row>
    <row r="4888" spans="1:13">
      <c r="A4888" s="88">
        <f t="shared" si="377"/>
        <v>10</v>
      </c>
      <c r="B4888" s="262" t="s">
        <v>2172</v>
      </c>
      <c r="C4888" s="167">
        <v>3</v>
      </c>
      <c r="D4888" s="155">
        <v>1</v>
      </c>
      <c r="E4888" s="155">
        <v>1</v>
      </c>
      <c r="F4888" s="155">
        <v>1</v>
      </c>
      <c r="G4888" s="155">
        <v>1</v>
      </c>
      <c r="H4888" s="155">
        <v>1</v>
      </c>
      <c r="I4888" s="155">
        <v>1</v>
      </c>
      <c r="J4888" s="710">
        <f>(VLOOKUP($C4888,[2]Sheet1!$A$2:$P$18,$M4888+1)/12)*12*D4888</f>
        <v>219336.17893036499</v>
      </c>
      <c r="K4888" s="711"/>
      <c r="M4888" s="62">
        <f t="shared" si="376"/>
        <v>5</v>
      </c>
    </row>
    <row r="4889" spans="1:13">
      <c r="A4889" s="88">
        <f t="shared" si="377"/>
        <v>11</v>
      </c>
      <c r="B4889" s="262" t="s">
        <v>2172</v>
      </c>
      <c r="C4889" s="167">
        <v>2</v>
      </c>
      <c r="D4889" s="155">
        <v>7</v>
      </c>
      <c r="E4889" s="155">
        <v>8</v>
      </c>
      <c r="F4889" s="155">
        <v>7</v>
      </c>
      <c r="G4889" s="155">
        <v>7</v>
      </c>
      <c r="H4889" s="155">
        <v>8</v>
      </c>
      <c r="I4889" s="155">
        <v>7</v>
      </c>
      <c r="J4889" s="710">
        <f>(VLOOKUP($C4889,[2]Sheet1!$A$2:$P$18,$M4889+1)/12)*12*D4889</f>
        <v>1502601.6525125552</v>
      </c>
      <c r="K4889" s="711"/>
      <c r="M4889" s="62">
        <f t="shared" si="376"/>
        <v>5</v>
      </c>
    </row>
    <row r="4890" spans="1:13">
      <c r="A4890" s="88"/>
      <c r="B4890" s="261" t="s">
        <v>1963</v>
      </c>
      <c r="C4890" s="167"/>
      <c r="D4890" s="155"/>
      <c r="E4890" s="155"/>
      <c r="F4890" s="155"/>
      <c r="G4890" s="155"/>
      <c r="H4890" s="155"/>
      <c r="I4890" s="155"/>
      <c r="J4890" s="710"/>
      <c r="K4890" s="711"/>
      <c r="M4890" s="62">
        <f t="shared" si="376"/>
        <v>5</v>
      </c>
    </row>
    <row r="4891" spans="1:13" ht="12.75" customHeight="1">
      <c r="A4891" s="88">
        <f>+A4889+1</f>
        <v>12</v>
      </c>
      <c r="B4891" s="262" t="s">
        <v>2013</v>
      </c>
      <c r="C4891" s="167">
        <v>12</v>
      </c>
      <c r="D4891" s="155">
        <v>1</v>
      </c>
      <c r="E4891" s="155">
        <v>1</v>
      </c>
      <c r="F4891" s="155">
        <v>1</v>
      </c>
      <c r="G4891" s="155">
        <v>1</v>
      </c>
      <c r="H4891" s="155">
        <v>1</v>
      </c>
      <c r="I4891" s="155">
        <v>1</v>
      </c>
      <c r="J4891" s="710">
        <f>(VLOOKUP($C4891,[2]Sheet1!$A$2:$P$18,$M4891+1)/12)*12*D4891</f>
        <v>552685.0537200002</v>
      </c>
      <c r="K4891" s="711"/>
      <c r="M4891" s="62">
        <f t="shared" si="376"/>
        <v>3</v>
      </c>
    </row>
    <row r="4892" spans="1:13">
      <c r="A4892" s="88">
        <f t="shared" si="377"/>
        <v>13</v>
      </c>
      <c r="B4892" s="262" t="s">
        <v>2014</v>
      </c>
      <c r="C4892" s="167">
        <v>10</v>
      </c>
      <c r="D4892" s="155">
        <v>0</v>
      </c>
      <c r="E4892" s="155">
        <v>0</v>
      </c>
      <c r="F4892" s="155">
        <v>0</v>
      </c>
      <c r="G4892" s="155">
        <v>0</v>
      </c>
      <c r="H4892" s="155">
        <v>0</v>
      </c>
      <c r="I4892" s="155">
        <v>0</v>
      </c>
      <c r="J4892" s="710">
        <f>(VLOOKUP($C4892,[2]Sheet1!$A$2:$P$18,$M4892+1)/12)*12*D4892</f>
        <v>0</v>
      </c>
      <c r="K4892" s="711"/>
      <c r="M4892" s="62">
        <f t="shared" si="376"/>
        <v>3</v>
      </c>
    </row>
    <row r="4893" spans="1:13">
      <c r="A4893" s="88">
        <f t="shared" si="377"/>
        <v>14</v>
      </c>
      <c r="B4893" s="262" t="s">
        <v>419</v>
      </c>
      <c r="C4893" s="167">
        <v>9</v>
      </c>
      <c r="D4893" s="155">
        <v>1</v>
      </c>
      <c r="E4893" s="155">
        <v>1</v>
      </c>
      <c r="F4893" s="155">
        <v>1</v>
      </c>
      <c r="G4893" s="155">
        <v>1</v>
      </c>
      <c r="H4893" s="155">
        <v>1</v>
      </c>
      <c r="I4893" s="155">
        <v>1</v>
      </c>
      <c r="J4893" s="710">
        <f>(VLOOKUP($C4893,[2]Sheet1!$A$2:$P$18,$M4893+1)/12)*12*D4893</f>
        <v>409681.90619999997</v>
      </c>
      <c r="K4893" s="711"/>
      <c r="M4893" s="62">
        <f t="shared" si="376"/>
        <v>3</v>
      </c>
    </row>
    <row r="4894" spans="1:13">
      <c r="A4894" s="88">
        <f t="shared" si="377"/>
        <v>15</v>
      </c>
      <c r="B4894" s="262" t="s">
        <v>420</v>
      </c>
      <c r="C4894" s="167">
        <v>8</v>
      </c>
      <c r="D4894" s="155">
        <v>2</v>
      </c>
      <c r="E4894" s="155">
        <v>3</v>
      </c>
      <c r="F4894" s="155">
        <v>2</v>
      </c>
      <c r="G4894" s="155">
        <v>2</v>
      </c>
      <c r="H4894" s="155">
        <v>2</v>
      </c>
      <c r="I4894" s="155">
        <v>2</v>
      </c>
      <c r="J4894" s="710">
        <f>(VLOOKUP($C4894,[2]Sheet1!$A$2:$P$18,$M4894+1)/12)*12*D4894</f>
        <v>684282.54816000001</v>
      </c>
      <c r="K4894" s="711"/>
      <c r="M4894" s="62">
        <f t="shared" si="376"/>
        <v>3</v>
      </c>
    </row>
    <row r="4895" spans="1:13">
      <c r="A4895" s="88">
        <f t="shared" si="377"/>
        <v>16</v>
      </c>
      <c r="B4895" s="262" t="s">
        <v>421</v>
      </c>
      <c r="C4895" s="167">
        <v>7</v>
      </c>
      <c r="D4895" s="155">
        <v>2</v>
      </c>
      <c r="E4895" s="155">
        <v>2</v>
      </c>
      <c r="F4895" s="155">
        <v>2</v>
      </c>
      <c r="G4895" s="155">
        <v>2</v>
      </c>
      <c r="H4895" s="155">
        <v>2</v>
      </c>
      <c r="I4895" s="155">
        <v>2</v>
      </c>
      <c r="J4895" s="710">
        <f>(VLOOKUP($C4895,[2]Sheet1!$A$2:$P$18,$M4895+1)/12)*12*D4895</f>
        <v>615413.40480000013</v>
      </c>
      <c r="K4895" s="711"/>
      <c r="M4895" s="62">
        <f t="shared" si="376"/>
        <v>3</v>
      </c>
    </row>
    <row r="4896" spans="1:13">
      <c r="A4896" s="88"/>
      <c r="B4896" s="261" t="s">
        <v>2743</v>
      </c>
      <c r="C4896" s="167"/>
      <c r="D4896" s="155"/>
      <c r="E4896" s="155"/>
      <c r="F4896" s="155"/>
      <c r="G4896" s="155"/>
      <c r="H4896" s="155"/>
      <c r="I4896" s="155"/>
      <c r="J4896" s="710"/>
      <c r="K4896" s="711"/>
      <c r="M4896" s="62">
        <f t="shared" si="376"/>
        <v>5</v>
      </c>
    </row>
    <row r="4897" spans="1:13">
      <c r="A4897" s="88">
        <f>+A4895+1</f>
        <v>17</v>
      </c>
      <c r="B4897" s="262" t="s">
        <v>3532</v>
      </c>
      <c r="C4897" s="167">
        <v>16</v>
      </c>
      <c r="D4897" s="155">
        <v>1</v>
      </c>
      <c r="E4897" s="155">
        <v>1</v>
      </c>
      <c r="F4897" s="155">
        <v>1</v>
      </c>
      <c r="G4897" s="155">
        <v>1</v>
      </c>
      <c r="H4897" s="155">
        <v>1</v>
      </c>
      <c r="I4897" s="155">
        <v>1</v>
      </c>
      <c r="J4897" s="710">
        <f>(VLOOKUP($C4897,[2]Sheet1!$A$2:$P$18,$M4897+1)/12)*12*D4897</f>
        <v>677281.26084</v>
      </c>
      <c r="K4897" s="711"/>
      <c r="M4897" s="62">
        <f t="shared" si="376"/>
        <v>3</v>
      </c>
    </row>
    <row r="4898" spans="1:13">
      <c r="A4898" s="88">
        <f t="shared" ref="A4898:A4938" si="378">+A4897+1</f>
        <v>18</v>
      </c>
      <c r="B4898" s="262" t="s">
        <v>1256</v>
      </c>
      <c r="C4898" s="167">
        <v>15</v>
      </c>
      <c r="D4898" s="155">
        <v>1</v>
      </c>
      <c r="E4898" s="155">
        <v>2</v>
      </c>
      <c r="F4898" s="155">
        <v>1</v>
      </c>
      <c r="G4898" s="155">
        <v>1</v>
      </c>
      <c r="H4898" s="155">
        <v>2</v>
      </c>
      <c r="I4898" s="155">
        <v>1</v>
      </c>
      <c r="J4898" s="710">
        <f>(VLOOKUP($C4898,[2]Sheet1!$A$2:$P$18,$M4898+1)/12)*12*D4898</f>
        <v>658331.89992</v>
      </c>
      <c r="K4898" s="711"/>
      <c r="M4898" s="62">
        <f t="shared" si="376"/>
        <v>3</v>
      </c>
    </row>
    <row r="4899" spans="1:13">
      <c r="A4899" s="88">
        <f t="shared" si="378"/>
        <v>19</v>
      </c>
      <c r="B4899" s="262" t="s">
        <v>148</v>
      </c>
      <c r="C4899" s="167">
        <v>14</v>
      </c>
      <c r="D4899" s="155">
        <v>2</v>
      </c>
      <c r="E4899" s="155">
        <v>3</v>
      </c>
      <c r="F4899" s="155">
        <v>2</v>
      </c>
      <c r="G4899" s="155">
        <v>2</v>
      </c>
      <c r="H4899" s="155">
        <v>3</v>
      </c>
      <c r="I4899" s="155">
        <v>2</v>
      </c>
      <c r="J4899" s="710">
        <f>(VLOOKUP($C4899,[2]Sheet1!$A$2:$P$18,$M4899+1)/12)*12*D4899</f>
        <v>1338198.81648</v>
      </c>
      <c r="K4899" s="711"/>
      <c r="M4899" s="62">
        <f t="shared" si="376"/>
        <v>3</v>
      </c>
    </row>
    <row r="4900" spans="1:13">
      <c r="A4900" s="88">
        <f t="shared" si="378"/>
        <v>20</v>
      </c>
      <c r="B4900" s="262" t="s">
        <v>969</v>
      </c>
      <c r="C4900" s="167">
        <v>13</v>
      </c>
      <c r="D4900" s="155">
        <v>3</v>
      </c>
      <c r="E4900" s="155">
        <v>4</v>
      </c>
      <c r="F4900" s="155">
        <v>3</v>
      </c>
      <c r="G4900" s="155">
        <v>3</v>
      </c>
      <c r="H4900" s="155">
        <v>3</v>
      </c>
      <c r="I4900" s="155">
        <v>3</v>
      </c>
      <c r="J4900" s="710">
        <f>(VLOOKUP($C4900,[2]Sheet1!$A$2:$P$18,$M4900+1)/12)*12*D4900</f>
        <v>1886278.61412</v>
      </c>
      <c r="K4900" s="711"/>
      <c r="M4900" s="62">
        <f t="shared" si="376"/>
        <v>3</v>
      </c>
    </row>
    <row r="4901" spans="1:13">
      <c r="A4901" s="88">
        <f t="shared" si="378"/>
        <v>21</v>
      </c>
      <c r="B4901" s="262" t="s">
        <v>1080</v>
      </c>
      <c r="C4901" s="167">
        <v>12</v>
      </c>
      <c r="D4901" s="155">
        <v>3</v>
      </c>
      <c r="E4901" s="155">
        <v>4</v>
      </c>
      <c r="F4901" s="155">
        <v>3</v>
      </c>
      <c r="G4901" s="155">
        <v>3</v>
      </c>
      <c r="H4901" s="155">
        <v>4</v>
      </c>
      <c r="I4901" s="155">
        <v>3</v>
      </c>
      <c r="J4901" s="710">
        <f>(VLOOKUP($C4901,[2]Sheet1!$A$2:$P$18,$M4901+1)/12)*12*D4901</f>
        <v>1658055.1611600006</v>
      </c>
      <c r="K4901" s="711"/>
      <c r="M4901" s="62">
        <f t="shared" si="376"/>
        <v>3</v>
      </c>
    </row>
    <row r="4902" spans="1:13">
      <c r="A4902" s="88">
        <f t="shared" si="378"/>
        <v>22</v>
      </c>
      <c r="B4902" s="262" t="s">
        <v>1081</v>
      </c>
      <c r="C4902" s="167">
        <v>10</v>
      </c>
      <c r="D4902" s="155">
        <v>3</v>
      </c>
      <c r="E4902" s="155">
        <v>4</v>
      </c>
      <c r="F4902" s="155">
        <v>3</v>
      </c>
      <c r="G4902" s="155">
        <v>3</v>
      </c>
      <c r="H4902" s="155">
        <v>4</v>
      </c>
      <c r="I4902" s="155">
        <v>3</v>
      </c>
      <c r="J4902" s="710">
        <f>(VLOOKUP($C4902,[2]Sheet1!$A$2:$P$18,$M4902+1)/12)*12*D4902</f>
        <v>1451923.7061600003</v>
      </c>
      <c r="K4902" s="711"/>
      <c r="M4902" s="62">
        <f t="shared" si="376"/>
        <v>3</v>
      </c>
    </row>
    <row r="4903" spans="1:13">
      <c r="A4903" s="88">
        <f t="shared" si="378"/>
        <v>23</v>
      </c>
      <c r="B4903" s="262" t="s">
        <v>1082</v>
      </c>
      <c r="C4903" s="167">
        <v>9</v>
      </c>
      <c r="D4903" s="155">
        <v>2</v>
      </c>
      <c r="E4903" s="155">
        <v>2</v>
      </c>
      <c r="F4903" s="155">
        <v>2</v>
      </c>
      <c r="G4903" s="155">
        <v>2</v>
      </c>
      <c r="H4903" s="155">
        <v>1</v>
      </c>
      <c r="I4903" s="155">
        <v>2</v>
      </c>
      <c r="J4903" s="710">
        <f>(VLOOKUP($C4903,[2]Sheet1!$A$2:$P$18,$M4903+1)/12)*12*D4903</f>
        <v>819363.81239999994</v>
      </c>
      <c r="K4903" s="711"/>
      <c r="M4903" s="62">
        <f t="shared" si="376"/>
        <v>3</v>
      </c>
    </row>
    <row r="4904" spans="1:13">
      <c r="A4904" s="88">
        <f t="shared" si="378"/>
        <v>24</v>
      </c>
      <c r="B4904" s="262" t="s">
        <v>1083</v>
      </c>
      <c r="C4904" s="167">
        <v>8</v>
      </c>
      <c r="D4904" s="155">
        <v>4</v>
      </c>
      <c r="E4904" s="155">
        <v>4</v>
      </c>
      <c r="F4904" s="155">
        <v>4</v>
      </c>
      <c r="G4904" s="155">
        <v>4</v>
      </c>
      <c r="H4904" s="155">
        <v>3</v>
      </c>
      <c r="I4904" s="155">
        <v>4</v>
      </c>
      <c r="J4904" s="710">
        <f>(VLOOKUP($C4904,[2]Sheet1!$A$2:$P$18,$M4904+1)/12)*12*D4904</f>
        <v>1368565.09632</v>
      </c>
      <c r="K4904" s="711"/>
      <c r="M4904" s="62">
        <f t="shared" si="376"/>
        <v>3</v>
      </c>
    </row>
    <row r="4905" spans="1:13">
      <c r="A4905" s="88">
        <f t="shared" si="378"/>
        <v>25</v>
      </c>
      <c r="B4905" s="262" t="s">
        <v>971</v>
      </c>
      <c r="C4905" s="167">
        <v>7</v>
      </c>
      <c r="D4905" s="155">
        <v>0</v>
      </c>
      <c r="E4905" s="155">
        <v>0</v>
      </c>
      <c r="F4905" s="155">
        <v>0</v>
      </c>
      <c r="G4905" s="155">
        <v>0</v>
      </c>
      <c r="H4905" s="155">
        <v>0</v>
      </c>
      <c r="I4905" s="155">
        <v>0</v>
      </c>
      <c r="J4905" s="710">
        <f>(VLOOKUP($C4905,[2]Sheet1!$A$2:$P$18,$M4905+1)/12)*12*D4905</f>
        <v>0</v>
      </c>
      <c r="K4905" s="711"/>
      <c r="M4905" s="62">
        <f t="shared" si="376"/>
        <v>3</v>
      </c>
    </row>
    <row r="4906" spans="1:13">
      <c r="A4906" s="88">
        <f t="shared" si="378"/>
        <v>26</v>
      </c>
      <c r="B4906" s="262" t="s">
        <v>1118</v>
      </c>
      <c r="C4906" s="167">
        <v>6</v>
      </c>
      <c r="D4906" s="155">
        <v>0</v>
      </c>
      <c r="E4906" s="155">
        <v>0</v>
      </c>
      <c r="F4906" s="155">
        <v>0</v>
      </c>
      <c r="G4906" s="155">
        <v>0</v>
      </c>
      <c r="H4906" s="155">
        <v>0</v>
      </c>
      <c r="I4906" s="155">
        <v>0</v>
      </c>
      <c r="J4906" s="710">
        <f>(VLOOKUP($C4906,[2]Sheet1!$A$2:$P$18,$M4906+1)/12)*12*D4906</f>
        <v>0</v>
      </c>
      <c r="K4906" s="711"/>
      <c r="M4906" s="62">
        <f t="shared" si="376"/>
        <v>5</v>
      </c>
    </row>
    <row r="4907" spans="1:13">
      <c r="A4907" s="88"/>
      <c r="B4907" s="261" t="s">
        <v>693</v>
      </c>
      <c r="C4907" s="167"/>
      <c r="D4907" s="155"/>
      <c r="E4907" s="155"/>
      <c r="F4907" s="155"/>
      <c r="G4907" s="155"/>
      <c r="H4907" s="155"/>
      <c r="I4907" s="155"/>
      <c r="J4907" s="710"/>
      <c r="K4907" s="711"/>
      <c r="M4907" s="62">
        <f t="shared" si="376"/>
        <v>5</v>
      </c>
    </row>
    <row r="4908" spans="1:13">
      <c r="A4908" s="88">
        <f>+A4906+1</f>
        <v>27</v>
      </c>
      <c r="B4908" s="262" t="s">
        <v>2182</v>
      </c>
      <c r="C4908" s="167">
        <v>13</v>
      </c>
      <c r="D4908" s="155">
        <v>1</v>
      </c>
      <c r="E4908" s="155">
        <v>1</v>
      </c>
      <c r="F4908" s="155">
        <v>1</v>
      </c>
      <c r="G4908" s="155">
        <v>1</v>
      </c>
      <c r="H4908" s="155">
        <v>1</v>
      </c>
      <c r="I4908" s="155">
        <v>1</v>
      </c>
      <c r="J4908" s="710">
        <f>(VLOOKUP($C4908,[2]Sheet1!$A$2:$P$18,$M4908+1)/12)*12*D4908</f>
        <v>628759.53804000001</v>
      </c>
      <c r="K4908" s="711"/>
      <c r="M4908" s="62">
        <f t="shared" si="376"/>
        <v>3</v>
      </c>
    </row>
    <row r="4909" spans="1:13">
      <c r="A4909" s="88">
        <f t="shared" si="378"/>
        <v>28</v>
      </c>
      <c r="B4909" s="262" t="s">
        <v>2183</v>
      </c>
      <c r="C4909" s="167">
        <v>12</v>
      </c>
      <c r="D4909" s="155">
        <v>0</v>
      </c>
      <c r="E4909" s="155">
        <v>0</v>
      </c>
      <c r="F4909" s="155">
        <v>0</v>
      </c>
      <c r="G4909" s="155">
        <v>0</v>
      </c>
      <c r="H4909" s="155">
        <v>0</v>
      </c>
      <c r="I4909" s="155">
        <v>0</v>
      </c>
      <c r="J4909" s="710">
        <f>(VLOOKUP($C4909,[2]Sheet1!$A$2:$P$18,$M4909+1)/12)*12*D4909</f>
        <v>0</v>
      </c>
      <c r="K4909" s="711"/>
      <c r="M4909" s="62">
        <f t="shared" si="376"/>
        <v>3</v>
      </c>
    </row>
    <row r="4910" spans="1:13">
      <c r="A4910" s="88">
        <f t="shared" si="378"/>
        <v>29</v>
      </c>
      <c r="B4910" s="262" t="s">
        <v>2184</v>
      </c>
      <c r="C4910" s="167">
        <v>10</v>
      </c>
      <c r="D4910" s="155">
        <v>2</v>
      </c>
      <c r="E4910" s="155">
        <v>2</v>
      </c>
      <c r="F4910" s="155">
        <v>2</v>
      </c>
      <c r="G4910" s="155">
        <v>2</v>
      </c>
      <c r="H4910" s="155">
        <v>2</v>
      </c>
      <c r="I4910" s="155">
        <v>2</v>
      </c>
      <c r="J4910" s="710">
        <f>(VLOOKUP($C4910,[2]Sheet1!$A$2:$P$18,$M4910+1)/12)*12*D4910</f>
        <v>967949.1374400002</v>
      </c>
      <c r="K4910" s="711"/>
      <c r="M4910" s="62">
        <f t="shared" si="376"/>
        <v>3</v>
      </c>
    </row>
    <row r="4911" spans="1:13">
      <c r="A4911" s="88">
        <f t="shared" si="378"/>
        <v>30</v>
      </c>
      <c r="B4911" s="262" t="s">
        <v>1362</v>
      </c>
      <c r="C4911" s="167">
        <v>9</v>
      </c>
      <c r="D4911" s="155">
        <v>2</v>
      </c>
      <c r="E4911" s="155">
        <v>2</v>
      </c>
      <c r="F4911" s="155">
        <v>2</v>
      </c>
      <c r="G4911" s="155">
        <v>2</v>
      </c>
      <c r="H4911" s="155">
        <v>2</v>
      </c>
      <c r="I4911" s="155">
        <v>2</v>
      </c>
      <c r="J4911" s="710">
        <f>(VLOOKUP($C4911,[2]Sheet1!$A$2:$P$18,$M4911+1)/12)*12*D4911</f>
        <v>819363.81239999994</v>
      </c>
      <c r="K4911" s="711"/>
      <c r="M4911" s="62">
        <f t="shared" si="376"/>
        <v>3</v>
      </c>
    </row>
    <row r="4912" spans="1:13">
      <c r="A4912" s="88">
        <f t="shared" si="378"/>
        <v>31</v>
      </c>
      <c r="B4912" s="262" t="s">
        <v>1363</v>
      </c>
      <c r="C4912" s="167">
        <v>8</v>
      </c>
      <c r="D4912" s="155">
        <v>1</v>
      </c>
      <c r="E4912" s="155">
        <v>1</v>
      </c>
      <c r="F4912" s="155">
        <v>1</v>
      </c>
      <c r="G4912" s="155">
        <v>1</v>
      </c>
      <c r="H4912" s="155">
        <v>1</v>
      </c>
      <c r="I4912" s="155">
        <v>1</v>
      </c>
      <c r="J4912" s="710">
        <f>(VLOOKUP($C4912,[2]Sheet1!$A$2:$P$18,$M4912+1)/12)*12*D4912</f>
        <v>342141.27408</v>
      </c>
      <c r="K4912" s="711"/>
      <c r="M4912" s="62">
        <f t="shared" si="376"/>
        <v>3</v>
      </c>
    </row>
    <row r="4913" spans="1:13">
      <c r="A4913" s="88">
        <f t="shared" si="378"/>
        <v>32</v>
      </c>
      <c r="B4913" s="262" t="s">
        <v>1364</v>
      </c>
      <c r="C4913" s="167">
        <v>7</v>
      </c>
      <c r="D4913" s="155">
        <v>3</v>
      </c>
      <c r="E4913" s="155">
        <v>3</v>
      </c>
      <c r="F4913" s="155">
        <v>3</v>
      </c>
      <c r="G4913" s="155">
        <v>3</v>
      </c>
      <c r="H4913" s="155">
        <v>3</v>
      </c>
      <c r="I4913" s="155">
        <v>3</v>
      </c>
      <c r="J4913" s="710">
        <f>(VLOOKUP($C4913,[2]Sheet1!$A$2:$P$18,$M4913+1)/12)*12*D4913</f>
        <v>923120.1072000002</v>
      </c>
      <c r="K4913" s="711"/>
      <c r="M4913" s="62">
        <f t="shared" si="376"/>
        <v>3</v>
      </c>
    </row>
    <row r="4914" spans="1:13">
      <c r="A4914" s="88">
        <f t="shared" si="378"/>
        <v>33</v>
      </c>
      <c r="B4914" s="262" t="s">
        <v>844</v>
      </c>
      <c r="C4914" s="167">
        <v>6</v>
      </c>
      <c r="D4914" s="155">
        <v>1</v>
      </c>
      <c r="E4914" s="155">
        <v>1</v>
      </c>
      <c r="F4914" s="155">
        <v>1</v>
      </c>
      <c r="G4914" s="155">
        <v>1</v>
      </c>
      <c r="H4914" s="155">
        <v>1</v>
      </c>
      <c r="I4914" s="155">
        <v>1</v>
      </c>
      <c r="J4914" s="710">
        <f>(VLOOKUP($C4914,[2]Sheet1!$A$2:$P$18,$M4914+1)/12)*12*D4914</f>
        <v>238099.37893036497</v>
      </c>
      <c r="K4914" s="711"/>
      <c r="M4914" s="62">
        <f t="shared" si="376"/>
        <v>5</v>
      </c>
    </row>
    <row r="4915" spans="1:13" ht="13.5" thickBot="1">
      <c r="A4915" s="88">
        <f t="shared" si="378"/>
        <v>34</v>
      </c>
      <c r="B4915" s="262" t="s">
        <v>845</v>
      </c>
      <c r="C4915" s="167">
        <v>3</v>
      </c>
      <c r="D4915" s="155">
        <v>3</v>
      </c>
      <c r="E4915" s="155">
        <v>3</v>
      </c>
      <c r="F4915" s="155">
        <v>3</v>
      </c>
      <c r="G4915" s="155">
        <v>3</v>
      </c>
      <c r="H4915" s="155">
        <v>3</v>
      </c>
      <c r="I4915" s="155">
        <v>3</v>
      </c>
      <c r="J4915" s="710">
        <f>(VLOOKUP($C4915,[2]Sheet1!$A$2:$P$18,$M4915+1)/12)*12*D4915</f>
        <v>658008.53679109493</v>
      </c>
      <c r="K4915" s="711"/>
      <c r="M4915" s="62">
        <f t="shared" si="376"/>
        <v>5</v>
      </c>
    </row>
    <row r="4916" spans="1:13" ht="15.75" thickTop="1">
      <c r="A4916" s="1047" t="s">
        <v>2791</v>
      </c>
      <c r="B4916" s="1049" t="s">
        <v>4126</v>
      </c>
      <c r="C4916" s="1049" t="s">
        <v>854</v>
      </c>
      <c r="D4916" s="1040" t="s">
        <v>4127</v>
      </c>
      <c r="E4916" s="1041"/>
      <c r="F4916" s="1041"/>
      <c r="G4916" s="1040" t="s">
        <v>904</v>
      </c>
      <c r="H4916" s="1041"/>
      <c r="I4916" s="1042"/>
      <c r="J4916" s="1035" t="s">
        <v>855</v>
      </c>
      <c r="K4916" s="389"/>
    </row>
    <row r="4917" spans="1:13" ht="26.25" thickBot="1">
      <c r="A4917" s="1048"/>
      <c r="B4917" s="1050"/>
      <c r="C4917" s="1050"/>
      <c r="D4917" s="285" t="s">
        <v>5505</v>
      </c>
      <c r="E4917" s="285" t="s">
        <v>4485</v>
      </c>
      <c r="F4917" s="285" t="s">
        <v>4486</v>
      </c>
      <c r="G4917" s="287" t="s">
        <v>4487</v>
      </c>
      <c r="H4917" s="285" t="s">
        <v>4488</v>
      </c>
      <c r="I4917" s="287" t="s">
        <v>4489</v>
      </c>
      <c r="J4917" s="1036"/>
      <c r="K4917" s="712"/>
    </row>
    <row r="4918" spans="1:13" ht="13.5" thickTop="1">
      <c r="A4918" s="88"/>
      <c r="B4918" s="261" t="s">
        <v>2086</v>
      </c>
      <c r="C4918" s="167"/>
      <c r="D4918" s="155"/>
      <c r="E4918" s="155"/>
      <c r="F4918" s="155"/>
      <c r="G4918" s="155"/>
      <c r="H4918" s="155"/>
      <c r="I4918" s="155"/>
      <c r="J4918" s="713"/>
      <c r="K4918" s="711"/>
      <c r="M4918" s="62">
        <f t="shared" si="376"/>
        <v>5</v>
      </c>
    </row>
    <row r="4919" spans="1:13">
      <c r="A4919" s="88">
        <f>+A4915+1</f>
        <v>35</v>
      </c>
      <c r="B4919" s="262" t="s">
        <v>3532</v>
      </c>
      <c r="C4919" s="167">
        <v>16</v>
      </c>
      <c r="D4919" s="155">
        <v>1</v>
      </c>
      <c r="E4919" s="155">
        <v>1</v>
      </c>
      <c r="F4919" s="155">
        <v>1</v>
      </c>
      <c r="G4919" s="155">
        <v>1</v>
      </c>
      <c r="H4919" s="155">
        <v>1</v>
      </c>
      <c r="I4919" s="155">
        <v>1</v>
      </c>
      <c r="J4919" s="710">
        <f>(VLOOKUP($C4919,[2]Sheet1!$A$2:$P$18,$M4919+1)/12)*12*D4919</f>
        <v>677281.26084</v>
      </c>
      <c r="K4919" s="711"/>
      <c r="M4919" s="62">
        <f t="shared" si="376"/>
        <v>3</v>
      </c>
    </row>
    <row r="4920" spans="1:13">
      <c r="A4920" s="88">
        <f t="shared" si="378"/>
        <v>36</v>
      </c>
      <c r="B4920" s="262" t="s">
        <v>1256</v>
      </c>
      <c r="C4920" s="167">
        <v>15</v>
      </c>
      <c r="D4920" s="155">
        <v>1</v>
      </c>
      <c r="E4920" s="155">
        <v>1</v>
      </c>
      <c r="F4920" s="155">
        <v>1</v>
      </c>
      <c r="G4920" s="155">
        <v>1</v>
      </c>
      <c r="H4920" s="155">
        <v>1</v>
      </c>
      <c r="I4920" s="155">
        <v>1</v>
      </c>
      <c r="J4920" s="710">
        <f>(VLOOKUP($C4920,[2]Sheet1!$A$2:$P$18,$M4920+1)/12)*12*D4920</f>
        <v>658331.89992</v>
      </c>
      <c r="K4920" s="711"/>
      <c r="M4920" s="62">
        <f t="shared" si="376"/>
        <v>3</v>
      </c>
    </row>
    <row r="4921" spans="1:13">
      <c r="A4921" s="88">
        <f t="shared" si="378"/>
        <v>37</v>
      </c>
      <c r="B4921" s="262" t="s">
        <v>1734</v>
      </c>
      <c r="C4921" s="167">
        <v>14</v>
      </c>
      <c r="D4921" s="155">
        <v>1</v>
      </c>
      <c r="E4921" s="155">
        <v>1</v>
      </c>
      <c r="F4921" s="155">
        <v>1</v>
      </c>
      <c r="G4921" s="155"/>
      <c r="H4921" s="155"/>
      <c r="I4921" s="155"/>
      <c r="J4921" s="710">
        <f>(VLOOKUP($C4921,[2]Sheet1!$A$2:$P$18,$M4921+1)/12)*12*D4921</f>
        <v>669099.40824000002</v>
      </c>
      <c r="K4921" s="711"/>
      <c r="M4921" s="62">
        <f t="shared" si="376"/>
        <v>3</v>
      </c>
    </row>
    <row r="4922" spans="1:13">
      <c r="A4922" s="88">
        <f t="shared" si="378"/>
        <v>38</v>
      </c>
      <c r="B4922" s="262" t="s">
        <v>1545</v>
      </c>
      <c r="C4922" s="167">
        <v>13</v>
      </c>
      <c r="D4922" s="155">
        <v>1</v>
      </c>
      <c r="E4922" s="155">
        <v>1</v>
      </c>
      <c r="F4922" s="155">
        <v>1</v>
      </c>
      <c r="G4922" s="155">
        <v>1</v>
      </c>
      <c r="H4922" s="155">
        <v>1</v>
      </c>
      <c r="I4922" s="155">
        <v>1</v>
      </c>
      <c r="J4922" s="710">
        <f>(VLOOKUP($C4922,[2]Sheet1!$A$2:$P$18,$M4922+1)/12)*12*D4922</f>
        <v>628759.53804000001</v>
      </c>
      <c r="K4922" s="711"/>
      <c r="M4922" s="62">
        <f t="shared" si="376"/>
        <v>3</v>
      </c>
    </row>
    <row r="4923" spans="1:13">
      <c r="A4923" s="88">
        <f t="shared" si="378"/>
        <v>39</v>
      </c>
      <c r="B4923" s="262" t="s">
        <v>2575</v>
      </c>
      <c r="C4923" s="167">
        <v>10</v>
      </c>
      <c r="D4923" s="155">
        <v>2</v>
      </c>
      <c r="E4923" s="155">
        <v>2</v>
      </c>
      <c r="F4923" s="155">
        <v>2</v>
      </c>
      <c r="G4923" s="155">
        <v>2</v>
      </c>
      <c r="H4923" s="155">
        <v>2</v>
      </c>
      <c r="I4923" s="155">
        <v>2</v>
      </c>
      <c r="J4923" s="710">
        <f>(VLOOKUP($C4923,[2]Sheet1!$A$2:$P$18,$M4923+1)/12)*12*D4923</f>
        <v>967949.1374400002</v>
      </c>
      <c r="K4923" s="711"/>
      <c r="M4923" s="62">
        <f t="shared" si="376"/>
        <v>3</v>
      </c>
    </row>
    <row r="4924" spans="1:13">
      <c r="A4924" s="88">
        <f t="shared" si="378"/>
        <v>40</v>
      </c>
      <c r="B4924" s="262" t="s">
        <v>3044</v>
      </c>
      <c r="C4924" s="167">
        <v>9</v>
      </c>
      <c r="D4924" s="155">
        <v>0</v>
      </c>
      <c r="E4924" s="155">
        <v>0</v>
      </c>
      <c r="F4924" s="155">
        <v>0</v>
      </c>
      <c r="G4924" s="155">
        <v>0</v>
      </c>
      <c r="H4924" s="155">
        <v>0</v>
      </c>
      <c r="I4924" s="155">
        <v>0</v>
      </c>
      <c r="J4924" s="710">
        <f>(VLOOKUP($C4924,[2]Sheet1!$A$2:$P$18,$M4924+1)/12)*12*D4924</f>
        <v>0</v>
      </c>
      <c r="K4924" s="711"/>
      <c r="M4924" s="62">
        <f t="shared" si="376"/>
        <v>3</v>
      </c>
    </row>
    <row r="4925" spans="1:13">
      <c r="A4925" s="88">
        <f t="shared" si="378"/>
        <v>41</v>
      </c>
      <c r="B4925" s="262" t="s">
        <v>846</v>
      </c>
      <c r="C4925" s="167">
        <v>8</v>
      </c>
      <c r="D4925" s="155">
        <v>2</v>
      </c>
      <c r="E4925" s="155">
        <v>2</v>
      </c>
      <c r="F4925" s="155">
        <v>2</v>
      </c>
      <c r="G4925" s="155">
        <v>2</v>
      </c>
      <c r="H4925" s="155">
        <v>2</v>
      </c>
      <c r="I4925" s="155">
        <v>2</v>
      </c>
      <c r="J4925" s="710">
        <f>(VLOOKUP($C4925,[2]Sheet1!$A$2:$P$18,$M4925+1)/12)*12*D4925</f>
        <v>684282.54816000001</v>
      </c>
      <c r="K4925" s="711"/>
      <c r="M4925" s="62">
        <f t="shared" si="376"/>
        <v>3</v>
      </c>
    </row>
    <row r="4926" spans="1:13">
      <c r="A4926" s="88"/>
      <c r="B4926" s="261" t="s">
        <v>1851</v>
      </c>
      <c r="C4926" s="167"/>
      <c r="D4926" s="155"/>
      <c r="E4926" s="155"/>
      <c r="F4926" s="155"/>
      <c r="G4926" s="155"/>
      <c r="H4926" s="155"/>
      <c r="I4926" s="155"/>
      <c r="J4926" s="710"/>
      <c r="K4926" s="711"/>
      <c r="M4926" s="62">
        <f t="shared" si="376"/>
        <v>5</v>
      </c>
    </row>
    <row r="4927" spans="1:13">
      <c r="A4927" s="88">
        <f>+A4925+1</f>
        <v>42</v>
      </c>
      <c r="B4927" s="262" t="s">
        <v>1846</v>
      </c>
      <c r="C4927" s="167">
        <v>10</v>
      </c>
      <c r="D4927" s="155">
        <v>0</v>
      </c>
      <c r="E4927" s="155">
        <v>0</v>
      </c>
      <c r="F4927" s="155">
        <v>0</v>
      </c>
      <c r="G4927" s="155">
        <v>0</v>
      </c>
      <c r="H4927" s="155">
        <v>0</v>
      </c>
      <c r="I4927" s="155">
        <v>0</v>
      </c>
      <c r="J4927" s="710">
        <f>(VLOOKUP($C4927,[2]Sheet1!$A$2:$P$18,$M4927+1)/12)*12*D4927</f>
        <v>0</v>
      </c>
      <c r="K4927" s="711"/>
      <c r="M4927" s="62">
        <f t="shared" si="376"/>
        <v>3</v>
      </c>
    </row>
    <row r="4928" spans="1:13">
      <c r="A4928" s="88">
        <f t="shared" si="378"/>
        <v>43</v>
      </c>
      <c r="B4928" s="262" t="s">
        <v>1847</v>
      </c>
      <c r="C4928" s="167">
        <v>9</v>
      </c>
      <c r="D4928" s="155">
        <v>0</v>
      </c>
      <c r="E4928" s="155">
        <v>0</v>
      </c>
      <c r="F4928" s="155">
        <v>0</v>
      </c>
      <c r="G4928" s="155">
        <v>0</v>
      </c>
      <c r="H4928" s="155">
        <v>0</v>
      </c>
      <c r="I4928" s="155">
        <v>0</v>
      </c>
      <c r="J4928" s="710">
        <f>(VLOOKUP($C4928,[2]Sheet1!$A$2:$P$18,$M4928+1)/12)*12*D4928</f>
        <v>0</v>
      </c>
      <c r="K4928" s="711"/>
      <c r="M4928" s="62">
        <f t="shared" si="376"/>
        <v>3</v>
      </c>
    </row>
    <row r="4929" spans="1:13">
      <c r="A4929" s="88">
        <f t="shared" si="378"/>
        <v>44</v>
      </c>
      <c r="B4929" s="262" t="s">
        <v>2893</v>
      </c>
      <c r="C4929" s="167">
        <v>8</v>
      </c>
      <c r="D4929" s="155">
        <v>0</v>
      </c>
      <c r="E4929" s="155">
        <v>0</v>
      </c>
      <c r="F4929" s="155">
        <v>0</v>
      </c>
      <c r="G4929" s="155">
        <v>0</v>
      </c>
      <c r="H4929" s="155">
        <v>0</v>
      </c>
      <c r="I4929" s="155">
        <v>0</v>
      </c>
      <c r="J4929" s="710">
        <f>(VLOOKUP($C4929,[2]Sheet1!$A$2:$P$18,$M4929+1)/12)*12*D4929</f>
        <v>0</v>
      </c>
      <c r="K4929" s="711"/>
      <c r="M4929" s="62">
        <f t="shared" si="376"/>
        <v>3</v>
      </c>
    </row>
    <row r="4930" spans="1:13">
      <c r="A4930" s="88">
        <f>+A4929+1</f>
        <v>45</v>
      </c>
      <c r="B4930" s="195" t="s">
        <v>3537</v>
      </c>
      <c r="C4930" s="167">
        <v>8</v>
      </c>
      <c r="D4930" s="155">
        <v>0</v>
      </c>
      <c r="E4930" s="155">
        <v>0</v>
      </c>
      <c r="F4930" s="155">
        <v>0</v>
      </c>
      <c r="G4930" s="155">
        <v>0</v>
      </c>
      <c r="H4930" s="155">
        <v>0</v>
      </c>
      <c r="I4930" s="155">
        <v>0</v>
      </c>
      <c r="J4930" s="710">
        <f>(VLOOKUP($C4930,[2]Sheet1!$A$2:$P$18,$M4930+1)/12)*12*D4930</f>
        <v>0</v>
      </c>
      <c r="K4930" s="711"/>
      <c r="M4930" s="62">
        <f t="shared" si="376"/>
        <v>3</v>
      </c>
    </row>
    <row r="4931" spans="1:13">
      <c r="A4931" s="88">
        <f t="shared" si="378"/>
        <v>46</v>
      </c>
      <c r="B4931" s="195" t="s">
        <v>2492</v>
      </c>
      <c r="C4931" s="167">
        <v>7</v>
      </c>
      <c r="D4931" s="155">
        <v>0</v>
      </c>
      <c r="E4931" s="155">
        <v>0</v>
      </c>
      <c r="F4931" s="155">
        <v>0</v>
      </c>
      <c r="G4931" s="155">
        <v>0</v>
      </c>
      <c r="H4931" s="155">
        <v>0</v>
      </c>
      <c r="I4931" s="155">
        <v>0</v>
      </c>
      <c r="J4931" s="710">
        <f>(VLOOKUP($C4931,[2]Sheet1!$A$2:$P$18,$M4931+1)/12)*12*D4931</f>
        <v>0</v>
      </c>
      <c r="K4931" s="711"/>
      <c r="M4931" s="62">
        <f t="shared" si="376"/>
        <v>3</v>
      </c>
    </row>
    <row r="4932" spans="1:13">
      <c r="A4932" s="88">
        <f t="shared" si="378"/>
        <v>47</v>
      </c>
      <c r="B4932" s="195" t="s">
        <v>3538</v>
      </c>
      <c r="C4932" s="167">
        <v>6</v>
      </c>
      <c r="D4932" s="155">
        <v>2</v>
      </c>
      <c r="E4932" s="155">
        <v>2</v>
      </c>
      <c r="F4932" s="155">
        <v>2</v>
      </c>
      <c r="G4932" s="155">
        <v>2</v>
      </c>
      <c r="H4932" s="155">
        <v>2</v>
      </c>
      <c r="I4932" s="155">
        <v>2</v>
      </c>
      <c r="J4932" s="710">
        <f>(VLOOKUP($C4932,[2]Sheet1!$A$2:$P$18,$M4932+1)/12)*12*D4932</f>
        <v>476198.75786072994</v>
      </c>
      <c r="K4932" s="711"/>
      <c r="M4932" s="62">
        <f t="shared" si="376"/>
        <v>5</v>
      </c>
    </row>
    <row r="4933" spans="1:13">
      <c r="A4933" s="88">
        <f t="shared" si="378"/>
        <v>48</v>
      </c>
      <c r="B4933" s="195" t="s">
        <v>2360</v>
      </c>
      <c r="C4933" s="167">
        <v>4</v>
      </c>
      <c r="D4933" s="155">
        <v>2</v>
      </c>
      <c r="E4933" s="155">
        <v>2</v>
      </c>
      <c r="F4933" s="155">
        <v>2</v>
      </c>
      <c r="G4933" s="155">
        <v>2</v>
      </c>
      <c r="H4933" s="155">
        <v>2</v>
      </c>
      <c r="I4933" s="155">
        <v>2</v>
      </c>
      <c r="J4933" s="710">
        <f>(VLOOKUP($C4933,[2]Sheet1!$A$2:$P$18,$M4933+1)/12)*12*D4933</f>
        <v>449085.95786073001</v>
      </c>
      <c r="K4933" s="711"/>
      <c r="M4933" s="62">
        <f t="shared" si="376"/>
        <v>5</v>
      </c>
    </row>
    <row r="4934" spans="1:13">
      <c r="A4934" s="88">
        <f t="shared" si="378"/>
        <v>49</v>
      </c>
      <c r="B4934" s="195" t="s">
        <v>3539</v>
      </c>
      <c r="C4934" s="167">
        <v>3</v>
      </c>
      <c r="D4934" s="155">
        <v>2</v>
      </c>
      <c r="E4934" s="155">
        <v>2</v>
      </c>
      <c r="F4934" s="155">
        <v>2</v>
      </c>
      <c r="G4934" s="155">
        <v>2</v>
      </c>
      <c r="H4934" s="155">
        <v>2</v>
      </c>
      <c r="I4934" s="155">
        <v>2</v>
      </c>
      <c r="J4934" s="710">
        <f>(VLOOKUP($C4934,[2]Sheet1!$A$2:$P$18,$M4934+1)/12)*12*D4934</f>
        <v>438672.35786072997</v>
      </c>
      <c r="K4934" s="711"/>
      <c r="M4934" s="62">
        <f t="shared" si="376"/>
        <v>5</v>
      </c>
    </row>
    <row r="4935" spans="1:13">
      <c r="A4935" s="88"/>
      <c r="B4935" s="259" t="s">
        <v>2163</v>
      </c>
      <c r="C4935" s="167"/>
      <c r="D4935" s="155"/>
      <c r="E4935" s="155"/>
      <c r="F4935" s="155"/>
      <c r="G4935" s="155"/>
      <c r="H4935" s="155"/>
      <c r="I4935" s="155"/>
      <c r="J4935" s="710"/>
      <c r="K4935" s="711"/>
      <c r="M4935" s="62">
        <f t="shared" si="376"/>
        <v>5</v>
      </c>
    </row>
    <row r="4936" spans="1:13">
      <c r="A4936" s="88">
        <f>+A4934+1</f>
        <v>50</v>
      </c>
      <c r="B4936" s="195" t="s">
        <v>798</v>
      </c>
      <c r="C4936" s="167">
        <v>6</v>
      </c>
      <c r="D4936" s="155">
        <v>1</v>
      </c>
      <c r="E4936" s="155">
        <v>1</v>
      </c>
      <c r="F4936" s="155">
        <v>1</v>
      </c>
      <c r="G4936" s="155">
        <v>1</v>
      </c>
      <c r="H4936" s="155">
        <v>1</v>
      </c>
      <c r="I4936" s="155">
        <v>1</v>
      </c>
      <c r="J4936" s="710">
        <f>(VLOOKUP($C4936,[2]Sheet1!$A$2:$P$18,$M4936+1)/12)*12*D4936</f>
        <v>238099.37893036497</v>
      </c>
      <c r="K4936" s="711"/>
      <c r="M4936" s="62">
        <f t="shared" si="376"/>
        <v>5</v>
      </c>
    </row>
    <row r="4937" spans="1:13">
      <c r="A4937" s="88">
        <f t="shared" si="378"/>
        <v>51</v>
      </c>
      <c r="B4937" s="195" t="s">
        <v>2875</v>
      </c>
      <c r="C4937" s="167">
        <v>3</v>
      </c>
      <c r="D4937" s="155">
        <v>1</v>
      </c>
      <c r="E4937" s="155">
        <v>1</v>
      </c>
      <c r="F4937" s="155">
        <v>1</v>
      </c>
      <c r="G4937" s="155">
        <v>1</v>
      </c>
      <c r="H4937" s="155">
        <v>1</v>
      </c>
      <c r="I4937" s="155">
        <v>1</v>
      </c>
      <c r="J4937" s="710">
        <f>(VLOOKUP($C4937,[2]Sheet1!$A$2:$P$18,$M4937+1)/12)*12*D4937</f>
        <v>219336.17893036499</v>
      </c>
      <c r="K4937" s="711"/>
      <c r="M4937" s="62">
        <f t="shared" ref="M4937:M4992" si="379">IF(C4937&gt;6,3,5)</f>
        <v>5</v>
      </c>
    </row>
    <row r="4938" spans="1:13">
      <c r="A4938" s="88">
        <f t="shared" si="378"/>
        <v>52</v>
      </c>
      <c r="B4938" s="195" t="s">
        <v>499</v>
      </c>
      <c r="C4938" s="167">
        <v>3</v>
      </c>
      <c r="D4938" s="155">
        <v>0</v>
      </c>
      <c r="E4938" s="155">
        <v>0</v>
      </c>
      <c r="F4938" s="155">
        <v>0</v>
      </c>
      <c r="G4938" s="155">
        <v>0</v>
      </c>
      <c r="H4938" s="155">
        <v>0</v>
      </c>
      <c r="I4938" s="155">
        <v>0</v>
      </c>
      <c r="J4938" s="710">
        <f>(VLOOKUP($C4938,[2]Sheet1!$A$2:$P$18,$M4938+1)/12)*12*D4938</f>
        <v>0</v>
      </c>
      <c r="K4938" s="711"/>
      <c r="M4938" s="62">
        <f t="shared" si="379"/>
        <v>5</v>
      </c>
    </row>
    <row r="4939" spans="1:13">
      <c r="A4939" s="92"/>
      <c r="B4939" s="263" t="s">
        <v>2241</v>
      </c>
      <c r="C4939" s="168"/>
      <c r="D4939" s="169">
        <f t="shared" ref="D4939:J4939" si="380">SUM(D4879:D4938)</f>
        <v>83</v>
      </c>
      <c r="E4939" s="169">
        <f t="shared" si="380"/>
        <v>92</v>
      </c>
      <c r="F4939" s="169">
        <f t="shared" si="380"/>
        <v>83</v>
      </c>
      <c r="G4939" s="169">
        <f>SUM(G4879:G4938)</f>
        <v>82</v>
      </c>
      <c r="H4939" s="169">
        <f t="shared" si="380"/>
        <v>87</v>
      </c>
      <c r="I4939" s="169">
        <f t="shared" si="380"/>
        <v>82</v>
      </c>
      <c r="J4939" s="169">
        <f t="shared" si="380"/>
        <v>29438175.04863387</v>
      </c>
      <c r="K4939" s="385"/>
      <c r="M4939" s="62">
        <f t="shared" si="379"/>
        <v>5</v>
      </c>
    </row>
    <row r="4940" spans="1:13">
      <c r="A4940" s="88"/>
      <c r="B4940" s="264" t="s">
        <v>1199</v>
      </c>
      <c r="C4940" s="167"/>
      <c r="D4940" s="155"/>
      <c r="E4940" s="155"/>
      <c r="F4940" s="99"/>
      <c r="G4940" s="240" t="s">
        <v>243</v>
      </c>
      <c r="H4940" s="240" t="s">
        <v>4130</v>
      </c>
      <c r="I4940" s="240" t="s">
        <v>4202</v>
      </c>
      <c r="J4940" s="241" t="s">
        <v>4200</v>
      </c>
      <c r="K4940" s="375"/>
      <c r="M4940" s="62">
        <f t="shared" si="379"/>
        <v>5</v>
      </c>
    </row>
    <row r="4941" spans="1:13">
      <c r="A4941" s="88">
        <v>1</v>
      </c>
      <c r="B4941" s="195" t="s">
        <v>763</v>
      </c>
      <c r="C4941" s="167"/>
      <c r="D4941" s="155"/>
      <c r="E4941" s="155"/>
      <c r="F4941" s="89"/>
      <c r="G4941" s="100">
        <f>J4939*0.2</f>
        <v>5887635.0097267739</v>
      </c>
      <c r="H4941" s="100">
        <f>G4941*1.02</f>
        <v>6005387.7099213097</v>
      </c>
      <c r="I4941" s="100">
        <f>H4941*1.02</f>
        <v>6125495.4641197361</v>
      </c>
      <c r="J4941" s="100">
        <f>SUM(G4941:I4941)</f>
        <v>18018518.183767818</v>
      </c>
      <c r="K4941" s="114"/>
      <c r="M4941" s="62">
        <f t="shared" si="379"/>
        <v>5</v>
      </c>
    </row>
    <row r="4942" spans="1:13">
      <c r="A4942" s="88">
        <v>2</v>
      </c>
      <c r="B4942" s="195" t="s">
        <v>1642</v>
      </c>
      <c r="C4942" s="167"/>
      <c r="D4942" s="155"/>
      <c r="E4942" s="155"/>
      <c r="F4942" s="155"/>
      <c r="G4942" s="100">
        <v>15600000</v>
      </c>
      <c r="H4942" s="100">
        <f>G4942*1.02</f>
        <v>15912000</v>
      </c>
      <c r="I4942" s="100">
        <f>H4942*1.02</f>
        <v>16230240</v>
      </c>
      <c r="J4942" s="100">
        <f>SUM(G4942:I4942)</f>
        <v>47742240</v>
      </c>
      <c r="K4942" s="114"/>
      <c r="M4942" s="62">
        <f t="shared" si="379"/>
        <v>5</v>
      </c>
    </row>
    <row r="4943" spans="1:13">
      <c r="A4943" s="92"/>
      <c r="B4943" s="263" t="s">
        <v>2531</v>
      </c>
      <c r="C4943" s="168"/>
      <c r="D4943" s="171"/>
      <c r="E4943" s="171"/>
      <c r="F4943" s="169"/>
      <c r="G4943" s="169">
        <f>SUM(G4941:G4942)</f>
        <v>21487635.009726774</v>
      </c>
      <c r="H4943" s="169">
        <f>SUM(H4941:H4942)</f>
        <v>21917387.709921308</v>
      </c>
      <c r="I4943" s="169">
        <f>SUM(I4941:I4942)</f>
        <v>22355735.464119736</v>
      </c>
      <c r="J4943" s="169">
        <f>SUM(J4941:J4942)</f>
        <v>65760758.183767818</v>
      </c>
      <c r="K4943" s="385"/>
      <c r="M4943" s="62">
        <f t="shared" si="379"/>
        <v>5</v>
      </c>
    </row>
    <row r="4944" spans="1:13">
      <c r="A4944" s="88">
        <v>1</v>
      </c>
      <c r="B4944" s="195" t="s">
        <v>926</v>
      </c>
      <c r="C4944" s="167"/>
      <c r="D4944" s="155"/>
      <c r="E4944" s="155"/>
      <c r="F4944" s="91"/>
      <c r="G4944" s="100">
        <f>G4943+J4939</f>
        <v>50925810.058360644</v>
      </c>
      <c r="H4944" s="100">
        <f>G4944*1.02</f>
        <v>51944326.259527855</v>
      </c>
      <c r="I4944" s="100">
        <f>H4944*1.02</f>
        <v>52983212.784718409</v>
      </c>
      <c r="J4944" s="100">
        <f>SUM(G4944:I4944)</f>
        <v>155853349.10260689</v>
      </c>
      <c r="K4944" s="114"/>
      <c r="L4944" s="112"/>
      <c r="M4944" s="62">
        <f t="shared" si="379"/>
        <v>5</v>
      </c>
    </row>
    <row r="4945" spans="1:13">
      <c r="A4945" s="88">
        <f>A4944+1</f>
        <v>2</v>
      </c>
      <c r="B4945" s="195" t="s">
        <v>2121</v>
      </c>
      <c r="C4945" s="167"/>
      <c r="D4945" s="155"/>
      <c r="E4945" s="155"/>
      <c r="F4945" s="91"/>
      <c r="G4945" s="91">
        <f>C4975</f>
        <v>55000000</v>
      </c>
      <c r="H4945" s="91">
        <f>D4975</f>
        <v>67450000</v>
      </c>
      <c r="I4945" s="91">
        <f>E4975</f>
        <v>67750000</v>
      </c>
      <c r="J4945" s="100">
        <f>SUM(G4945:I4945)</f>
        <v>190200000</v>
      </c>
      <c r="K4945" s="114"/>
      <c r="M4945" s="62">
        <f t="shared" si="379"/>
        <v>5</v>
      </c>
    </row>
    <row r="4946" spans="1:13" ht="13.5" thickBot="1">
      <c r="A4946" s="102"/>
      <c r="B4946" s="103" t="s">
        <v>2241</v>
      </c>
      <c r="C4946" s="172"/>
      <c r="D4946" s="173"/>
      <c r="E4946" s="173"/>
      <c r="F4946" s="174"/>
      <c r="G4946" s="174">
        <f>SUM(G4944:G4945)</f>
        <v>105925810.05836064</v>
      </c>
      <c r="H4946" s="174">
        <f>SUM(H4944:H4945)</f>
        <v>119394326.25952786</v>
      </c>
      <c r="I4946" s="174">
        <f>SUM(I4944:I4945)</f>
        <v>120733212.78471841</v>
      </c>
      <c r="J4946" s="174">
        <f>SUM(J4944:J4945)</f>
        <v>346053349.10260689</v>
      </c>
      <c r="K4946" s="385"/>
      <c r="M4946" s="62">
        <f t="shared" si="379"/>
        <v>5</v>
      </c>
    </row>
    <row r="4947" spans="1:13" ht="15.75" thickTop="1">
      <c r="C4947" s="163"/>
      <c r="D4947" s="164" t="s">
        <v>5434</v>
      </c>
      <c r="E4947" s="165"/>
      <c r="F4947" s="165"/>
      <c r="G4947" s="165"/>
      <c r="H4947" s="165"/>
      <c r="I4947" s="165"/>
      <c r="J4947" s="584"/>
      <c r="K4947" s="584"/>
      <c r="M4947" s="62">
        <f t="shared" si="379"/>
        <v>5</v>
      </c>
    </row>
    <row r="4948" spans="1:13" ht="15">
      <c r="C4948" s="163"/>
      <c r="D4948" s="164" t="s">
        <v>716</v>
      </c>
      <c r="E4948" s="165"/>
      <c r="F4948" s="165"/>
      <c r="G4948" s="165"/>
      <c r="H4948" s="165"/>
      <c r="I4948" s="165"/>
      <c r="J4948" s="584"/>
      <c r="K4948" s="584"/>
      <c r="M4948" s="62">
        <f t="shared" si="379"/>
        <v>5</v>
      </c>
    </row>
    <row r="4949" spans="1:13" ht="15">
      <c r="C4949" s="176" t="s">
        <v>1811</v>
      </c>
      <c r="D4949" s="1063" t="s">
        <v>2238</v>
      </c>
      <c r="E4949" s="1064"/>
      <c r="F4949" s="1064"/>
      <c r="G4949" s="186"/>
      <c r="H4949" s="186"/>
      <c r="I4949" s="186"/>
      <c r="J4949" s="584"/>
      <c r="K4949" s="584"/>
      <c r="M4949" s="62">
        <f t="shared" si="379"/>
        <v>3</v>
      </c>
    </row>
    <row r="4950" spans="1:13" ht="15">
      <c r="C4950" s="79" t="s">
        <v>718</v>
      </c>
      <c r="D4950" s="164" t="s">
        <v>269</v>
      </c>
      <c r="E4950" s="165"/>
      <c r="F4950" s="165"/>
      <c r="G4950" s="165"/>
      <c r="H4950" s="165"/>
      <c r="I4950" s="165"/>
      <c r="J4950" s="584"/>
      <c r="K4950" s="584"/>
      <c r="M4950" s="62">
        <f t="shared" si="379"/>
        <v>3</v>
      </c>
    </row>
    <row r="4951" spans="1:13" ht="15">
      <c r="A4951" s="634" t="s">
        <v>1839</v>
      </c>
      <c r="B4951" s="635" t="s">
        <v>903</v>
      </c>
      <c r="C4951" s="1037" t="s">
        <v>4127</v>
      </c>
      <c r="D4951" s="1038"/>
      <c r="E4951" s="1039"/>
      <c r="F4951" s="635" t="s">
        <v>1684</v>
      </c>
      <c r="G4951" s="1037" t="s">
        <v>4132</v>
      </c>
      <c r="H4951" s="1038"/>
      <c r="I4951" s="1039"/>
      <c r="J4951" s="726"/>
      <c r="K4951" s="727"/>
    </row>
    <row r="4952" spans="1:13">
      <c r="A4952" s="636" t="s">
        <v>1620</v>
      </c>
      <c r="B4952" s="637"/>
      <c r="C4952" s="635" t="s">
        <v>1841</v>
      </c>
      <c r="D4952" s="635" t="s">
        <v>4133</v>
      </c>
      <c r="E4952" s="635" t="s">
        <v>4133</v>
      </c>
      <c r="F4952" s="1056" t="s">
        <v>4200</v>
      </c>
      <c r="G4952" s="634" t="s">
        <v>4135</v>
      </c>
      <c r="H4952" s="1051" t="s">
        <v>4182</v>
      </c>
      <c r="I4952" s="634" t="s">
        <v>4135</v>
      </c>
      <c r="J4952" s="728" t="s">
        <v>4136</v>
      </c>
      <c r="K4952" s="727"/>
    </row>
    <row r="4953" spans="1:13" ht="12.75" customHeight="1">
      <c r="A4953" s="638" t="s">
        <v>387</v>
      </c>
      <c r="B4953" s="639"/>
      <c r="C4953" s="638">
        <v>2015</v>
      </c>
      <c r="D4953" s="638">
        <v>2016</v>
      </c>
      <c r="E4953" s="638">
        <v>2017</v>
      </c>
      <c r="F4953" s="1057"/>
      <c r="G4953" s="638" t="s">
        <v>4304</v>
      </c>
      <c r="H4953" s="1052"/>
      <c r="I4953" s="638" t="s">
        <v>4303</v>
      </c>
      <c r="J4953" s="639"/>
      <c r="K4953" s="729"/>
    </row>
    <row r="4954" spans="1:13" ht="20.100000000000001" customHeight="1">
      <c r="A4954" s="788">
        <v>2</v>
      </c>
      <c r="B4954" s="775" t="s">
        <v>1695</v>
      </c>
      <c r="C4954" s="731">
        <v>2000000</v>
      </c>
      <c r="D4954" s="731">
        <v>2000000</v>
      </c>
      <c r="E4954" s="731">
        <v>2000000</v>
      </c>
      <c r="F4954" s="731">
        <f>SUM(C4954:E4954)</f>
        <v>6000000</v>
      </c>
      <c r="G4954" s="731">
        <v>744000</v>
      </c>
      <c r="H4954" s="731">
        <v>2000000</v>
      </c>
      <c r="I4954" s="731">
        <v>946000</v>
      </c>
      <c r="J4954" s="731"/>
      <c r="K4954" s="732"/>
      <c r="M4954" s="62" t="e">
        <f>IF(#REF!&gt;6,3,5)</f>
        <v>#REF!</v>
      </c>
    </row>
    <row r="4955" spans="1:13" ht="20.100000000000001" customHeight="1">
      <c r="A4955" s="788">
        <f t="shared" ref="A4955:A4973" si="381">+A4954+1</f>
        <v>3</v>
      </c>
      <c r="B4955" s="775" t="s">
        <v>3763</v>
      </c>
      <c r="C4955" s="731" t="s">
        <v>1386</v>
      </c>
      <c r="D4955" s="731">
        <v>300000</v>
      </c>
      <c r="E4955" s="731">
        <v>300000</v>
      </c>
      <c r="F4955" s="731">
        <f t="shared" ref="F4955:F4973" si="382">SUM(C4955:E4955)</f>
        <v>600000</v>
      </c>
      <c r="G4955" s="731"/>
      <c r="H4955" s="731" t="s">
        <v>1386</v>
      </c>
      <c r="I4955" s="731"/>
      <c r="J4955" s="731"/>
      <c r="K4955" s="732"/>
      <c r="M4955" s="62" t="e">
        <f>IF(#REF!&gt;6,3,5)</f>
        <v>#REF!</v>
      </c>
    </row>
    <row r="4956" spans="1:13" ht="20.100000000000001" customHeight="1">
      <c r="A4956" s="788">
        <f t="shared" si="381"/>
        <v>4</v>
      </c>
      <c r="B4956" s="775" t="s">
        <v>1701</v>
      </c>
      <c r="C4956" s="731" t="s">
        <v>1386</v>
      </c>
      <c r="D4956" s="731" t="s">
        <v>1386</v>
      </c>
      <c r="E4956" s="731" t="s">
        <v>1386</v>
      </c>
      <c r="F4956" s="731">
        <f t="shared" si="382"/>
        <v>0</v>
      </c>
      <c r="G4956" s="731"/>
      <c r="H4956" s="731" t="s">
        <v>1386</v>
      </c>
      <c r="I4956" s="731"/>
      <c r="J4956" s="731"/>
      <c r="K4956" s="732"/>
      <c r="M4956" s="62" t="e">
        <f>IF(#REF!&gt;6,3,5)</f>
        <v>#REF!</v>
      </c>
    </row>
    <row r="4957" spans="1:13" ht="20.100000000000001" customHeight="1">
      <c r="A4957" s="788">
        <f t="shared" si="381"/>
        <v>5</v>
      </c>
      <c r="B4957" s="775" t="s">
        <v>769</v>
      </c>
      <c r="C4957" s="731">
        <v>500000</v>
      </c>
      <c r="D4957" s="731">
        <v>200000</v>
      </c>
      <c r="E4957" s="731">
        <v>200000</v>
      </c>
      <c r="F4957" s="731">
        <f t="shared" si="382"/>
        <v>900000</v>
      </c>
      <c r="G4957" s="731">
        <v>191500</v>
      </c>
      <c r="H4957" s="731">
        <v>500000</v>
      </c>
      <c r="I4957" s="731">
        <v>131000</v>
      </c>
      <c r="J4957" s="731"/>
      <c r="K4957" s="732"/>
      <c r="M4957" s="62" t="e">
        <f>IF(#REF!&gt;6,3,5)</f>
        <v>#REF!</v>
      </c>
    </row>
    <row r="4958" spans="1:13" ht="20.100000000000001" customHeight="1">
      <c r="A4958" s="788">
        <f t="shared" si="381"/>
        <v>6</v>
      </c>
      <c r="B4958" s="775" t="s">
        <v>1814</v>
      </c>
      <c r="C4958" s="731">
        <v>1000000</v>
      </c>
      <c r="D4958" s="731">
        <v>500000</v>
      </c>
      <c r="E4958" s="731">
        <v>500000</v>
      </c>
      <c r="F4958" s="731">
        <f t="shared" si="382"/>
        <v>2000000</v>
      </c>
      <c r="G4958" s="731">
        <v>235900</v>
      </c>
      <c r="H4958" s="731">
        <v>1000000</v>
      </c>
      <c r="I4958" s="731">
        <v>65000</v>
      </c>
      <c r="J4958" s="731"/>
      <c r="K4958" s="732"/>
      <c r="M4958" s="62" t="e">
        <f>IF(#REF!&gt;6,3,5)</f>
        <v>#REF!</v>
      </c>
    </row>
    <row r="4959" spans="1:13" ht="20.100000000000001" customHeight="1">
      <c r="A4959" s="788">
        <f t="shared" si="381"/>
        <v>7</v>
      </c>
      <c r="B4959" s="775" t="s">
        <v>594</v>
      </c>
      <c r="C4959" s="731">
        <v>1000000</v>
      </c>
      <c r="D4959" s="731">
        <v>800000</v>
      </c>
      <c r="E4959" s="731">
        <v>800000</v>
      </c>
      <c r="F4959" s="731">
        <f t="shared" si="382"/>
        <v>2600000</v>
      </c>
      <c r="G4959" s="731">
        <v>751500</v>
      </c>
      <c r="H4959" s="731">
        <v>1000000</v>
      </c>
      <c r="I4959" s="731">
        <v>0</v>
      </c>
      <c r="J4959" s="731"/>
      <c r="K4959" s="732"/>
      <c r="M4959" s="62" t="e">
        <f>IF(#REF!&gt;6,3,5)</f>
        <v>#REF!</v>
      </c>
    </row>
    <row r="4960" spans="1:13" ht="20.100000000000001" customHeight="1">
      <c r="A4960" s="788">
        <f t="shared" si="381"/>
        <v>8</v>
      </c>
      <c r="B4960" s="775" t="s">
        <v>1385</v>
      </c>
      <c r="C4960" s="731" t="s">
        <v>3007</v>
      </c>
      <c r="D4960" s="731" t="s">
        <v>3007</v>
      </c>
      <c r="E4960" s="731" t="s">
        <v>3007</v>
      </c>
      <c r="F4960" s="731">
        <f t="shared" si="382"/>
        <v>0</v>
      </c>
      <c r="G4960" s="731"/>
      <c r="H4960" s="731" t="s">
        <v>3007</v>
      </c>
      <c r="I4960" s="731"/>
      <c r="J4960" s="731"/>
      <c r="K4960" s="732"/>
      <c r="M4960" s="62" t="e">
        <f>IF(#REF!&gt;6,3,5)</f>
        <v>#REF!</v>
      </c>
    </row>
    <row r="4961" spans="1:13" ht="20.100000000000001" customHeight="1">
      <c r="A4961" s="788">
        <f t="shared" si="381"/>
        <v>9</v>
      </c>
      <c r="B4961" s="775" t="s">
        <v>2061</v>
      </c>
      <c r="C4961" s="731" t="s">
        <v>3007</v>
      </c>
      <c r="D4961" s="731" t="s">
        <v>3007</v>
      </c>
      <c r="E4961" s="731" t="s">
        <v>3007</v>
      </c>
      <c r="F4961" s="731">
        <f t="shared" si="382"/>
        <v>0</v>
      </c>
      <c r="G4961" s="731"/>
      <c r="H4961" s="731" t="s">
        <v>3007</v>
      </c>
      <c r="I4961" s="731"/>
      <c r="J4961" s="731"/>
      <c r="K4961" s="732"/>
      <c r="M4961" s="62" t="e">
        <f>IF(#REF!&gt;6,3,5)</f>
        <v>#REF!</v>
      </c>
    </row>
    <row r="4962" spans="1:13" ht="20.100000000000001" customHeight="1">
      <c r="A4962" s="788">
        <f t="shared" si="381"/>
        <v>10</v>
      </c>
      <c r="B4962" s="775" t="s">
        <v>2960</v>
      </c>
      <c r="C4962" s="731">
        <v>300000</v>
      </c>
      <c r="D4962" s="731" t="s">
        <v>1386</v>
      </c>
      <c r="E4962" s="731" t="s">
        <v>1386</v>
      </c>
      <c r="F4962" s="731">
        <f t="shared" si="382"/>
        <v>300000</v>
      </c>
      <c r="G4962" s="731"/>
      <c r="H4962" s="731">
        <v>300000</v>
      </c>
      <c r="I4962" s="731"/>
      <c r="J4962" s="731"/>
      <c r="K4962" s="732"/>
      <c r="M4962" s="62" t="e">
        <f>IF(#REF!&gt;6,3,5)</f>
        <v>#REF!</v>
      </c>
    </row>
    <row r="4963" spans="1:13" ht="20.100000000000001" customHeight="1">
      <c r="A4963" s="788">
        <f t="shared" si="381"/>
        <v>11</v>
      </c>
      <c r="B4963" s="775" t="s">
        <v>3630</v>
      </c>
      <c r="C4963" s="731">
        <v>100000</v>
      </c>
      <c r="D4963" s="731">
        <v>100000</v>
      </c>
      <c r="E4963" s="731">
        <v>100000</v>
      </c>
      <c r="F4963" s="731">
        <f t="shared" si="382"/>
        <v>300000</v>
      </c>
      <c r="G4963" s="731"/>
      <c r="H4963" s="731">
        <v>100000</v>
      </c>
      <c r="I4963" s="731"/>
      <c r="J4963" s="731"/>
      <c r="K4963" s="732"/>
      <c r="M4963" s="62" t="e">
        <f>IF(#REF!&gt;6,3,5)</f>
        <v>#REF!</v>
      </c>
    </row>
    <row r="4964" spans="1:13" ht="20.100000000000001" customHeight="1">
      <c r="A4964" s="788">
        <f t="shared" si="381"/>
        <v>12</v>
      </c>
      <c r="B4964" s="775" t="s">
        <v>2688</v>
      </c>
      <c r="C4964" s="731">
        <v>2000000</v>
      </c>
      <c r="D4964" s="731">
        <v>2000000</v>
      </c>
      <c r="E4964" s="731">
        <v>2000000</v>
      </c>
      <c r="F4964" s="731">
        <f t="shared" si="382"/>
        <v>6000000</v>
      </c>
      <c r="G4964" s="731">
        <v>931000</v>
      </c>
      <c r="H4964" s="731">
        <v>2000000</v>
      </c>
      <c r="I4964" s="731">
        <v>601000</v>
      </c>
      <c r="J4964" s="731"/>
      <c r="K4964" s="732"/>
      <c r="M4964" s="62" t="e">
        <f>IF(#REF!&gt;6,3,5)</f>
        <v>#REF!</v>
      </c>
    </row>
    <row r="4965" spans="1:13" ht="20.100000000000001" customHeight="1">
      <c r="A4965" s="788">
        <f t="shared" si="381"/>
        <v>13</v>
      </c>
      <c r="B4965" s="775" t="s">
        <v>2249</v>
      </c>
      <c r="C4965" s="731">
        <v>100000</v>
      </c>
      <c r="D4965" s="731">
        <v>50000</v>
      </c>
      <c r="E4965" s="731">
        <v>50000</v>
      </c>
      <c r="F4965" s="731">
        <f t="shared" si="382"/>
        <v>200000</v>
      </c>
      <c r="G4965" s="731"/>
      <c r="H4965" s="731">
        <v>100000</v>
      </c>
      <c r="I4965" s="731"/>
      <c r="J4965" s="731"/>
      <c r="K4965" s="732"/>
      <c r="M4965" s="62" t="e">
        <f>IF(#REF!&gt;6,3,5)</f>
        <v>#REF!</v>
      </c>
    </row>
    <row r="4966" spans="1:13" ht="20.100000000000001" customHeight="1">
      <c r="A4966" s="788">
        <f t="shared" si="381"/>
        <v>14</v>
      </c>
      <c r="B4966" s="775" t="s">
        <v>1336</v>
      </c>
      <c r="C4966" s="731">
        <v>500000</v>
      </c>
      <c r="D4966" s="731">
        <v>1000000</v>
      </c>
      <c r="E4966" s="731">
        <v>1000000</v>
      </c>
      <c r="F4966" s="731">
        <f t="shared" si="382"/>
        <v>2500000</v>
      </c>
      <c r="G4966" s="731"/>
      <c r="H4966" s="731">
        <v>800000</v>
      </c>
      <c r="I4966" s="731"/>
      <c r="J4966" s="731"/>
      <c r="K4966" s="732"/>
      <c r="M4966" s="62" t="e">
        <f>IF(#REF!&gt;6,3,5)</f>
        <v>#REF!</v>
      </c>
    </row>
    <row r="4967" spans="1:13" ht="20.100000000000001" customHeight="1">
      <c r="A4967" s="788">
        <f t="shared" si="381"/>
        <v>15</v>
      </c>
      <c r="B4967" s="775" t="s">
        <v>600</v>
      </c>
      <c r="C4967" s="731">
        <v>4000000</v>
      </c>
      <c r="D4967" s="731">
        <v>5000000</v>
      </c>
      <c r="E4967" s="731">
        <v>5000000</v>
      </c>
      <c r="F4967" s="731">
        <f t="shared" si="382"/>
        <v>14000000</v>
      </c>
      <c r="G4967" s="731">
        <f>532000</f>
        <v>532000</v>
      </c>
      <c r="H4967" s="731">
        <v>5000000</v>
      </c>
      <c r="I4967" s="731">
        <v>446000</v>
      </c>
      <c r="J4967" s="731"/>
      <c r="K4967" s="732"/>
      <c r="M4967" s="62" t="e">
        <f>IF(#REF!&gt;6,3,5)</f>
        <v>#REF!</v>
      </c>
    </row>
    <row r="4968" spans="1:13" ht="20.100000000000001" customHeight="1">
      <c r="A4968" s="788">
        <f t="shared" si="381"/>
        <v>16</v>
      </c>
      <c r="B4968" s="775" t="s">
        <v>601</v>
      </c>
      <c r="C4968" s="731">
        <v>5000000</v>
      </c>
      <c r="D4968" s="731">
        <v>5000000</v>
      </c>
      <c r="E4968" s="731">
        <v>5000000</v>
      </c>
      <c r="F4968" s="731">
        <f t="shared" si="382"/>
        <v>15000000</v>
      </c>
      <c r="G4968" s="731">
        <v>786421</v>
      </c>
      <c r="H4968" s="731">
        <v>5000000</v>
      </c>
      <c r="I4968" s="731">
        <v>148000</v>
      </c>
      <c r="J4968" s="731"/>
      <c r="K4968" s="732"/>
      <c r="M4968" s="62" t="e">
        <f>IF(#REF!&gt;6,3,5)</f>
        <v>#REF!</v>
      </c>
    </row>
    <row r="4969" spans="1:13" ht="20.100000000000001" customHeight="1">
      <c r="A4969" s="788">
        <f t="shared" si="381"/>
        <v>17</v>
      </c>
      <c r="B4969" s="775" t="s">
        <v>115</v>
      </c>
      <c r="C4969" s="731">
        <v>5000000</v>
      </c>
      <c r="D4969" s="731">
        <v>5000000</v>
      </c>
      <c r="E4969" s="731">
        <v>5000000</v>
      </c>
      <c r="F4969" s="731">
        <f t="shared" si="382"/>
        <v>15000000</v>
      </c>
      <c r="G4969" s="731"/>
      <c r="H4969" s="731">
        <v>5000000</v>
      </c>
      <c r="I4969" s="731"/>
      <c r="J4969" s="731"/>
      <c r="K4969" s="732"/>
      <c r="M4969" s="62" t="e">
        <f>IF(#REF!&gt;6,3,5)</f>
        <v>#REF!</v>
      </c>
    </row>
    <row r="4970" spans="1:13" ht="20.100000000000001" customHeight="1">
      <c r="A4970" s="788">
        <f t="shared" si="381"/>
        <v>18</v>
      </c>
      <c r="B4970" s="775" t="s">
        <v>1062</v>
      </c>
      <c r="C4970" s="731">
        <v>29000000</v>
      </c>
      <c r="D4970" s="731">
        <v>40000000</v>
      </c>
      <c r="E4970" s="731">
        <v>40000000</v>
      </c>
      <c r="F4970" s="731">
        <f t="shared" si="382"/>
        <v>109000000</v>
      </c>
      <c r="G4970" s="731"/>
      <c r="H4970" s="731">
        <v>30000000</v>
      </c>
      <c r="I4970" s="731">
        <v>281000</v>
      </c>
      <c r="J4970" s="731"/>
      <c r="K4970" s="732"/>
      <c r="M4970" s="62" t="e">
        <f>IF(#REF!&gt;6,3,5)</f>
        <v>#REF!</v>
      </c>
    </row>
    <row r="4971" spans="1:13" ht="25.5" customHeight="1">
      <c r="A4971" s="788">
        <f t="shared" si="381"/>
        <v>19</v>
      </c>
      <c r="B4971" s="775" t="s">
        <v>1826</v>
      </c>
      <c r="C4971" s="731">
        <v>4000000</v>
      </c>
      <c r="D4971" s="731">
        <v>2000000</v>
      </c>
      <c r="E4971" s="731">
        <v>2000000</v>
      </c>
      <c r="F4971" s="731">
        <f t="shared" si="382"/>
        <v>8000000</v>
      </c>
      <c r="G4971" s="731">
        <v>3060000</v>
      </c>
      <c r="H4971" s="731">
        <v>4000000</v>
      </c>
      <c r="I4971" s="731">
        <v>0</v>
      </c>
      <c r="J4971" s="731"/>
      <c r="K4971" s="732"/>
      <c r="M4971" s="62" t="e">
        <f>IF(#REF!&gt;6,3,5)</f>
        <v>#REF!</v>
      </c>
    </row>
    <row r="4972" spans="1:13" ht="20.100000000000001" customHeight="1">
      <c r="A4972" s="788">
        <f t="shared" si="381"/>
        <v>20</v>
      </c>
      <c r="B4972" s="775" t="s">
        <v>116</v>
      </c>
      <c r="C4972" s="731">
        <v>500000</v>
      </c>
      <c r="D4972" s="731">
        <v>2000000</v>
      </c>
      <c r="E4972" s="731">
        <v>2000000</v>
      </c>
      <c r="F4972" s="731">
        <f t="shared" si="382"/>
        <v>4500000</v>
      </c>
      <c r="G4972" s="731"/>
      <c r="H4972" s="731">
        <v>500000</v>
      </c>
      <c r="I4972" s="731">
        <v>225000</v>
      </c>
      <c r="J4972" s="731"/>
      <c r="K4972" s="732"/>
      <c r="M4972" s="62" t="e">
        <f>IF(#REF!&gt;6,3,5)</f>
        <v>#REF!</v>
      </c>
    </row>
    <row r="4973" spans="1:13" ht="20.100000000000001" customHeight="1">
      <c r="A4973" s="788">
        <f t="shared" si="381"/>
        <v>21</v>
      </c>
      <c r="B4973" s="775" t="s">
        <v>1452</v>
      </c>
      <c r="C4973" s="731" t="s">
        <v>3007</v>
      </c>
      <c r="D4973" s="731">
        <v>1500000</v>
      </c>
      <c r="E4973" s="731">
        <v>1800000</v>
      </c>
      <c r="F4973" s="731">
        <f t="shared" si="382"/>
        <v>3300000</v>
      </c>
      <c r="G4973" s="731"/>
      <c r="H4973" s="731">
        <v>1000000</v>
      </c>
      <c r="I4973" s="731"/>
      <c r="J4973" s="731"/>
      <c r="K4973" s="732"/>
      <c r="M4973" s="62" t="e">
        <f>IF(#REF!&gt;6,3,5)</f>
        <v>#REF!</v>
      </c>
    </row>
    <row r="4974" spans="1:13" ht="20.100000000000001" customHeight="1">
      <c r="A4974" s="788"/>
      <c r="B4974" s="775"/>
      <c r="C4974" s="731"/>
      <c r="D4974" s="731"/>
      <c r="E4974" s="731"/>
      <c r="F4974" s="731"/>
      <c r="G4974" s="731"/>
      <c r="H4974" s="731"/>
      <c r="I4974" s="731"/>
      <c r="J4974" s="731"/>
      <c r="K4974" s="732"/>
      <c r="M4974" s="62" t="e">
        <f>IF(#REF!&gt;6,3,5)</f>
        <v>#REF!</v>
      </c>
    </row>
    <row r="4975" spans="1:13">
      <c r="A4975" s="818" t="s">
        <v>1840</v>
      </c>
      <c r="B4975" s="819" t="s">
        <v>1684</v>
      </c>
      <c r="C4975" s="820">
        <f t="shared" ref="C4975:I4975" si="383">SUM(C4954:C4974)</f>
        <v>55000000</v>
      </c>
      <c r="D4975" s="820">
        <f t="shared" si="383"/>
        <v>67450000</v>
      </c>
      <c r="E4975" s="820">
        <f t="shared" si="383"/>
        <v>67750000</v>
      </c>
      <c r="F4975" s="820">
        <f t="shared" si="383"/>
        <v>190200000</v>
      </c>
      <c r="G4975" s="820">
        <f>SUM(G4954:G4974)</f>
        <v>7232321</v>
      </c>
      <c r="H4975" s="820">
        <f t="shared" si="383"/>
        <v>58300000</v>
      </c>
      <c r="I4975" s="820">
        <f t="shared" si="383"/>
        <v>2843000</v>
      </c>
      <c r="J4975" s="820"/>
      <c r="K4975" s="821"/>
      <c r="M4975" s="62" t="e">
        <f>IF(#REF!&gt;6,3,5)</f>
        <v>#REF!</v>
      </c>
    </row>
    <row r="4976" spans="1:13" ht="15">
      <c r="C4976" s="163"/>
      <c r="D4976" s="164" t="s">
        <v>5434</v>
      </c>
      <c r="E4976" s="165"/>
      <c r="F4976" s="165"/>
      <c r="G4976" s="165"/>
      <c r="H4976" s="165"/>
      <c r="I4976" s="165"/>
      <c r="J4976" s="584"/>
      <c r="K4976" s="584"/>
      <c r="M4976" s="62">
        <f t="shared" si="379"/>
        <v>5</v>
      </c>
    </row>
    <row r="4977" spans="1:13">
      <c r="C4977" s="163"/>
      <c r="D4977" s="164" t="s">
        <v>1693</v>
      </c>
      <c r="E4977" s="165"/>
      <c r="F4977" s="165"/>
      <c r="G4977" s="62"/>
      <c r="H4977" s="62"/>
      <c r="I4977" s="62"/>
      <c r="M4977" s="62">
        <f t="shared" si="379"/>
        <v>5</v>
      </c>
    </row>
    <row r="4978" spans="1:13" ht="15">
      <c r="C4978" s="176" t="s">
        <v>1811</v>
      </c>
      <c r="D4978" s="164" t="s">
        <v>3116</v>
      </c>
      <c r="E4978" s="200"/>
      <c r="F4978" s="200"/>
      <c r="G4978" s="200"/>
      <c r="H4978" s="200"/>
      <c r="I4978" s="200"/>
      <c r="J4978" s="584"/>
      <c r="K4978" s="584"/>
      <c r="M4978" s="62">
        <f t="shared" si="379"/>
        <v>3</v>
      </c>
    </row>
    <row r="4979" spans="1:13" ht="15.75" thickBot="1">
      <c r="C4979" s="79" t="s">
        <v>718</v>
      </c>
      <c r="D4979" s="164" t="s">
        <v>1808</v>
      </c>
      <c r="E4979" s="62"/>
      <c r="F4979" s="200"/>
      <c r="G4979" s="200"/>
      <c r="H4979" s="200"/>
      <c r="I4979" s="200"/>
      <c r="J4979" s="584"/>
      <c r="K4979" s="584"/>
    </row>
    <row r="4980" spans="1:13" ht="15.75" thickTop="1">
      <c r="A4980" s="1047" t="s">
        <v>2791</v>
      </c>
      <c r="B4980" s="1049" t="s">
        <v>4126</v>
      </c>
      <c r="C4980" s="1049" t="s">
        <v>854</v>
      </c>
      <c r="D4980" s="1040" t="s">
        <v>4127</v>
      </c>
      <c r="E4980" s="1041"/>
      <c r="F4980" s="1041"/>
      <c r="G4980" s="1040" t="s">
        <v>904</v>
      </c>
      <c r="H4980" s="1041"/>
      <c r="I4980" s="1042"/>
      <c r="J4980" s="1035" t="s">
        <v>855</v>
      </c>
      <c r="K4980" s="389"/>
    </row>
    <row r="4981" spans="1:13" ht="26.25" thickBot="1">
      <c r="A4981" s="1048"/>
      <c r="B4981" s="1050"/>
      <c r="C4981" s="1050"/>
      <c r="D4981" s="285" t="s">
        <v>5505</v>
      </c>
      <c r="E4981" s="285" t="s">
        <v>4485</v>
      </c>
      <c r="F4981" s="285" t="s">
        <v>4486</v>
      </c>
      <c r="G4981" s="287" t="s">
        <v>4487</v>
      </c>
      <c r="H4981" s="285" t="s">
        <v>4488</v>
      </c>
      <c r="I4981" s="287" t="s">
        <v>4489</v>
      </c>
      <c r="J4981" s="1036"/>
      <c r="K4981" s="712"/>
    </row>
    <row r="4982" spans="1:13" ht="13.5" thickTop="1">
      <c r="A4982" s="88"/>
      <c r="B4982" s="90" t="s">
        <v>2237</v>
      </c>
      <c r="C4982" s="167"/>
      <c r="D4982" s="155"/>
      <c r="E4982" s="155"/>
      <c r="F4982" s="155"/>
      <c r="G4982" s="155"/>
      <c r="H4982" s="155"/>
      <c r="I4982" s="155"/>
      <c r="J4982" s="713"/>
      <c r="K4982" s="711"/>
      <c r="M4982" s="62">
        <f t="shared" si="379"/>
        <v>5</v>
      </c>
    </row>
    <row r="4983" spans="1:13">
      <c r="A4983" s="88">
        <f t="shared" ref="A4983:A4993" si="384">+A4982+1</f>
        <v>1</v>
      </c>
      <c r="B4983" s="69" t="s">
        <v>1982</v>
      </c>
      <c r="C4983" s="167">
        <v>6</v>
      </c>
      <c r="D4983" s="155">
        <v>1</v>
      </c>
      <c r="E4983" s="155">
        <v>1</v>
      </c>
      <c r="F4983" s="155">
        <v>1</v>
      </c>
      <c r="G4983" s="155"/>
      <c r="H4983" s="155">
        <v>1</v>
      </c>
      <c r="I4983" s="155"/>
      <c r="J4983" s="710">
        <f>(VLOOKUP($C4983,[2]Sheet1!$A$2:$P$18,$M4983+1)/12)*12*D4983</f>
        <v>238099.37893036497</v>
      </c>
      <c r="K4983" s="711"/>
      <c r="M4983" s="62">
        <f t="shared" si="379"/>
        <v>5</v>
      </c>
    </row>
    <row r="4984" spans="1:13">
      <c r="A4984" s="88">
        <f t="shared" si="384"/>
        <v>2</v>
      </c>
      <c r="B4984" s="69" t="s">
        <v>1250</v>
      </c>
      <c r="C4984" s="167">
        <v>5</v>
      </c>
      <c r="D4984" s="155">
        <v>0</v>
      </c>
      <c r="E4984" s="155">
        <v>2</v>
      </c>
      <c r="F4984" s="155">
        <v>0</v>
      </c>
      <c r="G4984" s="155"/>
      <c r="H4984" s="155">
        <v>0</v>
      </c>
      <c r="I4984" s="155"/>
      <c r="J4984" s="710">
        <f>(VLOOKUP($C4984,[2]Sheet1!$A$2:$P$18,$M4984+1)/12)*12*D4984</f>
        <v>0</v>
      </c>
      <c r="K4984" s="711"/>
      <c r="M4984" s="62">
        <f t="shared" si="379"/>
        <v>5</v>
      </c>
    </row>
    <row r="4985" spans="1:13">
      <c r="A4985" s="88">
        <f t="shared" si="384"/>
        <v>3</v>
      </c>
      <c r="B4985" s="69" t="s">
        <v>682</v>
      </c>
      <c r="C4985" s="167">
        <v>4</v>
      </c>
      <c r="D4985" s="155">
        <v>1</v>
      </c>
      <c r="E4985" s="155">
        <v>2</v>
      </c>
      <c r="F4985" s="155">
        <v>1</v>
      </c>
      <c r="G4985" s="155"/>
      <c r="H4985" s="155">
        <v>1</v>
      </c>
      <c r="I4985" s="155"/>
      <c r="J4985" s="710">
        <f>(VLOOKUP($C4985,[2]Sheet1!$A$2:$P$18,$M4985+1)/12)*12*D4985</f>
        <v>224542.978930365</v>
      </c>
      <c r="K4985" s="711"/>
      <c r="M4985" s="62">
        <f t="shared" si="379"/>
        <v>5</v>
      </c>
    </row>
    <row r="4986" spans="1:13">
      <c r="A4986" s="88">
        <f t="shared" si="384"/>
        <v>4</v>
      </c>
      <c r="B4986" s="69" t="s">
        <v>4030</v>
      </c>
      <c r="C4986" s="167">
        <v>3</v>
      </c>
      <c r="D4986" s="155">
        <v>1</v>
      </c>
      <c r="E4986" s="155">
        <v>3</v>
      </c>
      <c r="F4986" s="155">
        <v>1</v>
      </c>
      <c r="G4986" s="155"/>
      <c r="H4986" s="155">
        <v>1</v>
      </c>
      <c r="I4986" s="155"/>
      <c r="J4986" s="710">
        <f>(VLOOKUP($C4986,[2]Sheet1!$A$2:$P$18,$M4986+1)/12)*12*D4986</f>
        <v>219336.17893036499</v>
      </c>
      <c r="K4986" s="711"/>
      <c r="M4986" s="62">
        <f t="shared" si="379"/>
        <v>5</v>
      </c>
    </row>
    <row r="4987" spans="1:13">
      <c r="A4987" s="88">
        <f t="shared" si="384"/>
        <v>5</v>
      </c>
      <c r="B4987" s="69" t="s">
        <v>2543</v>
      </c>
      <c r="C4987" s="167">
        <v>3</v>
      </c>
      <c r="D4987" s="155">
        <v>2</v>
      </c>
      <c r="E4987" s="155">
        <v>6</v>
      </c>
      <c r="F4987" s="155">
        <v>2</v>
      </c>
      <c r="G4987" s="155"/>
      <c r="H4987" s="155">
        <v>2</v>
      </c>
      <c r="I4987" s="155"/>
      <c r="J4987" s="710">
        <f>(VLOOKUP($C4987,[2]Sheet1!$A$2:$P$18,$M4987+1)/12)*12*D4987</f>
        <v>438672.35786072997</v>
      </c>
      <c r="K4987" s="711"/>
      <c r="M4987" s="62">
        <f t="shared" si="379"/>
        <v>5</v>
      </c>
    </row>
    <row r="4988" spans="1:13">
      <c r="A4988" s="88">
        <f t="shared" si="384"/>
        <v>6</v>
      </c>
      <c r="B4988" s="69" t="s">
        <v>2543</v>
      </c>
      <c r="C4988" s="167">
        <v>2</v>
      </c>
      <c r="D4988" s="155">
        <v>0</v>
      </c>
      <c r="E4988" s="155">
        <v>2</v>
      </c>
      <c r="F4988" s="155">
        <v>0</v>
      </c>
      <c r="G4988" s="155"/>
      <c r="H4988" s="155">
        <v>0</v>
      </c>
      <c r="I4988" s="155"/>
      <c r="J4988" s="710">
        <f>(VLOOKUP($C4988,[2]Sheet1!$A$2:$P$18,$M4988+1)/12)*12*D4988</f>
        <v>0</v>
      </c>
      <c r="K4988" s="711"/>
      <c r="M4988" s="62">
        <f t="shared" si="379"/>
        <v>5</v>
      </c>
    </row>
    <row r="4989" spans="1:13">
      <c r="A4989" s="88">
        <f t="shared" si="384"/>
        <v>7</v>
      </c>
      <c r="B4989" s="69" t="s">
        <v>2442</v>
      </c>
      <c r="C4989" s="167">
        <v>7</v>
      </c>
      <c r="D4989" s="155">
        <v>1</v>
      </c>
      <c r="E4989" s="155">
        <v>3</v>
      </c>
      <c r="F4989" s="155">
        <v>1</v>
      </c>
      <c r="G4989" s="155"/>
      <c r="H4989" s="155">
        <v>1</v>
      </c>
      <c r="I4989" s="155"/>
      <c r="J4989" s="710">
        <f>(VLOOKUP($C4989,[2]Sheet1!$A$2:$P$18,$M4989+1)/12)*12*D4989</f>
        <v>307706.70240000007</v>
      </c>
      <c r="K4989" s="711"/>
      <c r="M4989" s="62">
        <f t="shared" si="379"/>
        <v>3</v>
      </c>
    </row>
    <row r="4990" spans="1:13">
      <c r="A4990" s="88">
        <f t="shared" si="384"/>
        <v>8</v>
      </c>
      <c r="B4990" s="69" t="s">
        <v>2597</v>
      </c>
      <c r="C4990" s="167">
        <v>3</v>
      </c>
      <c r="D4990" s="155">
        <v>1</v>
      </c>
      <c r="E4990" s="155">
        <v>1</v>
      </c>
      <c r="F4990" s="155">
        <v>1</v>
      </c>
      <c r="G4990" s="155"/>
      <c r="H4990" s="155">
        <v>1</v>
      </c>
      <c r="I4990" s="155"/>
      <c r="J4990" s="710">
        <f>(VLOOKUP($C4990,[2]Sheet1!$A$2:$P$18,$M4990+1)/12)*12*D4990</f>
        <v>219336.17893036499</v>
      </c>
      <c r="K4990" s="711"/>
      <c r="M4990" s="62">
        <f t="shared" si="379"/>
        <v>5</v>
      </c>
    </row>
    <row r="4991" spans="1:13">
      <c r="A4991" s="88">
        <f t="shared" si="384"/>
        <v>9</v>
      </c>
      <c r="B4991" s="69" t="s">
        <v>3861</v>
      </c>
      <c r="C4991" s="167">
        <v>2</v>
      </c>
      <c r="D4991" s="155">
        <v>1</v>
      </c>
      <c r="E4991" s="155">
        <v>4</v>
      </c>
      <c r="F4991" s="155">
        <v>1</v>
      </c>
      <c r="G4991" s="155"/>
      <c r="H4991" s="155">
        <v>1</v>
      </c>
      <c r="I4991" s="155"/>
      <c r="J4991" s="710">
        <f>(VLOOKUP($C4991,[2]Sheet1!$A$2:$P$18,$M4991+1)/12)*12*D4991</f>
        <v>214657.37893036503</v>
      </c>
      <c r="K4991" s="711"/>
      <c r="M4991" s="62">
        <f t="shared" si="379"/>
        <v>5</v>
      </c>
    </row>
    <row r="4992" spans="1:13">
      <c r="A4992" s="88">
        <f t="shared" si="384"/>
        <v>10</v>
      </c>
      <c r="B4992" s="69" t="s">
        <v>2172</v>
      </c>
      <c r="C4992" s="167">
        <v>3</v>
      </c>
      <c r="D4992" s="155">
        <v>4</v>
      </c>
      <c r="E4992" s="155">
        <v>6</v>
      </c>
      <c r="F4992" s="155">
        <v>4</v>
      </c>
      <c r="G4992" s="155"/>
      <c r="H4992" s="155">
        <v>4</v>
      </c>
      <c r="I4992" s="155"/>
      <c r="J4992" s="710">
        <f>(VLOOKUP($C4992,[2]Sheet1!$A$2:$P$18,$M4992+1)/12)*12*D4992</f>
        <v>877344.71572145994</v>
      </c>
      <c r="K4992" s="711"/>
      <c r="M4992" s="62">
        <f t="shared" si="379"/>
        <v>5</v>
      </c>
    </row>
    <row r="4993" spans="1:13">
      <c r="A4993" s="88">
        <f t="shared" si="384"/>
        <v>11</v>
      </c>
      <c r="B4993" s="69" t="s">
        <v>2172</v>
      </c>
      <c r="C4993" s="167">
        <v>2</v>
      </c>
      <c r="D4993" s="155">
        <v>0</v>
      </c>
      <c r="E4993" s="155">
        <v>10</v>
      </c>
      <c r="F4993" s="155">
        <v>0</v>
      </c>
      <c r="G4993" s="155"/>
      <c r="H4993" s="155">
        <v>0</v>
      </c>
      <c r="I4993" s="155"/>
      <c r="J4993" s="710">
        <f>(VLOOKUP($C4993,[2]Sheet1!$A$2:$P$18,$M4993+1)/12)*12*D4993</f>
        <v>0</v>
      </c>
      <c r="K4993" s="711"/>
      <c r="M4993" s="62">
        <f t="shared" ref="M4993:M5054" si="385">IF(C4993&gt;6,3,5)</f>
        <v>5</v>
      </c>
    </row>
    <row r="4994" spans="1:13">
      <c r="A4994" s="88"/>
      <c r="B4994" s="90" t="s">
        <v>2868</v>
      </c>
      <c r="C4994" s="167"/>
      <c r="D4994" s="155"/>
      <c r="E4994" s="155"/>
      <c r="F4994" s="155"/>
      <c r="G4994" s="155"/>
      <c r="H4994" s="155"/>
      <c r="I4994" s="155"/>
      <c r="J4994" s="710"/>
      <c r="K4994" s="711"/>
      <c r="M4994" s="62">
        <f t="shared" si="385"/>
        <v>5</v>
      </c>
    </row>
    <row r="4995" spans="1:13">
      <c r="A4995" s="88">
        <f>+A4993+1</f>
        <v>12</v>
      </c>
      <c r="B4995" s="69" t="s">
        <v>3532</v>
      </c>
      <c r="C4995" s="167">
        <v>16</v>
      </c>
      <c r="D4995" s="155">
        <v>0</v>
      </c>
      <c r="E4995" s="155">
        <v>1</v>
      </c>
      <c r="F4995" s="155">
        <v>0</v>
      </c>
      <c r="G4995" s="155"/>
      <c r="H4995" s="155">
        <v>0</v>
      </c>
      <c r="I4995" s="155"/>
      <c r="J4995" s="710">
        <f>(VLOOKUP($C4995,[2]Sheet1!$A$2:$P$18,$M4995+1)/12)*12*D4995</f>
        <v>0</v>
      </c>
      <c r="K4995" s="711"/>
      <c r="M4995" s="62">
        <f t="shared" si="385"/>
        <v>3</v>
      </c>
    </row>
    <row r="4996" spans="1:13">
      <c r="A4996" s="88">
        <f t="shared" ref="A4996:A5007" si="386">+A4995+1</f>
        <v>13</v>
      </c>
      <c r="B4996" s="69" t="s">
        <v>1256</v>
      </c>
      <c r="C4996" s="167">
        <v>15</v>
      </c>
      <c r="D4996" s="155">
        <v>0</v>
      </c>
      <c r="E4996" s="155">
        <v>1</v>
      </c>
      <c r="F4996" s="155">
        <v>0</v>
      </c>
      <c r="G4996" s="155"/>
      <c r="H4996" s="155">
        <v>0</v>
      </c>
      <c r="I4996" s="155"/>
      <c r="J4996" s="710">
        <f>(VLOOKUP($C4996,[2]Sheet1!$A$2:$P$18,$M4996+1)/12)*12*D4996</f>
        <v>0</v>
      </c>
      <c r="K4996" s="711"/>
      <c r="M4996" s="62">
        <f t="shared" si="385"/>
        <v>3</v>
      </c>
    </row>
    <row r="4997" spans="1:13">
      <c r="A4997" s="88">
        <f t="shared" si="386"/>
        <v>14</v>
      </c>
      <c r="B4997" s="69" t="s">
        <v>3533</v>
      </c>
      <c r="C4997" s="167">
        <v>14</v>
      </c>
      <c r="D4997" s="155">
        <v>0</v>
      </c>
      <c r="E4997" s="155">
        <v>1</v>
      </c>
      <c r="F4997" s="155">
        <v>0</v>
      </c>
      <c r="G4997" s="155"/>
      <c r="H4997" s="155">
        <v>0</v>
      </c>
      <c r="I4997" s="155"/>
      <c r="J4997" s="710">
        <f>(VLOOKUP($C4997,[2]Sheet1!$A$2:$P$18,$M4997+1)/12)*12*D4997</f>
        <v>0</v>
      </c>
      <c r="K4997" s="711"/>
      <c r="M4997" s="62">
        <f t="shared" si="385"/>
        <v>3</v>
      </c>
    </row>
    <row r="4998" spans="1:13">
      <c r="A4998" s="88">
        <f t="shared" si="386"/>
        <v>15</v>
      </c>
      <c r="B4998" s="69" t="s">
        <v>4075</v>
      </c>
      <c r="C4998" s="167">
        <v>13</v>
      </c>
      <c r="D4998" s="155">
        <v>0</v>
      </c>
      <c r="E4998" s="155">
        <v>3</v>
      </c>
      <c r="F4998" s="155">
        <v>0</v>
      </c>
      <c r="G4998" s="155"/>
      <c r="H4998" s="155">
        <v>0</v>
      </c>
      <c r="I4998" s="155"/>
      <c r="J4998" s="710">
        <f>(VLOOKUP($C4998,[2]Sheet1!$A$2:$P$18,$M4998+1)/12)*12*D4998</f>
        <v>0</v>
      </c>
      <c r="K4998" s="711"/>
      <c r="M4998" s="62">
        <f t="shared" si="385"/>
        <v>3</v>
      </c>
    </row>
    <row r="4999" spans="1:13">
      <c r="A4999" s="88">
        <f t="shared" si="386"/>
        <v>16</v>
      </c>
      <c r="B4999" s="69" t="s">
        <v>2869</v>
      </c>
      <c r="C4999" s="167">
        <v>12</v>
      </c>
      <c r="D4999" s="155">
        <v>1</v>
      </c>
      <c r="E4999" s="155">
        <v>6</v>
      </c>
      <c r="F4999" s="155">
        <v>1</v>
      </c>
      <c r="G4999" s="155"/>
      <c r="H4999" s="155">
        <v>1</v>
      </c>
      <c r="I4999" s="155"/>
      <c r="J4999" s="710">
        <f>(VLOOKUP($C4999,[2]Sheet1!$A$2:$P$18,$M4999+1)/12)*12*D4999</f>
        <v>552685.0537200002</v>
      </c>
      <c r="K4999" s="711"/>
      <c r="M4999" s="62">
        <f t="shared" si="385"/>
        <v>3</v>
      </c>
    </row>
    <row r="5000" spans="1:13">
      <c r="A5000" s="88">
        <f t="shared" si="386"/>
        <v>17</v>
      </c>
      <c r="B5000" s="69" t="s">
        <v>2871</v>
      </c>
      <c r="C5000" s="167">
        <v>10</v>
      </c>
      <c r="D5000" s="155">
        <v>1</v>
      </c>
      <c r="E5000" s="155">
        <v>4</v>
      </c>
      <c r="F5000" s="155">
        <v>1</v>
      </c>
      <c r="G5000" s="155"/>
      <c r="H5000" s="155">
        <v>1</v>
      </c>
      <c r="I5000" s="155"/>
      <c r="J5000" s="710">
        <f>(VLOOKUP($C5000,[2]Sheet1!$A$2:$P$18,$M5000+1)/12)*12*D5000</f>
        <v>483974.5687200001</v>
      </c>
      <c r="K5000" s="711"/>
      <c r="M5000" s="62">
        <f t="shared" si="385"/>
        <v>3</v>
      </c>
    </row>
    <row r="5001" spans="1:13">
      <c r="A5001" s="88">
        <f t="shared" si="386"/>
        <v>18</v>
      </c>
      <c r="B5001" s="69" t="s">
        <v>2695</v>
      </c>
      <c r="C5001" s="167">
        <v>9</v>
      </c>
      <c r="D5001" s="155">
        <v>2</v>
      </c>
      <c r="E5001" s="155">
        <v>5</v>
      </c>
      <c r="F5001" s="155">
        <v>2</v>
      </c>
      <c r="G5001" s="155"/>
      <c r="H5001" s="155">
        <v>2</v>
      </c>
      <c r="I5001" s="155"/>
      <c r="J5001" s="710">
        <f>(VLOOKUP($C5001,[2]Sheet1!$A$2:$P$18,$M5001+1)/12)*12*D5001</f>
        <v>819363.81239999994</v>
      </c>
      <c r="K5001" s="711"/>
      <c r="M5001" s="62">
        <f t="shared" si="385"/>
        <v>3</v>
      </c>
    </row>
    <row r="5002" spans="1:13">
      <c r="A5002" s="88">
        <f t="shared" si="386"/>
        <v>19</v>
      </c>
      <c r="B5002" s="69" t="s">
        <v>3959</v>
      </c>
      <c r="C5002" s="167">
        <v>8</v>
      </c>
      <c r="D5002" s="155">
        <v>2</v>
      </c>
      <c r="E5002" s="155">
        <v>7</v>
      </c>
      <c r="F5002" s="155">
        <v>2</v>
      </c>
      <c r="G5002" s="155"/>
      <c r="H5002" s="155">
        <v>2</v>
      </c>
      <c r="I5002" s="155"/>
      <c r="J5002" s="710">
        <f>(VLOOKUP($C5002,[2]Sheet1!$A$2:$P$18,$M5002+1)/12)*12*D5002</f>
        <v>684282.54816000001</v>
      </c>
      <c r="K5002" s="711"/>
      <c r="M5002" s="62">
        <f t="shared" si="385"/>
        <v>3</v>
      </c>
    </row>
    <row r="5003" spans="1:13">
      <c r="A5003" s="88">
        <f t="shared" si="386"/>
        <v>20</v>
      </c>
      <c r="B5003" s="69" t="s">
        <v>909</v>
      </c>
      <c r="C5003" s="167">
        <v>7</v>
      </c>
      <c r="D5003" s="155">
        <v>0</v>
      </c>
      <c r="E5003" s="155">
        <v>10</v>
      </c>
      <c r="F5003" s="155">
        <v>0</v>
      </c>
      <c r="G5003" s="155"/>
      <c r="H5003" s="155">
        <v>0</v>
      </c>
      <c r="I5003" s="155"/>
      <c r="J5003" s="710">
        <f>(VLOOKUP($C5003,[2]Sheet1!$A$2:$P$18,$M5003+1)/12)*12*D5003</f>
        <v>0</v>
      </c>
      <c r="K5003" s="711"/>
      <c r="M5003" s="62">
        <f t="shared" si="385"/>
        <v>3</v>
      </c>
    </row>
    <row r="5004" spans="1:13">
      <c r="A5004" s="88">
        <f t="shared" si="386"/>
        <v>21</v>
      </c>
      <c r="B5004" s="69" t="s">
        <v>3422</v>
      </c>
      <c r="C5004" s="167">
        <v>6</v>
      </c>
      <c r="D5004" s="155">
        <v>2</v>
      </c>
      <c r="E5004" s="155">
        <v>10</v>
      </c>
      <c r="F5004" s="155">
        <v>2</v>
      </c>
      <c r="G5004" s="155"/>
      <c r="H5004" s="155">
        <v>2</v>
      </c>
      <c r="I5004" s="155"/>
      <c r="J5004" s="710">
        <f>(VLOOKUP($C5004,[2]Sheet1!$A$2:$P$18,$M5004+1)/12)*12*D5004</f>
        <v>476198.75786072994</v>
      </c>
      <c r="K5004" s="711"/>
      <c r="M5004" s="62">
        <f t="shared" si="385"/>
        <v>5</v>
      </c>
    </row>
    <row r="5005" spans="1:13">
      <c r="A5005" s="88">
        <f t="shared" si="386"/>
        <v>22</v>
      </c>
      <c r="B5005" s="69" t="s">
        <v>1410</v>
      </c>
      <c r="C5005" s="167">
        <v>7</v>
      </c>
      <c r="D5005" s="155">
        <v>2</v>
      </c>
      <c r="E5005" s="155">
        <v>5</v>
      </c>
      <c r="F5005" s="155">
        <v>2</v>
      </c>
      <c r="G5005" s="155"/>
      <c r="H5005" s="155">
        <v>2</v>
      </c>
      <c r="I5005" s="155"/>
      <c r="J5005" s="710">
        <f>(VLOOKUP($C5005,[2]Sheet1!$A$2:$P$18,$M5005+1)/12)*12*D5005</f>
        <v>615413.40480000013</v>
      </c>
      <c r="K5005" s="711"/>
      <c r="M5005" s="62">
        <f t="shared" si="385"/>
        <v>3</v>
      </c>
    </row>
    <row r="5006" spans="1:13">
      <c r="A5006" s="88">
        <f t="shared" si="386"/>
        <v>23</v>
      </c>
      <c r="B5006" s="69" t="s">
        <v>1411</v>
      </c>
      <c r="C5006" s="167">
        <v>6</v>
      </c>
      <c r="D5006" s="155">
        <v>2</v>
      </c>
      <c r="E5006" s="155">
        <v>6</v>
      </c>
      <c r="F5006" s="155">
        <v>2</v>
      </c>
      <c r="G5006" s="155"/>
      <c r="H5006" s="155">
        <v>2</v>
      </c>
      <c r="I5006" s="155"/>
      <c r="J5006" s="710">
        <f>(VLOOKUP($C5006,[2]Sheet1!$A$2:$P$18,$M5006+1)/12)*12*D5006</f>
        <v>476198.75786072994</v>
      </c>
      <c r="K5006" s="711"/>
      <c r="M5006" s="62">
        <f t="shared" si="385"/>
        <v>5</v>
      </c>
    </row>
    <row r="5007" spans="1:13">
      <c r="A5007" s="88">
        <f t="shared" si="386"/>
        <v>24</v>
      </c>
      <c r="B5007" s="69" t="s">
        <v>3423</v>
      </c>
      <c r="C5007" s="167">
        <v>6</v>
      </c>
      <c r="D5007" s="155">
        <v>2</v>
      </c>
      <c r="E5007" s="155">
        <v>6</v>
      </c>
      <c r="F5007" s="155">
        <v>2</v>
      </c>
      <c r="G5007" s="155"/>
      <c r="H5007" s="155">
        <v>2</v>
      </c>
      <c r="I5007" s="155"/>
      <c r="J5007" s="710">
        <f>(VLOOKUP($C5007,[2]Sheet1!$A$2:$P$18,$M5007+1)/12)*12*D5007</f>
        <v>476198.75786072994</v>
      </c>
      <c r="K5007" s="711"/>
      <c r="M5007" s="62">
        <f t="shared" si="385"/>
        <v>5</v>
      </c>
    </row>
    <row r="5008" spans="1:13">
      <c r="A5008" s="88"/>
      <c r="B5008" s="90" t="s">
        <v>1643</v>
      </c>
      <c r="C5008" s="167"/>
      <c r="D5008" s="155"/>
      <c r="E5008" s="155"/>
      <c r="F5008" s="155"/>
      <c r="G5008" s="155"/>
      <c r="H5008" s="155"/>
      <c r="I5008" s="155"/>
      <c r="J5008" s="710"/>
      <c r="K5008" s="711"/>
      <c r="M5008" s="62">
        <f t="shared" si="385"/>
        <v>5</v>
      </c>
    </row>
    <row r="5009" spans="1:13">
      <c r="A5009" s="88">
        <f>+A5007+1</f>
        <v>25</v>
      </c>
      <c r="B5009" s="69" t="s">
        <v>3532</v>
      </c>
      <c r="C5009" s="167">
        <v>16</v>
      </c>
      <c r="D5009" s="155">
        <v>0</v>
      </c>
      <c r="E5009" s="155">
        <v>0</v>
      </c>
      <c r="F5009" s="155">
        <v>0</v>
      </c>
      <c r="G5009" s="155">
        <v>0</v>
      </c>
      <c r="H5009" s="155">
        <v>0</v>
      </c>
      <c r="I5009" s="155">
        <v>0</v>
      </c>
      <c r="J5009" s="710">
        <f>(VLOOKUP($C5009,[2]Sheet1!$A$2:$P$18,$M5009+1)/12)*12*D5009</f>
        <v>0</v>
      </c>
      <c r="K5009" s="711"/>
      <c r="M5009" s="62">
        <f t="shared" si="385"/>
        <v>3</v>
      </c>
    </row>
    <row r="5010" spans="1:13">
      <c r="A5010" s="88">
        <f t="shared" ref="A5010:A5016" si="387">+A5009+1</f>
        <v>26</v>
      </c>
      <c r="B5010" s="69" t="s">
        <v>1256</v>
      </c>
      <c r="C5010" s="167">
        <v>15</v>
      </c>
      <c r="D5010" s="155">
        <v>0</v>
      </c>
      <c r="E5010" s="155">
        <v>0</v>
      </c>
      <c r="F5010" s="155">
        <v>0</v>
      </c>
      <c r="G5010" s="155">
        <v>0</v>
      </c>
      <c r="H5010" s="155">
        <v>0</v>
      </c>
      <c r="I5010" s="155">
        <v>0</v>
      </c>
      <c r="J5010" s="710">
        <f>(VLOOKUP($C5010,[2]Sheet1!$A$2:$P$18,$M5010+1)/12)*12*D5010</f>
        <v>0</v>
      </c>
      <c r="K5010" s="711"/>
      <c r="M5010" s="62">
        <f t="shared" si="385"/>
        <v>3</v>
      </c>
    </row>
    <row r="5011" spans="1:13">
      <c r="A5011" s="88">
        <f t="shared" si="387"/>
        <v>27</v>
      </c>
      <c r="B5011" s="69" t="s">
        <v>3533</v>
      </c>
      <c r="C5011" s="167">
        <v>14</v>
      </c>
      <c r="D5011" s="155">
        <v>0</v>
      </c>
      <c r="E5011" s="155">
        <v>0</v>
      </c>
      <c r="F5011" s="155">
        <v>0</v>
      </c>
      <c r="G5011" s="155">
        <v>0</v>
      </c>
      <c r="H5011" s="155">
        <v>0</v>
      </c>
      <c r="I5011" s="155">
        <v>0</v>
      </c>
      <c r="J5011" s="710">
        <f>(VLOOKUP($C5011,[2]Sheet1!$A$2:$P$18,$M5011+1)/12)*12*D5011</f>
        <v>0</v>
      </c>
      <c r="K5011" s="711"/>
      <c r="M5011" s="62">
        <f t="shared" si="385"/>
        <v>3</v>
      </c>
    </row>
    <row r="5012" spans="1:13">
      <c r="A5012" s="88">
        <f t="shared" si="387"/>
        <v>28</v>
      </c>
      <c r="B5012" s="69" t="s">
        <v>2937</v>
      </c>
      <c r="C5012" s="167">
        <v>13</v>
      </c>
      <c r="D5012" s="155">
        <v>0</v>
      </c>
      <c r="E5012" s="155">
        <v>0</v>
      </c>
      <c r="F5012" s="155">
        <v>0</v>
      </c>
      <c r="G5012" s="155">
        <v>0</v>
      </c>
      <c r="H5012" s="155">
        <v>0</v>
      </c>
      <c r="I5012" s="155">
        <v>0</v>
      </c>
      <c r="J5012" s="710">
        <f>(VLOOKUP($C5012,[2]Sheet1!$A$2:$P$18,$M5012+1)/12)*12*D5012</f>
        <v>0</v>
      </c>
      <c r="K5012" s="711"/>
      <c r="M5012" s="62">
        <f t="shared" si="385"/>
        <v>3</v>
      </c>
    </row>
    <row r="5013" spans="1:13">
      <c r="A5013" s="88">
        <f t="shared" si="387"/>
        <v>29</v>
      </c>
      <c r="B5013" s="69" t="s">
        <v>2938</v>
      </c>
      <c r="C5013" s="167">
        <v>12</v>
      </c>
      <c r="D5013" s="155">
        <v>1</v>
      </c>
      <c r="E5013" s="155">
        <v>1</v>
      </c>
      <c r="F5013" s="155">
        <v>1</v>
      </c>
      <c r="G5013" s="155">
        <v>0</v>
      </c>
      <c r="H5013" s="155">
        <v>1</v>
      </c>
      <c r="I5013" s="155">
        <v>0</v>
      </c>
      <c r="J5013" s="710">
        <f>(VLOOKUP($C5013,[2]Sheet1!$A$2:$P$18,$M5013+1)/12)*12*D5013</f>
        <v>552685.0537200002</v>
      </c>
      <c r="K5013" s="711"/>
      <c r="M5013" s="62">
        <f t="shared" si="385"/>
        <v>3</v>
      </c>
    </row>
    <row r="5014" spans="1:13">
      <c r="A5014" s="88">
        <f t="shared" si="387"/>
        <v>30</v>
      </c>
      <c r="B5014" s="69" t="s">
        <v>1346</v>
      </c>
      <c r="C5014" s="167">
        <v>10</v>
      </c>
      <c r="D5014" s="155">
        <v>2</v>
      </c>
      <c r="E5014" s="155">
        <v>4</v>
      </c>
      <c r="F5014" s="155">
        <v>2</v>
      </c>
      <c r="G5014" s="155">
        <v>0</v>
      </c>
      <c r="H5014" s="155">
        <v>2</v>
      </c>
      <c r="I5014" s="155">
        <v>0</v>
      </c>
      <c r="J5014" s="710">
        <f>(VLOOKUP($C5014,[2]Sheet1!$A$2:$P$18,$M5014+1)/12)*12*D5014</f>
        <v>967949.1374400002</v>
      </c>
      <c r="K5014" s="711"/>
      <c r="M5014" s="62">
        <f t="shared" si="385"/>
        <v>3</v>
      </c>
    </row>
    <row r="5015" spans="1:13">
      <c r="A5015" s="88">
        <f t="shared" si="387"/>
        <v>31</v>
      </c>
      <c r="B5015" s="69" t="s">
        <v>1347</v>
      </c>
      <c r="C5015" s="167">
        <v>9</v>
      </c>
      <c r="D5015" s="155">
        <v>2</v>
      </c>
      <c r="E5015" s="155">
        <v>8</v>
      </c>
      <c r="F5015" s="155">
        <v>2</v>
      </c>
      <c r="G5015" s="155">
        <v>0</v>
      </c>
      <c r="H5015" s="155">
        <v>2</v>
      </c>
      <c r="I5015" s="155">
        <v>0</v>
      </c>
      <c r="J5015" s="710">
        <f>(VLOOKUP($C5015,[2]Sheet1!$A$2:$P$18,$M5015+1)/12)*12*D5015</f>
        <v>819363.81239999994</v>
      </c>
      <c r="K5015" s="711"/>
      <c r="M5015" s="62">
        <f t="shared" si="385"/>
        <v>3</v>
      </c>
    </row>
    <row r="5016" spans="1:13">
      <c r="A5016" s="88">
        <f t="shared" si="387"/>
        <v>32</v>
      </c>
      <c r="B5016" s="69" t="s">
        <v>4047</v>
      </c>
      <c r="C5016" s="167">
        <v>8</v>
      </c>
      <c r="D5016" s="155">
        <v>2</v>
      </c>
      <c r="E5016" s="155">
        <v>7</v>
      </c>
      <c r="F5016" s="155">
        <v>2</v>
      </c>
      <c r="G5016" s="155">
        <v>0</v>
      </c>
      <c r="H5016" s="155">
        <v>2</v>
      </c>
      <c r="I5016" s="155">
        <v>0</v>
      </c>
      <c r="J5016" s="710">
        <f>(VLOOKUP($C5016,[2]Sheet1!$A$2:$P$18,$M5016+1)/12)*12*D5016</f>
        <v>684282.54816000001</v>
      </c>
      <c r="K5016" s="711"/>
      <c r="M5016" s="62">
        <f t="shared" si="385"/>
        <v>3</v>
      </c>
    </row>
    <row r="5017" spans="1:13">
      <c r="A5017" s="88">
        <f>+A5016+1</f>
        <v>33</v>
      </c>
      <c r="B5017" s="69" t="s">
        <v>407</v>
      </c>
      <c r="C5017" s="167">
        <v>7</v>
      </c>
      <c r="D5017" s="155">
        <v>1</v>
      </c>
      <c r="E5017" s="155">
        <v>2</v>
      </c>
      <c r="F5017" s="155">
        <v>1</v>
      </c>
      <c r="G5017" s="155">
        <v>0</v>
      </c>
      <c r="H5017" s="155">
        <v>1</v>
      </c>
      <c r="I5017" s="155">
        <v>0</v>
      </c>
      <c r="J5017" s="710">
        <f>(VLOOKUP($C5017,[2]Sheet1!$A$2:$P$18,$M5017+1)/12)*12*D5017</f>
        <v>307706.70240000007</v>
      </c>
      <c r="K5017" s="711"/>
      <c r="M5017" s="62">
        <f t="shared" si="385"/>
        <v>3</v>
      </c>
    </row>
    <row r="5018" spans="1:13" ht="13.5" thickBot="1">
      <c r="A5018" s="88">
        <f>+A5017+1</f>
        <v>34</v>
      </c>
      <c r="B5018" s="69" t="s">
        <v>3945</v>
      </c>
      <c r="C5018" s="167">
        <v>6</v>
      </c>
      <c r="D5018" s="155">
        <v>1</v>
      </c>
      <c r="E5018" s="155">
        <v>4</v>
      </c>
      <c r="F5018" s="155">
        <v>1</v>
      </c>
      <c r="G5018" s="155">
        <v>0</v>
      </c>
      <c r="H5018" s="155">
        <v>1</v>
      </c>
      <c r="I5018" s="155">
        <v>0</v>
      </c>
      <c r="J5018" s="710">
        <f>(VLOOKUP($C5018,[2]Sheet1!$A$2:$P$18,$M5018+1)/12)*12*D5018</f>
        <v>238099.37893036497</v>
      </c>
      <c r="K5018" s="711"/>
      <c r="M5018" s="62">
        <f t="shared" si="385"/>
        <v>5</v>
      </c>
    </row>
    <row r="5019" spans="1:13" ht="15.75" thickTop="1">
      <c r="A5019" s="1047" t="s">
        <v>2791</v>
      </c>
      <c r="B5019" s="1049" t="s">
        <v>4126</v>
      </c>
      <c r="C5019" s="1049" t="s">
        <v>854</v>
      </c>
      <c r="D5019" s="1040" t="s">
        <v>4127</v>
      </c>
      <c r="E5019" s="1041"/>
      <c r="F5019" s="1041"/>
      <c r="G5019" s="1040" t="s">
        <v>904</v>
      </c>
      <c r="H5019" s="1041"/>
      <c r="I5019" s="1042"/>
      <c r="J5019" s="1035" t="s">
        <v>855</v>
      </c>
      <c r="K5019" s="389"/>
    </row>
    <row r="5020" spans="1:13" ht="26.25" thickBot="1">
      <c r="A5020" s="1048"/>
      <c r="B5020" s="1050"/>
      <c r="C5020" s="1050"/>
      <c r="D5020" s="285" t="s">
        <v>5505</v>
      </c>
      <c r="E5020" s="285" t="s">
        <v>4485</v>
      </c>
      <c r="F5020" s="285" t="s">
        <v>4486</v>
      </c>
      <c r="G5020" s="287" t="s">
        <v>4487</v>
      </c>
      <c r="H5020" s="285" t="s">
        <v>4488</v>
      </c>
      <c r="I5020" s="287" t="s">
        <v>4489</v>
      </c>
      <c r="J5020" s="1036"/>
      <c r="K5020" s="712"/>
    </row>
    <row r="5021" spans="1:13" ht="13.5" thickTop="1">
      <c r="A5021" s="88">
        <f>+A5018+1</f>
        <v>35</v>
      </c>
      <c r="B5021" s="69" t="s">
        <v>1708</v>
      </c>
      <c r="C5021" s="167">
        <v>7</v>
      </c>
      <c r="D5021" s="155">
        <v>1</v>
      </c>
      <c r="E5021" s="155">
        <v>2</v>
      </c>
      <c r="F5021" s="155">
        <v>1</v>
      </c>
      <c r="G5021" s="155">
        <v>0</v>
      </c>
      <c r="H5021" s="155">
        <v>1</v>
      </c>
      <c r="I5021" s="155">
        <v>0</v>
      </c>
      <c r="J5021" s="710">
        <f>(VLOOKUP($C5021,[2]Sheet1!$A$2:$P$18,$M5021+1)/12)*12*D5021</f>
        <v>307706.70240000007</v>
      </c>
      <c r="K5021" s="711"/>
      <c r="M5021" s="62">
        <f t="shared" si="385"/>
        <v>3</v>
      </c>
    </row>
    <row r="5022" spans="1:13">
      <c r="A5022" s="88">
        <f>+A5021+1</f>
        <v>36</v>
      </c>
      <c r="B5022" s="69" t="s">
        <v>1347</v>
      </c>
      <c r="C5022" s="167">
        <v>8</v>
      </c>
      <c r="D5022" s="155">
        <v>0</v>
      </c>
      <c r="E5022" s="155">
        <v>4</v>
      </c>
      <c r="F5022" s="155">
        <v>0</v>
      </c>
      <c r="G5022" s="155">
        <v>0</v>
      </c>
      <c r="H5022" s="155">
        <v>1</v>
      </c>
      <c r="I5022" s="155">
        <v>0</v>
      </c>
      <c r="J5022" s="710">
        <f>(VLOOKUP($C5022,[2]Sheet1!$A$2:$P$18,$M5022+1)/12)*12*D5022</f>
        <v>0</v>
      </c>
      <c r="K5022" s="711"/>
      <c r="M5022" s="62">
        <f t="shared" si="385"/>
        <v>3</v>
      </c>
    </row>
    <row r="5023" spans="1:13">
      <c r="A5023" s="88">
        <f>+A5022+1</f>
        <v>37</v>
      </c>
      <c r="B5023" s="69" t="s">
        <v>1709</v>
      </c>
      <c r="C5023" s="167">
        <v>6</v>
      </c>
      <c r="D5023" s="155">
        <v>0</v>
      </c>
      <c r="E5023" s="155">
        <v>4</v>
      </c>
      <c r="F5023" s="155">
        <v>0</v>
      </c>
      <c r="G5023" s="155">
        <v>0</v>
      </c>
      <c r="H5023" s="155">
        <v>1</v>
      </c>
      <c r="I5023" s="155">
        <v>0</v>
      </c>
      <c r="J5023" s="710">
        <f>(VLOOKUP($C5023,[2]Sheet1!$A$2:$P$18,$M5023+1)/12)*12*D5023</f>
        <v>0</v>
      </c>
      <c r="K5023" s="711"/>
      <c r="M5023" s="62">
        <f t="shared" si="385"/>
        <v>5</v>
      </c>
    </row>
    <row r="5024" spans="1:13">
      <c r="A5024" s="88"/>
      <c r="B5024" s="90" t="s">
        <v>1710</v>
      </c>
      <c r="C5024" s="167"/>
      <c r="D5024" s="155"/>
      <c r="E5024" s="155"/>
      <c r="F5024" s="155"/>
      <c r="G5024" s="155"/>
      <c r="H5024" s="155"/>
      <c r="I5024" s="155"/>
      <c r="J5024" s="710"/>
      <c r="K5024" s="711"/>
      <c r="M5024" s="62">
        <f t="shared" si="385"/>
        <v>5</v>
      </c>
    </row>
    <row r="5025" spans="1:13">
      <c r="A5025" s="88">
        <v>38</v>
      </c>
      <c r="B5025" s="69" t="s">
        <v>3532</v>
      </c>
      <c r="C5025" s="167">
        <v>16</v>
      </c>
      <c r="D5025" s="155">
        <v>0</v>
      </c>
      <c r="E5025" s="155">
        <v>0</v>
      </c>
      <c r="F5025" s="155">
        <v>0</v>
      </c>
      <c r="G5025" s="155">
        <v>0</v>
      </c>
      <c r="H5025" s="155">
        <v>0</v>
      </c>
      <c r="I5025" s="155">
        <v>0</v>
      </c>
      <c r="J5025" s="710">
        <f>(VLOOKUP($C5025,[2]Sheet1!$A$2:$P$18,$M5025+1)/12)*12*D5025</f>
        <v>0</v>
      </c>
      <c r="K5025" s="711"/>
      <c r="M5025" s="62">
        <f t="shared" si="385"/>
        <v>3</v>
      </c>
    </row>
    <row r="5026" spans="1:13">
      <c r="A5026" s="88">
        <f t="shared" ref="A5026:A5046" si="388">+A5025+1</f>
        <v>39</v>
      </c>
      <c r="B5026" s="69" t="s">
        <v>1256</v>
      </c>
      <c r="C5026" s="167">
        <v>15</v>
      </c>
      <c r="D5026" s="155">
        <v>0</v>
      </c>
      <c r="E5026" s="155">
        <v>0</v>
      </c>
      <c r="F5026" s="155">
        <v>0</v>
      </c>
      <c r="G5026" s="155">
        <v>0</v>
      </c>
      <c r="H5026" s="155">
        <v>0</v>
      </c>
      <c r="I5026" s="155">
        <v>0</v>
      </c>
      <c r="J5026" s="710">
        <f>(VLOOKUP($C5026,[2]Sheet1!$A$2:$P$18,$M5026+1)/12)*12*D5026</f>
        <v>0</v>
      </c>
      <c r="K5026" s="711"/>
      <c r="M5026" s="62">
        <f t="shared" si="385"/>
        <v>3</v>
      </c>
    </row>
    <row r="5027" spans="1:13">
      <c r="A5027" s="88">
        <f t="shared" si="388"/>
        <v>40</v>
      </c>
      <c r="B5027" s="69" t="s">
        <v>2775</v>
      </c>
      <c r="C5027" s="167">
        <v>14</v>
      </c>
      <c r="D5027" s="155">
        <v>0</v>
      </c>
      <c r="E5027" s="155">
        <v>0</v>
      </c>
      <c r="F5027" s="155">
        <v>0</v>
      </c>
      <c r="G5027" s="155">
        <v>0</v>
      </c>
      <c r="H5027" s="155">
        <v>0</v>
      </c>
      <c r="I5027" s="155">
        <v>0</v>
      </c>
      <c r="J5027" s="710">
        <f>(VLOOKUP($C5027,[2]Sheet1!$A$2:$P$18,$M5027+1)/12)*12*D5027</f>
        <v>0</v>
      </c>
      <c r="K5027" s="711"/>
      <c r="M5027" s="62">
        <f t="shared" si="385"/>
        <v>3</v>
      </c>
    </row>
    <row r="5028" spans="1:13">
      <c r="A5028" s="88">
        <f t="shared" si="388"/>
        <v>41</v>
      </c>
      <c r="B5028" s="69" t="s">
        <v>2516</v>
      </c>
      <c r="C5028" s="167">
        <v>14</v>
      </c>
      <c r="D5028" s="155">
        <v>0</v>
      </c>
      <c r="E5028" s="155">
        <v>0</v>
      </c>
      <c r="F5028" s="155">
        <v>0</v>
      </c>
      <c r="G5028" s="155">
        <v>0</v>
      </c>
      <c r="H5028" s="155">
        <v>0</v>
      </c>
      <c r="I5028" s="155">
        <v>0</v>
      </c>
      <c r="J5028" s="710">
        <f>(VLOOKUP($C5028,[2]Sheet1!$A$2:$P$18,$M5028+1)/12)*12*D5028</f>
        <v>0</v>
      </c>
      <c r="K5028" s="711"/>
      <c r="M5028" s="62">
        <f t="shared" si="385"/>
        <v>3</v>
      </c>
    </row>
    <row r="5029" spans="1:13">
      <c r="A5029" s="88">
        <f t="shared" si="388"/>
        <v>42</v>
      </c>
      <c r="B5029" s="69" t="s">
        <v>2517</v>
      </c>
      <c r="C5029" s="167">
        <v>13</v>
      </c>
      <c r="D5029" s="155">
        <v>0</v>
      </c>
      <c r="E5029" s="155">
        <v>0</v>
      </c>
      <c r="F5029" s="155">
        <v>0</v>
      </c>
      <c r="G5029" s="155">
        <v>0</v>
      </c>
      <c r="H5029" s="155">
        <v>0</v>
      </c>
      <c r="I5029" s="155">
        <v>0</v>
      </c>
      <c r="J5029" s="710">
        <f>(VLOOKUP($C5029,[2]Sheet1!$A$2:$P$18,$M5029+1)/12)*12*D5029</f>
        <v>0</v>
      </c>
      <c r="K5029" s="711"/>
      <c r="M5029" s="62">
        <f t="shared" si="385"/>
        <v>3</v>
      </c>
    </row>
    <row r="5030" spans="1:13">
      <c r="A5030" s="88">
        <f t="shared" si="388"/>
        <v>43</v>
      </c>
      <c r="B5030" s="69" t="s">
        <v>316</v>
      </c>
      <c r="C5030" s="167">
        <v>13</v>
      </c>
      <c r="D5030" s="155">
        <v>0</v>
      </c>
      <c r="E5030" s="155">
        <v>0</v>
      </c>
      <c r="F5030" s="155">
        <v>0</v>
      </c>
      <c r="G5030" s="155">
        <v>0</v>
      </c>
      <c r="H5030" s="155">
        <v>0</v>
      </c>
      <c r="I5030" s="155">
        <v>0</v>
      </c>
      <c r="J5030" s="710">
        <f>(VLOOKUP($C5030,[2]Sheet1!$A$2:$P$18,$M5030+1)/12)*12*D5030</f>
        <v>0</v>
      </c>
      <c r="K5030" s="711"/>
      <c r="M5030" s="62">
        <f t="shared" si="385"/>
        <v>3</v>
      </c>
    </row>
    <row r="5031" spans="1:13">
      <c r="A5031" s="88">
        <f>+A5030+1</f>
        <v>44</v>
      </c>
      <c r="B5031" s="69" t="s">
        <v>1819</v>
      </c>
      <c r="C5031" s="167">
        <v>12</v>
      </c>
      <c r="D5031" s="155">
        <v>0</v>
      </c>
      <c r="E5031" s="155">
        <v>1</v>
      </c>
      <c r="F5031" s="155">
        <v>0</v>
      </c>
      <c r="G5031" s="155">
        <v>0</v>
      </c>
      <c r="H5031" s="155">
        <v>0</v>
      </c>
      <c r="I5031" s="155">
        <v>0</v>
      </c>
      <c r="J5031" s="710">
        <f>(VLOOKUP($C5031,[2]Sheet1!$A$2:$P$18,$M5031+1)/12)*12*D5031</f>
        <v>0</v>
      </c>
      <c r="K5031" s="711"/>
      <c r="M5031" s="62">
        <f t="shared" si="385"/>
        <v>3</v>
      </c>
    </row>
    <row r="5032" spans="1:13">
      <c r="A5032" s="88">
        <f t="shared" si="388"/>
        <v>45</v>
      </c>
      <c r="B5032" s="69" t="s">
        <v>191</v>
      </c>
      <c r="C5032" s="167">
        <v>12</v>
      </c>
      <c r="D5032" s="155">
        <v>0</v>
      </c>
      <c r="E5032" s="155">
        <v>1</v>
      </c>
      <c r="F5032" s="155">
        <v>0</v>
      </c>
      <c r="G5032" s="155">
        <v>0</v>
      </c>
      <c r="H5032" s="155">
        <v>0</v>
      </c>
      <c r="I5032" s="155">
        <v>0</v>
      </c>
      <c r="J5032" s="710">
        <f>(VLOOKUP($C5032,[2]Sheet1!$A$2:$P$18,$M5032+1)/12)*12*D5032</f>
        <v>0</v>
      </c>
      <c r="K5032" s="711"/>
      <c r="M5032" s="62">
        <f t="shared" si="385"/>
        <v>3</v>
      </c>
    </row>
    <row r="5033" spans="1:13">
      <c r="A5033" s="88">
        <f t="shared" si="388"/>
        <v>46</v>
      </c>
      <c r="B5033" s="69" t="s">
        <v>195</v>
      </c>
      <c r="C5033" s="167">
        <v>9</v>
      </c>
      <c r="D5033" s="155">
        <v>2</v>
      </c>
      <c r="E5033" s="155">
        <v>4</v>
      </c>
      <c r="F5033" s="155">
        <v>2</v>
      </c>
      <c r="G5033" s="155">
        <v>2</v>
      </c>
      <c r="H5033" s="155">
        <v>2</v>
      </c>
      <c r="I5033" s="155">
        <v>2</v>
      </c>
      <c r="J5033" s="710">
        <f>(VLOOKUP($C5033,[2]Sheet1!$A$2:$P$18,$M5033+1)/12)*12*D5033</f>
        <v>819363.81239999994</v>
      </c>
      <c r="K5033" s="711"/>
      <c r="M5033" s="62">
        <f t="shared" si="385"/>
        <v>3</v>
      </c>
    </row>
    <row r="5034" spans="1:13">
      <c r="A5034" s="88">
        <f t="shared" si="388"/>
        <v>47</v>
      </c>
      <c r="B5034" s="69" t="s">
        <v>194</v>
      </c>
      <c r="C5034" s="167">
        <v>8</v>
      </c>
      <c r="D5034" s="155">
        <v>9</v>
      </c>
      <c r="E5034" s="155">
        <v>7</v>
      </c>
      <c r="F5034" s="155">
        <v>9</v>
      </c>
      <c r="G5034" s="155">
        <v>9</v>
      </c>
      <c r="H5034" s="155">
        <v>9</v>
      </c>
      <c r="I5034" s="155">
        <v>9</v>
      </c>
      <c r="J5034" s="710">
        <f>(VLOOKUP($C5034,[2]Sheet1!$A$2:$P$18,$M5034+1)/12)*12*D5034</f>
        <v>3079271.4667199999</v>
      </c>
      <c r="K5034" s="711"/>
      <c r="M5034" s="62">
        <f t="shared" si="385"/>
        <v>3</v>
      </c>
    </row>
    <row r="5035" spans="1:13">
      <c r="A5035" s="88">
        <f t="shared" si="388"/>
        <v>48</v>
      </c>
      <c r="B5035" s="69" t="s">
        <v>2518</v>
      </c>
      <c r="C5035" s="167">
        <v>7</v>
      </c>
      <c r="D5035" s="155">
        <v>7</v>
      </c>
      <c r="E5035" s="155">
        <v>2</v>
      </c>
      <c r="F5035" s="155">
        <v>7</v>
      </c>
      <c r="G5035" s="155">
        <v>7</v>
      </c>
      <c r="H5035" s="155">
        <v>7</v>
      </c>
      <c r="I5035" s="155">
        <v>7</v>
      </c>
      <c r="J5035" s="710">
        <f>(VLOOKUP($C5035,[2]Sheet1!$A$2:$P$18,$M5035+1)/12)*12*D5035</f>
        <v>2153946.9168000007</v>
      </c>
      <c r="K5035" s="711"/>
      <c r="M5035" s="62">
        <f t="shared" si="385"/>
        <v>3</v>
      </c>
    </row>
    <row r="5036" spans="1:13">
      <c r="A5036" s="88">
        <f t="shared" si="388"/>
        <v>49</v>
      </c>
      <c r="B5036" s="69" t="s">
        <v>1177</v>
      </c>
      <c r="C5036" s="167">
        <v>8</v>
      </c>
      <c r="D5036" s="155">
        <v>7</v>
      </c>
      <c r="E5036" s="155">
        <v>4</v>
      </c>
      <c r="F5036" s="155">
        <v>7</v>
      </c>
      <c r="G5036" s="155">
        <v>7</v>
      </c>
      <c r="H5036" s="155">
        <v>7</v>
      </c>
      <c r="I5036" s="155">
        <v>7</v>
      </c>
      <c r="J5036" s="710">
        <f>(VLOOKUP($C5036,[2]Sheet1!$A$2:$P$18,$M5036+1)/12)*12*D5036</f>
        <v>2394988.9185600001</v>
      </c>
      <c r="K5036" s="711"/>
      <c r="M5036" s="62">
        <f t="shared" si="385"/>
        <v>3</v>
      </c>
    </row>
    <row r="5037" spans="1:13">
      <c r="A5037" s="88">
        <f t="shared" si="388"/>
        <v>50</v>
      </c>
      <c r="B5037" s="69" t="s">
        <v>390</v>
      </c>
      <c r="C5037" s="167">
        <v>8</v>
      </c>
      <c r="D5037" s="155">
        <v>0</v>
      </c>
      <c r="E5037" s="155">
        <v>2</v>
      </c>
      <c r="F5037" s="155">
        <v>0</v>
      </c>
      <c r="G5037" s="155">
        <v>0</v>
      </c>
      <c r="H5037" s="155">
        <v>0</v>
      </c>
      <c r="I5037" s="155">
        <v>0</v>
      </c>
      <c r="J5037" s="710">
        <f>(VLOOKUP($C5037,[2]Sheet1!$A$2:$P$18,$M5037+1)/12)*12*D5037</f>
        <v>0</v>
      </c>
      <c r="K5037" s="711"/>
      <c r="M5037" s="62">
        <f t="shared" si="385"/>
        <v>3</v>
      </c>
    </row>
    <row r="5038" spans="1:13">
      <c r="A5038" s="88">
        <f t="shared" si="388"/>
        <v>51</v>
      </c>
      <c r="B5038" s="69" t="s">
        <v>1340</v>
      </c>
      <c r="C5038" s="167">
        <v>10</v>
      </c>
      <c r="D5038" s="155">
        <v>0</v>
      </c>
      <c r="E5038" s="155">
        <v>2</v>
      </c>
      <c r="F5038" s="155">
        <v>0</v>
      </c>
      <c r="G5038" s="155">
        <v>0</v>
      </c>
      <c r="H5038" s="155">
        <v>0</v>
      </c>
      <c r="I5038" s="155">
        <v>0</v>
      </c>
      <c r="J5038" s="710">
        <f>(VLOOKUP($C5038,[2]Sheet1!$A$2:$P$18,$M5038+1)/12)*12*D5038</f>
        <v>0</v>
      </c>
      <c r="K5038" s="711"/>
      <c r="M5038" s="62">
        <f t="shared" si="385"/>
        <v>3</v>
      </c>
    </row>
    <row r="5039" spans="1:13">
      <c r="A5039" s="88">
        <f t="shared" si="388"/>
        <v>52</v>
      </c>
      <c r="B5039" s="69" t="s">
        <v>2610</v>
      </c>
      <c r="C5039" s="167">
        <v>10</v>
      </c>
      <c r="D5039" s="155">
        <v>0</v>
      </c>
      <c r="E5039" s="155">
        <v>2</v>
      </c>
      <c r="F5039" s="155">
        <v>0</v>
      </c>
      <c r="G5039" s="155">
        <v>0</v>
      </c>
      <c r="H5039" s="155">
        <v>0</v>
      </c>
      <c r="I5039" s="155">
        <v>0</v>
      </c>
      <c r="J5039" s="710">
        <f>(VLOOKUP($C5039,[2]Sheet1!$A$2:$P$18,$M5039+1)/12)*12*D5039</f>
        <v>0</v>
      </c>
      <c r="K5039" s="711"/>
      <c r="M5039" s="62">
        <f t="shared" si="385"/>
        <v>3</v>
      </c>
    </row>
    <row r="5040" spans="1:13">
      <c r="A5040" s="88">
        <f t="shared" si="388"/>
        <v>53</v>
      </c>
      <c r="B5040" s="69" t="s">
        <v>1713</v>
      </c>
      <c r="C5040" s="167">
        <v>6</v>
      </c>
      <c r="D5040" s="155">
        <v>28</v>
      </c>
      <c r="E5040" s="155">
        <v>2</v>
      </c>
      <c r="F5040" s="155">
        <v>28</v>
      </c>
      <c r="G5040" s="155">
        <v>28</v>
      </c>
      <c r="H5040" s="155">
        <v>28</v>
      </c>
      <c r="I5040" s="155">
        <v>28</v>
      </c>
      <c r="J5040" s="710">
        <f>(VLOOKUP($C5040,[2]Sheet1!$A$2:$P$18,$M5040+1)/12)*12*D5040</f>
        <v>6666782.6100502191</v>
      </c>
      <c r="K5040" s="711"/>
      <c r="M5040" s="62">
        <f t="shared" si="385"/>
        <v>5</v>
      </c>
    </row>
    <row r="5041" spans="1:13">
      <c r="A5041" s="88">
        <f t="shared" si="388"/>
        <v>54</v>
      </c>
      <c r="B5041" s="69" t="s">
        <v>2611</v>
      </c>
      <c r="C5041" s="167">
        <v>4</v>
      </c>
      <c r="D5041" s="155">
        <v>0</v>
      </c>
      <c r="E5041" s="155">
        <v>2</v>
      </c>
      <c r="F5041" s="155">
        <v>0</v>
      </c>
      <c r="G5041" s="155">
        <v>0</v>
      </c>
      <c r="H5041" s="155">
        <v>0</v>
      </c>
      <c r="I5041" s="155">
        <v>0</v>
      </c>
      <c r="J5041" s="710">
        <f>(VLOOKUP($C5041,[2]Sheet1!$A$2:$P$18,$M5041+1)/12)*12*D5041</f>
        <v>0</v>
      </c>
      <c r="K5041" s="711"/>
      <c r="M5041" s="62">
        <f t="shared" si="385"/>
        <v>5</v>
      </c>
    </row>
    <row r="5042" spans="1:13">
      <c r="A5042" s="88">
        <f t="shared" si="388"/>
        <v>55</v>
      </c>
      <c r="B5042" s="69" t="s">
        <v>198</v>
      </c>
      <c r="C5042" s="167">
        <v>3</v>
      </c>
      <c r="D5042" s="155">
        <v>0</v>
      </c>
      <c r="E5042" s="155">
        <v>2</v>
      </c>
      <c r="F5042" s="155">
        <v>0</v>
      </c>
      <c r="G5042" s="155">
        <v>0</v>
      </c>
      <c r="H5042" s="155">
        <v>0</v>
      </c>
      <c r="I5042" s="155">
        <v>0</v>
      </c>
      <c r="J5042" s="710">
        <f>(VLOOKUP($C5042,[2]Sheet1!$A$2:$P$18,$M5042+1)/12)*12*D5042</f>
        <v>0</v>
      </c>
      <c r="K5042" s="711"/>
      <c r="M5042" s="62">
        <f t="shared" si="385"/>
        <v>5</v>
      </c>
    </row>
    <row r="5043" spans="1:13">
      <c r="A5043" s="88"/>
      <c r="B5043" s="90" t="s">
        <v>1851</v>
      </c>
      <c r="C5043" s="167"/>
      <c r="D5043" s="155"/>
      <c r="E5043" s="155"/>
      <c r="F5043" s="155"/>
      <c r="G5043" s="155"/>
      <c r="H5043" s="155"/>
      <c r="I5043" s="155"/>
      <c r="J5043" s="710"/>
      <c r="K5043" s="711"/>
      <c r="M5043" s="62">
        <f t="shared" si="385"/>
        <v>5</v>
      </c>
    </row>
    <row r="5044" spans="1:13">
      <c r="A5044" s="88">
        <v>56</v>
      </c>
      <c r="B5044" s="69" t="s">
        <v>3538</v>
      </c>
      <c r="C5044" s="167">
        <v>6</v>
      </c>
      <c r="D5044" s="155"/>
      <c r="E5044" s="155">
        <v>1</v>
      </c>
      <c r="F5044" s="155"/>
      <c r="G5044" s="155"/>
      <c r="H5044" s="155">
        <v>0</v>
      </c>
      <c r="I5044" s="155"/>
      <c r="J5044" s="710">
        <f>(VLOOKUP($C5044,[2]Sheet1!$A$2:$P$18,$M5044+1)/12)*12*D5044</f>
        <v>0</v>
      </c>
      <c r="K5044" s="711"/>
      <c r="M5044" s="62">
        <f t="shared" si="385"/>
        <v>5</v>
      </c>
    </row>
    <row r="5045" spans="1:13">
      <c r="A5045" s="88">
        <f t="shared" si="388"/>
        <v>57</v>
      </c>
      <c r="B5045" s="69" t="s">
        <v>2360</v>
      </c>
      <c r="C5045" s="167">
        <v>4</v>
      </c>
      <c r="D5045" s="155"/>
      <c r="E5045" s="155">
        <v>2</v>
      </c>
      <c r="F5045" s="155"/>
      <c r="G5045" s="155"/>
      <c r="H5045" s="155">
        <v>0</v>
      </c>
      <c r="I5045" s="155"/>
      <c r="J5045" s="710">
        <f>(VLOOKUP($C5045,[2]Sheet1!$A$2:$P$18,$M5045+1)/12)*12*D5045</f>
        <v>0</v>
      </c>
      <c r="K5045" s="711"/>
      <c r="M5045" s="62">
        <f t="shared" si="385"/>
        <v>5</v>
      </c>
    </row>
    <row r="5046" spans="1:13">
      <c r="A5046" s="88">
        <f t="shared" si="388"/>
        <v>58</v>
      </c>
      <c r="B5046" s="69" t="s">
        <v>3539</v>
      </c>
      <c r="C5046" s="167">
        <v>3</v>
      </c>
      <c r="D5046" s="155"/>
      <c r="E5046" s="155">
        <v>2</v>
      </c>
      <c r="F5046" s="155"/>
      <c r="G5046" s="155"/>
      <c r="H5046" s="155">
        <v>0</v>
      </c>
      <c r="I5046" s="155"/>
      <c r="J5046" s="710">
        <f>(VLOOKUP($C5046,[2]Sheet1!$A$2:$P$18,$M5046+1)/12)*12*D5046</f>
        <v>0</v>
      </c>
      <c r="K5046" s="711"/>
      <c r="M5046" s="62">
        <f t="shared" si="385"/>
        <v>5</v>
      </c>
    </row>
    <row r="5047" spans="1:13">
      <c r="A5047" s="88"/>
      <c r="B5047" s="90" t="s">
        <v>2163</v>
      </c>
      <c r="C5047" s="167"/>
      <c r="D5047" s="155"/>
      <c r="E5047" s="155"/>
      <c r="F5047" s="155"/>
      <c r="G5047" s="155"/>
      <c r="H5047" s="155"/>
      <c r="I5047" s="155"/>
      <c r="J5047" s="710"/>
      <c r="K5047" s="711"/>
      <c r="M5047" s="62">
        <f t="shared" si="385"/>
        <v>5</v>
      </c>
    </row>
    <row r="5048" spans="1:13">
      <c r="A5048" s="88">
        <f>+A5046+1</f>
        <v>59</v>
      </c>
      <c r="B5048" s="69" t="s">
        <v>798</v>
      </c>
      <c r="C5048" s="167">
        <v>6</v>
      </c>
      <c r="D5048" s="155"/>
      <c r="E5048" s="155">
        <v>1</v>
      </c>
      <c r="F5048" s="155"/>
      <c r="G5048" s="155"/>
      <c r="H5048" s="155">
        <v>0</v>
      </c>
      <c r="I5048" s="155"/>
      <c r="J5048" s="710">
        <f>(VLOOKUP($C5048,[2]Sheet1!$A$2:$P$18,$M5048+1)/12)*12*D5048</f>
        <v>0</v>
      </c>
      <c r="K5048" s="711"/>
      <c r="M5048" s="62">
        <f t="shared" si="385"/>
        <v>5</v>
      </c>
    </row>
    <row r="5049" spans="1:13">
      <c r="A5049" s="88">
        <f>+A5048+1</f>
        <v>60</v>
      </c>
      <c r="B5049" s="69" t="s">
        <v>2875</v>
      </c>
      <c r="C5049" s="167">
        <v>3</v>
      </c>
      <c r="D5049" s="155"/>
      <c r="E5049" s="155">
        <v>2</v>
      </c>
      <c r="F5049" s="155"/>
      <c r="G5049" s="155"/>
      <c r="H5049" s="155">
        <v>0</v>
      </c>
      <c r="I5049" s="155"/>
      <c r="J5049" s="710">
        <f>(VLOOKUP($C5049,[2]Sheet1!$A$2:$P$18,$M5049+1)/12)*12*D5049</f>
        <v>0</v>
      </c>
      <c r="K5049" s="711"/>
      <c r="M5049" s="62">
        <f t="shared" si="385"/>
        <v>5</v>
      </c>
    </row>
    <row r="5050" spans="1:13">
      <c r="A5050" s="88">
        <f>+A5049+1</f>
        <v>61</v>
      </c>
      <c r="B5050" s="69" t="s">
        <v>499</v>
      </c>
      <c r="C5050" s="167">
        <v>3</v>
      </c>
      <c r="D5050" s="155"/>
      <c r="E5050" s="155">
        <v>2</v>
      </c>
      <c r="F5050" s="155"/>
      <c r="G5050" s="155"/>
      <c r="H5050" s="155">
        <v>0</v>
      </c>
      <c r="I5050" s="155"/>
      <c r="J5050" s="710">
        <f>(VLOOKUP($C5050,[2]Sheet1!$A$2:$P$18,$M5050+1)/12)*12*D5050</f>
        <v>0</v>
      </c>
      <c r="K5050" s="711"/>
      <c r="M5050" s="62">
        <f t="shared" si="385"/>
        <v>5</v>
      </c>
    </row>
    <row r="5051" spans="1:13">
      <c r="A5051" s="92"/>
      <c r="B5051" s="93" t="s">
        <v>2241</v>
      </c>
      <c r="C5051" s="168"/>
      <c r="D5051" s="169">
        <f t="shared" ref="D5051:J5051" si="389">SUM(D4982:D5050)</f>
        <v>89</v>
      </c>
      <c r="E5051" s="169">
        <f t="shared" si="389"/>
        <v>182</v>
      </c>
      <c r="F5051" s="169">
        <f t="shared" si="389"/>
        <v>89</v>
      </c>
      <c r="G5051" s="169">
        <f>SUM(G4982:G5050)</f>
        <v>53</v>
      </c>
      <c r="H5051" s="169">
        <f t="shared" si="389"/>
        <v>91</v>
      </c>
      <c r="I5051" s="169">
        <f t="shared" si="389"/>
        <v>53</v>
      </c>
      <c r="J5051" s="169">
        <f t="shared" si="389"/>
        <v>26316158.591996793</v>
      </c>
      <c r="K5051" s="385"/>
      <c r="M5051" s="62">
        <f t="shared" si="385"/>
        <v>5</v>
      </c>
    </row>
    <row r="5052" spans="1:13">
      <c r="A5052" s="88"/>
      <c r="B5052" s="97" t="s">
        <v>1199</v>
      </c>
      <c r="C5052" s="167"/>
      <c r="D5052" s="155"/>
      <c r="E5052" s="155"/>
      <c r="F5052" s="99"/>
      <c r="G5052" s="240" t="s">
        <v>243</v>
      </c>
      <c r="H5052" s="240" t="s">
        <v>4130</v>
      </c>
      <c r="I5052" s="240" t="s">
        <v>4202</v>
      </c>
      <c r="J5052" s="241" t="s">
        <v>4200</v>
      </c>
      <c r="K5052" s="375"/>
      <c r="M5052" s="62">
        <f t="shared" si="385"/>
        <v>5</v>
      </c>
    </row>
    <row r="5053" spans="1:13">
      <c r="A5053" s="88">
        <v>1</v>
      </c>
      <c r="B5053" s="69" t="s">
        <v>763</v>
      </c>
      <c r="C5053" s="167"/>
      <c r="D5053" s="155"/>
      <c r="E5053" s="155"/>
      <c r="F5053" s="89"/>
      <c r="G5053" s="100">
        <f>J5051*0.2</f>
        <v>5263231.7183993589</v>
      </c>
      <c r="H5053" s="100">
        <f>G5053*1.02</f>
        <v>5368496.3527673464</v>
      </c>
      <c r="I5053" s="100">
        <f>H5053*1.02</f>
        <v>5475866.2798226932</v>
      </c>
      <c r="J5053" s="100">
        <f>SUM(G5053:I5053)</f>
        <v>16107594.350989398</v>
      </c>
      <c r="K5053" s="114"/>
      <c r="M5053" s="62">
        <f t="shared" si="385"/>
        <v>5</v>
      </c>
    </row>
    <row r="5054" spans="1:13">
      <c r="A5054" s="88">
        <v>2</v>
      </c>
      <c r="B5054" s="69" t="s">
        <v>1040</v>
      </c>
      <c r="C5054" s="167"/>
      <c r="D5054" s="155"/>
      <c r="E5054" s="155"/>
      <c r="F5054" s="89"/>
      <c r="G5054" s="100">
        <v>330720.96928000008</v>
      </c>
      <c r="H5054" s="100">
        <f>G5054*1.02</f>
        <v>337335.3886656001</v>
      </c>
      <c r="I5054" s="100">
        <f>H5054*1.02</f>
        <v>344082.09643891209</v>
      </c>
      <c r="J5054" s="100">
        <f>SUM(G5054:I5054)</f>
        <v>1012138.4543845123</v>
      </c>
      <c r="K5054" s="114"/>
      <c r="M5054" s="62">
        <f t="shared" si="385"/>
        <v>5</v>
      </c>
    </row>
    <row r="5055" spans="1:13">
      <c r="A5055" s="92"/>
      <c r="B5055" s="93" t="s">
        <v>2531</v>
      </c>
      <c r="C5055" s="168"/>
      <c r="D5055" s="171"/>
      <c r="E5055" s="171"/>
      <c r="F5055" s="169"/>
      <c r="G5055" s="169">
        <f>SUM(G5053:G5054)</f>
        <v>5593952.6876793588</v>
      </c>
      <c r="H5055" s="169">
        <f>SUM(H5053:H5054)</f>
        <v>5705831.7414329462</v>
      </c>
      <c r="I5055" s="169">
        <f>SUM(I5053:I5054)</f>
        <v>5819948.3762616049</v>
      </c>
      <c r="J5055" s="169">
        <f>SUM(J5053:J5054)</f>
        <v>17119732.805373911</v>
      </c>
      <c r="K5055" s="385"/>
      <c r="M5055" s="62">
        <f t="shared" ref="M5055:M5118" si="390">IF(C5055&gt;6,3,5)</f>
        <v>5</v>
      </c>
    </row>
    <row r="5056" spans="1:13">
      <c r="A5056" s="88">
        <v>1</v>
      </c>
      <c r="B5056" s="69" t="s">
        <v>926</v>
      </c>
      <c r="C5056" s="167"/>
      <c r="D5056" s="155"/>
      <c r="E5056" s="155"/>
      <c r="F5056" s="91"/>
      <c r="G5056" s="100">
        <f>J5051+G5055</f>
        <v>31910111.279676151</v>
      </c>
      <c r="H5056" s="100">
        <f>G5056*1.02</f>
        <v>32548313.505269673</v>
      </c>
      <c r="I5056" s="100">
        <f>H5056*1.02</f>
        <v>33199279.775375068</v>
      </c>
      <c r="J5056" s="100">
        <f>SUM(G5056:I5056)</f>
        <v>97657704.560320884</v>
      </c>
      <c r="K5056" s="114"/>
      <c r="L5056" s="112"/>
      <c r="M5056" s="62">
        <f t="shared" si="390"/>
        <v>5</v>
      </c>
    </row>
    <row r="5057" spans="1:13">
      <c r="A5057" s="88">
        <f>A5056+1</f>
        <v>2</v>
      </c>
      <c r="B5057" s="69" t="s">
        <v>2121</v>
      </c>
      <c r="C5057" s="167"/>
      <c r="D5057" s="155"/>
      <c r="E5057" s="155"/>
      <c r="F5057" s="91"/>
      <c r="G5057" s="91">
        <f>C5083</f>
        <v>5400000</v>
      </c>
      <c r="H5057" s="91">
        <f>D5083</f>
        <v>22650000</v>
      </c>
      <c r="I5057" s="91">
        <f>E5083</f>
        <v>23150000</v>
      </c>
      <c r="J5057" s="100">
        <f>SUM(G5057:I5057)</f>
        <v>51200000</v>
      </c>
      <c r="K5057" s="114"/>
      <c r="M5057" s="62">
        <f t="shared" si="390"/>
        <v>5</v>
      </c>
    </row>
    <row r="5058" spans="1:13" ht="13.5" thickBot="1">
      <c r="A5058" s="102"/>
      <c r="B5058" s="103" t="s">
        <v>2241</v>
      </c>
      <c r="C5058" s="172"/>
      <c r="D5058" s="173"/>
      <c r="E5058" s="173"/>
      <c r="F5058" s="174"/>
      <c r="G5058" s="174">
        <f>SUM(G5056:G5057)</f>
        <v>37310111.279676154</v>
      </c>
      <c r="H5058" s="174">
        <f>SUM(H5056:H5057)</f>
        <v>55198313.505269676</v>
      </c>
      <c r="I5058" s="174">
        <f>SUM(I5056:I5057)</f>
        <v>56349279.775375068</v>
      </c>
      <c r="J5058" s="174">
        <f>SUM(J5056:J5057)</f>
        <v>148857704.56032088</v>
      </c>
      <c r="K5058" s="385"/>
      <c r="M5058" s="62">
        <f t="shared" si="390"/>
        <v>5</v>
      </c>
    </row>
    <row r="5059" spans="1:13" ht="15.75" thickTop="1">
      <c r="C5059" s="163"/>
      <c r="D5059" s="164" t="s">
        <v>5434</v>
      </c>
      <c r="E5059" s="165"/>
      <c r="F5059" s="165"/>
      <c r="G5059" s="165"/>
      <c r="H5059" s="165"/>
      <c r="I5059" s="165"/>
      <c r="J5059" s="584"/>
      <c r="K5059" s="584"/>
      <c r="M5059" s="62">
        <f t="shared" si="390"/>
        <v>5</v>
      </c>
    </row>
    <row r="5060" spans="1:13" ht="15">
      <c r="C5060" s="163"/>
      <c r="D5060" s="164" t="s">
        <v>716</v>
      </c>
      <c r="E5060" s="165"/>
      <c r="F5060" s="165"/>
      <c r="G5060" s="165"/>
      <c r="H5060" s="165"/>
      <c r="I5060" s="165"/>
      <c r="J5060" s="584"/>
      <c r="K5060" s="584"/>
      <c r="M5060" s="62">
        <f t="shared" si="390"/>
        <v>5</v>
      </c>
    </row>
    <row r="5061" spans="1:13" ht="15">
      <c r="C5061" s="176" t="s">
        <v>1811</v>
      </c>
      <c r="D5061" s="164" t="s">
        <v>3116</v>
      </c>
      <c r="E5061" s="200"/>
      <c r="F5061" s="200"/>
      <c r="G5061" s="200"/>
      <c r="H5061" s="200"/>
      <c r="I5061" s="200"/>
      <c r="J5061" s="584"/>
      <c r="K5061" s="584"/>
      <c r="M5061" s="62">
        <f t="shared" si="390"/>
        <v>3</v>
      </c>
    </row>
    <row r="5062" spans="1:13" ht="15">
      <c r="C5062" s="79" t="s">
        <v>718</v>
      </c>
      <c r="D5062" s="164" t="s">
        <v>1808</v>
      </c>
      <c r="E5062" s="165"/>
      <c r="F5062" s="165"/>
      <c r="G5062" s="165"/>
      <c r="H5062" s="165"/>
      <c r="I5062" s="165"/>
      <c r="J5062" s="584"/>
      <c r="K5062" s="584"/>
      <c r="M5062" s="62">
        <f t="shared" si="390"/>
        <v>3</v>
      </c>
    </row>
    <row r="5063" spans="1:13" ht="15">
      <c r="A5063" s="634" t="s">
        <v>1839</v>
      </c>
      <c r="B5063" s="635" t="s">
        <v>903</v>
      </c>
      <c r="C5063" s="1037" t="s">
        <v>4127</v>
      </c>
      <c r="D5063" s="1038"/>
      <c r="E5063" s="1039"/>
      <c r="F5063" s="635" t="s">
        <v>1684</v>
      </c>
      <c r="G5063" s="1037" t="s">
        <v>4132</v>
      </c>
      <c r="H5063" s="1038"/>
      <c r="I5063" s="1039"/>
      <c r="J5063" s="726"/>
      <c r="K5063" s="727"/>
    </row>
    <row r="5064" spans="1:13">
      <c r="A5064" s="636" t="s">
        <v>1620</v>
      </c>
      <c r="B5064" s="637"/>
      <c r="C5064" s="635" t="s">
        <v>1841</v>
      </c>
      <c r="D5064" s="635" t="s">
        <v>4133</v>
      </c>
      <c r="E5064" s="635" t="s">
        <v>4133</v>
      </c>
      <c r="F5064" s="1056" t="s">
        <v>4200</v>
      </c>
      <c r="G5064" s="634" t="s">
        <v>4135</v>
      </c>
      <c r="H5064" s="1051" t="s">
        <v>4182</v>
      </c>
      <c r="I5064" s="634" t="s">
        <v>4135</v>
      </c>
      <c r="J5064" s="728" t="s">
        <v>4136</v>
      </c>
      <c r="K5064" s="727"/>
    </row>
    <row r="5065" spans="1:13" ht="12.75" customHeight="1">
      <c r="A5065" s="638" t="s">
        <v>387</v>
      </c>
      <c r="B5065" s="639"/>
      <c r="C5065" s="638">
        <v>2015</v>
      </c>
      <c r="D5065" s="638">
        <v>2016</v>
      </c>
      <c r="E5065" s="638">
        <v>2017</v>
      </c>
      <c r="F5065" s="1057"/>
      <c r="G5065" s="638" t="s">
        <v>4304</v>
      </c>
      <c r="H5065" s="1052"/>
      <c r="I5065" s="638" t="s">
        <v>4303</v>
      </c>
      <c r="J5065" s="639"/>
      <c r="K5065" s="729"/>
    </row>
    <row r="5066" spans="1:13">
      <c r="A5066" s="788"/>
      <c r="B5066" s="775"/>
      <c r="C5066" s="731"/>
      <c r="D5066" s="731"/>
      <c r="E5066" s="731"/>
      <c r="F5066" s="731"/>
      <c r="G5066" s="731"/>
      <c r="H5066" s="731"/>
      <c r="I5066" s="731"/>
      <c r="J5066" s="731"/>
      <c r="K5066" s="732"/>
      <c r="M5066" s="62" t="e">
        <f>IF(#REF!&gt;6,3,5)</f>
        <v>#REF!</v>
      </c>
    </row>
    <row r="5067" spans="1:13">
      <c r="A5067" s="788">
        <v>2</v>
      </c>
      <c r="B5067" s="775" t="s">
        <v>1695</v>
      </c>
      <c r="C5067" s="731">
        <v>1000000</v>
      </c>
      <c r="D5067" s="731">
        <v>5000000</v>
      </c>
      <c r="E5067" s="731">
        <v>5000000</v>
      </c>
      <c r="F5067" s="731">
        <f>SUM(C5067:E5067)</f>
        <v>11000000</v>
      </c>
      <c r="G5067" s="731">
        <v>498000</v>
      </c>
      <c r="H5067" s="731">
        <v>1000000</v>
      </c>
      <c r="I5067" s="731">
        <v>1400000</v>
      </c>
      <c r="J5067" s="731"/>
      <c r="K5067" s="732"/>
      <c r="M5067" s="62" t="e">
        <f>IF(#REF!&gt;6,3,5)</f>
        <v>#REF!</v>
      </c>
    </row>
    <row r="5068" spans="1:13">
      <c r="A5068" s="788">
        <f t="shared" ref="A5068:A5081" si="391">+A5067+1</f>
        <v>3</v>
      </c>
      <c r="B5068" s="775" t="s">
        <v>3763</v>
      </c>
      <c r="C5068" s="731" t="s">
        <v>3007</v>
      </c>
      <c r="D5068" s="731" t="s">
        <v>3007</v>
      </c>
      <c r="E5068" s="731" t="s">
        <v>3007</v>
      </c>
      <c r="F5068" s="731">
        <f t="shared" ref="F5068:F5080" si="392">SUM(C5068:E5068)</f>
        <v>0</v>
      </c>
      <c r="G5068" s="731"/>
      <c r="H5068" s="731" t="s">
        <v>3007</v>
      </c>
      <c r="I5068" s="731"/>
      <c r="J5068" s="731"/>
      <c r="K5068" s="732"/>
      <c r="M5068" s="62" t="e">
        <f>IF(#REF!&gt;6,3,5)</f>
        <v>#REF!</v>
      </c>
    </row>
    <row r="5069" spans="1:13">
      <c r="A5069" s="788">
        <f t="shared" si="391"/>
        <v>4</v>
      </c>
      <c r="B5069" s="775" t="s">
        <v>1701</v>
      </c>
      <c r="C5069" s="731" t="s">
        <v>3007</v>
      </c>
      <c r="D5069" s="731">
        <v>300000</v>
      </c>
      <c r="E5069" s="731">
        <v>300000</v>
      </c>
      <c r="F5069" s="731">
        <f t="shared" si="392"/>
        <v>600000</v>
      </c>
      <c r="G5069" s="731"/>
      <c r="H5069" s="731" t="s">
        <v>3007</v>
      </c>
      <c r="I5069" s="731"/>
      <c r="J5069" s="731"/>
      <c r="K5069" s="732"/>
      <c r="M5069" s="62" t="e">
        <f>IF(#REF!&gt;6,3,5)</f>
        <v>#REF!</v>
      </c>
    </row>
    <row r="5070" spans="1:13">
      <c r="A5070" s="788">
        <f t="shared" si="391"/>
        <v>5</v>
      </c>
      <c r="B5070" s="775" t="s">
        <v>769</v>
      </c>
      <c r="C5070" s="731">
        <v>500000</v>
      </c>
      <c r="D5070" s="731">
        <v>700000</v>
      </c>
      <c r="E5070" s="731">
        <v>700000</v>
      </c>
      <c r="F5070" s="731">
        <f t="shared" si="392"/>
        <v>1900000</v>
      </c>
      <c r="G5070" s="731">
        <v>110000</v>
      </c>
      <c r="H5070" s="731">
        <v>400000</v>
      </c>
      <c r="I5070" s="731">
        <v>500000</v>
      </c>
      <c r="J5070" s="731"/>
      <c r="K5070" s="732"/>
      <c r="M5070" s="62" t="e">
        <f>IF(#REF!&gt;6,3,5)</f>
        <v>#REF!</v>
      </c>
    </row>
    <row r="5071" spans="1:13">
      <c r="A5071" s="788">
        <f t="shared" si="391"/>
        <v>6</v>
      </c>
      <c r="B5071" s="775" t="s">
        <v>1814</v>
      </c>
      <c r="C5071" s="731">
        <v>200000</v>
      </c>
      <c r="D5071" s="731">
        <v>900000</v>
      </c>
      <c r="E5071" s="731">
        <v>900000</v>
      </c>
      <c r="F5071" s="731">
        <f t="shared" si="392"/>
        <v>2000000</v>
      </c>
      <c r="G5071" s="731"/>
      <c r="H5071" s="731">
        <v>500000</v>
      </c>
      <c r="I5071" s="731">
        <v>400000</v>
      </c>
      <c r="J5071" s="731"/>
      <c r="K5071" s="732"/>
      <c r="M5071" s="62" t="e">
        <f>IF(#REF!&gt;6,3,5)</f>
        <v>#REF!</v>
      </c>
    </row>
    <row r="5072" spans="1:13" ht="25.5" customHeight="1">
      <c r="A5072" s="788">
        <f t="shared" si="391"/>
        <v>7</v>
      </c>
      <c r="B5072" s="775" t="s">
        <v>131</v>
      </c>
      <c r="C5072" s="731">
        <v>500000</v>
      </c>
      <c r="D5072" s="731">
        <v>700000</v>
      </c>
      <c r="E5072" s="731">
        <v>700000</v>
      </c>
      <c r="F5072" s="731">
        <f t="shared" si="392"/>
        <v>1900000</v>
      </c>
      <c r="G5072" s="731">
        <v>250000</v>
      </c>
      <c r="H5072" s="731">
        <v>500000</v>
      </c>
      <c r="I5072" s="731">
        <v>500000</v>
      </c>
      <c r="J5072" s="731"/>
      <c r="K5072" s="732"/>
      <c r="M5072" s="62" t="e">
        <f>IF(#REF!&gt;6,3,5)</f>
        <v>#REF!</v>
      </c>
    </row>
    <row r="5073" spans="1:13">
      <c r="A5073" s="788">
        <f t="shared" si="391"/>
        <v>8</v>
      </c>
      <c r="B5073" s="775" t="s">
        <v>1385</v>
      </c>
      <c r="C5073" s="731" t="s">
        <v>3007</v>
      </c>
      <c r="D5073" s="731" t="s">
        <v>3007</v>
      </c>
      <c r="E5073" s="731" t="s">
        <v>3007</v>
      </c>
      <c r="F5073" s="731">
        <f t="shared" si="392"/>
        <v>0</v>
      </c>
      <c r="G5073" s="731"/>
      <c r="H5073" s="731" t="s">
        <v>3007</v>
      </c>
      <c r="I5073" s="731"/>
      <c r="J5073" s="731"/>
      <c r="K5073" s="732"/>
      <c r="M5073" s="62" t="e">
        <f>IF(#REF!&gt;6,3,5)</f>
        <v>#REF!</v>
      </c>
    </row>
    <row r="5074" spans="1:13">
      <c r="A5074" s="788">
        <f t="shared" si="391"/>
        <v>9</v>
      </c>
      <c r="B5074" s="775" t="s">
        <v>2061</v>
      </c>
      <c r="C5074" s="731" t="s">
        <v>3007</v>
      </c>
      <c r="D5074" s="731" t="s">
        <v>3007</v>
      </c>
      <c r="E5074" s="731" t="s">
        <v>3007</v>
      </c>
      <c r="F5074" s="731">
        <f t="shared" si="392"/>
        <v>0</v>
      </c>
      <c r="G5074" s="731"/>
      <c r="H5074" s="731" t="s">
        <v>3007</v>
      </c>
      <c r="I5074" s="731"/>
      <c r="J5074" s="731"/>
      <c r="K5074" s="732"/>
      <c r="M5074" s="62" t="e">
        <f>IF(#REF!&gt;6,3,5)</f>
        <v>#REF!</v>
      </c>
    </row>
    <row r="5075" spans="1:13">
      <c r="A5075" s="788">
        <f t="shared" si="391"/>
        <v>10</v>
      </c>
      <c r="B5075" s="775" t="s">
        <v>2960</v>
      </c>
      <c r="C5075" s="731">
        <v>500000</v>
      </c>
      <c r="D5075" s="731">
        <v>700000</v>
      </c>
      <c r="E5075" s="731">
        <v>700000</v>
      </c>
      <c r="F5075" s="731">
        <f t="shared" si="392"/>
        <v>1900000</v>
      </c>
      <c r="G5075" s="731"/>
      <c r="H5075" s="731">
        <v>200000</v>
      </c>
      <c r="I5075" s="731">
        <v>391039</v>
      </c>
      <c r="J5075" s="731"/>
      <c r="K5075" s="732"/>
      <c r="M5075" s="62" t="e">
        <f>IF(#REF!&gt;6,3,5)</f>
        <v>#REF!</v>
      </c>
    </row>
    <row r="5076" spans="1:13">
      <c r="A5076" s="788">
        <f t="shared" si="391"/>
        <v>11</v>
      </c>
      <c r="B5076" s="775" t="s">
        <v>3630</v>
      </c>
      <c r="C5076" s="731">
        <v>100000</v>
      </c>
      <c r="D5076" s="731">
        <v>200000</v>
      </c>
      <c r="E5076" s="731">
        <v>200000</v>
      </c>
      <c r="F5076" s="731">
        <f t="shared" si="392"/>
        <v>500000</v>
      </c>
      <c r="G5076" s="731">
        <v>70000</v>
      </c>
      <c r="H5076" s="731">
        <v>100000</v>
      </c>
      <c r="I5076" s="731">
        <v>200000</v>
      </c>
      <c r="J5076" s="731"/>
      <c r="K5076" s="732"/>
      <c r="M5076" s="62" t="e">
        <f>IF(#REF!&gt;6,3,5)</f>
        <v>#REF!</v>
      </c>
    </row>
    <row r="5077" spans="1:13">
      <c r="A5077" s="788">
        <f t="shared" si="391"/>
        <v>12</v>
      </c>
      <c r="B5077" s="775" t="s">
        <v>2688</v>
      </c>
      <c r="C5077" s="731">
        <v>1000000</v>
      </c>
      <c r="D5077" s="731">
        <v>2500000</v>
      </c>
      <c r="E5077" s="731">
        <v>2500000</v>
      </c>
      <c r="F5077" s="731">
        <f t="shared" si="392"/>
        <v>6000000</v>
      </c>
      <c r="G5077" s="731">
        <v>730000</v>
      </c>
      <c r="H5077" s="731">
        <v>1500000</v>
      </c>
      <c r="I5077" s="731">
        <v>200000</v>
      </c>
      <c r="J5077" s="731"/>
      <c r="K5077" s="732"/>
      <c r="M5077" s="62" t="e">
        <f>IF(#REF!&gt;6,3,5)</f>
        <v>#REF!</v>
      </c>
    </row>
    <row r="5078" spans="1:13">
      <c r="A5078" s="788">
        <f t="shared" si="391"/>
        <v>13</v>
      </c>
      <c r="B5078" s="775" t="s">
        <v>2249</v>
      </c>
      <c r="C5078" s="731">
        <v>100000</v>
      </c>
      <c r="D5078" s="731">
        <v>150000</v>
      </c>
      <c r="E5078" s="731">
        <v>150000</v>
      </c>
      <c r="F5078" s="731">
        <f t="shared" si="392"/>
        <v>400000</v>
      </c>
      <c r="G5078" s="731"/>
      <c r="H5078" s="731">
        <v>100000</v>
      </c>
      <c r="I5078" s="731">
        <v>100000</v>
      </c>
      <c r="J5078" s="731"/>
      <c r="K5078" s="732"/>
      <c r="M5078" s="62" t="e">
        <f>IF(#REF!&gt;6,3,5)</f>
        <v>#REF!</v>
      </c>
    </row>
    <row r="5079" spans="1:13">
      <c r="A5079" s="788">
        <f t="shared" si="391"/>
        <v>14</v>
      </c>
      <c r="B5079" s="775" t="s">
        <v>1336</v>
      </c>
      <c r="C5079" s="731">
        <v>500000</v>
      </c>
      <c r="D5079" s="731">
        <v>3000000</v>
      </c>
      <c r="E5079" s="731">
        <v>3000000</v>
      </c>
      <c r="F5079" s="731">
        <f t="shared" si="392"/>
        <v>6500000</v>
      </c>
      <c r="G5079" s="731"/>
      <c r="H5079" s="731">
        <v>500000</v>
      </c>
      <c r="I5079" s="731">
        <v>500000</v>
      </c>
      <c r="J5079" s="731"/>
      <c r="K5079" s="732"/>
      <c r="M5079" s="62" t="e">
        <f>IF(#REF!&gt;6,3,5)</f>
        <v>#REF!</v>
      </c>
    </row>
    <row r="5080" spans="1:13" ht="25.5">
      <c r="A5080" s="788">
        <f t="shared" si="391"/>
        <v>15</v>
      </c>
      <c r="B5080" s="775" t="s">
        <v>1466</v>
      </c>
      <c r="C5080" s="817" t="s">
        <v>4296</v>
      </c>
      <c r="D5080" s="731">
        <v>2000000</v>
      </c>
      <c r="E5080" s="731">
        <v>2000000</v>
      </c>
      <c r="F5080" s="731">
        <f t="shared" si="392"/>
        <v>4000000</v>
      </c>
      <c r="G5080" s="731">
        <v>1190000</v>
      </c>
      <c r="H5080" s="731">
        <v>2000000</v>
      </c>
      <c r="I5080" s="731">
        <v>2400000</v>
      </c>
      <c r="J5080" s="731"/>
      <c r="K5080" s="732"/>
    </row>
    <row r="5081" spans="1:13">
      <c r="A5081" s="788">
        <f t="shared" si="391"/>
        <v>16</v>
      </c>
      <c r="B5081" s="775" t="s">
        <v>4227</v>
      </c>
      <c r="C5081" s="731">
        <v>1000000</v>
      </c>
      <c r="D5081" s="731">
        <v>6500000</v>
      </c>
      <c r="E5081" s="731">
        <v>7000000</v>
      </c>
      <c r="F5081" s="731">
        <f>SUM(C5081:E5081)</f>
        <v>14500000</v>
      </c>
      <c r="G5081" s="731">
        <v>1190000</v>
      </c>
      <c r="H5081" s="731"/>
      <c r="I5081" s="731"/>
      <c r="J5081" s="731"/>
      <c r="K5081" s="732"/>
    </row>
    <row r="5082" spans="1:13">
      <c r="A5082" s="788"/>
      <c r="B5082" s="775"/>
      <c r="C5082" s="731"/>
      <c r="D5082" s="731"/>
      <c r="E5082" s="731"/>
      <c r="F5082" s="731"/>
      <c r="G5082" s="731"/>
      <c r="H5082" s="731"/>
      <c r="I5082" s="731"/>
      <c r="J5082" s="731"/>
      <c r="K5082" s="732"/>
      <c r="M5082" s="62" t="e">
        <f>IF(#REF!&gt;6,3,5)</f>
        <v>#REF!</v>
      </c>
    </row>
    <row r="5083" spans="1:13">
      <c r="A5083" s="818" t="s">
        <v>1840</v>
      </c>
      <c r="B5083" s="819" t="s">
        <v>1684</v>
      </c>
      <c r="C5083" s="820">
        <f t="shared" ref="C5083:I5083" si="393">SUM(C5066:C5082)</f>
        <v>5400000</v>
      </c>
      <c r="D5083" s="820">
        <f t="shared" si="393"/>
        <v>22650000</v>
      </c>
      <c r="E5083" s="820">
        <f t="shared" si="393"/>
        <v>23150000</v>
      </c>
      <c r="F5083" s="820">
        <f t="shared" si="393"/>
        <v>51200000</v>
      </c>
      <c r="G5083" s="820">
        <f>SUM(G5066:G5082)</f>
        <v>4038000</v>
      </c>
      <c r="H5083" s="820">
        <f t="shared" si="393"/>
        <v>6800000</v>
      </c>
      <c r="I5083" s="820">
        <f t="shared" si="393"/>
        <v>6591039</v>
      </c>
      <c r="J5083" s="820"/>
      <c r="K5083" s="821"/>
      <c r="M5083" s="62" t="e">
        <f>IF(#REF!&gt;6,3,5)</f>
        <v>#REF!</v>
      </c>
    </row>
    <row r="5084" spans="1:13" ht="15">
      <c r="C5084" s="166"/>
      <c r="D5084" s="164" t="s">
        <v>5434</v>
      </c>
      <c r="E5084" s="165"/>
      <c r="F5084" s="165"/>
      <c r="G5084" s="165"/>
      <c r="H5084" s="165"/>
      <c r="I5084" s="165"/>
      <c r="J5084" s="584"/>
      <c r="K5084" s="584"/>
      <c r="M5084" s="62">
        <f t="shared" si="390"/>
        <v>5</v>
      </c>
    </row>
    <row r="5085" spans="1:13" ht="15">
      <c r="C5085" s="166"/>
      <c r="D5085" s="164" t="s">
        <v>1693</v>
      </c>
      <c r="E5085" s="165"/>
      <c r="F5085" s="165"/>
      <c r="G5085" s="165"/>
      <c r="H5085" s="165"/>
      <c r="I5085" s="165"/>
      <c r="J5085" s="584"/>
      <c r="K5085" s="584"/>
    </row>
    <row r="5086" spans="1:13" ht="15">
      <c r="C5086" s="79" t="s">
        <v>717</v>
      </c>
      <c r="D5086" s="1058" t="s">
        <v>2776</v>
      </c>
      <c r="E5086" s="1060"/>
      <c r="F5086" s="165"/>
      <c r="G5086" s="165"/>
      <c r="H5086" s="165"/>
      <c r="I5086" s="165"/>
      <c r="J5086" s="584"/>
      <c r="K5086" s="584"/>
      <c r="M5086" s="62">
        <f t="shared" si="390"/>
        <v>3</v>
      </c>
    </row>
    <row r="5087" spans="1:13" ht="15.75" thickBot="1">
      <c r="C5087" s="79" t="s">
        <v>718</v>
      </c>
      <c r="D5087" s="164" t="s">
        <v>954</v>
      </c>
      <c r="E5087" s="165"/>
      <c r="F5087" s="165"/>
      <c r="G5087" s="165"/>
      <c r="H5087" s="165"/>
      <c r="I5087" s="165"/>
      <c r="J5087" s="584"/>
      <c r="K5087" s="584"/>
      <c r="M5087" s="62">
        <f t="shared" si="390"/>
        <v>3</v>
      </c>
    </row>
    <row r="5088" spans="1:13" ht="15.75" thickTop="1">
      <c r="A5088" s="1047" t="s">
        <v>2791</v>
      </c>
      <c r="B5088" s="1049" t="s">
        <v>4126</v>
      </c>
      <c r="C5088" s="1049" t="s">
        <v>854</v>
      </c>
      <c r="D5088" s="1040" t="s">
        <v>4127</v>
      </c>
      <c r="E5088" s="1041"/>
      <c r="F5088" s="1041"/>
      <c r="G5088" s="1040" t="s">
        <v>904</v>
      </c>
      <c r="H5088" s="1041"/>
      <c r="I5088" s="1042"/>
      <c r="J5088" s="1035" t="s">
        <v>855</v>
      </c>
      <c r="K5088" s="389"/>
    </row>
    <row r="5089" spans="1:13" ht="26.25" thickBot="1">
      <c r="A5089" s="1048"/>
      <c r="B5089" s="1050"/>
      <c r="C5089" s="1050"/>
      <c r="D5089" s="285" t="s">
        <v>5505</v>
      </c>
      <c r="E5089" s="285" t="s">
        <v>4485</v>
      </c>
      <c r="F5089" s="285" t="s">
        <v>4486</v>
      </c>
      <c r="G5089" s="287" t="s">
        <v>4487</v>
      </c>
      <c r="H5089" s="285" t="s">
        <v>4488</v>
      </c>
      <c r="I5089" s="287" t="s">
        <v>4489</v>
      </c>
      <c r="J5089" s="1036"/>
      <c r="K5089" s="712"/>
    </row>
    <row r="5090" spans="1:13" ht="13.5" thickTop="1">
      <c r="A5090" s="88">
        <v>1</v>
      </c>
      <c r="B5090" s="69" t="s">
        <v>2609</v>
      </c>
      <c r="C5090" s="167" t="s">
        <v>2335</v>
      </c>
      <c r="D5090" s="155">
        <v>1</v>
      </c>
      <c r="E5090" s="155">
        <v>1</v>
      </c>
      <c r="F5090" s="155">
        <v>1</v>
      </c>
      <c r="G5090" s="155">
        <v>1</v>
      </c>
      <c r="H5090" s="155">
        <v>1</v>
      </c>
      <c r="I5090" s="155">
        <v>1</v>
      </c>
      <c r="J5090" s="713"/>
      <c r="K5090" s="711"/>
      <c r="M5090" s="62">
        <f t="shared" si="390"/>
        <v>3</v>
      </c>
    </row>
    <row r="5091" spans="1:13">
      <c r="A5091" s="88">
        <f>+A5090+1</f>
        <v>2</v>
      </c>
      <c r="B5091" s="69" t="s">
        <v>329</v>
      </c>
      <c r="C5091" s="167" t="s">
        <v>330</v>
      </c>
      <c r="D5091" s="155">
        <v>1</v>
      </c>
      <c r="E5091" s="155">
        <v>1</v>
      </c>
      <c r="F5091" s="155">
        <v>1</v>
      </c>
      <c r="G5091" s="155">
        <v>1</v>
      </c>
      <c r="H5091" s="155">
        <v>1</v>
      </c>
      <c r="I5091" s="155">
        <v>1</v>
      </c>
      <c r="J5091" s="713"/>
      <c r="K5091" s="711"/>
      <c r="M5091" s="62">
        <f t="shared" si="390"/>
        <v>3</v>
      </c>
    </row>
    <row r="5092" spans="1:13">
      <c r="A5092" s="88">
        <f>+A5091+1</f>
        <v>3</v>
      </c>
      <c r="B5092" s="69" t="s">
        <v>331</v>
      </c>
      <c r="C5092" s="167">
        <v>12</v>
      </c>
      <c r="D5092" s="155">
        <v>1</v>
      </c>
      <c r="E5092" s="155">
        <v>1</v>
      </c>
      <c r="F5092" s="155">
        <v>1</v>
      </c>
      <c r="G5092" s="155">
        <v>1</v>
      </c>
      <c r="H5092" s="155">
        <v>1</v>
      </c>
      <c r="I5092" s="155">
        <v>1</v>
      </c>
      <c r="J5092" s="710">
        <f>(VLOOKUP($C5092,[2]Sheet1!$A$2:$P$18,$M5092+1)/12)*12*D5092</f>
        <v>552685.0537200002</v>
      </c>
      <c r="K5092" s="711"/>
      <c r="M5092" s="62">
        <f t="shared" si="390"/>
        <v>3</v>
      </c>
    </row>
    <row r="5093" spans="1:13">
      <c r="A5093" s="88">
        <f>+A5092+1</f>
        <v>4</v>
      </c>
      <c r="B5093" s="69" t="s">
        <v>888</v>
      </c>
      <c r="C5093" s="167">
        <v>9</v>
      </c>
      <c r="D5093" s="155">
        <v>1</v>
      </c>
      <c r="E5093" s="155">
        <v>1</v>
      </c>
      <c r="F5093" s="155">
        <v>1</v>
      </c>
      <c r="G5093" s="155">
        <v>1</v>
      </c>
      <c r="H5093" s="155">
        <v>1</v>
      </c>
      <c r="I5093" s="155">
        <v>1</v>
      </c>
      <c r="J5093" s="710">
        <f>(VLOOKUP($C5093,[2]Sheet1!$A$2:$P$18,$M5093+1)/12)*12*D5093</f>
        <v>409681.90619999997</v>
      </c>
      <c r="K5093" s="711"/>
      <c r="M5093" s="62">
        <f t="shared" si="390"/>
        <v>3</v>
      </c>
    </row>
    <row r="5094" spans="1:13">
      <c r="A5094" s="88"/>
      <c r="B5094" s="90" t="s">
        <v>332</v>
      </c>
      <c r="C5094" s="167"/>
      <c r="D5094" s="155"/>
      <c r="E5094" s="155"/>
      <c r="F5094" s="155"/>
      <c r="G5094" s="155"/>
      <c r="H5094" s="155"/>
      <c r="I5094" s="155"/>
      <c r="J5094" s="710"/>
      <c r="K5094" s="711"/>
      <c r="M5094" s="62">
        <f t="shared" si="390"/>
        <v>5</v>
      </c>
    </row>
    <row r="5095" spans="1:13">
      <c r="A5095" s="88">
        <f>+A5093+1</f>
        <v>5</v>
      </c>
      <c r="B5095" s="69" t="s">
        <v>342</v>
      </c>
      <c r="C5095" s="167">
        <v>7</v>
      </c>
      <c r="D5095" s="155">
        <v>1</v>
      </c>
      <c r="E5095" s="155">
        <v>1</v>
      </c>
      <c r="F5095" s="155">
        <v>1</v>
      </c>
      <c r="G5095" s="155">
        <v>1</v>
      </c>
      <c r="H5095" s="155">
        <v>1</v>
      </c>
      <c r="I5095" s="155">
        <v>1</v>
      </c>
      <c r="J5095" s="710">
        <f>(VLOOKUP($C5095,[2]Sheet1!$A$2:$P$18,$M5095+1)/12)*12*D5095</f>
        <v>307706.70240000007</v>
      </c>
      <c r="K5095" s="711"/>
      <c r="M5095" s="62">
        <f t="shared" si="390"/>
        <v>3</v>
      </c>
    </row>
    <row r="5096" spans="1:13">
      <c r="A5096" s="88">
        <f t="shared" ref="A5096:A5120" si="394">+A5095+1</f>
        <v>6</v>
      </c>
      <c r="B5096" s="69" t="s">
        <v>3770</v>
      </c>
      <c r="C5096" s="167">
        <v>5</v>
      </c>
      <c r="D5096" s="155">
        <v>0</v>
      </c>
      <c r="E5096" s="155">
        <v>0</v>
      </c>
      <c r="F5096" s="155">
        <v>0</v>
      </c>
      <c r="G5096" s="155">
        <v>0</v>
      </c>
      <c r="H5096" s="155">
        <v>0</v>
      </c>
      <c r="I5096" s="155">
        <v>0</v>
      </c>
      <c r="J5096" s="710">
        <f>(VLOOKUP($C5096,[2]Sheet1!$A$2:$P$18,$M5096+1)/12)*12*D5096</f>
        <v>0</v>
      </c>
      <c r="K5096" s="711"/>
      <c r="M5096" s="62">
        <f t="shared" si="390"/>
        <v>5</v>
      </c>
    </row>
    <row r="5097" spans="1:13">
      <c r="A5097" s="88">
        <f t="shared" si="394"/>
        <v>7</v>
      </c>
      <c r="B5097" s="69" t="s">
        <v>3662</v>
      </c>
      <c r="C5097" s="167">
        <v>4</v>
      </c>
      <c r="D5097" s="155">
        <v>4</v>
      </c>
      <c r="E5097" s="155">
        <v>4</v>
      </c>
      <c r="F5097" s="155">
        <v>4</v>
      </c>
      <c r="G5097" s="155">
        <v>4</v>
      </c>
      <c r="H5097" s="155">
        <v>4</v>
      </c>
      <c r="I5097" s="155">
        <v>4</v>
      </c>
      <c r="J5097" s="710">
        <f>(VLOOKUP($C5097,[2]Sheet1!$A$2:$P$18,$M5097+1)/12)*12*D5097</f>
        <v>898171.91572146001</v>
      </c>
      <c r="K5097" s="711"/>
      <c r="M5097" s="62">
        <f t="shared" si="390"/>
        <v>5</v>
      </c>
    </row>
    <row r="5098" spans="1:13">
      <c r="A5098" s="88">
        <f t="shared" si="394"/>
        <v>8</v>
      </c>
      <c r="B5098" s="69" t="s">
        <v>957</v>
      </c>
      <c r="C5098" s="167">
        <v>2</v>
      </c>
      <c r="D5098" s="155">
        <v>4</v>
      </c>
      <c r="E5098" s="155">
        <v>4</v>
      </c>
      <c r="F5098" s="155">
        <v>4</v>
      </c>
      <c r="G5098" s="155">
        <v>4</v>
      </c>
      <c r="H5098" s="155">
        <v>4</v>
      </c>
      <c r="I5098" s="155">
        <v>4</v>
      </c>
      <c r="J5098" s="710">
        <f>(VLOOKUP($C5098,[2]Sheet1!$A$2:$P$18,$M5098+1)/12)*12*D5098</f>
        <v>858629.51572146011</v>
      </c>
      <c r="K5098" s="711"/>
      <c r="M5098" s="62">
        <f t="shared" si="390"/>
        <v>5</v>
      </c>
    </row>
    <row r="5099" spans="1:13">
      <c r="A5099" s="88">
        <f t="shared" si="394"/>
        <v>9</v>
      </c>
      <c r="B5099" s="69" t="s">
        <v>333</v>
      </c>
      <c r="C5099" s="167">
        <v>7</v>
      </c>
      <c r="D5099" s="155">
        <v>1</v>
      </c>
      <c r="E5099" s="155">
        <v>1</v>
      </c>
      <c r="F5099" s="155">
        <v>1</v>
      </c>
      <c r="G5099" s="155">
        <v>1</v>
      </c>
      <c r="H5099" s="155">
        <v>1</v>
      </c>
      <c r="I5099" s="155">
        <v>1</v>
      </c>
      <c r="J5099" s="710">
        <f>(VLOOKUP($C5099,[2]Sheet1!$A$2:$P$18,$M5099+1)/12)*12*D5099</f>
        <v>307706.70240000007</v>
      </c>
      <c r="K5099" s="711"/>
      <c r="M5099" s="62">
        <f t="shared" si="390"/>
        <v>3</v>
      </c>
    </row>
    <row r="5100" spans="1:13">
      <c r="A5100" s="88">
        <f t="shared" si="394"/>
        <v>10</v>
      </c>
      <c r="B5100" s="69" t="s">
        <v>2572</v>
      </c>
      <c r="C5100" s="167">
        <v>6</v>
      </c>
      <c r="D5100" s="155">
        <v>1</v>
      </c>
      <c r="E5100" s="155">
        <v>1</v>
      </c>
      <c r="F5100" s="155">
        <v>1</v>
      </c>
      <c r="G5100" s="155">
        <v>1</v>
      </c>
      <c r="H5100" s="155">
        <v>1</v>
      </c>
      <c r="I5100" s="155">
        <v>1</v>
      </c>
      <c r="J5100" s="710">
        <f>(VLOOKUP($C5100,[2]Sheet1!$A$2:$P$18,$M5100+1)/12)*12*D5100</f>
        <v>238099.37893036497</v>
      </c>
      <c r="K5100" s="711"/>
      <c r="M5100" s="62">
        <f t="shared" si="390"/>
        <v>5</v>
      </c>
    </row>
    <row r="5101" spans="1:13">
      <c r="A5101" s="88">
        <f t="shared" si="394"/>
        <v>11</v>
      </c>
      <c r="B5101" s="69" t="s">
        <v>3796</v>
      </c>
      <c r="C5101" s="167">
        <v>5</v>
      </c>
      <c r="D5101" s="155">
        <v>2</v>
      </c>
      <c r="E5101" s="155">
        <v>2</v>
      </c>
      <c r="F5101" s="155">
        <v>2</v>
      </c>
      <c r="G5101" s="155">
        <v>2</v>
      </c>
      <c r="H5101" s="155">
        <v>2</v>
      </c>
      <c r="I5101" s="155">
        <v>2</v>
      </c>
      <c r="J5101" s="710">
        <f>(VLOOKUP($C5101,[2]Sheet1!$A$2:$P$18,$M5101+1)/12)*12*D5101</f>
        <v>459139.55786072998</v>
      </c>
      <c r="K5101" s="711"/>
      <c r="M5101" s="62">
        <f t="shared" si="390"/>
        <v>5</v>
      </c>
    </row>
    <row r="5102" spans="1:13">
      <c r="A5102" s="88">
        <f t="shared" si="394"/>
        <v>12</v>
      </c>
      <c r="B5102" s="69" t="s">
        <v>3797</v>
      </c>
      <c r="C5102" s="167">
        <v>4</v>
      </c>
      <c r="D5102" s="155">
        <v>1</v>
      </c>
      <c r="E5102" s="155">
        <v>1</v>
      </c>
      <c r="F5102" s="155">
        <v>1</v>
      </c>
      <c r="G5102" s="155">
        <v>1</v>
      </c>
      <c r="H5102" s="155">
        <v>1</v>
      </c>
      <c r="I5102" s="155">
        <v>1</v>
      </c>
      <c r="J5102" s="710">
        <f>(VLOOKUP($C5102,[2]Sheet1!$A$2:$P$18,$M5102+1)/12)*12*D5102</f>
        <v>224542.978930365</v>
      </c>
      <c r="K5102" s="711"/>
      <c r="M5102" s="62">
        <f t="shared" si="390"/>
        <v>5</v>
      </c>
    </row>
    <row r="5103" spans="1:13">
      <c r="A5103" s="88">
        <f t="shared" si="394"/>
        <v>13</v>
      </c>
      <c r="B5103" s="69" t="s">
        <v>3467</v>
      </c>
      <c r="C5103" s="167">
        <v>3</v>
      </c>
      <c r="D5103" s="155">
        <v>2</v>
      </c>
      <c r="E5103" s="155">
        <v>2</v>
      </c>
      <c r="F5103" s="155">
        <v>2</v>
      </c>
      <c r="G5103" s="155">
        <v>2</v>
      </c>
      <c r="H5103" s="155">
        <v>2</v>
      </c>
      <c r="I5103" s="155">
        <v>2</v>
      </c>
      <c r="J5103" s="710">
        <f>(VLOOKUP($C5103,[2]Sheet1!$A$2:$P$18,$M5103+1)/12)*12*D5103</f>
        <v>438672.35786072997</v>
      </c>
      <c r="K5103" s="711"/>
      <c r="M5103" s="62">
        <f t="shared" si="390"/>
        <v>5</v>
      </c>
    </row>
    <row r="5104" spans="1:13">
      <c r="A5104" s="88">
        <f t="shared" si="394"/>
        <v>14</v>
      </c>
      <c r="B5104" s="69" t="s">
        <v>771</v>
      </c>
      <c r="C5104" s="167">
        <v>8</v>
      </c>
      <c r="D5104" s="155">
        <v>2</v>
      </c>
      <c r="E5104" s="155">
        <v>2</v>
      </c>
      <c r="F5104" s="155">
        <v>2</v>
      </c>
      <c r="G5104" s="155">
        <v>2</v>
      </c>
      <c r="H5104" s="155">
        <v>2</v>
      </c>
      <c r="I5104" s="155">
        <v>2</v>
      </c>
      <c r="J5104" s="710">
        <f>(VLOOKUP($C5104,[2]Sheet1!$A$2:$P$18,$M5104+1)/12)*12*D5104</f>
        <v>684282.54816000001</v>
      </c>
      <c r="K5104" s="711"/>
      <c r="M5104" s="62">
        <f t="shared" si="390"/>
        <v>3</v>
      </c>
    </row>
    <row r="5105" spans="1:13">
      <c r="A5105" s="88">
        <f t="shared" si="394"/>
        <v>15</v>
      </c>
      <c r="B5105" s="69" t="s">
        <v>3473</v>
      </c>
      <c r="C5105" s="167">
        <v>7</v>
      </c>
      <c r="D5105" s="155">
        <v>2</v>
      </c>
      <c r="E5105" s="155">
        <v>2</v>
      </c>
      <c r="F5105" s="155">
        <v>2</v>
      </c>
      <c r="G5105" s="155">
        <v>2</v>
      </c>
      <c r="H5105" s="155">
        <v>2</v>
      </c>
      <c r="I5105" s="155">
        <v>2</v>
      </c>
      <c r="J5105" s="710">
        <f>(VLOOKUP($C5105,[2]Sheet1!$A$2:$P$18,$M5105+1)/12)*12*D5105</f>
        <v>615413.40480000013</v>
      </c>
      <c r="K5105" s="711"/>
      <c r="M5105" s="62">
        <f t="shared" si="390"/>
        <v>3</v>
      </c>
    </row>
    <row r="5106" spans="1:13">
      <c r="A5106" s="88">
        <f t="shared" si="394"/>
        <v>16</v>
      </c>
      <c r="B5106" s="69" t="s">
        <v>3474</v>
      </c>
      <c r="C5106" s="167">
        <v>6</v>
      </c>
      <c r="D5106" s="155">
        <v>1</v>
      </c>
      <c r="E5106" s="155">
        <v>1</v>
      </c>
      <c r="F5106" s="155">
        <v>1</v>
      </c>
      <c r="G5106" s="155">
        <v>1</v>
      </c>
      <c r="H5106" s="155">
        <v>1</v>
      </c>
      <c r="I5106" s="155">
        <v>1</v>
      </c>
      <c r="J5106" s="710">
        <f>(VLOOKUP($C5106,[2]Sheet1!$A$2:$P$18,$M5106+1)/12)*12*D5106</f>
        <v>238099.37893036497</v>
      </c>
      <c r="K5106" s="711"/>
      <c r="M5106" s="62">
        <f t="shared" si="390"/>
        <v>5</v>
      </c>
    </row>
    <row r="5107" spans="1:13">
      <c r="A5107" s="88">
        <f t="shared" si="394"/>
        <v>17</v>
      </c>
      <c r="B5107" s="69" t="s">
        <v>3250</v>
      </c>
      <c r="C5107" s="167">
        <v>7</v>
      </c>
      <c r="D5107" s="155">
        <v>1</v>
      </c>
      <c r="E5107" s="155">
        <v>1</v>
      </c>
      <c r="F5107" s="155">
        <v>1</v>
      </c>
      <c r="G5107" s="155">
        <v>1</v>
      </c>
      <c r="H5107" s="155">
        <v>1</v>
      </c>
      <c r="I5107" s="155">
        <v>1</v>
      </c>
      <c r="J5107" s="710">
        <f>(VLOOKUP($C5107,[2]Sheet1!$A$2:$P$18,$M5107+1)/12)*12*D5107</f>
        <v>307706.70240000007</v>
      </c>
      <c r="K5107" s="711"/>
      <c r="M5107" s="62">
        <f t="shared" si="390"/>
        <v>3</v>
      </c>
    </row>
    <row r="5108" spans="1:13">
      <c r="A5108" s="88">
        <f t="shared" si="394"/>
        <v>18</v>
      </c>
      <c r="B5108" s="69" t="s">
        <v>2972</v>
      </c>
      <c r="C5108" s="167">
        <v>6</v>
      </c>
      <c r="D5108" s="155">
        <v>0</v>
      </c>
      <c r="E5108" s="155">
        <v>0</v>
      </c>
      <c r="F5108" s="155">
        <v>0</v>
      </c>
      <c r="G5108" s="155">
        <v>0</v>
      </c>
      <c r="H5108" s="155">
        <v>0</v>
      </c>
      <c r="I5108" s="155">
        <v>0</v>
      </c>
      <c r="J5108" s="710">
        <f>(VLOOKUP($C5108,[2]Sheet1!$A$2:$P$18,$M5108+1)/12)*12*D5108</f>
        <v>0</v>
      </c>
      <c r="K5108" s="711"/>
      <c r="M5108" s="62">
        <f t="shared" si="390"/>
        <v>5</v>
      </c>
    </row>
    <row r="5109" spans="1:13">
      <c r="A5109" s="88">
        <f t="shared" si="394"/>
        <v>19</v>
      </c>
      <c r="B5109" s="69" t="s">
        <v>3475</v>
      </c>
      <c r="C5109" s="167">
        <v>5</v>
      </c>
      <c r="D5109" s="155">
        <v>2</v>
      </c>
      <c r="E5109" s="155">
        <v>2</v>
      </c>
      <c r="F5109" s="155">
        <v>2</v>
      </c>
      <c r="G5109" s="155">
        <v>2</v>
      </c>
      <c r="H5109" s="155">
        <v>2</v>
      </c>
      <c r="I5109" s="155">
        <v>2</v>
      </c>
      <c r="J5109" s="710">
        <f>(VLOOKUP($C5109,[2]Sheet1!$A$2:$P$18,$M5109+1)/12)*12*D5109</f>
        <v>459139.55786072998</v>
      </c>
      <c r="K5109" s="711"/>
      <c r="M5109" s="62">
        <f t="shared" si="390"/>
        <v>5</v>
      </c>
    </row>
    <row r="5110" spans="1:13">
      <c r="A5110" s="88">
        <f t="shared" si="394"/>
        <v>20</v>
      </c>
      <c r="B5110" s="69" t="s">
        <v>3476</v>
      </c>
      <c r="C5110" s="167">
        <v>4</v>
      </c>
      <c r="D5110" s="155">
        <v>2</v>
      </c>
      <c r="E5110" s="155">
        <v>2</v>
      </c>
      <c r="F5110" s="155">
        <v>2</v>
      </c>
      <c r="G5110" s="155">
        <v>2</v>
      </c>
      <c r="H5110" s="155">
        <v>2</v>
      </c>
      <c r="I5110" s="155">
        <v>2</v>
      </c>
      <c r="J5110" s="710">
        <f>(VLOOKUP($C5110,[2]Sheet1!$A$2:$P$18,$M5110+1)/12)*12*D5110</f>
        <v>449085.95786073001</v>
      </c>
      <c r="K5110" s="711"/>
      <c r="M5110" s="62">
        <f t="shared" si="390"/>
        <v>5</v>
      </c>
    </row>
    <row r="5111" spans="1:13">
      <c r="A5111" s="88">
        <f t="shared" si="394"/>
        <v>21</v>
      </c>
      <c r="B5111" s="69" t="s">
        <v>3477</v>
      </c>
      <c r="C5111" s="167">
        <v>3</v>
      </c>
      <c r="D5111" s="155">
        <v>1</v>
      </c>
      <c r="E5111" s="155">
        <v>1</v>
      </c>
      <c r="F5111" s="155">
        <v>1</v>
      </c>
      <c r="G5111" s="155">
        <v>1</v>
      </c>
      <c r="H5111" s="155">
        <v>1</v>
      </c>
      <c r="I5111" s="155">
        <v>1</v>
      </c>
      <c r="J5111" s="710">
        <f>(VLOOKUP($C5111,[2]Sheet1!$A$2:$P$18,$M5111+1)/12)*12*D5111</f>
        <v>219336.17893036499</v>
      </c>
      <c r="K5111" s="711"/>
      <c r="M5111" s="62">
        <f t="shared" si="390"/>
        <v>5</v>
      </c>
    </row>
    <row r="5112" spans="1:13">
      <c r="A5112" s="88">
        <f t="shared" si="394"/>
        <v>22</v>
      </c>
      <c r="B5112" s="69" t="s">
        <v>2179</v>
      </c>
      <c r="C5112" s="167">
        <v>5</v>
      </c>
      <c r="D5112" s="155">
        <v>2</v>
      </c>
      <c r="E5112" s="155">
        <v>2</v>
      </c>
      <c r="F5112" s="155">
        <v>2</v>
      </c>
      <c r="G5112" s="155">
        <v>2</v>
      </c>
      <c r="H5112" s="155">
        <v>2</v>
      </c>
      <c r="I5112" s="155">
        <v>2</v>
      </c>
      <c r="J5112" s="710">
        <f>(VLOOKUP($C5112,[2]Sheet1!$A$2:$P$18,$M5112+1)/12)*12*D5112</f>
        <v>459139.55786072998</v>
      </c>
      <c r="K5112" s="711"/>
      <c r="M5112" s="62">
        <f t="shared" si="390"/>
        <v>5</v>
      </c>
    </row>
    <row r="5113" spans="1:13">
      <c r="A5113" s="88">
        <f t="shared" si="394"/>
        <v>23</v>
      </c>
      <c r="B5113" s="69" t="s">
        <v>3478</v>
      </c>
      <c r="C5113" s="167">
        <v>4</v>
      </c>
      <c r="D5113" s="155">
        <v>2</v>
      </c>
      <c r="E5113" s="155">
        <v>2</v>
      </c>
      <c r="F5113" s="155">
        <v>2</v>
      </c>
      <c r="G5113" s="155">
        <v>2</v>
      </c>
      <c r="H5113" s="155">
        <v>2</v>
      </c>
      <c r="I5113" s="155">
        <v>2</v>
      </c>
      <c r="J5113" s="710">
        <f>(VLOOKUP($C5113,[2]Sheet1!$A$2:$P$18,$M5113+1)/12)*12*D5113</f>
        <v>449085.95786073001</v>
      </c>
      <c r="K5113" s="711"/>
      <c r="M5113" s="62">
        <f t="shared" si="390"/>
        <v>5</v>
      </c>
    </row>
    <row r="5114" spans="1:13">
      <c r="A5114" s="88">
        <f t="shared" si="394"/>
        <v>24</v>
      </c>
      <c r="B5114" s="69" t="s">
        <v>2543</v>
      </c>
      <c r="C5114" s="167">
        <v>2</v>
      </c>
      <c r="D5114" s="155">
        <v>6</v>
      </c>
      <c r="E5114" s="155">
        <v>6</v>
      </c>
      <c r="F5114" s="155">
        <v>6</v>
      </c>
      <c r="G5114" s="155">
        <v>6</v>
      </c>
      <c r="H5114" s="155">
        <v>6</v>
      </c>
      <c r="I5114" s="155">
        <v>6</v>
      </c>
      <c r="J5114" s="710">
        <f>(VLOOKUP($C5114,[2]Sheet1!$A$2:$P$18,$M5114+1)/12)*12*D5114</f>
        <v>1287944.2735821903</v>
      </c>
      <c r="K5114" s="711"/>
      <c r="M5114" s="62">
        <f t="shared" si="390"/>
        <v>5</v>
      </c>
    </row>
    <row r="5115" spans="1:13">
      <c r="A5115" s="88">
        <f t="shared" si="394"/>
        <v>25</v>
      </c>
      <c r="B5115" s="69" t="s">
        <v>2694</v>
      </c>
      <c r="C5115" s="167">
        <v>2</v>
      </c>
      <c r="D5115" s="155">
        <v>4</v>
      </c>
      <c r="E5115" s="155">
        <v>4</v>
      </c>
      <c r="F5115" s="155">
        <v>4</v>
      </c>
      <c r="G5115" s="155">
        <v>4</v>
      </c>
      <c r="H5115" s="155">
        <v>4</v>
      </c>
      <c r="I5115" s="155">
        <v>4</v>
      </c>
      <c r="J5115" s="710">
        <f>(VLOOKUP($C5115,[2]Sheet1!$A$2:$P$18,$M5115+1)/12)*12*D5115</f>
        <v>858629.51572146011</v>
      </c>
      <c r="K5115" s="711"/>
      <c r="M5115" s="62">
        <f t="shared" si="390"/>
        <v>5</v>
      </c>
    </row>
    <row r="5116" spans="1:13">
      <c r="A5116" s="88">
        <f t="shared" si="394"/>
        <v>26</v>
      </c>
      <c r="B5116" s="69" t="s">
        <v>2172</v>
      </c>
      <c r="C5116" s="167">
        <v>2</v>
      </c>
      <c r="D5116" s="155">
        <v>2</v>
      </c>
      <c r="E5116" s="155">
        <v>2</v>
      </c>
      <c r="F5116" s="155">
        <v>2</v>
      </c>
      <c r="G5116" s="155">
        <v>2</v>
      </c>
      <c r="H5116" s="155">
        <v>2</v>
      </c>
      <c r="I5116" s="155">
        <v>2</v>
      </c>
      <c r="J5116" s="710">
        <f>(VLOOKUP($C5116,[2]Sheet1!$A$2:$P$18,$M5116+1)/12)*12*D5116</f>
        <v>429314.75786073005</v>
      </c>
      <c r="K5116" s="711"/>
      <c r="M5116" s="62">
        <f t="shared" si="390"/>
        <v>5</v>
      </c>
    </row>
    <row r="5117" spans="1:13">
      <c r="A5117" s="88">
        <f t="shared" si="394"/>
        <v>27</v>
      </c>
      <c r="B5117" s="69" t="s">
        <v>3479</v>
      </c>
      <c r="C5117" s="167">
        <v>1</v>
      </c>
      <c r="D5117" s="155">
        <v>2</v>
      </c>
      <c r="E5117" s="155">
        <v>2</v>
      </c>
      <c r="F5117" s="155">
        <v>2</v>
      </c>
      <c r="G5117" s="155">
        <v>2</v>
      </c>
      <c r="H5117" s="155">
        <v>2</v>
      </c>
      <c r="I5117" s="155">
        <v>2</v>
      </c>
      <c r="J5117" s="710">
        <f>(VLOOKUP($C5117,[2]Sheet1!$A$2:$P$18,$M5117+1)/12)*12*D5117</f>
        <v>414215.15786072996</v>
      </c>
      <c r="K5117" s="711"/>
      <c r="M5117" s="62">
        <f t="shared" si="390"/>
        <v>5</v>
      </c>
    </row>
    <row r="5118" spans="1:13">
      <c r="A5118" s="88">
        <f t="shared" si="394"/>
        <v>28</v>
      </c>
      <c r="B5118" s="69" t="s">
        <v>3634</v>
      </c>
      <c r="C5118" s="167">
        <v>8</v>
      </c>
      <c r="D5118" s="155">
        <v>1</v>
      </c>
      <c r="E5118" s="155">
        <v>1</v>
      </c>
      <c r="F5118" s="155">
        <v>1</v>
      </c>
      <c r="G5118" s="155">
        <v>1</v>
      </c>
      <c r="H5118" s="155">
        <v>1</v>
      </c>
      <c r="I5118" s="155">
        <v>1</v>
      </c>
      <c r="J5118" s="710">
        <f>(VLOOKUP($C5118,[2]Sheet1!$A$2:$P$18,$M5118+1)/12)*12*D5118</f>
        <v>342141.27408</v>
      </c>
      <c r="K5118" s="711"/>
      <c r="M5118" s="62">
        <f t="shared" si="390"/>
        <v>3</v>
      </c>
    </row>
    <row r="5119" spans="1:13">
      <c r="A5119" s="88">
        <f t="shared" si="394"/>
        <v>29</v>
      </c>
      <c r="B5119" s="69" t="s">
        <v>2666</v>
      </c>
      <c r="C5119" s="167">
        <v>7</v>
      </c>
      <c r="D5119" s="155">
        <v>1</v>
      </c>
      <c r="E5119" s="155">
        <v>1</v>
      </c>
      <c r="F5119" s="155">
        <v>1</v>
      </c>
      <c r="G5119" s="155">
        <v>1</v>
      </c>
      <c r="H5119" s="155">
        <v>1</v>
      </c>
      <c r="I5119" s="155">
        <v>1</v>
      </c>
      <c r="J5119" s="710">
        <f>(VLOOKUP($C5119,[2]Sheet1!$A$2:$P$18,$M5119+1)/12)*12*D5119</f>
        <v>307706.70240000007</v>
      </c>
      <c r="K5119" s="711"/>
      <c r="M5119" s="62">
        <f t="shared" ref="M5119:M5180" si="395">IF(C5119&gt;6,3,5)</f>
        <v>3</v>
      </c>
    </row>
    <row r="5120" spans="1:13">
      <c r="A5120" s="88">
        <f t="shared" si="394"/>
        <v>30</v>
      </c>
      <c r="B5120" s="69" t="s">
        <v>1415</v>
      </c>
      <c r="C5120" s="167">
        <v>6</v>
      </c>
      <c r="D5120" s="155">
        <v>2</v>
      </c>
      <c r="E5120" s="155">
        <v>2</v>
      </c>
      <c r="F5120" s="155">
        <v>2</v>
      </c>
      <c r="G5120" s="155">
        <v>2</v>
      </c>
      <c r="H5120" s="155">
        <v>2</v>
      </c>
      <c r="I5120" s="155">
        <v>2</v>
      </c>
      <c r="J5120" s="710">
        <f>(VLOOKUP($C5120,[2]Sheet1!$A$2:$P$18,$M5120+1)/12)*12*D5120</f>
        <v>476198.75786072994</v>
      </c>
      <c r="K5120" s="711"/>
      <c r="M5120" s="62">
        <f t="shared" si="395"/>
        <v>5</v>
      </c>
    </row>
    <row r="5121" spans="1:13">
      <c r="A5121" s="88"/>
      <c r="B5121" s="90" t="s">
        <v>3521</v>
      </c>
      <c r="C5121" s="167"/>
      <c r="D5121" s="155"/>
      <c r="E5121" s="155"/>
      <c r="F5121" s="155"/>
      <c r="G5121" s="155"/>
      <c r="H5121" s="155"/>
      <c r="I5121" s="155"/>
      <c r="J5121" s="710"/>
      <c r="K5121" s="711"/>
      <c r="M5121" s="62">
        <f t="shared" si="395"/>
        <v>5</v>
      </c>
    </row>
    <row r="5122" spans="1:13">
      <c r="A5122" s="88">
        <f>+A5120+1</f>
        <v>31</v>
      </c>
      <c r="B5122" s="69" t="s">
        <v>1317</v>
      </c>
      <c r="C5122" s="167">
        <v>6</v>
      </c>
      <c r="D5122" s="155">
        <v>1</v>
      </c>
      <c r="E5122" s="155">
        <v>1</v>
      </c>
      <c r="F5122" s="155">
        <v>1</v>
      </c>
      <c r="G5122" s="155">
        <v>1</v>
      </c>
      <c r="H5122" s="155">
        <v>1</v>
      </c>
      <c r="I5122" s="155">
        <v>1</v>
      </c>
      <c r="J5122" s="710">
        <f>(VLOOKUP($C5122,[2]Sheet1!$A$2:$P$18,$M5122+1)/12)*12*D5122</f>
        <v>238099.37893036497</v>
      </c>
      <c r="K5122" s="711"/>
      <c r="M5122" s="62">
        <f t="shared" si="395"/>
        <v>5</v>
      </c>
    </row>
    <row r="5123" spans="1:13">
      <c r="A5123" s="88">
        <f>+A5122+1</f>
        <v>32</v>
      </c>
      <c r="B5123" s="69" t="s">
        <v>602</v>
      </c>
      <c r="C5123" s="167">
        <v>5</v>
      </c>
      <c r="D5123" s="155">
        <v>1</v>
      </c>
      <c r="E5123" s="155">
        <v>1</v>
      </c>
      <c r="F5123" s="155">
        <v>1</v>
      </c>
      <c r="G5123" s="155">
        <v>1</v>
      </c>
      <c r="H5123" s="155">
        <v>1</v>
      </c>
      <c r="I5123" s="155">
        <v>1</v>
      </c>
      <c r="J5123" s="710">
        <f>(VLOOKUP($C5123,[2]Sheet1!$A$2:$P$18,$M5123+1)/12)*12*D5123</f>
        <v>229569.77893036499</v>
      </c>
      <c r="K5123" s="711"/>
      <c r="M5123" s="62">
        <f t="shared" si="395"/>
        <v>5</v>
      </c>
    </row>
    <row r="5124" spans="1:13">
      <c r="A5124" s="88">
        <f>+A5123+1</f>
        <v>33</v>
      </c>
      <c r="B5124" s="69" t="s">
        <v>603</v>
      </c>
      <c r="C5124" s="167">
        <v>4</v>
      </c>
      <c r="D5124" s="155">
        <v>0</v>
      </c>
      <c r="E5124" s="155">
        <v>0</v>
      </c>
      <c r="F5124" s="155">
        <v>0</v>
      </c>
      <c r="G5124" s="155">
        <v>0</v>
      </c>
      <c r="H5124" s="155">
        <v>0</v>
      </c>
      <c r="I5124" s="155">
        <v>0</v>
      </c>
      <c r="J5124" s="710">
        <f>(VLOOKUP($C5124,[2]Sheet1!$A$2:$P$18,$M5124+1)/12)*12*D5124</f>
        <v>0</v>
      </c>
      <c r="K5124" s="711"/>
      <c r="M5124" s="62">
        <f t="shared" si="395"/>
        <v>5</v>
      </c>
    </row>
    <row r="5125" spans="1:13">
      <c r="A5125" s="88">
        <f>+A5124+1</f>
        <v>34</v>
      </c>
      <c r="B5125" s="69" t="s">
        <v>604</v>
      </c>
      <c r="C5125" s="167">
        <v>3</v>
      </c>
      <c r="D5125" s="155">
        <v>2</v>
      </c>
      <c r="E5125" s="155">
        <v>2</v>
      </c>
      <c r="F5125" s="155">
        <v>2</v>
      </c>
      <c r="G5125" s="155">
        <v>2</v>
      </c>
      <c r="H5125" s="155">
        <v>2</v>
      </c>
      <c r="I5125" s="155">
        <v>2</v>
      </c>
      <c r="J5125" s="710">
        <f>(VLOOKUP($C5125,[2]Sheet1!$A$2:$P$18,$M5125+1)/12)*12*D5125</f>
        <v>438672.35786072997</v>
      </c>
      <c r="K5125" s="711"/>
      <c r="M5125" s="62">
        <f t="shared" si="395"/>
        <v>5</v>
      </c>
    </row>
    <row r="5126" spans="1:13" ht="13.5" thickBot="1">
      <c r="A5126" s="88">
        <f>+A5125+1</f>
        <v>35</v>
      </c>
      <c r="B5126" s="69" t="s">
        <v>3541</v>
      </c>
      <c r="C5126" s="167">
        <v>10</v>
      </c>
      <c r="D5126" s="155">
        <v>1</v>
      </c>
      <c r="E5126" s="155">
        <v>1</v>
      </c>
      <c r="F5126" s="155">
        <v>1</v>
      </c>
      <c r="G5126" s="155">
        <v>1</v>
      </c>
      <c r="H5126" s="155">
        <v>1</v>
      </c>
      <c r="I5126" s="155">
        <v>1</v>
      </c>
      <c r="J5126" s="710">
        <f>(VLOOKUP($C5126,[2]Sheet1!$A$2:$P$18,$M5126+1)/12)*12*D5126</f>
        <v>483974.5687200001</v>
      </c>
      <c r="K5126" s="711"/>
      <c r="M5126" s="62">
        <f t="shared" si="395"/>
        <v>3</v>
      </c>
    </row>
    <row r="5127" spans="1:13" ht="15.75" customHeight="1" thickTop="1">
      <c r="A5127" s="1045" t="s">
        <v>2791</v>
      </c>
      <c r="B5127" s="1043" t="s">
        <v>4126</v>
      </c>
      <c r="C5127" s="1043" t="s">
        <v>854</v>
      </c>
      <c r="D5127" s="1053" t="s">
        <v>4127</v>
      </c>
      <c r="E5127" s="1054"/>
      <c r="F5127" s="1065"/>
      <c r="G5127" s="1053" t="s">
        <v>904</v>
      </c>
      <c r="H5127" s="1054"/>
      <c r="I5127" s="1055"/>
      <c r="J5127" s="1035" t="s">
        <v>855</v>
      </c>
      <c r="K5127" s="389"/>
      <c r="M5127" s="62">
        <f>IF(C5127&gt;6,3,5)</f>
        <v>3</v>
      </c>
    </row>
    <row r="5128" spans="1:13" ht="26.25" thickBot="1">
      <c r="A5128" s="1046"/>
      <c r="B5128" s="1044"/>
      <c r="C5128" s="1044"/>
      <c r="D5128" s="285" t="s">
        <v>5505</v>
      </c>
      <c r="E5128" s="285" t="s">
        <v>4485</v>
      </c>
      <c r="F5128" s="285" t="s">
        <v>4486</v>
      </c>
      <c r="G5128" s="287" t="s">
        <v>4487</v>
      </c>
      <c r="H5128" s="285" t="s">
        <v>4488</v>
      </c>
      <c r="I5128" s="287" t="s">
        <v>4489</v>
      </c>
      <c r="J5128" s="1036"/>
      <c r="K5128" s="712"/>
      <c r="M5128" s="62">
        <f>IF(C5128&gt;6,3,5)</f>
        <v>5</v>
      </c>
    </row>
    <row r="5129" spans="1:13" ht="13.5" thickTop="1">
      <c r="A5129" s="88">
        <f>+A5126+1</f>
        <v>36</v>
      </c>
      <c r="B5129" s="69" t="s">
        <v>2667</v>
      </c>
      <c r="C5129" s="167">
        <v>5</v>
      </c>
      <c r="D5129" s="155">
        <v>1</v>
      </c>
      <c r="E5129" s="155">
        <v>1</v>
      </c>
      <c r="F5129" s="155">
        <v>1</v>
      </c>
      <c r="G5129" s="155">
        <v>1</v>
      </c>
      <c r="H5129" s="155">
        <v>1</v>
      </c>
      <c r="I5129" s="155">
        <v>1</v>
      </c>
      <c r="J5129" s="710">
        <f>(VLOOKUP($C5129,[2]Sheet1!$A$2:$P$18,$M5129+1)/12)*12*D5129</f>
        <v>229569.77893036499</v>
      </c>
      <c r="K5129" s="711"/>
      <c r="M5129" s="62">
        <f t="shared" si="395"/>
        <v>5</v>
      </c>
    </row>
    <row r="5130" spans="1:13">
      <c r="A5130" s="88"/>
      <c r="B5130" s="90" t="s">
        <v>968</v>
      </c>
      <c r="C5130" s="167"/>
      <c r="D5130" s="155"/>
      <c r="E5130" s="155"/>
      <c r="F5130" s="155"/>
      <c r="G5130" s="155"/>
      <c r="H5130" s="155"/>
      <c r="I5130" s="155"/>
      <c r="J5130" s="713"/>
      <c r="K5130" s="711"/>
      <c r="M5130" s="62">
        <f t="shared" si="395"/>
        <v>5</v>
      </c>
    </row>
    <row r="5131" spans="1:13">
      <c r="A5131" s="88">
        <f>+A5129+1</f>
        <v>37</v>
      </c>
      <c r="B5131" s="69" t="s">
        <v>3532</v>
      </c>
      <c r="C5131" s="167">
        <v>16</v>
      </c>
      <c r="D5131" s="155">
        <v>1</v>
      </c>
      <c r="E5131" s="155">
        <v>1</v>
      </c>
      <c r="F5131" s="155">
        <v>1</v>
      </c>
      <c r="G5131" s="155">
        <v>1</v>
      </c>
      <c r="H5131" s="155">
        <v>1</v>
      </c>
      <c r="I5131" s="155">
        <v>1</v>
      </c>
      <c r="J5131" s="710">
        <f>(VLOOKUP($C5131,[2]Sheet1!$A$2:$P$18,$M5131+1)/12)*12*D5131</f>
        <v>677281.26084</v>
      </c>
      <c r="K5131" s="711"/>
      <c r="M5131" s="62">
        <f t="shared" si="395"/>
        <v>3</v>
      </c>
    </row>
    <row r="5132" spans="1:13">
      <c r="A5132" s="88">
        <f t="shared" ref="A5132:A5143" si="396">+A5131+1</f>
        <v>38</v>
      </c>
      <c r="B5132" s="69" t="s">
        <v>1256</v>
      </c>
      <c r="C5132" s="167">
        <v>15</v>
      </c>
      <c r="D5132" s="155">
        <v>1</v>
      </c>
      <c r="E5132" s="155">
        <v>1</v>
      </c>
      <c r="F5132" s="155">
        <v>1</v>
      </c>
      <c r="G5132" s="155">
        <v>1</v>
      </c>
      <c r="H5132" s="155">
        <v>1</v>
      </c>
      <c r="I5132" s="155">
        <v>1</v>
      </c>
      <c r="J5132" s="710">
        <f>(VLOOKUP($C5132,[2]Sheet1!$A$2:$P$18,$M5132+1)/12)*12*D5132</f>
        <v>658331.89992</v>
      </c>
      <c r="K5132" s="711"/>
      <c r="M5132" s="62">
        <f t="shared" si="395"/>
        <v>3</v>
      </c>
    </row>
    <row r="5133" spans="1:13">
      <c r="A5133" s="88">
        <f t="shared" si="396"/>
        <v>39</v>
      </c>
      <c r="B5133" s="69" t="s">
        <v>2300</v>
      </c>
      <c r="C5133" s="167">
        <v>14</v>
      </c>
      <c r="D5133" s="155">
        <v>0</v>
      </c>
      <c r="E5133" s="155">
        <v>0</v>
      </c>
      <c r="F5133" s="155">
        <v>0</v>
      </c>
      <c r="G5133" s="155">
        <v>0</v>
      </c>
      <c r="H5133" s="155">
        <v>0</v>
      </c>
      <c r="I5133" s="155">
        <v>0</v>
      </c>
      <c r="J5133" s="710">
        <f>(VLOOKUP($C5133,[2]Sheet1!$A$2:$P$18,$M5133+1)/12)*12*D5133</f>
        <v>0</v>
      </c>
      <c r="K5133" s="711"/>
      <c r="M5133" s="62">
        <f t="shared" si="395"/>
        <v>3</v>
      </c>
    </row>
    <row r="5134" spans="1:13">
      <c r="A5134" s="88">
        <f t="shared" si="396"/>
        <v>40</v>
      </c>
      <c r="B5134" s="69" t="s">
        <v>2830</v>
      </c>
      <c r="C5134" s="167">
        <v>13</v>
      </c>
      <c r="D5134" s="155">
        <v>0</v>
      </c>
      <c r="E5134" s="155">
        <v>0</v>
      </c>
      <c r="F5134" s="155">
        <v>0</v>
      </c>
      <c r="G5134" s="155">
        <v>0</v>
      </c>
      <c r="H5134" s="155">
        <v>0</v>
      </c>
      <c r="I5134" s="155">
        <v>0</v>
      </c>
      <c r="J5134" s="710">
        <f>(VLOOKUP($C5134,[2]Sheet1!$A$2:$P$18,$M5134+1)/12)*12*D5134</f>
        <v>0</v>
      </c>
      <c r="K5134" s="711"/>
      <c r="M5134" s="62">
        <f t="shared" si="395"/>
        <v>3</v>
      </c>
    </row>
    <row r="5135" spans="1:13">
      <c r="A5135" s="88">
        <f t="shared" si="396"/>
        <v>41</v>
      </c>
      <c r="B5135" s="69" t="s">
        <v>2981</v>
      </c>
      <c r="C5135" s="167">
        <v>12</v>
      </c>
      <c r="D5135" s="155">
        <v>0</v>
      </c>
      <c r="E5135" s="155">
        <v>0</v>
      </c>
      <c r="F5135" s="155">
        <v>0</v>
      </c>
      <c r="G5135" s="155">
        <v>0</v>
      </c>
      <c r="H5135" s="155">
        <v>0</v>
      </c>
      <c r="I5135" s="155">
        <v>0</v>
      </c>
      <c r="J5135" s="710">
        <f>(VLOOKUP($C5135,[2]Sheet1!$A$2:$P$18,$M5135+1)/12)*12*D5135</f>
        <v>0</v>
      </c>
      <c r="K5135" s="711"/>
      <c r="M5135" s="62">
        <f t="shared" si="395"/>
        <v>3</v>
      </c>
    </row>
    <row r="5136" spans="1:13">
      <c r="A5136" s="88">
        <f t="shared" si="396"/>
        <v>42</v>
      </c>
      <c r="B5136" s="69" t="s">
        <v>1490</v>
      </c>
      <c r="C5136" s="167">
        <v>10</v>
      </c>
      <c r="D5136" s="155">
        <v>0</v>
      </c>
      <c r="E5136" s="155">
        <v>0</v>
      </c>
      <c r="F5136" s="155">
        <v>0</v>
      </c>
      <c r="G5136" s="155">
        <v>0</v>
      </c>
      <c r="H5136" s="155">
        <v>0</v>
      </c>
      <c r="I5136" s="155">
        <v>0</v>
      </c>
      <c r="J5136" s="710">
        <f>(VLOOKUP($C5136,[2]Sheet1!$A$2:$P$18,$M5136+1)/12)*12*D5136</f>
        <v>0</v>
      </c>
      <c r="K5136" s="711"/>
      <c r="M5136" s="62">
        <f t="shared" si="395"/>
        <v>3</v>
      </c>
    </row>
    <row r="5137" spans="1:13">
      <c r="A5137" s="88">
        <f t="shared" si="396"/>
        <v>43</v>
      </c>
      <c r="B5137" s="69" t="s">
        <v>3425</v>
      </c>
      <c r="C5137" s="167">
        <v>9</v>
      </c>
      <c r="D5137" s="155">
        <v>0</v>
      </c>
      <c r="E5137" s="155">
        <v>0</v>
      </c>
      <c r="F5137" s="155">
        <v>0</v>
      </c>
      <c r="G5137" s="155">
        <v>0</v>
      </c>
      <c r="H5137" s="155">
        <v>0</v>
      </c>
      <c r="I5137" s="155">
        <v>0</v>
      </c>
      <c r="J5137" s="710">
        <f>(VLOOKUP($C5137,[2]Sheet1!$A$2:$P$18,$M5137+1)/12)*12*D5137</f>
        <v>0</v>
      </c>
      <c r="K5137" s="711"/>
      <c r="M5137" s="62">
        <f t="shared" si="395"/>
        <v>3</v>
      </c>
    </row>
    <row r="5138" spans="1:13">
      <c r="A5138" s="88">
        <f t="shared" si="396"/>
        <v>44</v>
      </c>
      <c r="B5138" s="69" t="s">
        <v>2752</v>
      </c>
      <c r="C5138" s="167">
        <v>8</v>
      </c>
      <c r="D5138" s="155">
        <v>0</v>
      </c>
      <c r="E5138" s="155">
        <v>2</v>
      </c>
      <c r="F5138" s="155">
        <v>0</v>
      </c>
      <c r="G5138" s="155">
        <v>0</v>
      </c>
      <c r="H5138" s="155">
        <v>2</v>
      </c>
      <c r="I5138" s="155">
        <v>0</v>
      </c>
      <c r="J5138" s="710">
        <f>(VLOOKUP($C5138,[2]Sheet1!$A$2:$P$18,$M5138+1)/12)*12*D5138</f>
        <v>0</v>
      </c>
      <c r="K5138" s="711"/>
      <c r="M5138" s="62">
        <f t="shared" si="395"/>
        <v>3</v>
      </c>
    </row>
    <row r="5139" spans="1:13">
      <c r="A5139" s="88">
        <f t="shared" si="396"/>
        <v>45</v>
      </c>
      <c r="B5139" s="69" t="s">
        <v>2753</v>
      </c>
      <c r="C5139" s="167">
        <v>7</v>
      </c>
      <c r="D5139" s="155">
        <v>0</v>
      </c>
      <c r="E5139" s="155">
        <v>0</v>
      </c>
      <c r="F5139" s="155">
        <v>0</v>
      </c>
      <c r="G5139" s="155">
        <v>0</v>
      </c>
      <c r="H5139" s="155">
        <v>0</v>
      </c>
      <c r="I5139" s="155">
        <v>0</v>
      </c>
      <c r="J5139" s="710">
        <f>(VLOOKUP($C5139,[2]Sheet1!$A$2:$P$18,$M5139+1)/12)*12*D5139</f>
        <v>0</v>
      </c>
      <c r="K5139" s="711"/>
      <c r="M5139" s="62">
        <f t="shared" si="395"/>
        <v>3</v>
      </c>
    </row>
    <row r="5140" spans="1:13">
      <c r="A5140" s="88">
        <f t="shared" si="396"/>
        <v>46</v>
      </c>
      <c r="B5140" s="69" t="s">
        <v>2754</v>
      </c>
      <c r="C5140" s="167">
        <v>6</v>
      </c>
      <c r="D5140" s="155">
        <v>0</v>
      </c>
      <c r="E5140" s="155">
        <v>2</v>
      </c>
      <c r="F5140" s="155">
        <v>0</v>
      </c>
      <c r="G5140" s="155">
        <v>0</v>
      </c>
      <c r="H5140" s="155">
        <v>2</v>
      </c>
      <c r="I5140" s="155">
        <v>0</v>
      </c>
      <c r="J5140" s="710">
        <f>(VLOOKUP($C5140,[2]Sheet1!$A$2:$P$18,$M5140+1)/12)*12*D5140</f>
        <v>0</v>
      </c>
      <c r="K5140" s="711"/>
      <c r="M5140" s="62">
        <f t="shared" si="395"/>
        <v>5</v>
      </c>
    </row>
    <row r="5141" spans="1:13">
      <c r="A5141" s="88">
        <f t="shared" si="396"/>
        <v>47</v>
      </c>
      <c r="B5141" s="69" t="s">
        <v>2755</v>
      </c>
      <c r="C5141" s="167">
        <v>5</v>
      </c>
      <c r="D5141" s="155">
        <v>0</v>
      </c>
      <c r="E5141" s="155">
        <v>0</v>
      </c>
      <c r="F5141" s="155">
        <v>0</v>
      </c>
      <c r="G5141" s="155">
        <v>0</v>
      </c>
      <c r="H5141" s="155">
        <v>0</v>
      </c>
      <c r="I5141" s="155">
        <v>0</v>
      </c>
      <c r="J5141" s="710">
        <f>(VLOOKUP($C5141,[2]Sheet1!$A$2:$P$18,$M5141+1)/12)*12*D5141</f>
        <v>0</v>
      </c>
      <c r="K5141" s="711"/>
      <c r="M5141" s="62">
        <f t="shared" si="395"/>
        <v>5</v>
      </c>
    </row>
    <row r="5142" spans="1:13">
      <c r="A5142" s="88">
        <f t="shared" si="396"/>
        <v>48</v>
      </c>
      <c r="B5142" s="69" t="s">
        <v>3745</v>
      </c>
      <c r="C5142" s="167">
        <v>4</v>
      </c>
      <c r="D5142" s="155">
        <v>0</v>
      </c>
      <c r="E5142" s="155">
        <v>2</v>
      </c>
      <c r="F5142" s="155">
        <v>0</v>
      </c>
      <c r="G5142" s="155">
        <v>0</v>
      </c>
      <c r="H5142" s="155">
        <v>2</v>
      </c>
      <c r="I5142" s="155">
        <v>0</v>
      </c>
      <c r="J5142" s="710">
        <f>(VLOOKUP($C5142,[2]Sheet1!$A$2:$P$18,$M5142+1)/12)*12*D5142</f>
        <v>0</v>
      </c>
      <c r="K5142" s="711"/>
      <c r="M5142" s="62">
        <f t="shared" si="395"/>
        <v>5</v>
      </c>
    </row>
    <row r="5143" spans="1:13">
      <c r="A5143" s="88">
        <f t="shared" si="396"/>
        <v>49</v>
      </c>
      <c r="B5143" s="69" t="s">
        <v>2403</v>
      </c>
      <c r="C5143" s="167">
        <v>3</v>
      </c>
      <c r="D5143" s="155">
        <v>0</v>
      </c>
      <c r="E5143" s="155">
        <v>0</v>
      </c>
      <c r="F5143" s="155">
        <v>0</v>
      </c>
      <c r="G5143" s="155">
        <v>0</v>
      </c>
      <c r="H5143" s="155">
        <v>0</v>
      </c>
      <c r="I5143" s="155">
        <v>0</v>
      </c>
      <c r="J5143" s="710">
        <f>(VLOOKUP($C5143,[2]Sheet1!$A$2:$P$18,$M5143+1)/12)*12*D5143</f>
        <v>0</v>
      </c>
      <c r="K5143" s="711"/>
      <c r="M5143" s="62">
        <f t="shared" si="395"/>
        <v>5</v>
      </c>
    </row>
    <row r="5144" spans="1:13">
      <c r="A5144" s="88"/>
      <c r="B5144" s="90" t="s">
        <v>2756</v>
      </c>
      <c r="C5144" s="167"/>
      <c r="D5144" s="155"/>
      <c r="E5144" s="155"/>
      <c r="F5144" s="155"/>
      <c r="G5144" s="155"/>
      <c r="H5144" s="155"/>
      <c r="I5144" s="155"/>
      <c r="J5144" s="710"/>
      <c r="K5144" s="711"/>
      <c r="M5144" s="62">
        <f t="shared" si="395"/>
        <v>5</v>
      </c>
    </row>
    <row r="5145" spans="1:13">
      <c r="A5145" s="88">
        <f>+A5143+1</f>
        <v>50</v>
      </c>
      <c r="B5145" s="69" t="s">
        <v>3532</v>
      </c>
      <c r="C5145" s="167">
        <v>16</v>
      </c>
      <c r="D5145" s="155">
        <v>1</v>
      </c>
      <c r="E5145" s="155">
        <v>1</v>
      </c>
      <c r="F5145" s="155">
        <v>1</v>
      </c>
      <c r="G5145" s="155">
        <v>1</v>
      </c>
      <c r="H5145" s="155">
        <v>1</v>
      </c>
      <c r="I5145" s="155">
        <v>1</v>
      </c>
      <c r="J5145" s="710">
        <f>(VLOOKUP($C5145,[2]Sheet1!$A$2:$P$18,$M5145+1)/12)*12*D5145</f>
        <v>677281.26084</v>
      </c>
      <c r="K5145" s="711"/>
      <c r="M5145" s="62">
        <f t="shared" si="395"/>
        <v>3</v>
      </c>
    </row>
    <row r="5146" spans="1:13">
      <c r="A5146" s="88">
        <f t="shared" ref="A5146:A5158" si="397">+A5145+1</f>
        <v>51</v>
      </c>
      <c r="B5146" s="69" t="s">
        <v>1256</v>
      </c>
      <c r="C5146" s="167">
        <v>15</v>
      </c>
      <c r="D5146" s="155">
        <v>1</v>
      </c>
      <c r="E5146" s="155">
        <v>1</v>
      </c>
      <c r="F5146" s="155">
        <v>1</v>
      </c>
      <c r="G5146" s="155">
        <v>1</v>
      </c>
      <c r="H5146" s="155">
        <v>1</v>
      </c>
      <c r="I5146" s="155">
        <v>1</v>
      </c>
      <c r="J5146" s="710">
        <f>(VLOOKUP($C5146,[2]Sheet1!$A$2:$P$18,$M5146+1)/12)*12*D5146</f>
        <v>658331.89992</v>
      </c>
      <c r="K5146" s="711"/>
      <c r="M5146" s="62">
        <f t="shared" si="395"/>
        <v>3</v>
      </c>
    </row>
    <row r="5147" spans="1:13">
      <c r="A5147" s="88">
        <f t="shared" si="397"/>
        <v>52</v>
      </c>
      <c r="B5147" s="69" t="s">
        <v>3533</v>
      </c>
      <c r="C5147" s="167">
        <v>14</v>
      </c>
      <c r="D5147" s="155">
        <v>1</v>
      </c>
      <c r="E5147" s="155">
        <v>1</v>
      </c>
      <c r="F5147" s="155">
        <v>1</v>
      </c>
      <c r="G5147" s="155">
        <v>1</v>
      </c>
      <c r="H5147" s="155">
        <v>1</v>
      </c>
      <c r="I5147" s="155">
        <v>1</v>
      </c>
      <c r="J5147" s="710">
        <f>(VLOOKUP($C5147,[2]Sheet1!$A$2:$P$18,$M5147+1)/12)*12*D5147</f>
        <v>669099.40824000002</v>
      </c>
      <c r="K5147" s="711"/>
      <c r="M5147" s="62">
        <f t="shared" si="395"/>
        <v>3</v>
      </c>
    </row>
    <row r="5148" spans="1:13">
      <c r="A5148" s="88">
        <f t="shared" si="397"/>
        <v>53</v>
      </c>
      <c r="B5148" s="69" t="s">
        <v>2830</v>
      </c>
      <c r="C5148" s="167">
        <v>13</v>
      </c>
      <c r="D5148" s="155">
        <v>0</v>
      </c>
      <c r="E5148" s="155">
        <v>0</v>
      </c>
      <c r="F5148" s="155">
        <v>0</v>
      </c>
      <c r="G5148" s="155">
        <v>0</v>
      </c>
      <c r="H5148" s="155">
        <v>0</v>
      </c>
      <c r="I5148" s="155">
        <v>0</v>
      </c>
      <c r="J5148" s="710">
        <f>(VLOOKUP($C5148,[2]Sheet1!$A$2:$P$18,$M5148+1)/12)*12*D5148</f>
        <v>0</v>
      </c>
      <c r="K5148" s="711"/>
      <c r="M5148" s="62">
        <f t="shared" si="395"/>
        <v>3</v>
      </c>
    </row>
    <row r="5149" spans="1:13">
      <c r="A5149" s="88">
        <f t="shared" si="397"/>
        <v>54</v>
      </c>
      <c r="B5149" s="69" t="s">
        <v>1687</v>
      </c>
      <c r="C5149" s="167">
        <v>10</v>
      </c>
      <c r="D5149" s="155">
        <v>5</v>
      </c>
      <c r="E5149" s="155">
        <v>5</v>
      </c>
      <c r="F5149" s="155">
        <v>5</v>
      </c>
      <c r="G5149" s="155">
        <v>5</v>
      </c>
      <c r="H5149" s="155">
        <v>5</v>
      </c>
      <c r="I5149" s="155">
        <v>5</v>
      </c>
      <c r="J5149" s="710">
        <f>(VLOOKUP($C5149,[2]Sheet1!$A$2:$P$18,$M5149+1)/12)*12*D5149</f>
        <v>2419872.8436000003</v>
      </c>
      <c r="K5149" s="711"/>
      <c r="M5149" s="62">
        <f t="shared" si="395"/>
        <v>3</v>
      </c>
    </row>
    <row r="5150" spans="1:13">
      <c r="A5150" s="88">
        <f t="shared" si="397"/>
        <v>55</v>
      </c>
      <c r="B5150" s="69" t="s">
        <v>1490</v>
      </c>
      <c r="C5150" s="167">
        <v>9</v>
      </c>
      <c r="D5150" s="155">
        <v>0</v>
      </c>
      <c r="E5150" s="155">
        <v>0</v>
      </c>
      <c r="F5150" s="155">
        <v>0</v>
      </c>
      <c r="G5150" s="155">
        <v>0</v>
      </c>
      <c r="H5150" s="155">
        <v>0</v>
      </c>
      <c r="I5150" s="155">
        <v>0</v>
      </c>
      <c r="J5150" s="710">
        <f>(VLOOKUP($C5150,[2]Sheet1!$A$2:$P$18,$M5150+1)/12)*12*D5150</f>
        <v>0</v>
      </c>
      <c r="K5150" s="711"/>
      <c r="M5150" s="62">
        <f t="shared" si="395"/>
        <v>3</v>
      </c>
    </row>
    <row r="5151" spans="1:13">
      <c r="A5151" s="88">
        <f t="shared" si="397"/>
        <v>56</v>
      </c>
      <c r="B5151" s="69" t="s">
        <v>1689</v>
      </c>
      <c r="C5151" s="167">
        <v>9</v>
      </c>
      <c r="D5151" s="155">
        <v>3</v>
      </c>
      <c r="E5151" s="155">
        <v>3</v>
      </c>
      <c r="F5151" s="155">
        <v>3</v>
      </c>
      <c r="G5151" s="155">
        <v>3</v>
      </c>
      <c r="H5151" s="155">
        <v>3</v>
      </c>
      <c r="I5151" s="155">
        <v>3</v>
      </c>
      <c r="J5151" s="710">
        <f>(VLOOKUP($C5151,[2]Sheet1!$A$2:$P$18,$M5151+1)/12)*12*D5151</f>
        <v>1229045.7185999998</v>
      </c>
      <c r="K5151" s="711"/>
      <c r="M5151" s="62">
        <f t="shared" si="395"/>
        <v>3</v>
      </c>
    </row>
    <row r="5152" spans="1:13">
      <c r="A5152" s="88">
        <f t="shared" si="397"/>
        <v>57</v>
      </c>
      <c r="B5152" s="69" t="s">
        <v>132</v>
      </c>
      <c r="C5152" s="167">
        <v>13</v>
      </c>
      <c r="D5152" s="155">
        <v>1</v>
      </c>
      <c r="E5152" s="155">
        <v>1</v>
      </c>
      <c r="F5152" s="155">
        <v>1</v>
      </c>
      <c r="G5152" s="155">
        <v>1</v>
      </c>
      <c r="H5152" s="155">
        <v>1</v>
      </c>
      <c r="I5152" s="155">
        <v>1</v>
      </c>
      <c r="J5152" s="710">
        <f>(VLOOKUP($C5152,[2]Sheet1!$A$2:$P$18,$M5152+1)/12)*12*D5152</f>
        <v>628759.53804000001</v>
      </c>
      <c r="K5152" s="711"/>
      <c r="M5152" s="62">
        <f t="shared" si="395"/>
        <v>3</v>
      </c>
    </row>
    <row r="5153" spans="1:13">
      <c r="A5153" s="88">
        <f>+A5152+1</f>
        <v>58</v>
      </c>
      <c r="B5153" s="69" t="s">
        <v>873</v>
      </c>
      <c r="C5153" s="167">
        <v>10</v>
      </c>
      <c r="D5153" s="155">
        <v>2</v>
      </c>
      <c r="E5153" s="155">
        <v>2</v>
      </c>
      <c r="F5153" s="155">
        <v>2</v>
      </c>
      <c r="G5153" s="155">
        <v>2</v>
      </c>
      <c r="H5153" s="155">
        <v>2</v>
      </c>
      <c r="I5153" s="155">
        <v>2</v>
      </c>
      <c r="J5153" s="710">
        <f>(VLOOKUP($C5153,[2]Sheet1!$A$2:$P$18,$M5153+1)/12)*12*D5153</f>
        <v>967949.1374400002</v>
      </c>
      <c r="K5153" s="711"/>
      <c r="M5153" s="62">
        <f t="shared" si="395"/>
        <v>3</v>
      </c>
    </row>
    <row r="5154" spans="1:13">
      <c r="A5154" s="88">
        <f>+A5152+1</f>
        <v>58</v>
      </c>
      <c r="B5154" s="69" t="s">
        <v>874</v>
      </c>
      <c r="C5154" s="167">
        <v>8</v>
      </c>
      <c r="D5154" s="155">
        <v>7</v>
      </c>
      <c r="E5154" s="155">
        <v>9</v>
      </c>
      <c r="F5154" s="155">
        <v>7</v>
      </c>
      <c r="G5154" s="155">
        <v>7</v>
      </c>
      <c r="H5154" s="155">
        <v>7</v>
      </c>
      <c r="I5154" s="155">
        <v>7</v>
      </c>
      <c r="J5154" s="710">
        <f>(VLOOKUP($C5154,[2]Sheet1!$A$2:$P$18,$M5154+1)/12)*12*D5154</f>
        <v>2394988.9185600001</v>
      </c>
      <c r="K5154" s="711"/>
      <c r="M5154" s="62">
        <f t="shared" si="395"/>
        <v>3</v>
      </c>
    </row>
    <row r="5155" spans="1:13">
      <c r="A5155" s="88">
        <f t="shared" si="397"/>
        <v>59</v>
      </c>
      <c r="B5155" s="69" t="s">
        <v>875</v>
      </c>
      <c r="C5155" s="167">
        <v>7</v>
      </c>
      <c r="D5155" s="155">
        <v>21</v>
      </c>
      <c r="E5155" s="155">
        <v>21</v>
      </c>
      <c r="F5155" s="155">
        <v>21</v>
      </c>
      <c r="G5155" s="155">
        <v>21</v>
      </c>
      <c r="H5155" s="155">
        <v>21</v>
      </c>
      <c r="I5155" s="155">
        <v>21</v>
      </c>
      <c r="J5155" s="710">
        <f>(VLOOKUP($C5155,[2]Sheet1!$A$2:$P$18,$M5155+1)/12)*12*D5155</f>
        <v>6461840.7504000012</v>
      </c>
      <c r="K5155" s="711"/>
      <c r="M5155" s="62">
        <f t="shared" si="395"/>
        <v>3</v>
      </c>
    </row>
    <row r="5156" spans="1:13">
      <c r="A5156" s="88">
        <f t="shared" si="397"/>
        <v>60</v>
      </c>
      <c r="B5156" s="69" t="s">
        <v>1049</v>
      </c>
      <c r="C5156" s="167">
        <v>6</v>
      </c>
      <c r="D5156" s="155">
        <v>1</v>
      </c>
      <c r="E5156" s="155">
        <v>1</v>
      </c>
      <c r="F5156" s="155">
        <v>1</v>
      </c>
      <c r="G5156" s="155">
        <v>1</v>
      </c>
      <c r="H5156" s="155">
        <v>1</v>
      </c>
      <c r="I5156" s="155">
        <v>1</v>
      </c>
      <c r="J5156" s="710">
        <f>(VLOOKUP($C5156,[2]Sheet1!$A$2:$P$18,$M5156+1)/12)*12*D5156</f>
        <v>238099.37893036497</v>
      </c>
      <c r="K5156" s="711"/>
      <c r="M5156" s="62">
        <f t="shared" si="395"/>
        <v>5</v>
      </c>
    </row>
    <row r="5157" spans="1:13">
      <c r="A5157" s="88">
        <f t="shared" si="397"/>
        <v>61</v>
      </c>
      <c r="B5157" s="69" t="s">
        <v>902</v>
      </c>
      <c r="C5157" s="167">
        <v>4</v>
      </c>
      <c r="D5157" s="155">
        <v>0</v>
      </c>
      <c r="E5157" s="155">
        <v>0</v>
      </c>
      <c r="F5157" s="155">
        <v>0</v>
      </c>
      <c r="G5157" s="155">
        <v>0</v>
      </c>
      <c r="H5157" s="155">
        <v>0</v>
      </c>
      <c r="I5157" s="155">
        <v>0</v>
      </c>
      <c r="J5157" s="710">
        <f>(VLOOKUP($C5157,[2]Sheet1!$A$2:$P$18,$M5157+1)/12)*12*D5157</f>
        <v>0</v>
      </c>
      <c r="K5157" s="711"/>
      <c r="M5157" s="62">
        <f t="shared" si="395"/>
        <v>5</v>
      </c>
    </row>
    <row r="5158" spans="1:13">
      <c r="A5158" s="88">
        <f t="shared" si="397"/>
        <v>62</v>
      </c>
      <c r="B5158" s="69" t="s">
        <v>2403</v>
      </c>
      <c r="C5158" s="167">
        <v>3</v>
      </c>
      <c r="D5158" s="155">
        <v>0</v>
      </c>
      <c r="E5158" s="155">
        <v>0</v>
      </c>
      <c r="F5158" s="155">
        <v>0</v>
      </c>
      <c r="G5158" s="155">
        <v>0</v>
      </c>
      <c r="H5158" s="155">
        <v>0</v>
      </c>
      <c r="I5158" s="155">
        <v>0</v>
      </c>
      <c r="J5158" s="710">
        <f>(VLOOKUP($C5158,[2]Sheet1!$A$2:$P$18,$M5158+1)/12)*12*D5158</f>
        <v>0</v>
      </c>
      <c r="K5158" s="711"/>
      <c r="M5158" s="62">
        <f t="shared" si="395"/>
        <v>5</v>
      </c>
    </row>
    <row r="5159" spans="1:13">
      <c r="A5159" s="88"/>
      <c r="B5159" s="90" t="s">
        <v>3709</v>
      </c>
      <c r="C5159" s="167"/>
      <c r="D5159" s="155"/>
      <c r="E5159" s="155"/>
      <c r="F5159" s="155"/>
      <c r="G5159" s="155"/>
      <c r="H5159" s="155"/>
      <c r="I5159" s="155"/>
      <c r="J5159" s="710"/>
      <c r="K5159" s="711"/>
      <c r="M5159" s="62">
        <f t="shared" si="395"/>
        <v>5</v>
      </c>
    </row>
    <row r="5160" spans="1:13">
      <c r="A5160" s="88">
        <f>+A5158+1</f>
        <v>63</v>
      </c>
      <c r="B5160" s="69" t="s">
        <v>3532</v>
      </c>
      <c r="C5160" s="167">
        <v>16</v>
      </c>
      <c r="D5160" s="155">
        <v>1</v>
      </c>
      <c r="E5160" s="155">
        <v>1</v>
      </c>
      <c r="F5160" s="155">
        <v>1</v>
      </c>
      <c r="G5160" s="155">
        <v>1</v>
      </c>
      <c r="H5160" s="155">
        <v>1</v>
      </c>
      <c r="I5160" s="155">
        <v>1</v>
      </c>
      <c r="J5160" s="710">
        <f>(VLOOKUP($C5160,[2]Sheet1!$A$2:$P$18,$M5160+1)/12)*12*D5160</f>
        <v>677281.26084</v>
      </c>
      <c r="K5160" s="711"/>
      <c r="M5160" s="62">
        <f t="shared" si="395"/>
        <v>3</v>
      </c>
    </row>
    <row r="5161" spans="1:13">
      <c r="A5161" s="88">
        <f t="shared" ref="A5161:A5166" si="398">+A5160+1</f>
        <v>64</v>
      </c>
      <c r="B5161" s="69" t="s">
        <v>1256</v>
      </c>
      <c r="C5161" s="167">
        <v>15</v>
      </c>
      <c r="D5161" s="155">
        <v>0</v>
      </c>
      <c r="E5161" s="155">
        <v>0</v>
      </c>
      <c r="F5161" s="155">
        <v>0</v>
      </c>
      <c r="G5161" s="155">
        <v>0</v>
      </c>
      <c r="H5161" s="155">
        <v>0</v>
      </c>
      <c r="I5161" s="155">
        <v>0</v>
      </c>
      <c r="J5161" s="710">
        <f>(VLOOKUP($C5161,[2]Sheet1!$A$2:$P$18,$M5161+1)/12)*12*D5161</f>
        <v>0</v>
      </c>
      <c r="K5161" s="711"/>
      <c r="M5161" s="62">
        <f t="shared" si="395"/>
        <v>3</v>
      </c>
    </row>
    <row r="5162" spans="1:13">
      <c r="A5162" s="88">
        <f t="shared" si="398"/>
        <v>65</v>
      </c>
      <c r="B5162" s="69" t="s">
        <v>3533</v>
      </c>
      <c r="C5162" s="167">
        <v>14</v>
      </c>
      <c r="D5162" s="155">
        <v>0</v>
      </c>
      <c r="E5162" s="155">
        <v>0</v>
      </c>
      <c r="F5162" s="155">
        <v>0</v>
      </c>
      <c r="G5162" s="155">
        <v>0</v>
      </c>
      <c r="H5162" s="155">
        <v>0</v>
      </c>
      <c r="I5162" s="155">
        <v>0</v>
      </c>
      <c r="J5162" s="710">
        <f>(VLOOKUP($C5162,[2]Sheet1!$A$2:$P$18,$M5162+1)/12)*12*D5162</f>
        <v>0</v>
      </c>
      <c r="K5162" s="711"/>
      <c r="M5162" s="62">
        <f t="shared" si="395"/>
        <v>3</v>
      </c>
    </row>
    <row r="5163" spans="1:13">
      <c r="A5163" s="88">
        <f t="shared" si="398"/>
        <v>66</v>
      </c>
      <c r="B5163" s="69" t="s">
        <v>2830</v>
      </c>
      <c r="C5163" s="167">
        <v>13</v>
      </c>
      <c r="D5163" s="155">
        <v>0</v>
      </c>
      <c r="E5163" s="155">
        <v>0</v>
      </c>
      <c r="F5163" s="155">
        <v>0</v>
      </c>
      <c r="G5163" s="155">
        <v>0</v>
      </c>
      <c r="H5163" s="155">
        <v>0</v>
      </c>
      <c r="I5163" s="155">
        <v>0</v>
      </c>
      <c r="J5163" s="710">
        <f>(VLOOKUP($C5163,[2]Sheet1!$A$2:$P$18,$M5163+1)/12)*12*D5163</f>
        <v>0</v>
      </c>
      <c r="K5163" s="711"/>
      <c r="M5163" s="62">
        <f t="shared" si="395"/>
        <v>3</v>
      </c>
    </row>
    <row r="5164" spans="1:13">
      <c r="A5164" s="88">
        <f t="shared" si="398"/>
        <v>67</v>
      </c>
      <c r="B5164" s="69" t="s">
        <v>1687</v>
      </c>
      <c r="C5164" s="167">
        <v>12</v>
      </c>
      <c r="D5164" s="155">
        <v>0</v>
      </c>
      <c r="E5164" s="155">
        <v>0</v>
      </c>
      <c r="F5164" s="155">
        <v>0</v>
      </c>
      <c r="G5164" s="155">
        <v>0</v>
      </c>
      <c r="H5164" s="155">
        <v>0</v>
      </c>
      <c r="I5164" s="155">
        <v>0</v>
      </c>
      <c r="J5164" s="710">
        <f>(VLOOKUP($C5164,[2]Sheet1!$A$2:$P$18,$M5164+1)/12)*12*D5164</f>
        <v>0</v>
      </c>
      <c r="K5164" s="711"/>
      <c r="M5164" s="62">
        <f t="shared" si="395"/>
        <v>3</v>
      </c>
    </row>
    <row r="5165" spans="1:13">
      <c r="A5165" s="88">
        <f t="shared" si="398"/>
        <v>68</v>
      </c>
      <c r="B5165" s="69" t="s">
        <v>1490</v>
      </c>
      <c r="C5165" s="167">
        <v>10</v>
      </c>
      <c r="D5165" s="155">
        <v>1</v>
      </c>
      <c r="E5165" s="155">
        <v>1</v>
      </c>
      <c r="F5165" s="155">
        <v>1</v>
      </c>
      <c r="G5165" s="155">
        <v>1</v>
      </c>
      <c r="H5165" s="155">
        <v>1</v>
      </c>
      <c r="I5165" s="155">
        <v>1</v>
      </c>
      <c r="J5165" s="710">
        <f>(VLOOKUP($C5165,[2]Sheet1!$A$2:$P$18,$M5165+1)/12)*12*D5165</f>
        <v>483974.5687200001</v>
      </c>
      <c r="K5165" s="711"/>
      <c r="M5165" s="62">
        <f t="shared" si="395"/>
        <v>3</v>
      </c>
    </row>
    <row r="5166" spans="1:13">
      <c r="A5166" s="88">
        <f t="shared" si="398"/>
        <v>69</v>
      </c>
      <c r="B5166" s="69" t="s">
        <v>1703</v>
      </c>
      <c r="C5166" s="167">
        <v>9</v>
      </c>
      <c r="D5166" s="155">
        <v>1</v>
      </c>
      <c r="E5166" s="155">
        <v>1</v>
      </c>
      <c r="F5166" s="155">
        <v>1</v>
      </c>
      <c r="G5166" s="155">
        <v>1</v>
      </c>
      <c r="H5166" s="155">
        <v>1</v>
      </c>
      <c r="I5166" s="155">
        <v>1</v>
      </c>
      <c r="J5166" s="710">
        <f>(VLOOKUP($C5166,[2]Sheet1!$A$2:$P$18,$M5166+1)/12)*12*D5166</f>
        <v>409681.90619999997</v>
      </c>
      <c r="K5166" s="711"/>
      <c r="M5166" s="62">
        <f t="shared" si="395"/>
        <v>3</v>
      </c>
    </row>
    <row r="5167" spans="1:13" ht="13.5" thickBot="1">
      <c r="A5167" s="88">
        <f>+A5165+1</f>
        <v>69</v>
      </c>
      <c r="B5167" s="69" t="s">
        <v>3819</v>
      </c>
      <c r="C5167" s="167">
        <v>9</v>
      </c>
      <c r="D5167" s="155">
        <v>0</v>
      </c>
      <c r="E5167" s="155">
        <v>0</v>
      </c>
      <c r="F5167" s="155">
        <v>0</v>
      </c>
      <c r="G5167" s="155">
        <v>0</v>
      </c>
      <c r="H5167" s="155">
        <v>5</v>
      </c>
      <c r="I5167" s="155">
        <v>0</v>
      </c>
      <c r="J5167" s="710">
        <f>(VLOOKUP($C5167,[2]Sheet1!$A$2:$P$18,$M5167+1)/12)*12*D5167</f>
        <v>0</v>
      </c>
      <c r="K5167" s="711"/>
      <c r="M5167" s="62">
        <f t="shared" si="395"/>
        <v>3</v>
      </c>
    </row>
    <row r="5168" spans="1:13" ht="15.75" thickTop="1">
      <c r="A5168" s="1047" t="s">
        <v>2791</v>
      </c>
      <c r="B5168" s="1049" t="s">
        <v>4126</v>
      </c>
      <c r="C5168" s="1049" t="s">
        <v>854</v>
      </c>
      <c r="D5168" s="1040" t="s">
        <v>4127</v>
      </c>
      <c r="E5168" s="1041"/>
      <c r="F5168" s="1041"/>
      <c r="G5168" s="1040" t="s">
        <v>904</v>
      </c>
      <c r="H5168" s="1041"/>
      <c r="I5168" s="1042"/>
      <c r="J5168" s="1035" t="s">
        <v>855</v>
      </c>
      <c r="K5168" s="389"/>
    </row>
    <row r="5169" spans="1:13" ht="26.25" thickBot="1">
      <c r="A5169" s="1048"/>
      <c r="B5169" s="1050"/>
      <c r="C5169" s="1050"/>
      <c r="D5169" s="285" t="s">
        <v>5505</v>
      </c>
      <c r="E5169" s="285" t="s">
        <v>4485</v>
      </c>
      <c r="F5169" s="285" t="s">
        <v>4486</v>
      </c>
      <c r="G5169" s="287" t="s">
        <v>4487</v>
      </c>
      <c r="H5169" s="285" t="s">
        <v>4488</v>
      </c>
      <c r="I5169" s="287" t="s">
        <v>4489</v>
      </c>
      <c r="J5169" s="1036"/>
      <c r="K5169" s="712"/>
    </row>
    <row r="5170" spans="1:13" ht="13.5" thickTop="1">
      <c r="A5170" s="88"/>
      <c r="B5170" s="90" t="s">
        <v>3710</v>
      </c>
      <c r="C5170" s="167"/>
      <c r="D5170" s="155"/>
      <c r="E5170" s="155"/>
      <c r="F5170" s="155"/>
      <c r="G5170" s="155"/>
      <c r="H5170" s="155">
        <v>5</v>
      </c>
      <c r="I5170" s="155"/>
      <c r="J5170" s="710"/>
      <c r="K5170" s="711"/>
      <c r="M5170" s="62">
        <f t="shared" si="395"/>
        <v>5</v>
      </c>
    </row>
    <row r="5171" spans="1:13">
      <c r="A5171" s="88">
        <f>+A5167+1</f>
        <v>70</v>
      </c>
      <c r="B5171" s="69" t="s">
        <v>3532</v>
      </c>
      <c r="C5171" s="167">
        <v>16</v>
      </c>
      <c r="D5171" s="155">
        <v>0</v>
      </c>
      <c r="E5171" s="155">
        <v>0</v>
      </c>
      <c r="F5171" s="155">
        <v>0</v>
      </c>
      <c r="G5171" s="155">
        <v>0</v>
      </c>
      <c r="H5171" s="155">
        <v>0</v>
      </c>
      <c r="I5171" s="155">
        <v>0</v>
      </c>
      <c r="J5171" s="710">
        <f>(VLOOKUP($C5171,[2]Sheet1!$A$2:$P$18,$M5171+1)/12)*12*D5171</f>
        <v>0</v>
      </c>
      <c r="K5171" s="711"/>
      <c r="M5171" s="62">
        <f t="shared" si="395"/>
        <v>3</v>
      </c>
    </row>
    <row r="5172" spans="1:13">
      <c r="A5172" s="88">
        <f t="shared" ref="A5172:A5178" si="399">+A5171+1</f>
        <v>71</v>
      </c>
      <c r="B5172" s="69" t="s">
        <v>1256</v>
      </c>
      <c r="C5172" s="167">
        <v>12</v>
      </c>
      <c r="D5172" s="155">
        <v>0</v>
      </c>
      <c r="E5172" s="155">
        <v>0</v>
      </c>
      <c r="F5172" s="155">
        <v>0</v>
      </c>
      <c r="G5172" s="155">
        <v>0</v>
      </c>
      <c r="H5172" s="155">
        <v>0</v>
      </c>
      <c r="I5172" s="155">
        <v>0</v>
      </c>
      <c r="J5172" s="710">
        <f>(VLOOKUP($C5172,[2]Sheet1!$A$2:$P$18,$M5172+1)/12)*12*D5172</f>
        <v>0</v>
      </c>
      <c r="K5172" s="711"/>
      <c r="M5172" s="62">
        <f t="shared" si="395"/>
        <v>3</v>
      </c>
    </row>
    <row r="5173" spans="1:13">
      <c r="A5173" s="88">
        <f t="shared" si="399"/>
        <v>72</v>
      </c>
      <c r="B5173" s="69" t="s">
        <v>3711</v>
      </c>
      <c r="C5173" s="167">
        <v>10</v>
      </c>
      <c r="D5173" s="155">
        <v>0</v>
      </c>
      <c r="E5173" s="155">
        <v>0</v>
      </c>
      <c r="F5173" s="155">
        <v>0</v>
      </c>
      <c r="G5173" s="155">
        <v>0</v>
      </c>
      <c r="H5173" s="155">
        <v>0</v>
      </c>
      <c r="I5173" s="155">
        <v>0</v>
      </c>
      <c r="J5173" s="710">
        <f>(VLOOKUP($C5173,[2]Sheet1!$A$2:$P$18,$M5173+1)/12)*12*D5173</f>
        <v>0</v>
      </c>
      <c r="K5173" s="711"/>
      <c r="M5173" s="62">
        <f t="shared" si="395"/>
        <v>3</v>
      </c>
    </row>
    <row r="5174" spans="1:13">
      <c r="A5174" s="88">
        <f t="shared" si="399"/>
        <v>73</v>
      </c>
      <c r="B5174" s="69" t="s">
        <v>3712</v>
      </c>
      <c r="C5174" s="167">
        <v>8</v>
      </c>
      <c r="D5174" s="155">
        <v>1</v>
      </c>
      <c r="E5174" s="155">
        <v>1</v>
      </c>
      <c r="F5174" s="155">
        <v>1</v>
      </c>
      <c r="G5174" s="155">
        <v>1</v>
      </c>
      <c r="H5174" s="155">
        <v>5</v>
      </c>
      <c r="I5174" s="155">
        <v>1</v>
      </c>
      <c r="J5174" s="710">
        <f>(VLOOKUP($C5174,[2]Sheet1!$A$2:$P$18,$M5174+1)/12)*12*D5174</f>
        <v>342141.27408</v>
      </c>
      <c r="K5174" s="711"/>
      <c r="M5174" s="62">
        <f t="shared" si="395"/>
        <v>3</v>
      </c>
    </row>
    <row r="5175" spans="1:13">
      <c r="A5175" s="88">
        <f t="shared" si="399"/>
        <v>74</v>
      </c>
      <c r="B5175" s="69" t="s">
        <v>2753</v>
      </c>
      <c r="C5175" s="167">
        <v>9</v>
      </c>
      <c r="D5175" s="155">
        <v>0</v>
      </c>
      <c r="E5175" s="155">
        <v>0</v>
      </c>
      <c r="F5175" s="155">
        <v>0</v>
      </c>
      <c r="G5175" s="155">
        <v>0</v>
      </c>
      <c r="H5175" s="155">
        <v>0</v>
      </c>
      <c r="I5175" s="155">
        <v>0</v>
      </c>
      <c r="J5175" s="710">
        <f>(VLOOKUP($C5175,[2]Sheet1!$A$2:$P$18,$M5175+1)/12)*12*D5175</f>
        <v>0</v>
      </c>
      <c r="K5175" s="711"/>
      <c r="M5175" s="62">
        <f t="shared" si="395"/>
        <v>3</v>
      </c>
    </row>
    <row r="5176" spans="1:13">
      <c r="A5176" s="88">
        <f t="shared" si="399"/>
        <v>75</v>
      </c>
      <c r="B5176" s="69" t="s">
        <v>2835</v>
      </c>
      <c r="C5176" s="167">
        <v>8</v>
      </c>
      <c r="D5176" s="155">
        <v>0</v>
      </c>
      <c r="E5176" s="155">
        <v>0</v>
      </c>
      <c r="F5176" s="155">
        <v>0</v>
      </c>
      <c r="G5176" s="155">
        <v>0</v>
      </c>
      <c r="H5176" s="155">
        <v>5</v>
      </c>
      <c r="I5176" s="155">
        <v>0</v>
      </c>
      <c r="J5176" s="710">
        <f>(VLOOKUP($C5176,[2]Sheet1!$A$2:$P$18,$M5176+1)/12)*12*D5176</f>
        <v>0</v>
      </c>
      <c r="K5176" s="711"/>
      <c r="M5176" s="62">
        <f t="shared" si="395"/>
        <v>3</v>
      </c>
    </row>
    <row r="5177" spans="1:13">
      <c r="A5177" s="88">
        <f t="shared" si="399"/>
        <v>76</v>
      </c>
      <c r="B5177" s="69" t="s">
        <v>2836</v>
      </c>
      <c r="C5177" s="167">
        <v>7</v>
      </c>
      <c r="D5177" s="155">
        <v>0</v>
      </c>
      <c r="E5177" s="155">
        <v>0</v>
      </c>
      <c r="F5177" s="155">
        <v>0</v>
      </c>
      <c r="G5177" s="155">
        <v>0</v>
      </c>
      <c r="H5177" s="155">
        <v>0</v>
      </c>
      <c r="I5177" s="155">
        <v>0</v>
      </c>
      <c r="J5177" s="710">
        <f>(VLOOKUP($C5177,[2]Sheet1!$A$2:$P$18,$M5177+1)/12)*12*D5177</f>
        <v>0</v>
      </c>
      <c r="K5177" s="711"/>
      <c r="M5177" s="62">
        <f t="shared" si="395"/>
        <v>3</v>
      </c>
    </row>
    <row r="5178" spans="1:13">
      <c r="A5178" s="88">
        <f t="shared" si="399"/>
        <v>77</v>
      </c>
      <c r="B5178" s="69" t="s">
        <v>2754</v>
      </c>
      <c r="C5178" s="167">
        <v>6</v>
      </c>
      <c r="D5178" s="155">
        <v>0</v>
      </c>
      <c r="E5178" s="155">
        <v>0</v>
      </c>
      <c r="F5178" s="155">
        <v>0</v>
      </c>
      <c r="G5178" s="155">
        <v>0</v>
      </c>
      <c r="H5178" s="155">
        <v>0</v>
      </c>
      <c r="I5178" s="155">
        <v>0</v>
      </c>
      <c r="J5178" s="710">
        <f>(VLOOKUP($C5178,[2]Sheet1!$A$2:$P$18,$M5178+1)/12)*12*D5178</f>
        <v>0</v>
      </c>
      <c r="K5178" s="711"/>
      <c r="M5178" s="62">
        <f t="shared" si="395"/>
        <v>5</v>
      </c>
    </row>
    <row r="5179" spans="1:13">
      <c r="A5179" s="88"/>
      <c r="B5179" s="90" t="s">
        <v>2837</v>
      </c>
      <c r="C5179" s="167"/>
      <c r="D5179" s="155"/>
      <c r="E5179" s="155"/>
      <c r="F5179" s="155"/>
      <c r="G5179" s="155"/>
      <c r="H5179" s="155"/>
      <c r="I5179" s="155"/>
      <c r="J5179" s="710"/>
      <c r="K5179" s="711"/>
      <c r="M5179" s="62">
        <f t="shared" si="395"/>
        <v>5</v>
      </c>
    </row>
    <row r="5180" spans="1:13">
      <c r="A5180" s="88">
        <f>+A5178+1</f>
        <v>78</v>
      </c>
      <c r="B5180" s="69" t="s">
        <v>3532</v>
      </c>
      <c r="C5180" s="167">
        <v>16</v>
      </c>
      <c r="D5180" s="155">
        <v>1</v>
      </c>
      <c r="E5180" s="155">
        <v>1</v>
      </c>
      <c r="F5180" s="155">
        <v>1</v>
      </c>
      <c r="G5180" s="155">
        <v>1</v>
      </c>
      <c r="H5180" s="155">
        <v>1</v>
      </c>
      <c r="I5180" s="155">
        <v>1</v>
      </c>
      <c r="J5180" s="710">
        <f>(VLOOKUP($C5180,[2]Sheet1!$A$2:$P$18,$M5180+1)/12)*12*D5180</f>
        <v>677281.26084</v>
      </c>
      <c r="K5180" s="711"/>
      <c r="M5180" s="62">
        <f t="shared" si="395"/>
        <v>3</v>
      </c>
    </row>
    <row r="5181" spans="1:13">
      <c r="A5181" s="88">
        <f>+A5180+1</f>
        <v>79</v>
      </c>
      <c r="B5181" s="69" t="s">
        <v>1256</v>
      </c>
      <c r="C5181" s="167">
        <v>15</v>
      </c>
      <c r="D5181" s="155">
        <v>1</v>
      </c>
      <c r="E5181" s="155">
        <v>1</v>
      </c>
      <c r="F5181" s="155">
        <v>1</v>
      </c>
      <c r="G5181" s="155">
        <v>1</v>
      </c>
      <c r="H5181" s="155">
        <v>1</v>
      </c>
      <c r="I5181" s="155">
        <v>1</v>
      </c>
      <c r="J5181" s="710">
        <f>(VLOOKUP($C5181,[2]Sheet1!$A$2:$P$18,$M5181+1)/12)*12*D5181</f>
        <v>658331.89992</v>
      </c>
      <c r="K5181" s="711"/>
      <c r="M5181" s="62">
        <f t="shared" ref="M5181:M5189" si="400">IF(C5181&gt;6,3,5)</f>
        <v>3</v>
      </c>
    </row>
    <row r="5182" spans="1:13">
      <c r="A5182" s="88">
        <f>+A5181+1</f>
        <v>80</v>
      </c>
      <c r="B5182" s="69" t="s">
        <v>2838</v>
      </c>
      <c r="C5182" s="167">
        <v>9</v>
      </c>
      <c r="D5182" s="155">
        <v>1</v>
      </c>
      <c r="E5182" s="155">
        <v>1</v>
      </c>
      <c r="F5182" s="155">
        <v>1</v>
      </c>
      <c r="G5182" s="155">
        <v>1</v>
      </c>
      <c r="H5182" s="155">
        <v>1</v>
      </c>
      <c r="I5182" s="155">
        <v>1</v>
      </c>
      <c r="J5182" s="710">
        <f>(VLOOKUP($C5182,[2]Sheet1!$A$2:$P$18,$M5182+1)/12)*12*D5182</f>
        <v>409681.90619999997</v>
      </c>
      <c r="K5182" s="711"/>
      <c r="M5182" s="62">
        <f t="shared" si="400"/>
        <v>3</v>
      </c>
    </row>
    <row r="5183" spans="1:13">
      <c r="A5183" s="88">
        <f>+A5182+1</f>
        <v>81</v>
      </c>
      <c r="B5183" s="69" t="s">
        <v>2835</v>
      </c>
      <c r="C5183" s="167">
        <v>8</v>
      </c>
      <c r="D5183" s="155">
        <v>1</v>
      </c>
      <c r="E5183" s="155">
        <v>1</v>
      </c>
      <c r="F5183" s="155">
        <v>1</v>
      </c>
      <c r="G5183" s="155">
        <v>1</v>
      </c>
      <c r="H5183" s="155">
        <v>4</v>
      </c>
      <c r="I5183" s="155">
        <v>1</v>
      </c>
      <c r="J5183" s="710">
        <f>(VLOOKUP($C5183,[2]Sheet1!$A$2:$P$18,$M5183+1)/12)*12*D5183</f>
        <v>342141.27408</v>
      </c>
      <c r="K5183" s="711"/>
      <c r="M5183" s="62">
        <f t="shared" si="400"/>
        <v>3</v>
      </c>
    </row>
    <row r="5184" spans="1:13">
      <c r="A5184" s="92"/>
      <c r="B5184" s="93" t="s">
        <v>2241</v>
      </c>
      <c r="C5184" s="168"/>
      <c r="D5184" s="169">
        <f t="shared" ref="D5184:J5184" si="401">SUM(D5090:D5183)</f>
        <v>112</v>
      </c>
      <c r="E5184" s="169">
        <f t="shared" si="401"/>
        <v>120</v>
      </c>
      <c r="F5184" s="169">
        <f t="shared" si="401"/>
        <v>112</v>
      </c>
      <c r="G5184" s="169">
        <f>SUM(G5090:G5183)</f>
        <v>112</v>
      </c>
      <c r="H5184" s="169">
        <f t="shared" si="401"/>
        <v>140</v>
      </c>
      <c r="I5184" s="169">
        <f t="shared" si="401"/>
        <v>112</v>
      </c>
      <c r="J5184" s="169">
        <f t="shared" si="401"/>
        <v>35993758.983356796</v>
      </c>
      <c r="K5184" s="385"/>
      <c r="M5184" s="62">
        <f t="shared" si="400"/>
        <v>5</v>
      </c>
    </row>
    <row r="5185" spans="1:13">
      <c r="A5185" s="88"/>
      <c r="B5185" s="69"/>
      <c r="C5185" s="167"/>
      <c r="D5185" s="155"/>
      <c r="E5185" s="155"/>
      <c r="F5185" s="155"/>
      <c r="G5185" s="155"/>
      <c r="H5185" s="155"/>
      <c r="I5185" s="155"/>
      <c r="J5185" s="155"/>
      <c r="K5185" s="386"/>
      <c r="M5185" s="62">
        <f t="shared" si="400"/>
        <v>5</v>
      </c>
    </row>
    <row r="5186" spans="1:13">
      <c r="A5186" s="170"/>
      <c r="B5186" s="97" t="s">
        <v>1199</v>
      </c>
      <c r="C5186" s="167"/>
      <c r="D5186" s="155"/>
      <c r="E5186" s="155"/>
      <c r="F5186" s="99"/>
      <c r="G5186" s="240" t="s">
        <v>243</v>
      </c>
      <c r="H5186" s="240" t="s">
        <v>4130</v>
      </c>
      <c r="I5186" s="240" t="s">
        <v>4202</v>
      </c>
      <c r="J5186" s="241" t="s">
        <v>4200</v>
      </c>
      <c r="K5186" s="375"/>
      <c r="M5186" s="62">
        <f t="shared" si="400"/>
        <v>5</v>
      </c>
    </row>
    <row r="5187" spans="1:13">
      <c r="A5187" s="88">
        <v>1</v>
      </c>
      <c r="B5187" s="69" t="s">
        <v>763</v>
      </c>
      <c r="C5187" s="167"/>
      <c r="D5187" s="155"/>
      <c r="E5187" s="155"/>
      <c r="F5187" s="89"/>
      <c r="G5187" s="100">
        <f>J5184*0.2</f>
        <v>7198751.7966713598</v>
      </c>
      <c r="H5187" s="100">
        <f>G5187*1.02</f>
        <v>7342726.8326047873</v>
      </c>
      <c r="I5187" s="100">
        <f>H5187*1.02</f>
        <v>7489581.3692568829</v>
      </c>
      <c r="J5187" s="100">
        <f>SUM(G5187:I5187)</f>
        <v>22031059.998533029</v>
      </c>
      <c r="K5187" s="114"/>
      <c r="M5187" s="62">
        <f t="shared" si="400"/>
        <v>5</v>
      </c>
    </row>
    <row r="5188" spans="1:13">
      <c r="A5188" s="88">
        <v>2</v>
      </c>
      <c r="B5188" s="69" t="s">
        <v>3703</v>
      </c>
      <c r="C5188" s="167"/>
      <c r="D5188" s="155"/>
      <c r="E5188" s="155"/>
      <c r="F5188" s="155"/>
      <c r="G5188" s="155">
        <v>15000000</v>
      </c>
      <c r="H5188" s="100">
        <f>G5188*1.02</f>
        <v>15300000</v>
      </c>
      <c r="I5188" s="100">
        <f>H5188*1.02</f>
        <v>15606000</v>
      </c>
      <c r="J5188" s="100">
        <f>SUM(G5188:I5188)</f>
        <v>45906000</v>
      </c>
      <c r="K5188" s="114"/>
      <c r="M5188" s="62">
        <f t="shared" si="400"/>
        <v>5</v>
      </c>
    </row>
    <row r="5189" spans="1:13">
      <c r="A5189" s="92"/>
      <c r="B5189" s="93" t="s">
        <v>2531</v>
      </c>
      <c r="C5189" s="168"/>
      <c r="D5189" s="171"/>
      <c r="E5189" s="171"/>
      <c r="F5189" s="169"/>
      <c r="G5189" s="169">
        <f>SUM(G5187:G5188)</f>
        <v>22198751.796671361</v>
      </c>
      <c r="H5189" s="169">
        <f>SUM(H5187:H5188)</f>
        <v>22642726.832604788</v>
      </c>
      <c r="I5189" s="169">
        <f>SUM(I5187:I5188)</f>
        <v>23095581.369256884</v>
      </c>
      <c r="J5189" s="169">
        <f>SUM(J5187:J5188)</f>
        <v>67937059.998533025</v>
      </c>
      <c r="K5189" s="385"/>
      <c r="M5189" s="62">
        <f t="shared" si="400"/>
        <v>5</v>
      </c>
    </row>
    <row r="5190" spans="1:13">
      <c r="A5190" s="100"/>
      <c r="B5190" s="100"/>
      <c r="C5190" s="100"/>
      <c r="D5190" s="100"/>
      <c r="E5190" s="100"/>
      <c r="F5190" s="100"/>
      <c r="G5190" s="100"/>
      <c r="H5190" s="100"/>
      <c r="I5190" s="100"/>
      <c r="J5190" s="100"/>
      <c r="K5190" s="114"/>
    </row>
    <row r="5191" spans="1:13">
      <c r="A5191" s="88"/>
      <c r="B5191" s="69" t="s">
        <v>926</v>
      </c>
      <c r="C5191" s="167"/>
      <c r="D5191" s="155"/>
      <c r="E5191" s="155"/>
      <c r="F5191" s="155"/>
      <c r="G5191" s="100">
        <f>G5189+J5184</f>
        <v>58192510.780028157</v>
      </c>
      <c r="H5191" s="100">
        <f>G5191*1.02</f>
        <v>59356360.995628722</v>
      </c>
      <c r="I5191" s="100">
        <f>H5191*1.02</f>
        <v>60543488.215541296</v>
      </c>
      <c r="J5191" s="100">
        <f>SUM(G5191:I5191)</f>
        <v>178092359.99119818</v>
      </c>
      <c r="K5191" s="114"/>
      <c r="L5191" s="112"/>
      <c r="M5191" s="62">
        <f t="shared" ref="M5191:M5199" si="402">IF(C5191&gt;6,3,5)</f>
        <v>5</v>
      </c>
    </row>
    <row r="5192" spans="1:13">
      <c r="A5192" s="88"/>
      <c r="B5192" s="69" t="s">
        <v>2121</v>
      </c>
      <c r="C5192" s="167"/>
      <c r="D5192" s="155"/>
      <c r="E5192" s="155"/>
      <c r="F5192" s="155"/>
      <c r="G5192" s="155">
        <f>C5228</f>
        <v>137000000</v>
      </c>
      <c r="H5192" s="155">
        <f>D5228</f>
        <v>199700000</v>
      </c>
      <c r="I5192" s="155">
        <f>E5228</f>
        <v>199700000</v>
      </c>
      <c r="J5192" s="100">
        <f>SUM(G5192:I5192)</f>
        <v>536400000</v>
      </c>
      <c r="K5192" s="114"/>
      <c r="M5192" s="62">
        <f t="shared" si="402"/>
        <v>5</v>
      </c>
    </row>
    <row r="5193" spans="1:13">
      <c r="A5193" s="88"/>
      <c r="B5193" s="69"/>
      <c r="C5193" s="167"/>
      <c r="D5193" s="155"/>
      <c r="E5193" s="155"/>
      <c r="F5193" s="155"/>
      <c r="G5193" s="155"/>
      <c r="H5193" s="155"/>
      <c r="I5193" s="155"/>
      <c r="J5193" s="155"/>
      <c r="K5193" s="386"/>
      <c r="M5193" s="62">
        <f t="shared" si="402"/>
        <v>5</v>
      </c>
    </row>
    <row r="5194" spans="1:13" ht="13.5" thickBot="1">
      <c r="A5194" s="102"/>
      <c r="B5194" s="103" t="s">
        <v>2241</v>
      </c>
      <c r="C5194" s="172"/>
      <c r="D5194" s="173"/>
      <c r="E5194" s="173"/>
      <c r="F5194" s="174"/>
      <c r="G5194" s="174">
        <f>SUM(G5191:G5193)</f>
        <v>195192510.78002816</v>
      </c>
      <c r="H5194" s="174">
        <f>SUM(H5191:H5193)</f>
        <v>259056360.99562871</v>
      </c>
      <c r="I5194" s="174">
        <f>SUM(I5191:I5193)</f>
        <v>260243488.2155413</v>
      </c>
      <c r="J5194" s="174">
        <f>SUM(J5191:J5193)</f>
        <v>714492359.99119818</v>
      </c>
      <c r="K5194" s="385"/>
      <c r="M5194" s="62">
        <f t="shared" si="402"/>
        <v>5</v>
      </c>
    </row>
    <row r="5195" spans="1:13" ht="15.75" thickTop="1">
      <c r="C5195" s="175"/>
      <c r="D5195" s="165"/>
      <c r="E5195" s="165"/>
      <c r="F5195" s="165"/>
      <c r="G5195" s="165"/>
      <c r="H5195" s="165"/>
      <c r="I5195" s="165"/>
      <c r="J5195" s="584"/>
      <c r="K5195" s="584"/>
      <c r="M5195" s="62">
        <f t="shared" si="402"/>
        <v>5</v>
      </c>
    </row>
    <row r="5196" spans="1:13" ht="15">
      <c r="C5196" s="163"/>
      <c r="D5196" s="164" t="s">
        <v>5434</v>
      </c>
      <c r="E5196" s="165"/>
      <c r="F5196" s="165"/>
      <c r="G5196" s="165"/>
      <c r="H5196" s="165"/>
      <c r="I5196" s="165"/>
      <c r="J5196" s="584"/>
      <c r="K5196" s="584"/>
      <c r="M5196" s="62">
        <f t="shared" si="402"/>
        <v>5</v>
      </c>
    </row>
    <row r="5197" spans="1:13" ht="15">
      <c r="C5197" s="166"/>
      <c r="D5197" s="78" t="s">
        <v>716</v>
      </c>
      <c r="E5197" s="165"/>
      <c r="F5197" s="165"/>
      <c r="G5197" s="165"/>
      <c r="H5197" s="165"/>
      <c r="I5197" s="165"/>
      <c r="J5197" s="584"/>
      <c r="K5197" s="584"/>
      <c r="M5197" s="62">
        <f t="shared" si="402"/>
        <v>5</v>
      </c>
    </row>
    <row r="5198" spans="1:13" ht="15">
      <c r="C5198" s="79" t="s">
        <v>717</v>
      </c>
      <c r="D5198" s="1058" t="s">
        <v>2776</v>
      </c>
      <c r="E5198" s="1060"/>
      <c r="F5198" s="165"/>
      <c r="G5198" s="165"/>
      <c r="H5198" s="165"/>
      <c r="I5198" s="165"/>
      <c r="J5198" s="584"/>
      <c r="K5198" s="584"/>
      <c r="M5198" s="62">
        <f t="shared" si="402"/>
        <v>3</v>
      </c>
    </row>
    <row r="5199" spans="1:13" ht="15">
      <c r="C5199" s="79" t="s">
        <v>718</v>
      </c>
      <c r="D5199" s="164" t="s">
        <v>954</v>
      </c>
      <c r="E5199" s="165"/>
      <c r="F5199" s="165"/>
      <c r="G5199" s="165"/>
      <c r="H5199" s="165"/>
      <c r="I5199" s="165"/>
      <c r="J5199" s="584"/>
      <c r="K5199" s="584"/>
      <c r="M5199" s="62">
        <f t="shared" si="402"/>
        <v>3</v>
      </c>
    </row>
    <row r="5200" spans="1:13" ht="15">
      <c r="A5200" s="634" t="s">
        <v>1839</v>
      </c>
      <c r="B5200" s="635" t="s">
        <v>903</v>
      </c>
      <c r="C5200" s="1037" t="s">
        <v>4127</v>
      </c>
      <c r="D5200" s="1038"/>
      <c r="E5200" s="1039"/>
      <c r="F5200" s="635" t="s">
        <v>1684</v>
      </c>
      <c r="G5200" s="1037" t="s">
        <v>4132</v>
      </c>
      <c r="H5200" s="1038"/>
      <c r="I5200" s="1039"/>
      <c r="J5200" s="726"/>
      <c r="K5200" s="727"/>
    </row>
    <row r="5201" spans="1:13">
      <c r="A5201" s="636" t="s">
        <v>1620</v>
      </c>
      <c r="B5201" s="637"/>
      <c r="C5201" s="635" t="s">
        <v>1841</v>
      </c>
      <c r="D5201" s="635" t="s">
        <v>4133</v>
      </c>
      <c r="E5201" s="635" t="s">
        <v>4133</v>
      </c>
      <c r="F5201" s="1056" t="s">
        <v>4200</v>
      </c>
      <c r="G5201" s="634" t="s">
        <v>4135</v>
      </c>
      <c r="H5201" s="1051" t="s">
        <v>4182</v>
      </c>
      <c r="I5201" s="634" t="s">
        <v>4135</v>
      </c>
      <c r="J5201" s="728" t="s">
        <v>4136</v>
      </c>
      <c r="K5201" s="727"/>
    </row>
    <row r="5202" spans="1:13" ht="12.75" customHeight="1">
      <c r="A5202" s="638" t="s">
        <v>387</v>
      </c>
      <c r="B5202" s="639"/>
      <c r="C5202" s="638">
        <v>2015</v>
      </c>
      <c r="D5202" s="638">
        <v>2016</v>
      </c>
      <c r="E5202" s="638">
        <v>2017</v>
      </c>
      <c r="F5202" s="1057"/>
      <c r="G5202" s="638" t="s">
        <v>4304</v>
      </c>
      <c r="H5202" s="1052"/>
      <c r="I5202" s="638" t="s">
        <v>4303</v>
      </c>
      <c r="J5202" s="639"/>
      <c r="K5202" s="729"/>
    </row>
    <row r="5203" spans="1:13">
      <c r="A5203" s="822"/>
      <c r="B5203" s="823"/>
      <c r="C5203" s="824"/>
      <c r="D5203" s="824"/>
      <c r="E5203" s="824"/>
      <c r="F5203" s="824"/>
      <c r="G5203" s="824"/>
      <c r="H5203" s="824"/>
      <c r="I5203" s="824"/>
      <c r="J5203" s="824"/>
      <c r="K5203" s="734"/>
      <c r="M5203" s="62" t="e">
        <f>IF(#REF!&gt;6,3,5)</f>
        <v>#REF!</v>
      </c>
    </row>
    <row r="5204" spans="1:13">
      <c r="A5204" s="822">
        <v>2</v>
      </c>
      <c r="B5204" s="823" t="s">
        <v>768</v>
      </c>
      <c r="C5204" s="824">
        <v>2000000</v>
      </c>
      <c r="D5204" s="824">
        <v>3000000</v>
      </c>
      <c r="E5204" s="824">
        <v>3000000</v>
      </c>
      <c r="F5204" s="824">
        <f>SUM(C5204:E5204)</f>
        <v>8000000</v>
      </c>
      <c r="G5204" s="824">
        <v>339400</v>
      </c>
      <c r="H5204" s="824">
        <v>2000000</v>
      </c>
      <c r="I5204" s="824">
        <v>1619000</v>
      </c>
      <c r="J5204" s="824"/>
      <c r="K5204" s="734"/>
      <c r="M5204" s="62" t="e">
        <f>IF(#REF!&gt;6,3,5)</f>
        <v>#REF!</v>
      </c>
    </row>
    <row r="5205" spans="1:13">
      <c r="A5205" s="822">
        <f t="shared" ref="A5205:A5227" si="403">+A5204+1</f>
        <v>3</v>
      </c>
      <c r="B5205" s="768" t="s">
        <v>1696</v>
      </c>
      <c r="C5205" s="824" t="s">
        <v>1386</v>
      </c>
      <c r="D5205" s="824" t="s">
        <v>1386</v>
      </c>
      <c r="E5205" s="824" t="s">
        <v>1386</v>
      </c>
      <c r="F5205" s="824">
        <f t="shared" ref="F5205:F5227" si="404">SUM(C5205:E5205)</f>
        <v>0</v>
      </c>
      <c r="G5205" s="824"/>
      <c r="H5205" s="824" t="s">
        <v>1386</v>
      </c>
      <c r="I5205" s="824"/>
      <c r="J5205" s="824"/>
      <c r="K5205" s="734"/>
      <c r="M5205" s="62" t="e">
        <f>IF(#REF!&gt;6,3,5)</f>
        <v>#REF!</v>
      </c>
    </row>
    <row r="5206" spans="1:13">
      <c r="A5206" s="822">
        <f t="shared" si="403"/>
        <v>4</v>
      </c>
      <c r="B5206" s="768" t="s">
        <v>1701</v>
      </c>
      <c r="C5206" s="824" t="s">
        <v>1386</v>
      </c>
      <c r="D5206" s="824" t="s">
        <v>1386</v>
      </c>
      <c r="E5206" s="824" t="s">
        <v>1386</v>
      </c>
      <c r="F5206" s="824">
        <f t="shared" si="404"/>
        <v>0</v>
      </c>
      <c r="G5206" s="824"/>
      <c r="H5206" s="824" t="s">
        <v>1386</v>
      </c>
      <c r="I5206" s="824"/>
      <c r="J5206" s="824"/>
      <c r="K5206" s="734"/>
      <c r="M5206" s="62" t="e">
        <f>IF(#REF!&gt;6,3,5)</f>
        <v>#REF!</v>
      </c>
    </row>
    <row r="5207" spans="1:13">
      <c r="A5207" s="822">
        <f t="shared" si="403"/>
        <v>5</v>
      </c>
      <c r="B5207" s="768" t="s">
        <v>955</v>
      </c>
      <c r="C5207" s="824">
        <v>800000</v>
      </c>
      <c r="D5207" s="824">
        <v>1000000</v>
      </c>
      <c r="E5207" s="824">
        <v>1000000</v>
      </c>
      <c r="F5207" s="824">
        <f t="shared" si="404"/>
        <v>2800000</v>
      </c>
      <c r="G5207" s="824">
        <v>20000</v>
      </c>
      <c r="H5207" s="824">
        <v>500000</v>
      </c>
      <c r="I5207" s="824">
        <v>33500</v>
      </c>
      <c r="J5207" s="824"/>
      <c r="K5207" s="734"/>
      <c r="M5207" s="62" t="e">
        <f>IF(#REF!&gt;6,3,5)</f>
        <v>#REF!</v>
      </c>
    </row>
    <row r="5208" spans="1:13">
      <c r="A5208" s="822">
        <f t="shared" si="403"/>
        <v>6</v>
      </c>
      <c r="B5208" s="768" t="s">
        <v>1072</v>
      </c>
      <c r="C5208" s="824">
        <v>700000</v>
      </c>
      <c r="D5208" s="824">
        <v>2000000</v>
      </c>
      <c r="E5208" s="824">
        <v>2000000</v>
      </c>
      <c r="F5208" s="824">
        <f t="shared" si="404"/>
        <v>4700000</v>
      </c>
      <c r="G5208" s="824">
        <v>198900</v>
      </c>
      <c r="H5208" s="824">
        <v>1000000</v>
      </c>
      <c r="I5208" s="824">
        <v>209800</v>
      </c>
      <c r="J5208" s="824"/>
      <c r="K5208" s="734"/>
      <c r="M5208" s="62" t="e">
        <f>IF(#REF!&gt;6,3,5)</f>
        <v>#REF!</v>
      </c>
    </row>
    <row r="5209" spans="1:13">
      <c r="A5209" s="822">
        <f t="shared" si="403"/>
        <v>7</v>
      </c>
      <c r="B5209" s="825" t="s">
        <v>1073</v>
      </c>
      <c r="C5209" s="824">
        <v>1000000</v>
      </c>
      <c r="D5209" s="824">
        <v>2000000</v>
      </c>
      <c r="E5209" s="824">
        <v>2000000</v>
      </c>
      <c r="F5209" s="824">
        <f t="shared" si="404"/>
        <v>5000000</v>
      </c>
      <c r="G5209" s="824">
        <v>150000</v>
      </c>
      <c r="H5209" s="824">
        <v>1000000</v>
      </c>
      <c r="I5209" s="824">
        <v>167300</v>
      </c>
      <c r="J5209" s="824"/>
      <c r="K5209" s="734"/>
      <c r="M5209" s="62" t="e">
        <f>IF(#REF!&gt;6,3,5)</f>
        <v>#REF!</v>
      </c>
    </row>
    <row r="5210" spans="1:13">
      <c r="A5210" s="822">
        <f t="shared" si="403"/>
        <v>8</v>
      </c>
      <c r="B5210" s="768" t="s">
        <v>1385</v>
      </c>
      <c r="C5210" s="824" t="s">
        <v>1386</v>
      </c>
      <c r="D5210" s="824" t="s">
        <v>1386</v>
      </c>
      <c r="E5210" s="824" t="s">
        <v>1386</v>
      </c>
      <c r="F5210" s="824">
        <f t="shared" si="404"/>
        <v>0</v>
      </c>
      <c r="G5210" s="824"/>
      <c r="H5210" s="824" t="s">
        <v>1386</v>
      </c>
      <c r="I5210" s="824"/>
      <c r="J5210" s="824"/>
      <c r="K5210" s="734"/>
      <c r="M5210" s="62" t="e">
        <f>IF(#REF!&gt;6,3,5)</f>
        <v>#REF!</v>
      </c>
    </row>
    <row r="5211" spans="1:13">
      <c r="A5211" s="822">
        <f t="shared" si="403"/>
        <v>9</v>
      </c>
      <c r="B5211" s="769" t="s">
        <v>3153</v>
      </c>
      <c r="C5211" s="824" t="s">
        <v>1386</v>
      </c>
      <c r="D5211" s="824" t="s">
        <v>1386</v>
      </c>
      <c r="E5211" s="824" t="s">
        <v>1386</v>
      </c>
      <c r="F5211" s="824">
        <f t="shared" si="404"/>
        <v>0</v>
      </c>
      <c r="G5211" s="824"/>
      <c r="H5211" s="824" t="s">
        <v>1386</v>
      </c>
      <c r="I5211" s="824"/>
      <c r="J5211" s="824"/>
      <c r="K5211" s="734"/>
      <c r="M5211" s="62" t="e">
        <f>IF(#REF!&gt;6,3,5)</f>
        <v>#REF!</v>
      </c>
    </row>
    <row r="5212" spans="1:13">
      <c r="A5212" s="822">
        <f t="shared" si="403"/>
        <v>10</v>
      </c>
      <c r="B5212" s="768" t="s">
        <v>1716</v>
      </c>
      <c r="C5212" s="390">
        <v>800000</v>
      </c>
      <c r="D5212" s="390">
        <v>8000000</v>
      </c>
      <c r="E5212" s="390">
        <v>8000000</v>
      </c>
      <c r="F5212" s="824">
        <f t="shared" si="404"/>
        <v>16800000</v>
      </c>
      <c r="G5212" s="824"/>
      <c r="H5212" s="390">
        <v>800000</v>
      </c>
      <c r="I5212" s="824"/>
      <c r="J5212" s="824"/>
      <c r="K5212" s="734"/>
      <c r="M5212" s="62" t="e">
        <f>IF(#REF!&gt;6,3,5)</f>
        <v>#REF!</v>
      </c>
    </row>
    <row r="5213" spans="1:13">
      <c r="A5213" s="822">
        <f t="shared" si="403"/>
        <v>11</v>
      </c>
      <c r="B5213" s="826" t="s">
        <v>764</v>
      </c>
      <c r="C5213" s="390">
        <v>100000</v>
      </c>
      <c r="D5213" s="390">
        <v>100000</v>
      </c>
      <c r="E5213" s="390">
        <v>100000</v>
      </c>
      <c r="F5213" s="824">
        <f t="shared" si="404"/>
        <v>300000</v>
      </c>
      <c r="G5213" s="824"/>
      <c r="H5213" s="390">
        <v>100000</v>
      </c>
      <c r="I5213" s="824"/>
      <c r="J5213" s="824"/>
      <c r="K5213" s="734"/>
      <c r="M5213" s="62" t="e">
        <f>IF(#REF!&gt;6,3,5)</f>
        <v>#REF!</v>
      </c>
    </row>
    <row r="5214" spans="1:13">
      <c r="A5214" s="822">
        <f t="shared" si="403"/>
        <v>12</v>
      </c>
      <c r="B5214" s="768" t="s">
        <v>2688</v>
      </c>
      <c r="C5214" s="390">
        <v>7000000</v>
      </c>
      <c r="D5214" s="390">
        <v>6000000</v>
      </c>
      <c r="E5214" s="390">
        <v>6000000</v>
      </c>
      <c r="F5214" s="824">
        <f t="shared" si="404"/>
        <v>19000000</v>
      </c>
      <c r="G5214" s="824">
        <v>5588265</v>
      </c>
      <c r="H5214" s="390">
        <v>8000000</v>
      </c>
      <c r="I5214" s="824">
        <v>3484263</v>
      </c>
      <c r="J5214" s="824"/>
      <c r="K5214" s="734"/>
      <c r="M5214" s="62" t="e">
        <f>IF(#REF!&gt;6,3,5)</f>
        <v>#REF!</v>
      </c>
    </row>
    <row r="5215" spans="1:13">
      <c r="A5215" s="822">
        <f t="shared" si="403"/>
        <v>13</v>
      </c>
      <c r="B5215" s="768" t="s">
        <v>2249</v>
      </c>
      <c r="C5215" s="390">
        <v>100000</v>
      </c>
      <c r="D5215" s="390">
        <v>100000</v>
      </c>
      <c r="E5215" s="390">
        <v>100000</v>
      </c>
      <c r="F5215" s="824">
        <f t="shared" si="404"/>
        <v>300000</v>
      </c>
      <c r="G5215" s="824"/>
      <c r="H5215" s="390">
        <v>100000</v>
      </c>
      <c r="I5215" s="824"/>
      <c r="J5215" s="824"/>
      <c r="K5215" s="734"/>
      <c r="M5215" s="62" t="e">
        <f>IF(#REF!&gt;6,3,5)</f>
        <v>#REF!</v>
      </c>
    </row>
    <row r="5216" spans="1:13">
      <c r="A5216" s="822">
        <f t="shared" si="403"/>
        <v>14</v>
      </c>
      <c r="B5216" s="768" t="s">
        <v>412</v>
      </c>
      <c r="C5216" s="390">
        <v>1000000</v>
      </c>
      <c r="D5216" s="390">
        <v>10000000</v>
      </c>
      <c r="E5216" s="390">
        <v>10000000</v>
      </c>
      <c r="F5216" s="824">
        <f t="shared" si="404"/>
        <v>21000000</v>
      </c>
      <c r="G5216" s="824">
        <v>5000000</v>
      </c>
      <c r="H5216" s="390">
        <v>5000000</v>
      </c>
      <c r="I5216" s="824">
        <v>0</v>
      </c>
      <c r="J5216" s="824"/>
      <c r="K5216" s="734"/>
      <c r="M5216" s="62" t="e">
        <f>IF(#REF!&gt;6,3,5)</f>
        <v>#REF!</v>
      </c>
    </row>
    <row r="5217" spans="1:13">
      <c r="A5217" s="822">
        <f t="shared" si="403"/>
        <v>15</v>
      </c>
      <c r="B5217" s="768" t="s">
        <v>245</v>
      </c>
      <c r="C5217" s="390">
        <v>3000000</v>
      </c>
      <c r="D5217" s="390" t="s">
        <v>1386</v>
      </c>
      <c r="E5217" s="390" t="s">
        <v>1386</v>
      </c>
      <c r="F5217" s="824">
        <f t="shared" si="404"/>
        <v>3000000</v>
      </c>
      <c r="G5217" s="824"/>
      <c r="H5217" s="390">
        <v>3000000</v>
      </c>
      <c r="I5217" s="824"/>
      <c r="J5217" s="824"/>
      <c r="K5217" s="734"/>
      <c r="M5217" s="62" t="e">
        <f>IF(#REF!&gt;6,3,5)</f>
        <v>#REF!</v>
      </c>
    </row>
    <row r="5218" spans="1:13">
      <c r="A5218" s="822">
        <f t="shared" si="403"/>
        <v>16</v>
      </c>
      <c r="B5218" s="768" t="s">
        <v>246</v>
      </c>
      <c r="C5218" s="390">
        <v>5000000</v>
      </c>
      <c r="D5218" s="390">
        <v>5000000</v>
      </c>
      <c r="E5218" s="390">
        <v>5000000</v>
      </c>
      <c r="F5218" s="824">
        <f t="shared" si="404"/>
        <v>15000000</v>
      </c>
      <c r="G5218" s="824"/>
      <c r="H5218" s="390">
        <v>5000000</v>
      </c>
      <c r="I5218" s="824"/>
      <c r="J5218" s="824"/>
      <c r="K5218" s="734"/>
      <c r="M5218" s="62" t="e">
        <f>IF(#REF!&gt;6,3,5)</f>
        <v>#REF!</v>
      </c>
    </row>
    <row r="5219" spans="1:13" ht="25.5">
      <c r="A5219" s="822">
        <f t="shared" si="403"/>
        <v>17</v>
      </c>
      <c r="B5219" s="773" t="s">
        <v>3626</v>
      </c>
      <c r="C5219" s="390">
        <v>5000000</v>
      </c>
      <c r="D5219" s="390">
        <v>10000000</v>
      </c>
      <c r="E5219" s="390">
        <v>10000000</v>
      </c>
      <c r="F5219" s="824">
        <f t="shared" si="404"/>
        <v>25000000</v>
      </c>
      <c r="G5219" s="824">
        <v>1500000</v>
      </c>
      <c r="H5219" s="390">
        <v>10000000</v>
      </c>
      <c r="I5219" s="824">
        <v>0</v>
      </c>
      <c r="J5219" s="824"/>
      <c r="K5219" s="734"/>
      <c r="M5219" s="62" t="e">
        <f>IF(#REF!&gt;6,3,5)</f>
        <v>#REF!</v>
      </c>
    </row>
    <row r="5220" spans="1:13">
      <c r="A5220" s="822">
        <f t="shared" si="403"/>
        <v>18</v>
      </c>
      <c r="B5220" s="768" t="s">
        <v>3627</v>
      </c>
      <c r="C5220" s="390">
        <v>5000000</v>
      </c>
      <c r="D5220" s="390">
        <v>2000000</v>
      </c>
      <c r="E5220" s="390">
        <v>2000000</v>
      </c>
      <c r="F5220" s="824">
        <f t="shared" si="404"/>
        <v>9000000</v>
      </c>
      <c r="G5220" s="824">
        <v>230500</v>
      </c>
      <c r="H5220" s="390">
        <v>10000000</v>
      </c>
      <c r="I5220" s="824">
        <v>0</v>
      </c>
      <c r="J5220" s="824"/>
      <c r="K5220" s="734"/>
      <c r="M5220" s="62" t="e">
        <f>IF(#REF!&gt;6,3,5)</f>
        <v>#REF!</v>
      </c>
    </row>
    <row r="5221" spans="1:13">
      <c r="A5221" s="822">
        <f t="shared" si="403"/>
        <v>19</v>
      </c>
      <c r="B5221" s="768" t="s">
        <v>1209</v>
      </c>
      <c r="C5221" s="390" t="s">
        <v>1386</v>
      </c>
      <c r="D5221" s="390" t="s">
        <v>1386</v>
      </c>
      <c r="E5221" s="390" t="s">
        <v>1386</v>
      </c>
      <c r="F5221" s="824">
        <f t="shared" si="404"/>
        <v>0</v>
      </c>
      <c r="G5221" s="824"/>
      <c r="H5221" s="390" t="s">
        <v>1386</v>
      </c>
      <c r="I5221" s="824"/>
      <c r="J5221" s="824"/>
      <c r="K5221" s="734"/>
      <c r="M5221" s="62" t="e">
        <f>IF(#REF!&gt;6,3,5)</f>
        <v>#REF!</v>
      </c>
    </row>
    <row r="5222" spans="1:13">
      <c r="A5222" s="822">
        <f t="shared" si="403"/>
        <v>20</v>
      </c>
      <c r="B5222" s="768" t="s">
        <v>1210</v>
      </c>
      <c r="C5222" s="390">
        <v>5000000</v>
      </c>
      <c r="D5222" s="390">
        <v>15000000</v>
      </c>
      <c r="E5222" s="390">
        <v>15000000</v>
      </c>
      <c r="F5222" s="824">
        <f t="shared" si="404"/>
        <v>35000000</v>
      </c>
      <c r="G5222" s="824">
        <v>4100000</v>
      </c>
      <c r="H5222" s="390">
        <v>10000000</v>
      </c>
      <c r="I5222" s="824">
        <f>4500000</f>
        <v>4500000</v>
      </c>
      <c r="J5222" s="824"/>
      <c r="K5222" s="734"/>
      <c r="M5222" s="62" t="e">
        <f>IF(#REF!&gt;6,3,5)</f>
        <v>#REF!</v>
      </c>
    </row>
    <row r="5223" spans="1:13">
      <c r="A5223" s="822">
        <f t="shared" si="403"/>
        <v>21</v>
      </c>
      <c r="B5223" s="768" t="s">
        <v>1211</v>
      </c>
      <c r="C5223" s="390">
        <v>500000</v>
      </c>
      <c r="D5223" s="390">
        <v>500000</v>
      </c>
      <c r="E5223" s="390">
        <v>500000</v>
      </c>
      <c r="F5223" s="824">
        <f t="shared" si="404"/>
        <v>1500000</v>
      </c>
      <c r="G5223" s="824"/>
      <c r="H5223" s="390">
        <v>500000</v>
      </c>
      <c r="I5223" s="824">
        <v>0</v>
      </c>
      <c r="J5223" s="824"/>
      <c r="K5223" s="734"/>
      <c r="M5223" s="62" t="e">
        <f>IF(#REF!&gt;6,3,5)</f>
        <v>#REF!</v>
      </c>
    </row>
    <row r="5224" spans="1:13">
      <c r="A5224" s="822">
        <f t="shared" si="403"/>
        <v>22</v>
      </c>
      <c r="B5224" s="768" t="s">
        <v>1212</v>
      </c>
      <c r="C5224" s="390">
        <v>5000000</v>
      </c>
      <c r="D5224" s="390">
        <v>5000000</v>
      </c>
      <c r="E5224" s="390">
        <v>5000000</v>
      </c>
      <c r="F5224" s="824">
        <f t="shared" si="404"/>
        <v>15000000</v>
      </c>
      <c r="G5224" s="824"/>
      <c r="H5224" s="390">
        <v>5000000</v>
      </c>
      <c r="I5224" s="824"/>
      <c r="J5224" s="824"/>
      <c r="K5224" s="734"/>
      <c r="M5224" s="62" t="e">
        <f>IF(#REF!&gt;6,3,5)</f>
        <v>#REF!</v>
      </c>
    </row>
    <row r="5225" spans="1:13">
      <c r="A5225" s="822">
        <f t="shared" si="403"/>
        <v>23</v>
      </c>
      <c r="B5225" s="768" t="s">
        <v>1213</v>
      </c>
      <c r="C5225" s="390">
        <v>85000000</v>
      </c>
      <c r="D5225" s="390">
        <v>100000000</v>
      </c>
      <c r="E5225" s="390">
        <v>100000000</v>
      </c>
      <c r="F5225" s="824">
        <f t="shared" si="404"/>
        <v>285000000</v>
      </c>
      <c r="G5225" s="824">
        <v>3316000</v>
      </c>
      <c r="H5225" s="390">
        <v>150000000</v>
      </c>
      <c r="I5225" s="824">
        <v>0</v>
      </c>
      <c r="J5225" s="824"/>
      <c r="K5225" s="734"/>
      <c r="M5225" s="62" t="e">
        <f>IF(#REF!&gt;6,3,5)</f>
        <v>#REF!</v>
      </c>
    </row>
    <row r="5226" spans="1:13">
      <c r="A5226" s="822">
        <f t="shared" si="403"/>
        <v>24</v>
      </c>
      <c r="B5226" s="768" t="s">
        <v>10</v>
      </c>
      <c r="C5226" s="390">
        <v>5000000</v>
      </c>
      <c r="D5226" s="390">
        <v>10000000</v>
      </c>
      <c r="E5226" s="390">
        <v>10000000</v>
      </c>
      <c r="F5226" s="824">
        <f t="shared" si="404"/>
        <v>25000000</v>
      </c>
      <c r="G5226" s="824"/>
      <c r="H5226" s="390">
        <v>5000000</v>
      </c>
      <c r="I5226" s="824"/>
      <c r="J5226" s="824"/>
      <c r="K5226" s="734"/>
      <c r="M5226" s="62" t="e">
        <f>IF(#REF!&gt;6,3,5)</f>
        <v>#REF!</v>
      </c>
    </row>
    <row r="5227" spans="1:13">
      <c r="A5227" s="822">
        <f t="shared" si="403"/>
        <v>25</v>
      </c>
      <c r="B5227" s="768" t="s">
        <v>11</v>
      </c>
      <c r="C5227" s="390">
        <v>5000000</v>
      </c>
      <c r="D5227" s="390">
        <v>20000000</v>
      </c>
      <c r="E5227" s="390">
        <v>20000000</v>
      </c>
      <c r="F5227" s="824">
        <f t="shared" si="404"/>
        <v>45000000</v>
      </c>
      <c r="G5227" s="824"/>
      <c r="H5227" s="390">
        <v>5000000</v>
      </c>
      <c r="I5227" s="824"/>
      <c r="J5227" s="824"/>
      <c r="K5227" s="734"/>
      <c r="M5227" s="62" t="e">
        <f>IF(#REF!&gt;6,3,5)</f>
        <v>#REF!</v>
      </c>
    </row>
    <row r="5228" spans="1:13">
      <c r="A5228" s="770"/>
      <c r="B5228" s="770" t="s">
        <v>1684</v>
      </c>
      <c r="C5228" s="739">
        <f t="shared" ref="C5228:I5228" si="405">SUM(C5203:C5227)</f>
        <v>137000000</v>
      </c>
      <c r="D5228" s="739">
        <f t="shared" si="405"/>
        <v>199700000</v>
      </c>
      <c r="E5228" s="739">
        <f t="shared" si="405"/>
        <v>199700000</v>
      </c>
      <c r="F5228" s="739">
        <f t="shared" si="405"/>
        <v>536400000</v>
      </c>
      <c r="G5228" s="739">
        <f>SUM(G5203:G5227)</f>
        <v>20443065</v>
      </c>
      <c r="H5228" s="739">
        <f t="shared" si="405"/>
        <v>222000000</v>
      </c>
      <c r="I5228" s="739">
        <f t="shared" si="405"/>
        <v>10013863</v>
      </c>
      <c r="J5228" s="739"/>
      <c r="K5228" s="740"/>
      <c r="M5228" s="62" t="e">
        <f>IF(#REF!&gt;6,3,5)</f>
        <v>#REF!</v>
      </c>
    </row>
    <row r="5229" spans="1:13" ht="15">
      <c r="C5229" s="166"/>
      <c r="D5229" s="164" t="s">
        <v>5434</v>
      </c>
      <c r="E5229" s="165"/>
      <c r="F5229" s="165"/>
      <c r="G5229" s="165"/>
      <c r="H5229" s="165"/>
      <c r="I5229" s="165"/>
      <c r="J5229" s="584"/>
      <c r="K5229" s="584"/>
      <c r="M5229" s="62">
        <f>IF(C5229&gt;6,3,5)</f>
        <v>5</v>
      </c>
    </row>
    <row r="5230" spans="1:13" ht="15">
      <c r="C5230" s="166"/>
      <c r="D5230" s="164" t="s">
        <v>1693</v>
      </c>
      <c r="E5230" s="165"/>
      <c r="F5230" s="165"/>
      <c r="G5230" s="165"/>
      <c r="H5230" s="165"/>
      <c r="I5230" s="165"/>
      <c r="J5230" s="584"/>
      <c r="K5230" s="584"/>
    </row>
    <row r="5231" spans="1:13" ht="15">
      <c r="C5231" s="79" t="s">
        <v>717</v>
      </c>
      <c r="D5231" s="1058" t="s">
        <v>2777</v>
      </c>
      <c r="E5231" s="1060"/>
      <c r="F5231" s="165"/>
      <c r="G5231" s="165"/>
      <c r="H5231" s="165"/>
      <c r="I5231" s="165"/>
      <c r="J5231" s="584"/>
      <c r="K5231" s="584"/>
      <c r="M5231" s="62">
        <f>IF(C5231&gt;6,3,5)</f>
        <v>3</v>
      </c>
    </row>
    <row r="5232" spans="1:13" ht="15.75" thickBot="1">
      <c r="C5232" s="79" t="s">
        <v>718</v>
      </c>
      <c r="D5232" s="164" t="s">
        <v>1214</v>
      </c>
      <c r="E5232" s="165"/>
      <c r="F5232" s="165"/>
      <c r="G5232" s="165"/>
      <c r="H5232" s="165"/>
      <c r="I5232" s="165"/>
      <c r="J5232" s="584"/>
      <c r="K5232" s="584"/>
      <c r="M5232" s="62">
        <f>IF(C5232&gt;6,3,5)</f>
        <v>3</v>
      </c>
    </row>
    <row r="5233" spans="1:13" ht="15.75" thickTop="1">
      <c r="A5233" s="1047" t="s">
        <v>2791</v>
      </c>
      <c r="B5233" s="1049" t="s">
        <v>4126</v>
      </c>
      <c r="C5233" s="1049" t="s">
        <v>854</v>
      </c>
      <c r="D5233" s="1040" t="s">
        <v>4127</v>
      </c>
      <c r="E5233" s="1041"/>
      <c r="F5233" s="1041"/>
      <c r="G5233" s="1040" t="s">
        <v>904</v>
      </c>
      <c r="H5233" s="1041"/>
      <c r="I5233" s="1042"/>
      <c r="J5233" s="1035" t="s">
        <v>855</v>
      </c>
      <c r="K5233" s="389"/>
    </row>
    <row r="5234" spans="1:13" ht="26.25" thickBot="1">
      <c r="A5234" s="1048"/>
      <c r="B5234" s="1050"/>
      <c r="C5234" s="1050"/>
      <c r="D5234" s="285" t="s">
        <v>5505</v>
      </c>
      <c r="E5234" s="285" t="s">
        <v>4485</v>
      </c>
      <c r="F5234" s="285" t="s">
        <v>4486</v>
      </c>
      <c r="G5234" s="287" t="s">
        <v>4487</v>
      </c>
      <c r="H5234" s="285" t="s">
        <v>4488</v>
      </c>
      <c r="I5234" s="287" t="s">
        <v>4489</v>
      </c>
      <c r="J5234" s="1036"/>
      <c r="K5234" s="712"/>
    </row>
    <row r="5235" spans="1:13" ht="13.5" thickTop="1">
      <c r="A5235" s="88">
        <v>1</v>
      </c>
      <c r="B5235" s="265" t="s">
        <v>2840</v>
      </c>
      <c r="C5235" s="167" t="s">
        <v>2335</v>
      </c>
      <c r="D5235" s="155">
        <v>1</v>
      </c>
      <c r="E5235" s="155">
        <v>1</v>
      </c>
      <c r="F5235" s="155">
        <v>1</v>
      </c>
      <c r="G5235" s="155">
        <v>1</v>
      </c>
      <c r="H5235" s="155">
        <v>1</v>
      </c>
      <c r="I5235" s="155">
        <v>1</v>
      </c>
      <c r="J5235" s="713"/>
      <c r="K5235" s="711"/>
      <c r="M5235" s="62">
        <f>IF(C5235&gt;6,1,2)</f>
        <v>1</v>
      </c>
    </row>
    <row r="5236" spans="1:13">
      <c r="A5236" s="88">
        <f>+A5235+1</f>
        <v>2</v>
      </c>
      <c r="B5236" s="265" t="s">
        <v>1883</v>
      </c>
      <c r="C5236" s="167">
        <v>16</v>
      </c>
      <c r="D5236" s="155">
        <v>11</v>
      </c>
      <c r="E5236" s="155">
        <v>11</v>
      </c>
      <c r="F5236" s="155">
        <v>11</v>
      </c>
      <c r="G5236" s="155">
        <v>11</v>
      </c>
      <c r="H5236" s="155">
        <v>11</v>
      </c>
      <c r="I5236" s="155">
        <v>11</v>
      </c>
      <c r="J5236" s="710">
        <f>(VLOOKUP($C5236,[2]Sheet1!$A$2:$P$18,$M5236+1)/12)*12*D5236</f>
        <v>6943741.8692399999</v>
      </c>
      <c r="K5236" s="711"/>
      <c r="M5236" s="62">
        <f t="shared" ref="M5236:M5299" si="406">IF(C5236&gt;6,1,2)</f>
        <v>1</v>
      </c>
    </row>
    <row r="5237" spans="1:13">
      <c r="A5237" s="88">
        <f t="shared" ref="A5237:A5300" si="407">+A5236+1</f>
        <v>3</v>
      </c>
      <c r="B5237" s="265" t="s">
        <v>1877</v>
      </c>
      <c r="C5237" s="167">
        <v>15</v>
      </c>
      <c r="D5237" s="155">
        <v>2</v>
      </c>
      <c r="E5237" s="155">
        <v>2</v>
      </c>
      <c r="F5237" s="155">
        <v>2</v>
      </c>
      <c r="G5237" s="155">
        <v>0</v>
      </c>
      <c r="H5237" s="155">
        <v>0</v>
      </c>
      <c r="I5237" s="155">
        <v>1</v>
      </c>
      <c r="J5237" s="710">
        <f>(VLOOKUP($C5237,[2]Sheet1!$A$2:$P$18,$M5237+1)/12)*12*D5237</f>
        <v>1240055.79984</v>
      </c>
      <c r="K5237" s="711"/>
      <c r="M5237" s="62">
        <f t="shared" si="406"/>
        <v>1</v>
      </c>
    </row>
    <row r="5238" spans="1:13">
      <c r="A5238" s="88">
        <f t="shared" si="407"/>
        <v>4</v>
      </c>
      <c r="B5238" s="265" t="s">
        <v>3533</v>
      </c>
      <c r="C5238" s="167">
        <v>14</v>
      </c>
      <c r="D5238" s="155">
        <v>3</v>
      </c>
      <c r="E5238" s="155">
        <v>3</v>
      </c>
      <c r="F5238" s="155">
        <v>3</v>
      </c>
      <c r="G5238" s="155">
        <v>0</v>
      </c>
      <c r="H5238" s="155">
        <v>0</v>
      </c>
      <c r="I5238" s="155">
        <v>1</v>
      </c>
      <c r="J5238" s="710">
        <f>(VLOOKUP($C5238,[2]Sheet1!$A$2:$P$18,$M5238+1)/12)*12*D5238</f>
        <v>1922194.2247200001</v>
      </c>
      <c r="K5238" s="711"/>
      <c r="M5238" s="62">
        <f t="shared" si="406"/>
        <v>1</v>
      </c>
    </row>
    <row r="5239" spans="1:13">
      <c r="A5239" s="88">
        <f t="shared" si="407"/>
        <v>5</v>
      </c>
      <c r="B5239" s="265" t="s">
        <v>1878</v>
      </c>
      <c r="C5239" s="167">
        <v>12</v>
      </c>
      <c r="D5239" s="155">
        <v>2</v>
      </c>
      <c r="E5239" s="155">
        <v>2</v>
      </c>
      <c r="F5239" s="155">
        <v>2</v>
      </c>
      <c r="G5239" s="155">
        <v>0</v>
      </c>
      <c r="H5239" s="155">
        <v>0</v>
      </c>
      <c r="I5239" s="155">
        <v>1</v>
      </c>
      <c r="J5239" s="710">
        <f>(VLOOKUP($C5239,[2]Sheet1!$A$2:$P$18,$M5239+1)/12)*12*D5239</f>
        <v>1055546.1074400004</v>
      </c>
      <c r="K5239" s="711"/>
      <c r="M5239" s="62">
        <f t="shared" si="406"/>
        <v>1</v>
      </c>
    </row>
    <row r="5240" spans="1:13">
      <c r="A5240" s="88">
        <f t="shared" si="407"/>
        <v>6</v>
      </c>
      <c r="B5240" s="265" t="s">
        <v>1873</v>
      </c>
      <c r="C5240" s="167">
        <v>10</v>
      </c>
      <c r="D5240" s="155">
        <v>8</v>
      </c>
      <c r="E5240" s="155">
        <v>20</v>
      </c>
      <c r="F5240" s="155">
        <v>20</v>
      </c>
      <c r="G5240" s="155">
        <v>0</v>
      </c>
      <c r="H5240" s="155">
        <v>0</v>
      </c>
      <c r="I5240" s="155">
        <v>6</v>
      </c>
      <c r="J5240" s="710">
        <f>(VLOOKUP($C5240,[2]Sheet1!$A$2:$P$18,$M5240+1)/12)*12*D5240</f>
        <v>3745652.5497600008</v>
      </c>
      <c r="K5240" s="711"/>
      <c r="M5240" s="62">
        <f t="shared" si="406"/>
        <v>1</v>
      </c>
    </row>
    <row r="5241" spans="1:13">
      <c r="A5241" s="88">
        <f t="shared" si="407"/>
        <v>7</v>
      </c>
      <c r="B5241" s="265" t="s">
        <v>1874</v>
      </c>
      <c r="C5241" s="167">
        <v>9</v>
      </c>
      <c r="D5241" s="155">
        <v>5</v>
      </c>
      <c r="E5241" s="155">
        <v>20</v>
      </c>
      <c r="F5241" s="155">
        <v>20</v>
      </c>
      <c r="G5241" s="155">
        <v>0</v>
      </c>
      <c r="H5241" s="155">
        <v>0</v>
      </c>
      <c r="I5241" s="155">
        <v>1</v>
      </c>
      <c r="J5241" s="710">
        <f>(VLOOKUP($C5241,[2]Sheet1!$A$2:$P$18,$M5241+1)/12)*12*D5241</f>
        <v>1976769.531</v>
      </c>
      <c r="K5241" s="711"/>
      <c r="M5241" s="62">
        <f t="shared" si="406"/>
        <v>1</v>
      </c>
    </row>
    <row r="5242" spans="1:13">
      <c r="A5242" s="88">
        <f t="shared" si="407"/>
        <v>8</v>
      </c>
      <c r="B5242" s="265" t="s">
        <v>1875</v>
      </c>
      <c r="C5242" s="167">
        <v>13</v>
      </c>
      <c r="D5242" s="155">
        <v>3</v>
      </c>
      <c r="E5242" s="155">
        <v>3</v>
      </c>
      <c r="F5242" s="155">
        <v>3</v>
      </c>
      <c r="G5242" s="155">
        <v>0</v>
      </c>
      <c r="H5242" s="155">
        <v>0</v>
      </c>
      <c r="I5242" s="155">
        <v>1</v>
      </c>
      <c r="J5242" s="710">
        <f>(VLOOKUP($C5242,[2]Sheet1!$A$2:$P$18,$M5242+1)/12)*12*D5242</f>
        <v>1807222.61412</v>
      </c>
      <c r="K5242" s="711"/>
      <c r="M5242" s="62">
        <f t="shared" si="406"/>
        <v>1</v>
      </c>
    </row>
    <row r="5243" spans="1:13">
      <c r="A5243" s="88">
        <f t="shared" si="407"/>
        <v>9</v>
      </c>
      <c r="B5243" s="265" t="s">
        <v>1876</v>
      </c>
      <c r="C5243" s="167">
        <v>9</v>
      </c>
      <c r="D5243" s="155">
        <v>2</v>
      </c>
      <c r="E5243" s="155">
        <v>2</v>
      </c>
      <c r="F5243" s="155">
        <v>2</v>
      </c>
      <c r="G5243" s="155">
        <v>0</v>
      </c>
      <c r="H5243" s="155">
        <v>0</v>
      </c>
      <c r="I5243" s="155">
        <v>1</v>
      </c>
      <c r="J5243" s="710">
        <f>(VLOOKUP($C5243,[2]Sheet1!$A$2:$P$18,$M5243+1)/12)*12*D5243</f>
        <v>790707.81239999994</v>
      </c>
      <c r="K5243" s="711"/>
      <c r="M5243" s="62">
        <f t="shared" si="406"/>
        <v>1</v>
      </c>
    </row>
    <row r="5244" spans="1:13">
      <c r="A5244" s="88">
        <f t="shared" si="407"/>
        <v>10</v>
      </c>
      <c r="B5244" s="265" t="s">
        <v>2338</v>
      </c>
      <c r="C5244" s="167">
        <v>8</v>
      </c>
      <c r="D5244" s="155">
        <v>10</v>
      </c>
      <c r="E5244" s="155">
        <v>17</v>
      </c>
      <c r="F5244" s="155">
        <v>17</v>
      </c>
      <c r="G5244" s="155">
        <v>1</v>
      </c>
      <c r="H5244" s="155">
        <v>1</v>
      </c>
      <c r="I5244" s="155">
        <v>7</v>
      </c>
      <c r="J5244" s="710">
        <f>(VLOOKUP($C5244,[2]Sheet1!$A$2:$P$18,$M5244+1)/12)*12*D5244</f>
        <v>3301172.7407999998</v>
      </c>
      <c r="K5244" s="711"/>
      <c r="M5244" s="62">
        <f t="shared" si="406"/>
        <v>1</v>
      </c>
    </row>
    <row r="5245" spans="1:13">
      <c r="A5245" s="88">
        <f t="shared" si="407"/>
        <v>11</v>
      </c>
      <c r="B5245" s="265" t="s">
        <v>4064</v>
      </c>
      <c r="C5245" s="167">
        <v>7</v>
      </c>
      <c r="D5245" s="155">
        <v>10</v>
      </c>
      <c r="E5245" s="155">
        <v>17</v>
      </c>
      <c r="F5245" s="155">
        <v>17</v>
      </c>
      <c r="G5245" s="155">
        <v>1</v>
      </c>
      <c r="H5245" s="155">
        <v>1</v>
      </c>
      <c r="I5245" s="155">
        <v>7</v>
      </c>
      <c r="J5245" s="710">
        <f>(VLOOKUP($C5245,[2]Sheet1!$A$2:$P$18,$M5245+1)/12)*12*D5245</f>
        <v>2976987.0240000007</v>
      </c>
      <c r="K5245" s="711"/>
      <c r="M5245" s="62">
        <f t="shared" si="406"/>
        <v>1</v>
      </c>
    </row>
    <row r="5246" spans="1:13">
      <c r="A5246" s="88">
        <f t="shared" si="407"/>
        <v>12</v>
      </c>
      <c r="B5246" s="265" t="s">
        <v>3846</v>
      </c>
      <c r="C5246" s="167">
        <v>7</v>
      </c>
      <c r="D5246" s="155">
        <v>12</v>
      </c>
      <c r="E5246" s="155">
        <v>20</v>
      </c>
      <c r="F5246" s="155">
        <v>20</v>
      </c>
      <c r="G5246" s="155">
        <v>3</v>
      </c>
      <c r="H5246" s="155">
        <v>3</v>
      </c>
      <c r="I5246" s="155">
        <v>9</v>
      </c>
      <c r="J5246" s="710">
        <f>(VLOOKUP($C5246,[2]Sheet1!$A$2:$P$18,$M5246+1)/12)*12*D5246</f>
        <v>3572384.4288000008</v>
      </c>
      <c r="K5246" s="711"/>
      <c r="M5246" s="62">
        <f t="shared" si="406"/>
        <v>1</v>
      </c>
    </row>
    <row r="5247" spans="1:13">
      <c r="A5247" s="88">
        <f t="shared" si="407"/>
        <v>13</v>
      </c>
      <c r="B5247" s="265" t="s">
        <v>3847</v>
      </c>
      <c r="C5247" s="167">
        <v>5</v>
      </c>
      <c r="D5247" s="155">
        <v>7</v>
      </c>
      <c r="E5247" s="155">
        <v>22</v>
      </c>
      <c r="F5247" s="155">
        <v>22</v>
      </c>
      <c r="G5247" s="155">
        <v>2</v>
      </c>
      <c r="H5247" s="155">
        <v>15</v>
      </c>
      <c r="I5247" s="155">
        <v>4</v>
      </c>
      <c r="J5247" s="710">
        <f>(VLOOKUP($C5247,[2]Sheet1!$A$2:$P$18,$M5247+1)/12)*12*D5247</f>
        <v>1536932.4525125548</v>
      </c>
      <c r="K5247" s="711"/>
      <c r="M5247" s="62">
        <f t="shared" si="406"/>
        <v>2</v>
      </c>
    </row>
    <row r="5248" spans="1:13">
      <c r="A5248" s="88">
        <f t="shared" si="407"/>
        <v>14</v>
      </c>
      <c r="B5248" s="265" t="s">
        <v>2336</v>
      </c>
      <c r="C5248" s="167">
        <v>4</v>
      </c>
      <c r="D5248" s="155">
        <v>27</v>
      </c>
      <c r="E5248" s="155">
        <v>27</v>
      </c>
      <c r="F5248" s="155">
        <v>27</v>
      </c>
      <c r="G5248" s="155">
        <v>1</v>
      </c>
      <c r="H5248" s="155">
        <v>27</v>
      </c>
      <c r="I5248" s="155">
        <v>28</v>
      </c>
      <c r="J5248" s="710">
        <f>(VLOOKUP($C5248,[2]Sheet1!$A$2:$P$18,$M5248+1)/12)*12*D5248</f>
        <v>5830352.4311198555</v>
      </c>
      <c r="K5248" s="711"/>
      <c r="M5248" s="62">
        <f t="shared" si="406"/>
        <v>2</v>
      </c>
    </row>
    <row r="5249" spans="1:13">
      <c r="A5249" s="88">
        <f t="shared" si="407"/>
        <v>15</v>
      </c>
      <c r="B5249" s="265" t="s">
        <v>1069</v>
      </c>
      <c r="C5249" s="167">
        <v>3</v>
      </c>
      <c r="D5249" s="155">
        <v>10</v>
      </c>
      <c r="E5249" s="155">
        <v>33</v>
      </c>
      <c r="F5249" s="155">
        <v>33</v>
      </c>
      <c r="G5249" s="155">
        <v>78</v>
      </c>
      <c r="H5249" s="155">
        <v>40</v>
      </c>
      <c r="I5249" s="155">
        <v>7</v>
      </c>
      <c r="J5249" s="710">
        <f>(VLOOKUP($C5249,[2]Sheet1!$A$2:$P$18,$M5249+1)/12)*12*D5249</f>
        <v>2121721.7893036497</v>
      </c>
      <c r="K5249" s="711"/>
      <c r="M5249" s="62">
        <f t="shared" si="406"/>
        <v>2</v>
      </c>
    </row>
    <row r="5250" spans="1:13">
      <c r="A5250" s="88">
        <f t="shared" si="407"/>
        <v>16</v>
      </c>
      <c r="B5250" s="265" t="s">
        <v>2572</v>
      </c>
      <c r="C5250" s="167">
        <v>7</v>
      </c>
      <c r="D5250" s="155">
        <v>6</v>
      </c>
      <c r="E5250" s="155">
        <v>6</v>
      </c>
      <c r="F5250" s="155">
        <v>6</v>
      </c>
      <c r="G5250" s="155">
        <v>0</v>
      </c>
      <c r="H5250" s="155">
        <v>6</v>
      </c>
      <c r="I5250" s="155">
        <v>7</v>
      </c>
      <c r="J5250" s="710">
        <f>(VLOOKUP($C5250,[2]Sheet1!$A$2:$P$18,$M5250+1)/12)*12*D5250</f>
        <v>1786192.2144000004</v>
      </c>
      <c r="K5250" s="711"/>
      <c r="M5250" s="62">
        <f t="shared" si="406"/>
        <v>1</v>
      </c>
    </row>
    <row r="5251" spans="1:13">
      <c r="A5251" s="88">
        <f t="shared" si="407"/>
        <v>17</v>
      </c>
      <c r="B5251" s="265" t="s">
        <v>1749</v>
      </c>
      <c r="C5251" s="167">
        <v>6</v>
      </c>
      <c r="D5251" s="155">
        <v>5</v>
      </c>
      <c r="E5251" s="155">
        <v>5</v>
      </c>
      <c r="F5251" s="155">
        <v>5</v>
      </c>
      <c r="G5251" s="155">
        <v>2</v>
      </c>
      <c r="H5251" s="155">
        <v>2</v>
      </c>
      <c r="I5251" s="155">
        <v>6</v>
      </c>
      <c r="J5251" s="710">
        <f>(VLOOKUP($C5251,[2]Sheet1!$A$2:$P$18,$M5251+1)/12)*12*D5251</f>
        <v>1129656.8946518248</v>
      </c>
      <c r="K5251" s="711"/>
      <c r="M5251" s="62">
        <f t="shared" si="406"/>
        <v>2</v>
      </c>
    </row>
    <row r="5252" spans="1:13">
      <c r="A5252" s="88">
        <f t="shared" si="407"/>
        <v>18</v>
      </c>
      <c r="B5252" s="265" t="s">
        <v>3796</v>
      </c>
      <c r="C5252" s="167">
        <v>5</v>
      </c>
      <c r="D5252" s="155">
        <v>3</v>
      </c>
      <c r="E5252" s="155">
        <v>5</v>
      </c>
      <c r="F5252" s="155">
        <v>5</v>
      </c>
      <c r="G5252" s="155">
        <v>2</v>
      </c>
      <c r="H5252" s="155">
        <v>5</v>
      </c>
      <c r="I5252" s="155">
        <v>0</v>
      </c>
      <c r="J5252" s="710">
        <f>(VLOOKUP($C5252,[2]Sheet1!$A$2:$P$18,$M5252+1)/12)*12*D5252</f>
        <v>658685.33679109497</v>
      </c>
      <c r="K5252" s="711"/>
      <c r="M5252" s="62">
        <f t="shared" si="406"/>
        <v>2</v>
      </c>
    </row>
    <row r="5253" spans="1:13">
      <c r="A5253" s="88">
        <f t="shared" si="407"/>
        <v>19</v>
      </c>
      <c r="B5253" s="265" t="s">
        <v>3797</v>
      </c>
      <c r="C5253" s="167">
        <v>4</v>
      </c>
      <c r="D5253" s="155">
        <v>3</v>
      </c>
      <c r="E5253" s="155">
        <v>8</v>
      </c>
      <c r="F5253" s="155">
        <v>8</v>
      </c>
      <c r="G5253" s="155">
        <v>6</v>
      </c>
      <c r="H5253" s="155">
        <v>8</v>
      </c>
      <c r="I5253" s="155">
        <v>0</v>
      </c>
      <c r="J5253" s="710">
        <f>(VLOOKUP($C5253,[2]Sheet1!$A$2:$P$18,$M5253+1)/12)*12*D5253</f>
        <v>647816.93679109495</v>
      </c>
      <c r="K5253" s="711"/>
      <c r="M5253" s="62">
        <f t="shared" si="406"/>
        <v>2</v>
      </c>
    </row>
    <row r="5254" spans="1:13">
      <c r="A5254" s="88">
        <f t="shared" si="407"/>
        <v>20</v>
      </c>
      <c r="B5254" s="265" t="s">
        <v>3798</v>
      </c>
      <c r="C5254" s="167">
        <v>3</v>
      </c>
      <c r="D5254" s="155">
        <v>5</v>
      </c>
      <c r="E5254" s="155">
        <v>10</v>
      </c>
      <c r="F5254" s="155">
        <v>10</v>
      </c>
      <c r="G5254" s="155">
        <v>15</v>
      </c>
      <c r="H5254" s="155">
        <v>10</v>
      </c>
      <c r="I5254" s="155">
        <v>3</v>
      </c>
      <c r="J5254" s="710">
        <f>(VLOOKUP($C5254,[2]Sheet1!$A$2:$P$18,$M5254+1)/12)*12*D5254</f>
        <v>1060860.8946518248</v>
      </c>
      <c r="K5254" s="711"/>
      <c r="M5254" s="62">
        <f t="shared" si="406"/>
        <v>2</v>
      </c>
    </row>
    <row r="5255" spans="1:13">
      <c r="A5255" s="88">
        <f t="shared" si="407"/>
        <v>21</v>
      </c>
      <c r="B5255" s="265" t="s">
        <v>3250</v>
      </c>
      <c r="C5255" s="167">
        <v>7</v>
      </c>
      <c r="D5255" s="155">
        <v>4</v>
      </c>
      <c r="E5255" s="155">
        <v>8</v>
      </c>
      <c r="F5255" s="155">
        <v>8</v>
      </c>
      <c r="G5255" s="155">
        <v>2</v>
      </c>
      <c r="H5255" s="155">
        <v>3</v>
      </c>
      <c r="I5255" s="155">
        <v>1</v>
      </c>
      <c r="J5255" s="710">
        <f>(VLOOKUP($C5255,[2]Sheet1!$A$2:$P$18,$M5255+1)/12)*12*D5255</f>
        <v>1190794.8096000003</v>
      </c>
      <c r="K5255" s="711"/>
      <c r="M5255" s="62">
        <f t="shared" si="406"/>
        <v>1</v>
      </c>
    </row>
    <row r="5256" spans="1:13">
      <c r="A5256" s="88">
        <f t="shared" si="407"/>
        <v>22</v>
      </c>
      <c r="B5256" s="265" t="s">
        <v>1872</v>
      </c>
      <c r="C5256" s="167">
        <v>6</v>
      </c>
      <c r="D5256" s="155">
        <v>5</v>
      </c>
      <c r="E5256" s="155">
        <v>16</v>
      </c>
      <c r="F5256" s="155">
        <v>16</v>
      </c>
      <c r="G5256" s="155">
        <v>0</v>
      </c>
      <c r="H5256" s="155">
        <v>2</v>
      </c>
      <c r="I5256" s="155">
        <v>1</v>
      </c>
      <c r="J5256" s="710">
        <f>(VLOOKUP($C5256,[2]Sheet1!$A$2:$P$18,$M5256+1)/12)*12*D5256</f>
        <v>1129656.8946518248</v>
      </c>
      <c r="K5256" s="711"/>
      <c r="M5256" s="62">
        <f t="shared" si="406"/>
        <v>2</v>
      </c>
    </row>
    <row r="5257" spans="1:13">
      <c r="A5257" s="88">
        <f t="shared" si="407"/>
        <v>23</v>
      </c>
      <c r="B5257" s="265" t="s">
        <v>1266</v>
      </c>
      <c r="C5257" s="167">
        <v>5</v>
      </c>
      <c r="D5257" s="155">
        <v>6</v>
      </c>
      <c r="E5257" s="155">
        <v>10</v>
      </c>
      <c r="F5257" s="155">
        <v>10</v>
      </c>
      <c r="G5257" s="155">
        <v>1</v>
      </c>
      <c r="H5257" s="155">
        <v>4</v>
      </c>
      <c r="I5257" s="155">
        <v>4</v>
      </c>
      <c r="J5257" s="710">
        <f>(VLOOKUP($C5257,[2]Sheet1!$A$2:$P$18,$M5257+1)/12)*12*D5257</f>
        <v>1317370.6735821899</v>
      </c>
      <c r="K5257" s="711"/>
      <c r="M5257" s="62">
        <f t="shared" si="406"/>
        <v>2</v>
      </c>
    </row>
    <row r="5258" spans="1:13">
      <c r="A5258" s="88">
        <f t="shared" si="407"/>
        <v>24</v>
      </c>
      <c r="B5258" s="265" t="s">
        <v>1267</v>
      </c>
      <c r="C5258" s="167">
        <v>4</v>
      </c>
      <c r="D5258" s="155">
        <v>7</v>
      </c>
      <c r="E5258" s="155">
        <v>15</v>
      </c>
      <c r="F5258" s="155">
        <v>15</v>
      </c>
      <c r="G5258" s="155">
        <v>1</v>
      </c>
      <c r="H5258" s="155">
        <v>8</v>
      </c>
      <c r="I5258" s="155">
        <v>4</v>
      </c>
      <c r="J5258" s="710">
        <f>(VLOOKUP($C5258,[2]Sheet1!$A$2:$P$18,$M5258+1)/12)*12*D5258</f>
        <v>1511572.852512555</v>
      </c>
      <c r="K5258" s="711"/>
      <c r="M5258" s="62">
        <f t="shared" si="406"/>
        <v>2</v>
      </c>
    </row>
    <row r="5259" spans="1:13">
      <c r="A5259" s="88">
        <f t="shared" si="407"/>
        <v>25</v>
      </c>
      <c r="B5259" s="265" t="s">
        <v>3252</v>
      </c>
      <c r="C5259" s="167">
        <v>3</v>
      </c>
      <c r="D5259" s="155">
        <v>5</v>
      </c>
      <c r="E5259" s="155">
        <v>20</v>
      </c>
      <c r="F5259" s="155">
        <v>20</v>
      </c>
      <c r="G5259" s="155">
        <v>11</v>
      </c>
      <c r="H5259" s="155">
        <v>8</v>
      </c>
      <c r="I5259" s="155">
        <v>0</v>
      </c>
      <c r="J5259" s="710">
        <f>(VLOOKUP($C5259,[2]Sheet1!$A$2:$P$18,$M5259+1)/12)*12*D5259</f>
        <v>1060860.8946518248</v>
      </c>
      <c r="K5259" s="711"/>
      <c r="M5259" s="62">
        <f t="shared" si="406"/>
        <v>2</v>
      </c>
    </row>
    <row r="5260" spans="1:13">
      <c r="A5260" s="88">
        <f t="shared" si="407"/>
        <v>26</v>
      </c>
      <c r="B5260" s="265" t="s">
        <v>2179</v>
      </c>
      <c r="C5260" s="167">
        <v>4</v>
      </c>
      <c r="D5260" s="155">
        <v>22</v>
      </c>
      <c r="E5260" s="155">
        <v>30</v>
      </c>
      <c r="F5260" s="155">
        <v>30</v>
      </c>
      <c r="G5260" s="155">
        <v>1</v>
      </c>
      <c r="H5260" s="155">
        <v>3</v>
      </c>
      <c r="I5260" s="155">
        <v>19</v>
      </c>
      <c r="J5260" s="710">
        <f>(VLOOKUP($C5260,[2]Sheet1!$A$2:$P$18,$M5260+1)/12)*12*D5260</f>
        <v>4750657.53646803</v>
      </c>
      <c r="K5260" s="711"/>
      <c r="M5260" s="62">
        <f t="shared" si="406"/>
        <v>2</v>
      </c>
    </row>
    <row r="5261" spans="1:13">
      <c r="A5261" s="88">
        <f t="shared" si="407"/>
        <v>27</v>
      </c>
      <c r="B5261" s="265" t="s">
        <v>2542</v>
      </c>
      <c r="C5261" s="167">
        <v>3</v>
      </c>
      <c r="D5261" s="155">
        <v>22</v>
      </c>
      <c r="E5261" s="155">
        <v>35</v>
      </c>
      <c r="F5261" s="155">
        <v>35</v>
      </c>
      <c r="G5261" s="155">
        <v>3</v>
      </c>
      <c r="H5261" s="155">
        <v>5</v>
      </c>
      <c r="I5261" s="155">
        <v>19</v>
      </c>
      <c r="J5261" s="710">
        <f>(VLOOKUP($C5261,[2]Sheet1!$A$2:$P$18,$M5261+1)/12)*12*D5261</f>
        <v>4667787.9364680294</v>
      </c>
      <c r="K5261" s="711"/>
      <c r="M5261" s="62">
        <f t="shared" si="406"/>
        <v>2</v>
      </c>
    </row>
    <row r="5262" spans="1:13">
      <c r="A5262" s="88">
        <f t="shared" si="407"/>
        <v>28</v>
      </c>
      <c r="B5262" s="265" t="s">
        <v>2543</v>
      </c>
      <c r="C5262" s="167">
        <v>2</v>
      </c>
      <c r="D5262" s="155">
        <v>35</v>
      </c>
      <c r="E5262" s="155">
        <v>35</v>
      </c>
      <c r="F5262" s="155">
        <v>35</v>
      </c>
      <c r="G5262" s="155">
        <v>0</v>
      </c>
      <c r="H5262" s="155">
        <v>35</v>
      </c>
      <c r="I5262" s="155">
        <v>37</v>
      </c>
      <c r="J5262" s="710">
        <f>(VLOOKUP($C5262,[2]Sheet1!$A$2:$P$18,$M5262+1)/12)*12*D5262</f>
        <v>7312668.262562776</v>
      </c>
      <c r="K5262" s="711"/>
      <c r="M5262" s="62">
        <f t="shared" si="406"/>
        <v>2</v>
      </c>
    </row>
    <row r="5263" spans="1:13">
      <c r="A5263" s="88">
        <f t="shared" si="407"/>
        <v>29</v>
      </c>
      <c r="B5263" s="265" t="s">
        <v>1268</v>
      </c>
      <c r="C5263" s="167">
        <v>1</v>
      </c>
      <c r="D5263" s="155">
        <v>5</v>
      </c>
      <c r="E5263" s="155">
        <v>28</v>
      </c>
      <c r="F5263" s="155">
        <v>28</v>
      </c>
      <c r="G5263" s="155">
        <v>0</v>
      </c>
      <c r="H5263" s="155">
        <v>2</v>
      </c>
      <c r="I5263" s="155">
        <v>2</v>
      </c>
      <c r="J5263" s="710">
        <f>(VLOOKUP($C5263,[2]Sheet1!$A$2:$P$18,$M5263+1)/12)*12*D5263</f>
        <v>1014117.8946518248</v>
      </c>
      <c r="K5263" s="711"/>
      <c r="M5263" s="62">
        <f t="shared" si="406"/>
        <v>2</v>
      </c>
    </row>
    <row r="5264" spans="1:13">
      <c r="A5264" s="88">
        <f t="shared" si="407"/>
        <v>30</v>
      </c>
      <c r="B5264" s="265" t="s">
        <v>3861</v>
      </c>
      <c r="C5264" s="167">
        <v>1</v>
      </c>
      <c r="D5264" s="155">
        <v>31</v>
      </c>
      <c r="E5264" s="155">
        <v>35</v>
      </c>
      <c r="F5264" s="155">
        <v>35</v>
      </c>
      <c r="G5264" s="155">
        <v>0</v>
      </c>
      <c r="H5264" s="155">
        <v>31</v>
      </c>
      <c r="I5264" s="155">
        <v>31</v>
      </c>
      <c r="J5264" s="710">
        <f>(VLOOKUP($C5264,[2]Sheet1!$A$2:$P$18,$M5264+1)/12)*12*D5264</f>
        <v>6287530.9468413144</v>
      </c>
      <c r="K5264" s="711"/>
      <c r="M5264" s="62">
        <f t="shared" si="406"/>
        <v>2</v>
      </c>
    </row>
    <row r="5265" spans="1:13">
      <c r="A5265" s="88">
        <f t="shared" si="407"/>
        <v>31</v>
      </c>
      <c r="B5265" s="265" t="s">
        <v>2707</v>
      </c>
      <c r="C5265" s="167">
        <v>7</v>
      </c>
      <c r="D5265" s="155">
        <v>5</v>
      </c>
      <c r="E5265" s="155">
        <v>30</v>
      </c>
      <c r="F5265" s="155">
        <v>30</v>
      </c>
      <c r="G5265" s="155">
        <v>0</v>
      </c>
      <c r="H5265" s="155">
        <v>2</v>
      </c>
      <c r="I5265" s="155">
        <v>0</v>
      </c>
      <c r="J5265" s="710">
        <f>(VLOOKUP($C5265,[2]Sheet1!$A$2:$P$18,$M5265+1)/12)*12*D5265</f>
        <v>1488493.5120000003</v>
      </c>
      <c r="K5265" s="711"/>
      <c r="M5265" s="62">
        <f t="shared" si="406"/>
        <v>1</v>
      </c>
    </row>
    <row r="5266" spans="1:13">
      <c r="A5266" s="88">
        <f t="shared" si="407"/>
        <v>32</v>
      </c>
      <c r="B5266" s="265" t="s">
        <v>2172</v>
      </c>
      <c r="C5266" s="167">
        <v>1</v>
      </c>
      <c r="D5266" s="155">
        <v>55</v>
      </c>
      <c r="E5266" s="155">
        <v>96</v>
      </c>
      <c r="F5266" s="155">
        <v>96</v>
      </c>
      <c r="G5266" s="155">
        <v>47</v>
      </c>
      <c r="H5266" s="155">
        <v>73</v>
      </c>
      <c r="I5266" s="155">
        <v>47</v>
      </c>
      <c r="J5266" s="710">
        <f>(VLOOKUP($C5266,[2]Sheet1!$A$2:$P$18,$M5266+1)/12)*12*D5266</f>
        <v>11155296.841170074</v>
      </c>
      <c r="K5266" s="711"/>
      <c r="M5266" s="62">
        <f t="shared" si="406"/>
        <v>2</v>
      </c>
    </row>
    <row r="5267" spans="1:13">
      <c r="A5267" s="88">
        <f t="shared" si="407"/>
        <v>33</v>
      </c>
      <c r="B5267" s="265" t="s">
        <v>4262</v>
      </c>
      <c r="C5267" s="167">
        <v>9</v>
      </c>
      <c r="D5267" s="155">
        <v>5</v>
      </c>
      <c r="E5267" s="155">
        <v>5</v>
      </c>
      <c r="F5267" s="155">
        <v>5</v>
      </c>
      <c r="G5267" s="155">
        <v>0</v>
      </c>
      <c r="H5267" s="155">
        <v>1</v>
      </c>
      <c r="I5267" s="155">
        <v>0</v>
      </c>
      <c r="J5267" s="710">
        <f>(VLOOKUP($C5267,[2]Sheet1!$A$2:$P$18,$M5267+1)/12)*12*D5267</f>
        <v>1976769.531</v>
      </c>
      <c r="K5267" s="711"/>
      <c r="M5267" s="62">
        <f t="shared" si="406"/>
        <v>1</v>
      </c>
    </row>
    <row r="5268" spans="1:13">
      <c r="A5268" s="88">
        <f t="shared" si="407"/>
        <v>34</v>
      </c>
      <c r="B5268" s="265" t="s">
        <v>919</v>
      </c>
      <c r="C5268" s="167">
        <v>7</v>
      </c>
      <c r="D5268" s="155">
        <v>5</v>
      </c>
      <c r="E5268" s="155">
        <v>20</v>
      </c>
      <c r="F5268" s="155">
        <v>20</v>
      </c>
      <c r="G5268" s="155">
        <v>0</v>
      </c>
      <c r="H5268" s="155">
        <v>0</v>
      </c>
      <c r="I5268" s="155">
        <v>0</v>
      </c>
      <c r="J5268" s="710">
        <f>(VLOOKUP($C5268,[2]Sheet1!$A$2:$P$18,$M5268+1)/12)*12*D5268</f>
        <v>1488493.5120000003</v>
      </c>
      <c r="K5268" s="711"/>
      <c r="M5268" s="62">
        <f t="shared" si="406"/>
        <v>1</v>
      </c>
    </row>
    <row r="5269" spans="1:13" ht="13.5" thickBot="1">
      <c r="A5269" s="88">
        <f t="shared" si="407"/>
        <v>35</v>
      </c>
      <c r="B5269" s="265" t="s">
        <v>3896</v>
      </c>
      <c r="C5269" s="167">
        <v>6</v>
      </c>
      <c r="D5269" s="155">
        <v>5</v>
      </c>
      <c r="E5269" s="155">
        <v>25</v>
      </c>
      <c r="F5269" s="155">
        <v>25</v>
      </c>
      <c r="G5269" s="155">
        <v>0</v>
      </c>
      <c r="H5269" s="155">
        <v>1</v>
      </c>
      <c r="I5269" s="155">
        <v>0</v>
      </c>
      <c r="J5269" s="710">
        <f>(VLOOKUP($C5269,[2]Sheet1!$A$2:$P$18,$M5269+1)/12)*12*D5269</f>
        <v>1129656.8946518248</v>
      </c>
      <c r="K5269" s="711"/>
      <c r="M5269" s="62">
        <f t="shared" si="406"/>
        <v>2</v>
      </c>
    </row>
    <row r="5270" spans="1:13" ht="15.75" thickTop="1">
      <c r="A5270" s="1047" t="s">
        <v>2791</v>
      </c>
      <c r="B5270" s="1049" t="s">
        <v>4126</v>
      </c>
      <c r="C5270" s="1049" t="s">
        <v>854</v>
      </c>
      <c r="D5270" s="1040" t="s">
        <v>4127</v>
      </c>
      <c r="E5270" s="1041"/>
      <c r="F5270" s="1041"/>
      <c r="G5270" s="1040" t="s">
        <v>904</v>
      </c>
      <c r="H5270" s="1041"/>
      <c r="I5270" s="1042"/>
      <c r="J5270" s="1035" t="s">
        <v>855</v>
      </c>
      <c r="K5270" s="389"/>
      <c r="M5270" s="62">
        <f t="shared" si="406"/>
        <v>1</v>
      </c>
    </row>
    <row r="5271" spans="1:13" ht="26.25" thickBot="1">
      <c r="A5271" s="1048"/>
      <c r="B5271" s="1050"/>
      <c r="C5271" s="1050"/>
      <c r="D5271" s="285" t="s">
        <v>5505</v>
      </c>
      <c r="E5271" s="285" t="s">
        <v>4485</v>
      </c>
      <c r="F5271" s="285" t="s">
        <v>4486</v>
      </c>
      <c r="G5271" s="287" t="s">
        <v>4487</v>
      </c>
      <c r="H5271" s="285" t="s">
        <v>4488</v>
      </c>
      <c r="I5271" s="287" t="s">
        <v>4489</v>
      </c>
      <c r="J5271" s="1036"/>
      <c r="K5271" s="712"/>
      <c r="M5271" s="62">
        <f t="shared" si="406"/>
        <v>2</v>
      </c>
    </row>
    <row r="5272" spans="1:13" ht="13.5" thickTop="1">
      <c r="A5272" s="88"/>
      <c r="B5272" s="90" t="s">
        <v>856</v>
      </c>
      <c r="C5272" s="167"/>
      <c r="D5272" s="155"/>
      <c r="E5272" s="155"/>
      <c r="F5272" s="155"/>
      <c r="G5272" s="155"/>
      <c r="H5272" s="155"/>
      <c r="I5272" s="155"/>
      <c r="J5272" s="713"/>
      <c r="K5272" s="711"/>
      <c r="M5272" s="62">
        <f t="shared" si="406"/>
        <v>2</v>
      </c>
    </row>
    <row r="5273" spans="1:13">
      <c r="A5273" s="88">
        <v>1</v>
      </c>
      <c r="B5273" s="265" t="s">
        <v>5372</v>
      </c>
      <c r="C5273" s="167">
        <v>16</v>
      </c>
      <c r="D5273" s="155">
        <v>1</v>
      </c>
      <c r="E5273" s="155">
        <v>1</v>
      </c>
      <c r="F5273" s="155">
        <v>1</v>
      </c>
      <c r="G5273" s="155">
        <v>1</v>
      </c>
      <c r="H5273" s="155">
        <v>1</v>
      </c>
      <c r="I5273" s="155">
        <v>1</v>
      </c>
      <c r="J5273" s="710">
        <f>(VLOOKUP($C5273,[2]Sheet1!$A$2:$P$18,$M5273+1)/12)*12*D5273</f>
        <v>631249.26084</v>
      </c>
      <c r="K5273" s="711"/>
      <c r="M5273" s="62">
        <f t="shared" si="406"/>
        <v>1</v>
      </c>
    </row>
    <row r="5274" spans="1:13">
      <c r="A5274" s="88">
        <f>+A5273+1</f>
        <v>2</v>
      </c>
      <c r="B5274" s="265" t="s">
        <v>1256</v>
      </c>
      <c r="C5274" s="167">
        <v>15</v>
      </c>
      <c r="D5274" s="155">
        <v>1</v>
      </c>
      <c r="E5274" s="155">
        <v>3</v>
      </c>
      <c r="F5274" s="155">
        <v>1</v>
      </c>
      <c r="G5274" s="155">
        <v>1</v>
      </c>
      <c r="H5274" s="155">
        <v>3</v>
      </c>
      <c r="I5274" s="155">
        <v>1</v>
      </c>
      <c r="J5274" s="710">
        <f>(VLOOKUP($C5274,[2]Sheet1!$A$2:$P$18,$M5274+1)/12)*12*D5274</f>
        <v>620027.89992</v>
      </c>
      <c r="K5274" s="711"/>
      <c r="M5274" s="62">
        <f t="shared" si="406"/>
        <v>1</v>
      </c>
    </row>
    <row r="5275" spans="1:13">
      <c r="A5275" s="88">
        <f t="shared" si="407"/>
        <v>3</v>
      </c>
      <c r="B5275" s="265" t="s">
        <v>3533</v>
      </c>
      <c r="C5275" s="167">
        <v>14</v>
      </c>
      <c r="D5275" s="155">
        <v>2</v>
      </c>
      <c r="E5275" s="155">
        <v>2</v>
      </c>
      <c r="F5275" s="155">
        <v>3</v>
      </c>
      <c r="G5275" s="155">
        <v>3</v>
      </c>
      <c r="H5275" s="155">
        <v>2</v>
      </c>
      <c r="I5275" s="155">
        <v>1</v>
      </c>
      <c r="J5275" s="710">
        <f>(VLOOKUP($C5275,[2]Sheet1!$A$2:$P$18,$M5275+1)/12)*12*D5275</f>
        <v>1281462.81648</v>
      </c>
      <c r="K5275" s="711"/>
      <c r="M5275" s="62">
        <f t="shared" si="406"/>
        <v>1</v>
      </c>
    </row>
    <row r="5276" spans="1:13">
      <c r="A5276" s="88">
        <f t="shared" si="407"/>
        <v>4</v>
      </c>
      <c r="B5276" s="265" t="s">
        <v>2058</v>
      </c>
      <c r="C5276" s="167">
        <v>13</v>
      </c>
      <c r="D5276" s="155">
        <v>4</v>
      </c>
      <c r="E5276" s="155">
        <v>2</v>
      </c>
      <c r="F5276" s="155">
        <v>1</v>
      </c>
      <c r="G5276" s="155">
        <v>1</v>
      </c>
      <c r="H5276" s="155">
        <v>2</v>
      </c>
      <c r="I5276" s="155">
        <v>4</v>
      </c>
      <c r="J5276" s="710">
        <f>(VLOOKUP($C5276,[2]Sheet1!$A$2:$P$18,$M5276+1)/12)*12*D5276</f>
        <v>2409630.1521600001</v>
      </c>
      <c r="K5276" s="711"/>
      <c r="M5276" s="62">
        <f t="shared" si="406"/>
        <v>1</v>
      </c>
    </row>
    <row r="5277" spans="1:13">
      <c r="A5277" s="88">
        <f t="shared" si="407"/>
        <v>5</v>
      </c>
      <c r="B5277" s="265" t="s">
        <v>2059</v>
      </c>
      <c r="C5277" s="167">
        <v>12</v>
      </c>
      <c r="D5277" s="155">
        <v>3</v>
      </c>
      <c r="E5277" s="155">
        <v>6</v>
      </c>
      <c r="F5277" s="155">
        <v>2</v>
      </c>
      <c r="G5277" s="155">
        <v>2</v>
      </c>
      <c r="H5277" s="155">
        <v>6</v>
      </c>
      <c r="I5277" s="155">
        <v>3</v>
      </c>
      <c r="J5277" s="710">
        <f>(VLOOKUP($C5277,[2]Sheet1!$A$2:$P$18,$M5277+1)/12)*12*D5277</f>
        <v>1583319.1611600006</v>
      </c>
      <c r="K5277" s="711"/>
      <c r="M5277" s="62">
        <f t="shared" si="406"/>
        <v>1</v>
      </c>
    </row>
    <row r="5278" spans="1:13">
      <c r="A5278" s="88">
        <f t="shared" si="407"/>
        <v>6</v>
      </c>
      <c r="B5278" s="265" t="s">
        <v>565</v>
      </c>
      <c r="C5278" s="167">
        <v>10</v>
      </c>
      <c r="D5278" s="155">
        <v>4</v>
      </c>
      <c r="E5278" s="155">
        <v>9</v>
      </c>
      <c r="F5278" s="155">
        <v>4</v>
      </c>
      <c r="G5278" s="155">
        <v>4</v>
      </c>
      <c r="H5278" s="155">
        <v>9</v>
      </c>
      <c r="I5278" s="155">
        <v>2</v>
      </c>
      <c r="J5278" s="710">
        <f>(VLOOKUP($C5278,[2]Sheet1!$A$2:$P$18,$M5278+1)/12)*12*D5278</f>
        <v>1872826.2748800004</v>
      </c>
      <c r="K5278" s="711"/>
      <c r="M5278" s="62">
        <f t="shared" si="406"/>
        <v>1</v>
      </c>
    </row>
    <row r="5279" spans="1:13">
      <c r="A5279" s="88">
        <f t="shared" si="407"/>
        <v>7</v>
      </c>
      <c r="B5279" s="265" t="s">
        <v>566</v>
      </c>
      <c r="C5279" s="167">
        <v>9</v>
      </c>
      <c r="D5279" s="155">
        <v>9</v>
      </c>
      <c r="E5279" s="155">
        <v>8</v>
      </c>
      <c r="F5279" s="155">
        <v>5</v>
      </c>
      <c r="G5279" s="155">
        <v>5</v>
      </c>
      <c r="H5279" s="155">
        <v>8</v>
      </c>
      <c r="I5279" s="155">
        <v>9</v>
      </c>
      <c r="J5279" s="710">
        <f>(VLOOKUP($C5279,[2]Sheet1!$A$2:$P$18,$M5279+1)/12)*12*D5279</f>
        <v>3558185.1557999998</v>
      </c>
      <c r="K5279" s="711"/>
      <c r="M5279" s="62">
        <f t="shared" si="406"/>
        <v>1</v>
      </c>
    </row>
    <row r="5280" spans="1:13">
      <c r="A5280" s="88">
        <f t="shared" si="407"/>
        <v>8</v>
      </c>
      <c r="B5280" s="265" t="s">
        <v>413</v>
      </c>
      <c r="C5280" s="167">
        <v>8</v>
      </c>
      <c r="D5280" s="155">
        <v>15</v>
      </c>
      <c r="E5280" s="155">
        <v>13</v>
      </c>
      <c r="F5280" s="155">
        <v>10</v>
      </c>
      <c r="G5280" s="155">
        <v>10</v>
      </c>
      <c r="H5280" s="155">
        <v>13</v>
      </c>
      <c r="I5280" s="155">
        <v>15</v>
      </c>
      <c r="J5280" s="710">
        <f>(VLOOKUP($C5280,[2]Sheet1!$A$2:$P$18,$M5280+1)/12)*12*D5280</f>
        <v>4951759.1112000002</v>
      </c>
      <c r="K5280" s="711"/>
      <c r="M5280" s="62">
        <f t="shared" si="406"/>
        <v>1</v>
      </c>
    </row>
    <row r="5281" spans="1:13">
      <c r="A5281" s="88">
        <f t="shared" si="407"/>
        <v>9</v>
      </c>
      <c r="B5281" s="265" t="s">
        <v>414</v>
      </c>
      <c r="C5281" s="167">
        <v>10</v>
      </c>
      <c r="D5281" s="155">
        <v>2</v>
      </c>
      <c r="E5281" s="155">
        <v>5</v>
      </c>
      <c r="F5281" s="155">
        <v>10</v>
      </c>
      <c r="G5281" s="155">
        <v>10</v>
      </c>
      <c r="H5281" s="155">
        <v>5</v>
      </c>
      <c r="I5281" s="155">
        <v>2</v>
      </c>
      <c r="J5281" s="710">
        <f>(VLOOKUP($C5281,[2]Sheet1!$A$2:$P$18,$M5281+1)/12)*12*D5281</f>
        <v>936413.1374400002</v>
      </c>
      <c r="K5281" s="711"/>
      <c r="M5281" s="62">
        <f t="shared" si="406"/>
        <v>1</v>
      </c>
    </row>
    <row r="5282" spans="1:13">
      <c r="A5282" s="88">
        <f t="shared" si="407"/>
        <v>10</v>
      </c>
      <c r="B5282" s="265" t="s">
        <v>415</v>
      </c>
      <c r="C5282" s="167">
        <v>6</v>
      </c>
      <c r="D5282" s="155">
        <v>13</v>
      </c>
      <c r="E5282" s="155">
        <v>15</v>
      </c>
      <c r="F5282" s="155">
        <v>13</v>
      </c>
      <c r="G5282" s="155">
        <v>13</v>
      </c>
      <c r="H5282" s="155">
        <v>15</v>
      </c>
      <c r="I5282" s="155">
        <v>13</v>
      </c>
      <c r="J5282" s="710">
        <f>(VLOOKUP($C5282,[2]Sheet1!$A$2:$P$18,$M5282+1)/12)*12*D5282</f>
        <v>2937107.9260947444</v>
      </c>
      <c r="K5282" s="711"/>
      <c r="M5282" s="62">
        <f t="shared" si="406"/>
        <v>2</v>
      </c>
    </row>
    <row r="5283" spans="1:13">
      <c r="A5283" s="88">
        <f>+A5282+1</f>
        <v>11</v>
      </c>
      <c r="B5283" s="265" t="s">
        <v>416</v>
      </c>
      <c r="C5283" s="167">
        <v>10</v>
      </c>
      <c r="D5283" s="155">
        <v>1</v>
      </c>
      <c r="E5283" s="155">
        <v>0</v>
      </c>
      <c r="F5283" s="155">
        <v>1</v>
      </c>
      <c r="G5283" s="155">
        <v>1</v>
      </c>
      <c r="H5283" s="155">
        <v>0</v>
      </c>
      <c r="I5283" s="155">
        <v>1</v>
      </c>
      <c r="J5283" s="710">
        <f>(VLOOKUP($C5283,[2]Sheet1!$A$2:$P$18,$M5283+1)/12)*12*D5283</f>
        <v>468206.5687200001</v>
      </c>
      <c r="K5283" s="711"/>
      <c r="M5283" s="62">
        <f t="shared" si="406"/>
        <v>1</v>
      </c>
    </row>
    <row r="5284" spans="1:13">
      <c r="A5284" s="88">
        <f t="shared" si="407"/>
        <v>12</v>
      </c>
      <c r="B5284" s="265" t="s">
        <v>417</v>
      </c>
      <c r="C5284" s="167">
        <v>9</v>
      </c>
      <c r="D5284" s="155">
        <v>0</v>
      </c>
      <c r="E5284" s="155">
        <v>1</v>
      </c>
      <c r="F5284" s="155">
        <v>0</v>
      </c>
      <c r="G5284" s="155">
        <v>0</v>
      </c>
      <c r="H5284" s="155">
        <v>1</v>
      </c>
      <c r="I5284" s="155">
        <v>0</v>
      </c>
      <c r="J5284" s="710">
        <f>(VLOOKUP($C5284,[2]Sheet1!$A$2:$P$18,$M5284+1)/12)*12*D5284</f>
        <v>0</v>
      </c>
      <c r="K5284" s="711"/>
      <c r="M5284" s="62">
        <f t="shared" si="406"/>
        <v>1</v>
      </c>
    </row>
    <row r="5285" spans="1:13">
      <c r="A5285" s="88">
        <f t="shared" si="407"/>
        <v>13</v>
      </c>
      <c r="B5285" s="265" t="s">
        <v>927</v>
      </c>
      <c r="C5285" s="167">
        <v>8</v>
      </c>
      <c r="D5285" s="155">
        <v>0</v>
      </c>
      <c r="E5285" s="155">
        <v>2</v>
      </c>
      <c r="F5285" s="155">
        <v>0</v>
      </c>
      <c r="G5285" s="155">
        <v>0</v>
      </c>
      <c r="H5285" s="155">
        <v>2</v>
      </c>
      <c r="I5285" s="155">
        <v>0</v>
      </c>
      <c r="J5285" s="710">
        <f>(VLOOKUP($C5285,[2]Sheet1!$A$2:$P$18,$M5285+1)/12)*12*D5285</f>
        <v>0</v>
      </c>
      <c r="K5285" s="711"/>
      <c r="M5285" s="62">
        <f t="shared" si="406"/>
        <v>1</v>
      </c>
    </row>
    <row r="5286" spans="1:13">
      <c r="A5286" s="88">
        <f t="shared" si="407"/>
        <v>14</v>
      </c>
      <c r="B5286" s="265" t="s">
        <v>928</v>
      </c>
      <c r="C5286" s="167">
        <v>7</v>
      </c>
      <c r="D5286" s="155">
        <v>2</v>
      </c>
      <c r="E5286" s="155">
        <v>2</v>
      </c>
      <c r="F5286" s="155">
        <v>2</v>
      </c>
      <c r="G5286" s="155">
        <v>2</v>
      </c>
      <c r="H5286" s="155">
        <v>2</v>
      </c>
      <c r="I5286" s="155">
        <v>2</v>
      </c>
      <c r="J5286" s="710">
        <f>(VLOOKUP($C5286,[2]Sheet1!$A$2:$P$18,$M5286+1)/12)*12*D5286</f>
        <v>595397.40480000013</v>
      </c>
      <c r="K5286" s="711"/>
      <c r="M5286" s="62">
        <f t="shared" si="406"/>
        <v>1</v>
      </c>
    </row>
    <row r="5287" spans="1:13">
      <c r="A5287" s="88">
        <f>+A5286+1</f>
        <v>15</v>
      </c>
      <c r="B5287" s="69" t="s">
        <v>929</v>
      </c>
      <c r="C5287" s="167">
        <v>6</v>
      </c>
      <c r="D5287" s="155">
        <v>3</v>
      </c>
      <c r="E5287" s="155">
        <v>5</v>
      </c>
      <c r="F5287" s="155">
        <v>0</v>
      </c>
      <c r="G5287" s="155">
        <v>0</v>
      </c>
      <c r="H5287" s="155">
        <v>5</v>
      </c>
      <c r="I5287" s="155">
        <v>3</v>
      </c>
      <c r="J5287" s="710">
        <f>(VLOOKUP($C5287,[2]Sheet1!$A$2:$P$18,$M5287+1)/12)*12*D5287</f>
        <v>677794.1367910949</v>
      </c>
      <c r="K5287" s="711"/>
      <c r="M5287" s="62">
        <f t="shared" si="406"/>
        <v>2</v>
      </c>
    </row>
    <row r="5288" spans="1:13">
      <c r="A5288" s="88">
        <f t="shared" si="407"/>
        <v>16</v>
      </c>
      <c r="B5288" s="69" t="s">
        <v>930</v>
      </c>
      <c r="C5288" s="167">
        <v>5</v>
      </c>
      <c r="D5288" s="155">
        <v>12</v>
      </c>
      <c r="E5288" s="155">
        <v>5</v>
      </c>
      <c r="F5288" s="155">
        <v>3</v>
      </c>
      <c r="G5288" s="155">
        <v>3</v>
      </c>
      <c r="H5288" s="155">
        <v>5</v>
      </c>
      <c r="I5288" s="155">
        <v>12</v>
      </c>
      <c r="J5288" s="710">
        <f>(VLOOKUP($C5288,[2]Sheet1!$A$2:$P$18,$M5288+1)/12)*12*D5288</f>
        <v>2634741.3471643799</v>
      </c>
      <c r="K5288" s="711"/>
      <c r="M5288" s="62">
        <f t="shared" si="406"/>
        <v>2</v>
      </c>
    </row>
    <row r="5289" spans="1:13">
      <c r="A5289" s="88">
        <f t="shared" si="407"/>
        <v>17</v>
      </c>
      <c r="B5289" s="69" t="s">
        <v>931</v>
      </c>
      <c r="C5289" s="167">
        <v>4</v>
      </c>
      <c r="D5289" s="155">
        <v>6</v>
      </c>
      <c r="E5289" s="155">
        <v>12</v>
      </c>
      <c r="F5289" s="155">
        <v>1</v>
      </c>
      <c r="G5289" s="155">
        <v>1</v>
      </c>
      <c r="H5289" s="155">
        <v>12</v>
      </c>
      <c r="I5289" s="155">
        <v>6</v>
      </c>
      <c r="J5289" s="710">
        <f>(VLOOKUP($C5289,[2]Sheet1!$A$2:$P$18,$M5289+1)/12)*12*D5289</f>
        <v>1295633.8735821899</v>
      </c>
      <c r="K5289" s="711"/>
      <c r="M5289" s="62">
        <f t="shared" si="406"/>
        <v>2</v>
      </c>
    </row>
    <row r="5290" spans="1:13">
      <c r="A5290" s="88">
        <f t="shared" si="407"/>
        <v>18</v>
      </c>
      <c r="B5290" s="69" t="s">
        <v>932</v>
      </c>
      <c r="C5290" s="167">
        <v>3</v>
      </c>
      <c r="D5290" s="155">
        <v>5</v>
      </c>
      <c r="E5290" s="155">
        <v>10</v>
      </c>
      <c r="F5290" s="155">
        <v>0</v>
      </c>
      <c r="G5290" s="155">
        <v>0</v>
      </c>
      <c r="H5290" s="155">
        <v>10</v>
      </c>
      <c r="I5290" s="155">
        <v>5</v>
      </c>
      <c r="J5290" s="710">
        <f>(VLOOKUP($C5290,[2]Sheet1!$A$2:$P$18,$M5290+1)/12)*12*D5290</f>
        <v>1060860.8946518248</v>
      </c>
      <c r="K5290" s="711"/>
      <c r="M5290" s="62">
        <f t="shared" si="406"/>
        <v>2</v>
      </c>
    </row>
    <row r="5291" spans="1:13">
      <c r="A5291" s="88"/>
      <c r="B5291" s="90" t="s">
        <v>933</v>
      </c>
      <c r="C5291" s="167"/>
      <c r="D5291" s="155"/>
      <c r="E5291" s="155"/>
      <c r="F5291" s="155"/>
      <c r="G5291" s="155"/>
      <c r="H5291" s="155"/>
      <c r="I5291" s="155"/>
      <c r="J5291" s="710"/>
      <c r="K5291" s="711"/>
      <c r="M5291" s="62">
        <f t="shared" si="406"/>
        <v>2</v>
      </c>
    </row>
    <row r="5292" spans="1:13">
      <c r="A5292" s="88">
        <v>1</v>
      </c>
      <c r="B5292" s="69" t="s">
        <v>922</v>
      </c>
      <c r="C5292" s="167">
        <v>13</v>
      </c>
      <c r="D5292" s="155">
        <v>0</v>
      </c>
      <c r="E5292" s="155">
        <v>0</v>
      </c>
      <c r="F5292" s="155">
        <v>0</v>
      </c>
      <c r="G5292" s="155">
        <v>0</v>
      </c>
      <c r="H5292" s="155">
        <v>0</v>
      </c>
      <c r="I5292" s="155">
        <v>0</v>
      </c>
      <c r="J5292" s="710">
        <f>(VLOOKUP($C5292,[2]Sheet1!$A$2:$P$18,$M5292+1)/12)*12*D5292</f>
        <v>0</v>
      </c>
      <c r="K5292" s="711"/>
      <c r="M5292" s="62">
        <f t="shared" si="406"/>
        <v>1</v>
      </c>
    </row>
    <row r="5293" spans="1:13">
      <c r="A5293" s="88">
        <f t="shared" si="407"/>
        <v>2</v>
      </c>
      <c r="B5293" s="69" t="s">
        <v>1070</v>
      </c>
      <c r="C5293" s="167">
        <v>12</v>
      </c>
      <c r="D5293" s="155">
        <v>0</v>
      </c>
      <c r="E5293" s="155">
        <v>0</v>
      </c>
      <c r="F5293" s="155">
        <v>0</v>
      </c>
      <c r="G5293" s="155">
        <v>0</v>
      </c>
      <c r="H5293" s="155">
        <v>0</v>
      </c>
      <c r="I5293" s="155">
        <v>0</v>
      </c>
      <c r="J5293" s="710">
        <f>(VLOOKUP($C5293,[2]Sheet1!$A$2:$P$18,$M5293+1)/12)*12*D5293</f>
        <v>0</v>
      </c>
      <c r="K5293" s="711"/>
      <c r="M5293" s="62">
        <f t="shared" si="406"/>
        <v>1</v>
      </c>
    </row>
    <row r="5294" spans="1:13">
      <c r="A5294" s="88">
        <f t="shared" si="407"/>
        <v>3</v>
      </c>
      <c r="B5294" s="69" t="s">
        <v>1394</v>
      </c>
      <c r="C5294" s="167">
        <v>10</v>
      </c>
      <c r="D5294" s="155">
        <v>0</v>
      </c>
      <c r="E5294" s="155">
        <v>0</v>
      </c>
      <c r="F5294" s="155">
        <v>0</v>
      </c>
      <c r="G5294" s="155">
        <v>0</v>
      </c>
      <c r="H5294" s="155">
        <v>0</v>
      </c>
      <c r="I5294" s="155">
        <v>0</v>
      </c>
      <c r="J5294" s="710">
        <f>(VLOOKUP($C5294,[2]Sheet1!$A$2:$P$18,$M5294+1)/12)*12*D5294</f>
        <v>0</v>
      </c>
      <c r="K5294" s="711"/>
      <c r="M5294" s="62">
        <f t="shared" si="406"/>
        <v>1</v>
      </c>
    </row>
    <row r="5295" spans="1:13">
      <c r="A5295" s="88">
        <f t="shared" si="407"/>
        <v>4</v>
      </c>
      <c r="B5295" s="69" t="s">
        <v>1395</v>
      </c>
      <c r="C5295" s="167">
        <v>9</v>
      </c>
      <c r="D5295" s="155">
        <v>0</v>
      </c>
      <c r="E5295" s="155">
        <v>0</v>
      </c>
      <c r="F5295" s="155">
        <v>0</v>
      </c>
      <c r="G5295" s="155">
        <v>0</v>
      </c>
      <c r="H5295" s="155">
        <v>0</v>
      </c>
      <c r="I5295" s="155">
        <v>0</v>
      </c>
      <c r="J5295" s="710">
        <f>(VLOOKUP($C5295,[2]Sheet1!$A$2:$P$18,$M5295+1)/12)*12*D5295</f>
        <v>0</v>
      </c>
      <c r="K5295" s="711"/>
      <c r="M5295" s="62">
        <f t="shared" si="406"/>
        <v>1</v>
      </c>
    </row>
    <row r="5296" spans="1:13">
      <c r="A5296" s="88">
        <f t="shared" si="407"/>
        <v>5</v>
      </c>
      <c r="B5296" s="69" t="s">
        <v>1396</v>
      </c>
      <c r="C5296" s="167">
        <v>8</v>
      </c>
      <c r="D5296" s="155">
        <v>1</v>
      </c>
      <c r="E5296" s="155">
        <v>2</v>
      </c>
      <c r="F5296" s="155">
        <v>0</v>
      </c>
      <c r="G5296" s="155">
        <v>0</v>
      </c>
      <c r="H5296" s="155">
        <v>0</v>
      </c>
      <c r="I5296" s="155">
        <v>1</v>
      </c>
      <c r="J5296" s="710">
        <f>(VLOOKUP($C5296,[2]Sheet1!$A$2:$P$18,$M5296+1)/12)*12*D5296</f>
        <v>330117.27408</v>
      </c>
      <c r="K5296" s="711"/>
      <c r="M5296" s="62">
        <f t="shared" si="406"/>
        <v>1</v>
      </c>
    </row>
    <row r="5297" spans="1:13">
      <c r="A5297" s="88">
        <f t="shared" si="407"/>
        <v>6</v>
      </c>
      <c r="B5297" s="69" t="s">
        <v>1373</v>
      </c>
      <c r="C5297" s="167">
        <v>7</v>
      </c>
      <c r="D5297" s="155">
        <v>0</v>
      </c>
      <c r="E5297" s="155">
        <v>0</v>
      </c>
      <c r="F5297" s="155">
        <v>0</v>
      </c>
      <c r="G5297" s="155">
        <v>0</v>
      </c>
      <c r="H5297" s="155">
        <v>0</v>
      </c>
      <c r="I5297" s="155">
        <v>0</v>
      </c>
      <c r="J5297" s="710">
        <f>(VLOOKUP($C5297,[2]Sheet1!$A$2:$P$18,$M5297+1)/12)*12*D5297</f>
        <v>0</v>
      </c>
      <c r="K5297" s="711"/>
      <c r="M5297" s="62">
        <f t="shared" si="406"/>
        <v>1</v>
      </c>
    </row>
    <row r="5298" spans="1:13">
      <c r="A5298" s="88">
        <f t="shared" si="407"/>
        <v>7</v>
      </c>
      <c r="B5298" s="69" t="s">
        <v>1374</v>
      </c>
      <c r="C5298" s="167">
        <v>6</v>
      </c>
      <c r="D5298" s="155">
        <v>0</v>
      </c>
      <c r="E5298" s="155">
        <v>1</v>
      </c>
      <c r="F5298" s="155">
        <v>0</v>
      </c>
      <c r="G5298" s="155">
        <v>0</v>
      </c>
      <c r="H5298" s="155">
        <v>0</v>
      </c>
      <c r="I5298" s="155">
        <v>0</v>
      </c>
      <c r="J5298" s="710">
        <f>(VLOOKUP($C5298,[2]Sheet1!$A$2:$P$18,$M5298+1)/12)*12*D5298</f>
        <v>0</v>
      </c>
      <c r="K5298" s="711"/>
      <c r="M5298" s="62">
        <f t="shared" si="406"/>
        <v>2</v>
      </c>
    </row>
    <row r="5299" spans="1:13">
      <c r="A5299" s="88">
        <f t="shared" si="407"/>
        <v>8</v>
      </c>
      <c r="B5299" s="69" t="s">
        <v>1217</v>
      </c>
      <c r="C5299" s="167">
        <v>5</v>
      </c>
      <c r="D5299" s="155">
        <v>0</v>
      </c>
      <c r="E5299" s="155">
        <v>0</v>
      </c>
      <c r="F5299" s="155">
        <v>0</v>
      </c>
      <c r="G5299" s="155">
        <v>0</v>
      </c>
      <c r="H5299" s="155">
        <v>0</v>
      </c>
      <c r="I5299" s="155">
        <v>0</v>
      </c>
      <c r="J5299" s="710">
        <f>(VLOOKUP($C5299,[2]Sheet1!$A$2:$P$18,$M5299+1)/12)*12*D5299</f>
        <v>0</v>
      </c>
      <c r="K5299" s="711"/>
      <c r="M5299" s="62">
        <f t="shared" si="406"/>
        <v>2</v>
      </c>
    </row>
    <row r="5300" spans="1:13">
      <c r="A5300" s="88">
        <f t="shared" si="407"/>
        <v>9</v>
      </c>
      <c r="B5300" s="69" t="s">
        <v>2604</v>
      </c>
      <c r="C5300" s="167">
        <v>3</v>
      </c>
      <c r="D5300" s="155">
        <v>1</v>
      </c>
      <c r="E5300" s="155">
        <v>3</v>
      </c>
      <c r="F5300" s="155">
        <v>2</v>
      </c>
      <c r="G5300" s="155">
        <v>2</v>
      </c>
      <c r="H5300" s="155">
        <v>3</v>
      </c>
      <c r="I5300" s="155">
        <v>1</v>
      </c>
      <c r="J5300" s="710">
        <f>(VLOOKUP($C5300,[2]Sheet1!$A$2:$P$18,$M5300+1)/12)*12*D5300</f>
        <v>212172.17893036499</v>
      </c>
      <c r="K5300" s="711"/>
      <c r="M5300" s="62">
        <f t="shared" ref="M5300:M5363" si="408">IF(C5300&gt;6,1,2)</f>
        <v>2</v>
      </c>
    </row>
    <row r="5301" spans="1:13">
      <c r="A5301" s="88"/>
      <c r="B5301" s="90" t="s">
        <v>1372</v>
      </c>
      <c r="C5301" s="167"/>
      <c r="D5301" s="155"/>
      <c r="E5301" s="155"/>
      <c r="F5301" s="155"/>
      <c r="G5301" s="155"/>
      <c r="H5301" s="155"/>
      <c r="I5301" s="155"/>
      <c r="J5301" s="710"/>
      <c r="K5301" s="711"/>
      <c r="M5301" s="62">
        <f t="shared" si="408"/>
        <v>2</v>
      </c>
    </row>
    <row r="5302" spans="1:13">
      <c r="A5302" s="88">
        <f>+A5300+1</f>
        <v>10</v>
      </c>
      <c r="B5302" s="69" t="s">
        <v>3174</v>
      </c>
      <c r="C5302" s="167">
        <v>13</v>
      </c>
      <c r="D5302" s="155">
        <v>0</v>
      </c>
      <c r="E5302" s="155">
        <v>1</v>
      </c>
      <c r="F5302" s="155">
        <v>0</v>
      </c>
      <c r="G5302" s="155">
        <v>0</v>
      </c>
      <c r="H5302" s="155">
        <v>1</v>
      </c>
      <c r="I5302" s="155">
        <v>0</v>
      </c>
      <c r="J5302" s="710">
        <f>(VLOOKUP($C5302,[2]Sheet1!$A$2:$P$18,$M5302+1)/12)*12*D5302</f>
        <v>0</v>
      </c>
      <c r="K5302" s="711"/>
      <c r="M5302" s="62">
        <f t="shared" si="408"/>
        <v>1</v>
      </c>
    </row>
    <row r="5303" spans="1:13">
      <c r="A5303" s="88">
        <f t="shared" ref="A5303:A5308" si="409">+A5302+1</f>
        <v>11</v>
      </c>
      <c r="B5303" s="69" t="s">
        <v>985</v>
      </c>
      <c r="C5303" s="167">
        <v>12</v>
      </c>
      <c r="D5303" s="155">
        <v>1</v>
      </c>
      <c r="E5303" s="155">
        <v>1</v>
      </c>
      <c r="F5303" s="155">
        <v>1</v>
      </c>
      <c r="G5303" s="155">
        <v>1</v>
      </c>
      <c r="H5303" s="155">
        <v>1</v>
      </c>
      <c r="I5303" s="155">
        <v>0</v>
      </c>
      <c r="J5303" s="710">
        <f>(VLOOKUP($C5303,[2]Sheet1!$A$2:$P$18,$M5303+1)/12)*12*D5303</f>
        <v>527773.0537200002</v>
      </c>
      <c r="K5303" s="711"/>
      <c r="M5303" s="62">
        <f t="shared" si="408"/>
        <v>1</v>
      </c>
    </row>
    <row r="5304" spans="1:13">
      <c r="A5304" s="88">
        <f t="shared" si="409"/>
        <v>12</v>
      </c>
      <c r="B5304" s="69" t="s">
        <v>986</v>
      </c>
      <c r="C5304" s="167">
        <v>10</v>
      </c>
      <c r="D5304" s="155">
        <v>2</v>
      </c>
      <c r="E5304" s="155">
        <v>4</v>
      </c>
      <c r="F5304" s="155">
        <v>4</v>
      </c>
      <c r="G5304" s="155">
        <v>4</v>
      </c>
      <c r="H5304" s="155">
        <v>4</v>
      </c>
      <c r="I5304" s="155">
        <v>2</v>
      </c>
      <c r="J5304" s="710">
        <f>(VLOOKUP($C5304,[2]Sheet1!$A$2:$P$18,$M5304+1)/12)*12*D5304</f>
        <v>936413.1374400002</v>
      </c>
      <c r="K5304" s="711"/>
      <c r="M5304" s="62">
        <f t="shared" si="408"/>
        <v>1</v>
      </c>
    </row>
    <row r="5305" spans="1:13">
      <c r="A5305" s="88">
        <f t="shared" si="409"/>
        <v>13</v>
      </c>
      <c r="B5305" s="69" t="s">
        <v>1134</v>
      </c>
      <c r="C5305" s="167">
        <v>9</v>
      </c>
      <c r="D5305" s="155">
        <v>1</v>
      </c>
      <c r="E5305" s="155">
        <v>1</v>
      </c>
      <c r="F5305" s="155">
        <v>1</v>
      </c>
      <c r="G5305" s="155">
        <v>1</v>
      </c>
      <c r="H5305" s="155">
        <v>1</v>
      </c>
      <c r="I5305" s="155">
        <v>1</v>
      </c>
      <c r="J5305" s="710">
        <f>(VLOOKUP($C5305,[2]Sheet1!$A$2:$P$18,$M5305+1)/12)*12*D5305</f>
        <v>395353.90619999997</v>
      </c>
      <c r="K5305" s="711"/>
      <c r="M5305" s="62">
        <f t="shared" si="408"/>
        <v>1</v>
      </c>
    </row>
    <row r="5306" spans="1:13">
      <c r="A5306" s="88">
        <f t="shared" si="409"/>
        <v>14</v>
      </c>
      <c r="B5306" s="69" t="s">
        <v>2715</v>
      </c>
      <c r="C5306" s="167">
        <v>8</v>
      </c>
      <c r="D5306" s="155"/>
      <c r="E5306" s="155">
        <v>0</v>
      </c>
      <c r="F5306" s="155"/>
      <c r="G5306" s="155"/>
      <c r="H5306" s="155"/>
      <c r="I5306" s="155"/>
      <c r="J5306" s="710">
        <f>(VLOOKUP($C5306,[2]Sheet1!$A$2:$P$18,$M5306+1)/12)*12*D5306</f>
        <v>0</v>
      </c>
      <c r="K5306" s="711"/>
      <c r="M5306" s="62">
        <f t="shared" si="408"/>
        <v>1</v>
      </c>
    </row>
    <row r="5307" spans="1:13">
      <c r="A5307" s="88">
        <f t="shared" si="409"/>
        <v>15</v>
      </c>
      <c r="B5307" s="69" t="s">
        <v>2400</v>
      </c>
      <c r="C5307" s="167">
        <v>7</v>
      </c>
      <c r="D5307" s="155">
        <v>1</v>
      </c>
      <c r="E5307" s="155">
        <v>1</v>
      </c>
      <c r="F5307" s="155"/>
      <c r="G5307" s="155"/>
      <c r="H5307" s="155">
        <v>1</v>
      </c>
      <c r="I5307" s="155"/>
      <c r="J5307" s="710">
        <f>(VLOOKUP($C5307,[2]Sheet1!$A$2:$P$18,$M5307+1)/12)*12*D5307</f>
        <v>297698.70240000007</v>
      </c>
      <c r="K5307" s="711"/>
      <c r="M5307" s="62">
        <f t="shared" si="408"/>
        <v>1</v>
      </c>
    </row>
    <row r="5308" spans="1:13">
      <c r="A5308" s="88">
        <f t="shared" si="409"/>
        <v>16</v>
      </c>
      <c r="B5308" s="69" t="s">
        <v>2401</v>
      </c>
      <c r="C5308" s="167">
        <v>6</v>
      </c>
      <c r="D5308" s="155">
        <v>2</v>
      </c>
      <c r="E5308" s="155">
        <v>2</v>
      </c>
      <c r="F5308" s="155">
        <v>2</v>
      </c>
      <c r="G5308" s="155">
        <v>2</v>
      </c>
      <c r="H5308" s="155">
        <v>2</v>
      </c>
      <c r="I5308" s="155">
        <v>2</v>
      </c>
      <c r="J5308" s="710">
        <f>(VLOOKUP($C5308,[2]Sheet1!$A$2:$P$18,$M5308+1)/12)*12*D5308</f>
        <v>451862.75786072994</v>
      </c>
      <c r="K5308" s="711"/>
      <c r="M5308" s="62">
        <f t="shared" si="408"/>
        <v>2</v>
      </c>
    </row>
    <row r="5309" spans="1:13">
      <c r="A5309" s="88"/>
      <c r="B5309" s="90" t="s">
        <v>3857</v>
      </c>
      <c r="C5309" s="167"/>
      <c r="D5309" s="155"/>
      <c r="E5309" s="155"/>
      <c r="F5309" s="155"/>
      <c r="G5309" s="155"/>
      <c r="H5309" s="155"/>
      <c r="I5309" s="155"/>
      <c r="J5309" s="710"/>
      <c r="K5309" s="711"/>
      <c r="M5309" s="62">
        <f t="shared" si="408"/>
        <v>2</v>
      </c>
    </row>
    <row r="5310" spans="1:13">
      <c r="A5310" s="88">
        <v>1</v>
      </c>
      <c r="B5310" s="69" t="s">
        <v>1783</v>
      </c>
      <c r="C5310" s="167">
        <v>9</v>
      </c>
      <c r="D5310" s="155">
        <v>1</v>
      </c>
      <c r="E5310" s="155">
        <v>1</v>
      </c>
      <c r="F5310" s="155">
        <v>0</v>
      </c>
      <c r="G5310" s="155">
        <v>0</v>
      </c>
      <c r="H5310" s="155">
        <v>1</v>
      </c>
      <c r="I5310" s="155">
        <v>1</v>
      </c>
      <c r="J5310" s="710">
        <f>(VLOOKUP($C5310,[2]Sheet1!$A$2:$P$18,$M5310+1)/12)*12*D5310</f>
        <v>395353.90619999997</v>
      </c>
      <c r="K5310" s="711"/>
      <c r="M5310" s="62">
        <f t="shared" si="408"/>
        <v>1</v>
      </c>
    </row>
    <row r="5311" spans="1:13">
      <c r="A5311" s="88">
        <f t="shared" ref="A5311:A5337" si="410">+A5310+1</f>
        <v>2</v>
      </c>
      <c r="B5311" s="69" t="s">
        <v>3523</v>
      </c>
      <c r="C5311" s="167">
        <v>8</v>
      </c>
      <c r="D5311" s="155">
        <v>1</v>
      </c>
      <c r="E5311" s="155">
        <v>1</v>
      </c>
      <c r="F5311" s="155">
        <v>0</v>
      </c>
      <c r="G5311" s="155">
        <v>0</v>
      </c>
      <c r="H5311" s="155">
        <v>1</v>
      </c>
      <c r="I5311" s="155">
        <v>1</v>
      </c>
      <c r="J5311" s="710">
        <f>(VLOOKUP($C5311,[2]Sheet1!$A$2:$P$18,$M5311+1)/12)*12*D5311</f>
        <v>330117.27408</v>
      </c>
      <c r="K5311" s="711"/>
      <c r="M5311" s="62">
        <f t="shared" si="408"/>
        <v>1</v>
      </c>
    </row>
    <row r="5312" spans="1:13" ht="13.5" thickBot="1">
      <c r="A5312" s="88">
        <f t="shared" si="410"/>
        <v>3</v>
      </c>
      <c r="B5312" s="69" t="s">
        <v>2784</v>
      </c>
      <c r="C5312" s="167">
        <v>7</v>
      </c>
      <c r="D5312" s="155">
        <v>1</v>
      </c>
      <c r="E5312" s="155">
        <v>0</v>
      </c>
      <c r="F5312" s="155">
        <v>0</v>
      </c>
      <c r="G5312" s="155">
        <v>0</v>
      </c>
      <c r="H5312" s="155">
        <v>0</v>
      </c>
      <c r="I5312" s="155">
        <v>0</v>
      </c>
      <c r="J5312" s="710">
        <f>(VLOOKUP($C5312,[2]Sheet1!$A$2:$P$18,$M5312+1)/12)*12*D5312</f>
        <v>297698.70240000007</v>
      </c>
      <c r="K5312" s="711"/>
      <c r="M5312" s="62">
        <f t="shared" si="408"/>
        <v>1</v>
      </c>
    </row>
    <row r="5313" spans="1:13" ht="15.75" customHeight="1" thickTop="1">
      <c r="A5313" s="1045" t="s">
        <v>2791</v>
      </c>
      <c r="B5313" s="1043" t="s">
        <v>4126</v>
      </c>
      <c r="C5313" s="1043" t="s">
        <v>854</v>
      </c>
      <c r="D5313" s="1053" t="s">
        <v>4127</v>
      </c>
      <c r="E5313" s="1054"/>
      <c r="F5313" s="1065"/>
      <c r="G5313" s="1053" t="s">
        <v>904</v>
      </c>
      <c r="H5313" s="1054"/>
      <c r="I5313" s="1055"/>
      <c r="J5313" s="1035" t="s">
        <v>855</v>
      </c>
      <c r="K5313" s="389"/>
      <c r="M5313" s="62">
        <f>IF(C5313&gt;6,1,2)</f>
        <v>1</v>
      </c>
    </row>
    <row r="5314" spans="1:13" ht="26.25" thickBot="1">
      <c r="A5314" s="1046"/>
      <c r="B5314" s="1044"/>
      <c r="C5314" s="1044"/>
      <c r="D5314" s="285" t="s">
        <v>5505</v>
      </c>
      <c r="E5314" s="285" t="s">
        <v>4485</v>
      </c>
      <c r="F5314" s="285" t="s">
        <v>4486</v>
      </c>
      <c r="G5314" s="287" t="s">
        <v>4487</v>
      </c>
      <c r="H5314" s="285" t="s">
        <v>4488</v>
      </c>
      <c r="I5314" s="287" t="s">
        <v>4489</v>
      </c>
      <c r="J5314" s="1036"/>
      <c r="K5314" s="712"/>
      <c r="M5314" s="62">
        <f>IF(C5314&gt;6,1,2)</f>
        <v>2</v>
      </c>
    </row>
    <row r="5315" spans="1:13" ht="13.5" thickTop="1">
      <c r="A5315" s="88">
        <f>+A5312+1</f>
        <v>4</v>
      </c>
      <c r="B5315" s="69" t="s">
        <v>798</v>
      </c>
      <c r="C5315" s="167">
        <v>6</v>
      </c>
      <c r="D5315" s="155">
        <v>2</v>
      </c>
      <c r="E5315" s="155">
        <v>0</v>
      </c>
      <c r="F5315" s="155">
        <v>0</v>
      </c>
      <c r="G5315" s="155">
        <v>0</v>
      </c>
      <c r="H5315" s="155">
        <v>0</v>
      </c>
      <c r="I5315" s="155">
        <v>0</v>
      </c>
      <c r="J5315" s="710">
        <f>(VLOOKUP($C5315,[2]Sheet1!$A$2:$P$18,$M5315+1)/12)*12*D5315</f>
        <v>451862.75786072994</v>
      </c>
      <c r="K5315" s="711"/>
      <c r="M5315" s="62">
        <f t="shared" si="408"/>
        <v>2</v>
      </c>
    </row>
    <row r="5316" spans="1:13">
      <c r="A5316" s="88">
        <f>+A5315+1</f>
        <v>5</v>
      </c>
      <c r="B5316" s="69" t="s">
        <v>583</v>
      </c>
      <c r="C5316" s="167">
        <v>5</v>
      </c>
      <c r="D5316" s="155">
        <v>3</v>
      </c>
      <c r="E5316" s="155">
        <v>0</v>
      </c>
      <c r="F5316" s="155">
        <v>1</v>
      </c>
      <c r="G5316" s="155">
        <v>1</v>
      </c>
      <c r="H5316" s="155">
        <v>0</v>
      </c>
      <c r="I5316" s="155">
        <v>1</v>
      </c>
      <c r="J5316" s="710">
        <f>(VLOOKUP($C5316,[2]Sheet1!$A$2:$P$18,$M5316+1)/12)*12*D5316</f>
        <v>658685.33679109497</v>
      </c>
      <c r="K5316" s="711"/>
      <c r="M5316" s="62">
        <f t="shared" si="408"/>
        <v>2</v>
      </c>
    </row>
    <row r="5317" spans="1:13">
      <c r="A5317" s="88">
        <f>+A5316+1</f>
        <v>6</v>
      </c>
      <c r="B5317" s="69" t="s">
        <v>741</v>
      </c>
      <c r="C5317" s="167">
        <v>4</v>
      </c>
      <c r="D5317" s="155">
        <v>0</v>
      </c>
      <c r="E5317" s="155">
        <v>0</v>
      </c>
      <c r="F5317" s="155">
        <v>0</v>
      </c>
      <c r="G5317" s="155">
        <v>0</v>
      </c>
      <c r="H5317" s="155">
        <v>0</v>
      </c>
      <c r="I5317" s="155">
        <v>0</v>
      </c>
      <c r="J5317" s="710">
        <f>(VLOOKUP($C5317,[2]Sheet1!$A$2:$P$18,$M5317+1)/12)*12*D5317</f>
        <v>0</v>
      </c>
      <c r="K5317" s="711"/>
      <c r="M5317" s="62">
        <f t="shared" si="408"/>
        <v>2</v>
      </c>
    </row>
    <row r="5318" spans="1:13">
      <c r="A5318" s="88">
        <f t="shared" si="410"/>
        <v>7</v>
      </c>
      <c r="B5318" s="69" t="s">
        <v>2874</v>
      </c>
      <c r="C5318" s="167">
        <v>3</v>
      </c>
      <c r="D5318" s="155">
        <v>0</v>
      </c>
      <c r="E5318" s="155">
        <v>0</v>
      </c>
      <c r="F5318" s="155">
        <v>0</v>
      </c>
      <c r="G5318" s="155">
        <v>0</v>
      </c>
      <c r="H5318" s="155">
        <v>0</v>
      </c>
      <c r="I5318" s="155">
        <v>0</v>
      </c>
      <c r="J5318" s="710">
        <f>(VLOOKUP($C5318,[2]Sheet1!$A$2:$P$18,$M5318+1)/12)*12*D5318</f>
        <v>0</v>
      </c>
      <c r="K5318" s="711"/>
      <c r="M5318" s="62">
        <f t="shared" si="408"/>
        <v>2</v>
      </c>
    </row>
    <row r="5319" spans="1:13">
      <c r="A5319" s="88">
        <f t="shared" si="410"/>
        <v>8</v>
      </c>
      <c r="B5319" s="69" t="s">
        <v>499</v>
      </c>
      <c r="C5319" s="167">
        <v>2</v>
      </c>
      <c r="D5319" s="155">
        <v>0</v>
      </c>
      <c r="E5319" s="155">
        <v>0</v>
      </c>
      <c r="F5319" s="155">
        <v>0</v>
      </c>
      <c r="G5319" s="155">
        <v>0</v>
      </c>
      <c r="H5319" s="155">
        <v>0</v>
      </c>
      <c r="I5319" s="155">
        <v>0</v>
      </c>
      <c r="J5319" s="710">
        <f>(VLOOKUP($C5319,[2]Sheet1!$A$2:$P$18,$M5319+1)/12)*12*D5319</f>
        <v>0</v>
      </c>
      <c r="K5319" s="711"/>
      <c r="M5319" s="62">
        <f t="shared" si="408"/>
        <v>2</v>
      </c>
    </row>
    <row r="5320" spans="1:13">
      <c r="A5320" s="177"/>
      <c r="B5320" s="177" t="s">
        <v>742</v>
      </c>
      <c r="C5320" s="167"/>
      <c r="D5320" s="155"/>
      <c r="E5320" s="155"/>
      <c r="F5320" s="155"/>
      <c r="G5320" s="155"/>
      <c r="H5320" s="155"/>
      <c r="I5320" s="155"/>
      <c r="J5320" s="710"/>
      <c r="K5320" s="711"/>
      <c r="M5320" s="62">
        <f t="shared" si="408"/>
        <v>2</v>
      </c>
    </row>
    <row r="5321" spans="1:13">
      <c r="A5321" s="88">
        <v>1</v>
      </c>
      <c r="B5321" s="69" t="s">
        <v>567</v>
      </c>
      <c r="C5321" s="167">
        <v>13</v>
      </c>
      <c r="D5321" s="155">
        <v>5</v>
      </c>
      <c r="E5321" s="155">
        <v>1</v>
      </c>
      <c r="F5321" s="155">
        <v>0</v>
      </c>
      <c r="G5321" s="155">
        <v>0</v>
      </c>
      <c r="H5321" s="155">
        <v>1</v>
      </c>
      <c r="I5321" s="155">
        <v>0</v>
      </c>
      <c r="J5321" s="710">
        <f>(VLOOKUP($C5321,[2]Sheet1!$A$2:$P$18,$M5321+1)/12)*12*D5321</f>
        <v>3012037.6902000001</v>
      </c>
      <c r="K5321" s="711"/>
      <c r="M5321" s="62">
        <f t="shared" si="408"/>
        <v>1</v>
      </c>
    </row>
    <row r="5322" spans="1:13">
      <c r="A5322" s="88">
        <f t="shared" si="410"/>
        <v>2</v>
      </c>
      <c r="B5322" s="69" t="s">
        <v>1474</v>
      </c>
      <c r="C5322" s="167">
        <v>12</v>
      </c>
      <c r="D5322" s="155">
        <v>10</v>
      </c>
      <c r="E5322" s="155">
        <v>1</v>
      </c>
      <c r="F5322" s="155">
        <v>0</v>
      </c>
      <c r="G5322" s="155">
        <v>0</v>
      </c>
      <c r="H5322" s="155">
        <v>1</v>
      </c>
      <c r="I5322" s="155">
        <v>10</v>
      </c>
      <c r="J5322" s="710">
        <f>(VLOOKUP($C5322,[2]Sheet1!$A$2:$P$18,$M5322+1)/12)*12*D5322</f>
        <v>5277730.537200002</v>
      </c>
      <c r="K5322" s="711"/>
      <c r="M5322" s="62">
        <f t="shared" si="408"/>
        <v>1</v>
      </c>
    </row>
    <row r="5323" spans="1:13">
      <c r="A5323" s="88">
        <f t="shared" si="410"/>
        <v>3</v>
      </c>
      <c r="B5323" s="69" t="s">
        <v>1475</v>
      </c>
      <c r="C5323" s="167">
        <v>10</v>
      </c>
      <c r="D5323" s="155">
        <v>10</v>
      </c>
      <c r="E5323" s="155">
        <v>1</v>
      </c>
      <c r="F5323" s="155">
        <v>1</v>
      </c>
      <c r="G5323" s="155">
        <v>1</v>
      </c>
      <c r="H5323" s="155">
        <v>1</v>
      </c>
      <c r="I5323" s="155">
        <v>10</v>
      </c>
      <c r="J5323" s="710">
        <f>(VLOOKUP($C5323,[2]Sheet1!$A$2:$P$18,$M5323+1)/12)*12*D5323</f>
        <v>4682065.6872000005</v>
      </c>
      <c r="K5323" s="711"/>
      <c r="M5323" s="62">
        <f t="shared" si="408"/>
        <v>1</v>
      </c>
    </row>
    <row r="5324" spans="1:13">
      <c r="A5324" s="88"/>
      <c r="B5324" s="90" t="s">
        <v>2313</v>
      </c>
      <c r="C5324" s="167"/>
      <c r="D5324" s="155"/>
      <c r="E5324" s="155"/>
      <c r="F5324" s="155"/>
      <c r="G5324" s="155"/>
      <c r="H5324" s="155"/>
      <c r="I5324" s="155"/>
      <c r="J5324" s="710"/>
      <c r="K5324" s="711"/>
      <c r="M5324" s="62">
        <f t="shared" si="408"/>
        <v>2</v>
      </c>
    </row>
    <row r="5325" spans="1:13">
      <c r="A5325" s="88">
        <f>+A5323+1</f>
        <v>4</v>
      </c>
      <c r="B5325" s="69" t="s">
        <v>2437</v>
      </c>
      <c r="C5325" s="167">
        <v>16</v>
      </c>
      <c r="D5325" s="155">
        <v>1</v>
      </c>
      <c r="E5325" s="155">
        <v>1</v>
      </c>
      <c r="F5325" s="155">
        <v>1</v>
      </c>
      <c r="G5325" s="155">
        <v>0</v>
      </c>
      <c r="H5325" s="155">
        <v>0</v>
      </c>
      <c r="I5325" s="155">
        <v>0</v>
      </c>
      <c r="J5325" s="710">
        <f>(VLOOKUP($C5325,[2]Sheet1!$A$2:$P$18,$M5325+1)/12)*12*D5325</f>
        <v>631249.26084</v>
      </c>
      <c r="K5325" s="711"/>
      <c r="M5325" s="62">
        <f t="shared" si="408"/>
        <v>1</v>
      </c>
    </row>
    <row r="5326" spans="1:13">
      <c r="A5326" s="88">
        <f t="shared" si="410"/>
        <v>5</v>
      </c>
      <c r="B5326" s="69" t="s">
        <v>1256</v>
      </c>
      <c r="C5326" s="167">
        <v>15</v>
      </c>
      <c r="D5326" s="155">
        <v>1</v>
      </c>
      <c r="E5326" s="155">
        <v>1</v>
      </c>
      <c r="F5326" s="155">
        <v>1</v>
      </c>
      <c r="G5326" s="155">
        <v>0</v>
      </c>
      <c r="H5326" s="155">
        <v>0</v>
      </c>
      <c r="I5326" s="155">
        <v>0</v>
      </c>
      <c r="J5326" s="710">
        <f>(VLOOKUP($C5326,[2]Sheet1!$A$2:$P$18,$M5326+1)/12)*12*D5326</f>
        <v>620027.89992</v>
      </c>
      <c r="K5326" s="711"/>
      <c r="M5326" s="62">
        <f t="shared" si="408"/>
        <v>1</v>
      </c>
    </row>
    <row r="5327" spans="1:13">
      <c r="A5327" s="88">
        <f t="shared" si="410"/>
        <v>6</v>
      </c>
      <c r="B5327" s="69" t="s">
        <v>1239</v>
      </c>
      <c r="C5327" s="167">
        <v>13</v>
      </c>
      <c r="D5327" s="155">
        <v>0</v>
      </c>
      <c r="E5327" s="155">
        <v>0</v>
      </c>
      <c r="F5327" s="155">
        <v>0</v>
      </c>
      <c r="G5327" s="155">
        <v>0</v>
      </c>
      <c r="H5327" s="155">
        <v>1</v>
      </c>
      <c r="I5327" s="155">
        <v>0</v>
      </c>
      <c r="J5327" s="710">
        <f>(VLOOKUP($C5327,[2]Sheet1!$A$2:$P$18,$M5327+1)/12)*12*D5327</f>
        <v>0</v>
      </c>
      <c r="K5327" s="711"/>
      <c r="M5327" s="62">
        <f t="shared" si="408"/>
        <v>1</v>
      </c>
    </row>
    <row r="5328" spans="1:13">
      <c r="A5328" s="88">
        <f t="shared" si="410"/>
        <v>7</v>
      </c>
      <c r="B5328" s="69" t="s">
        <v>1948</v>
      </c>
      <c r="C5328" s="167">
        <v>12</v>
      </c>
      <c r="D5328" s="155">
        <v>0</v>
      </c>
      <c r="E5328" s="155">
        <v>0</v>
      </c>
      <c r="F5328" s="155">
        <v>0</v>
      </c>
      <c r="G5328" s="155">
        <v>1</v>
      </c>
      <c r="H5328" s="155">
        <v>1</v>
      </c>
      <c r="I5328" s="155">
        <v>0</v>
      </c>
      <c r="J5328" s="710">
        <f>(VLOOKUP($C5328,[2]Sheet1!$A$2:$P$18,$M5328+1)/12)*12*D5328</f>
        <v>0</v>
      </c>
      <c r="K5328" s="711"/>
      <c r="M5328" s="62">
        <f t="shared" si="408"/>
        <v>1</v>
      </c>
    </row>
    <row r="5329" spans="1:13">
      <c r="A5329" s="88">
        <f t="shared" si="410"/>
        <v>8</v>
      </c>
      <c r="B5329" s="69" t="s">
        <v>1949</v>
      </c>
      <c r="C5329" s="167">
        <v>10</v>
      </c>
      <c r="D5329" s="155">
        <v>1</v>
      </c>
      <c r="E5329" s="155">
        <v>1</v>
      </c>
      <c r="F5329" s="155">
        <v>1</v>
      </c>
      <c r="G5329" s="155">
        <v>0</v>
      </c>
      <c r="H5329" s="155">
        <v>3</v>
      </c>
      <c r="I5329" s="155">
        <v>0</v>
      </c>
      <c r="J5329" s="710">
        <f>(VLOOKUP($C5329,[2]Sheet1!$A$2:$P$18,$M5329+1)/12)*12*D5329</f>
        <v>468206.5687200001</v>
      </c>
      <c r="K5329" s="711"/>
      <c r="M5329" s="62">
        <f t="shared" si="408"/>
        <v>1</v>
      </c>
    </row>
    <row r="5330" spans="1:13">
      <c r="A5330" s="88">
        <f t="shared" si="410"/>
        <v>9</v>
      </c>
      <c r="B5330" s="69" t="s">
        <v>1950</v>
      </c>
      <c r="C5330" s="167">
        <v>9</v>
      </c>
      <c r="D5330" s="155">
        <v>3</v>
      </c>
      <c r="E5330" s="155">
        <v>3</v>
      </c>
      <c r="F5330" s="155">
        <v>3</v>
      </c>
      <c r="G5330" s="155">
        <v>2</v>
      </c>
      <c r="H5330" s="155">
        <v>3</v>
      </c>
      <c r="I5330" s="155">
        <v>0</v>
      </c>
      <c r="J5330" s="710">
        <f>(VLOOKUP($C5330,[2]Sheet1!$A$2:$P$18,$M5330+1)/12)*12*D5330</f>
        <v>1186061.7185999998</v>
      </c>
      <c r="K5330" s="711"/>
      <c r="M5330" s="62">
        <f t="shared" si="408"/>
        <v>1</v>
      </c>
    </row>
    <row r="5331" spans="1:13">
      <c r="A5331" s="88">
        <f t="shared" si="410"/>
        <v>10</v>
      </c>
      <c r="B5331" s="69" t="s">
        <v>2425</v>
      </c>
      <c r="C5331" s="167">
        <v>8</v>
      </c>
      <c r="D5331" s="155">
        <v>0</v>
      </c>
      <c r="E5331" s="155">
        <v>0</v>
      </c>
      <c r="F5331" s="155">
        <v>0</v>
      </c>
      <c r="G5331" s="155">
        <v>2</v>
      </c>
      <c r="H5331" s="155">
        <v>1</v>
      </c>
      <c r="I5331" s="155">
        <v>0</v>
      </c>
      <c r="J5331" s="710">
        <f>(VLOOKUP($C5331,[2]Sheet1!$A$2:$P$18,$M5331+1)/12)*12*D5331</f>
        <v>0</v>
      </c>
      <c r="K5331" s="711"/>
      <c r="M5331" s="62">
        <f t="shared" si="408"/>
        <v>1</v>
      </c>
    </row>
    <row r="5332" spans="1:13">
      <c r="A5332" s="88">
        <f t="shared" si="410"/>
        <v>11</v>
      </c>
      <c r="B5332" s="69" t="s">
        <v>2438</v>
      </c>
      <c r="C5332" s="167">
        <v>7</v>
      </c>
      <c r="D5332" s="155">
        <v>1</v>
      </c>
      <c r="E5332" s="155">
        <v>1</v>
      </c>
      <c r="F5332" s="155">
        <v>1</v>
      </c>
      <c r="G5332" s="155">
        <v>3</v>
      </c>
      <c r="H5332" s="155">
        <v>1</v>
      </c>
      <c r="I5332" s="155">
        <v>0</v>
      </c>
      <c r="J5332" s="710">
        <f>(VLOOKUP($C5332,[2]Sheet1!$A$2:$P$18,$M5332+1)/12)*12*D5332</f>
        <v>297698.70240000007</v>
      </c>
      <c r="K5332" s="711"/>
      <c r="M5332" s="62">
        <f t="shared" si="408"/>
        <v>1</v>
      </c>
    </row>
    <row r="5333" spans="1:13">
      <c r="A5333" s="88">
        <f t="shared" si="410"/>
        <v>12</v>
      </c>
      <c r="B5333" s="69" t="s">
        <v>1317</v>
      </c>
      <c r="C5333" s="167">
        <v>6</v>
      </c>
      <c r="D5333" s="155">
        <v>3</v>
      </c>
      <c r="E5333" s="155">
        <v>3</v>
      </c>
      <c r="F5333" s="155">
        <v>3</v>
      </c>
      <c r="G5333" s="155">
        <v>1</v>
      </c>
      <c r="H5333" s="155">
        <v>1</v>
      </c>
      <c r="I5333" s="155">
        <v>0</v>
      </c>
      <c r="J5333" s="710">
        <f>(VLOOKUP($C5333,[2]Sheet1!$A$2:$P$18,$M5333+1)/12)*12*D5333</f>
        <v>677794.1367910949</v>
      </c>
      <c r="K5333" s="711"/>
      <c r="M5333" s="62">
        <f t="shared" si="408"/>
        <v>2</v>
      </c>
    </row>
    <row r="5334" spans="1:13">
      <c r="A5334" s="88">
        <f t="shared" si="410"/>
        <v>13</v>
      </c>
      <c r="B5334" s="69" t="s">
        <v>604</v>
      </c>
      <c r="C5334" s="167">
        <v>3</v>
      </c>
      <c r="D5334" s="155">
        <v>3</v>
      </c>
      <c r="E5334" s="155">
        <v>3</v>
      </c>
      <c r="F5334" s="155">
        <v>3</v>
      </c>
      <c r="G5334" s="155">
        <v>0</v>
      </c>
      <c r="H5334" s="155">
        <v>1</v>
      </c>
      <c r="I5334" s="155">
        <v>0</v>
      </c>
      <c r="J5334" s="710">
        <f>(VLOOKUP($C5334,[2]Sheet1!$A$2:$P$18,$M5334+1)/12)*12*D5334</f>
        <v>636516.53679109493</v>
      </c>
      <c r="K5334" s="711"/>
      <c r="M5334" s="62">
        <f t="shared" si="408"/>
        <v>2</v>
      </c>
    </row>
    <row r="5335" spans="1:13">
      <c r="A5335" s="88">
        <f t="shared" si="410"/>
        <v>14</v>
      </c>
      <c r="B5335" s="69" t="s">
        <v>2436</v>
      </c>
      <c r="C5335" s="167">
        <v>8</v>
      </c>
      <c r="D5335" s="155">
        <v>0</v>
      </c>
      <c r="E5335" s="155">
        <v>0</v>
      </c>
      <c r="F5335" s="155">
        <v>0</v>
      </c>
      <c r="G5335" s="155">
        <v>0</v>
      </c>
      <c r="H5335" s="155">
        <v>1</v>
      </c>
      <c r="I5335" s="155">
        <v>0</v>
      </c>
      <c r="J5335" s="710">
        <f>(VLOOKUP($C5335,[2]Sheet1!$A$2:$P$18,$M5335+1)/12)*12*D5335</f>
        <v>0</v>
      </c>
      <c r="K5335" s="711"/>
      <c r="M5335" s="62">
        <f t="shared" si="408"/>
        <v>1</v>
      </c>
    </row>
    <row r="5336" spans="1:13">
      <c r="A5336" s="88">
        <f t="shared" si="410"/>
        <v>15</v>
      </c>
      <c r="B5336" s="69" t="s">
        <v>1478</v>
      </c>
      <c r="C5336" s="167">
        <v>7</v>
      </c>
      <c r="D5336" s="155">
        <v>0</v>
      </c>
      <c r="E5336" s="155">
        <v>0</v>
      </c>
      <c r="F5336" s="155">
        <v>0</v>
      </c>
      <c r="G5336" s="155">
        <v>0</v>
      </c>
      <c r="H5336" s="155">
        <v>1</v>
      </c>
      <c r="I5336" s="155">
        <v>0</v>
      </c>
      <c r="J5336" s="710">
        <f>(VLOOKUP($C5336,[2]Sheet1!$A$2:$P$18,$M5336+1)/12)*12*D5336</f>
        <v>0</v>
      </c>
      <c r="K5336" s="711"/>
      <c r="M5336" s="62">
        <f t="shared" si="408"/>
        <v>1</v>
      </c>
    </row>
    <row r="5337" spans="1:13">
      <c r="A5337" s="88">
        <f t="shared" si="410"/>
        <v>16</v>
      </c>
      <c r="B5337" s="69" t="s">
        <v>1479</v>
      </c>
      <c r="C5337" s="167">
        <v>6</v>
      </c>
      <c r="D5337" s="155">
        <v>0</v>
      </c>
      <c r="E5337" s="155">
        <v>0</v>
      </c>
      <c r="F5337" s="155">
        <v>0</v>
      </c>
      <c r="G5337" s="155">
        <v>0</v>
      </c>
      <c r="H5337" s="155">
        <v>0</v>
      </c>
      <c r="I5337" s="155">
        <v>0</v>
      </c>
      <c r="J5337" s="710">
        <f>(VLOOKUP($C5337,[2]Sheet1!$A$2:$P$18,$M5337+1)/12)*12*D5337</f>
        <v>0</v>
      </c>
      <c r="K5337" s="711"/>
      <c r="M5337" s="62">
        <f t="shared" si="408"/>
        <v>2</v>
      </c>
    </row>
    <row r="5338" spans="1:13">
      <c r="A5338" s="88"/>
      <c r="B5338" s="90" t="s">
        <v>1288</v>
      </c>
      <c r="C5338" s="167"/>
      <c r="D5338" s="155"/>
      <c r="E5338" s="155"/>
      <c r="F5338" s="155"/>
      <c r="G5338" s="155"/>
      <c r="H5338" s="155"/>
      <c r="I5338" s="155"/>
      <c r="J5338" s="710"/>
      <c r="K5338" s="711"/>
      <c r="M5338" s="62">
        <f t="shared" si="408"/>
        <v>2</v>
      </c>
    </row>
    <row r="5339" spans="1:13">
      <c r="A5339" s="88">
        <v>1</v>
      </c>
      <c r="B5339" s="69" t="s">
        <v>314</v>
      </c>
      <c r="C5339" s="167">
        <v>16</v>
      </c>
      <c r="D5339" s="155">
        <v>1</v>
      </c>
      <c r="E5339" s="155">
        <v>1</v>
      </c>
      <c r="F5339" s="155">
        <v>1</v>
      </c>
      <c r="G5339" s="155">
        <v>1</v>
      </c>
      <c r="H5339" s="155">
        <v>1</v>
      </c>
      <c r="I5339" s="155">
        <v>1</v>
      </c>
      <c r="J5339" s="710">
        <f>(VLOOKUP($C5339,[2]Sheet1!$A$2:$P$18,$M5339+1)/12)*12*D5339</f>
        <v>631249.26084</v>
      </c>
      <c r="K5339" s="711"/>
      <c r="M5339" s="62">
        <f t="shared" si="408"/>
        <v>1</v>
      </c>
    </row>
    <row r="5340" spans="1:13">
      <c r="A5340" s="88">
        <f t="shared" ref="A5340:A5366" si="411">+A5339+1</f>
        <v>2</v>
      </c>
      <c r="B5340" s="69" t="s">
        <v>1256</v>
      </c>
      <c r="C5340" s="167">
        <v>15</v>
      </c>
      <c r="D5340" s="155">
        <v>1</v>
      </c>
      <c r="E5340" s="155">
        <v>0</v>
      </c>
      <c r="F5340" s="155">
        <v>0</v>
      </c>
      <c r="G5340" s="155">
        <v>0</v>
      </c>
      <c r="H5340" s="155">
        <v>0</v>
      </c>
      <c r="I5340" s="155">
        <v>1</v>
      </c>
      <c r="J5340" s="710">
        <f>(VLOOKUP($C5340,[2]Sheet1!$A$2:$P$18,$M5340+1)/12)*12*D5340</f>
        <v>620027.89992</v>
      </c>
      <c r="K5340" s="711"/>
      <c r="M5340" s="62">
        <f t="shared" si="408"/>
        <v>1</v>
      </c>
    </row>
    <row r="5341" spans="1:13">
      <c r="A5341" s="88">
        <f t="shared" si="411"/>
        <v>3</v>
      </c>
      <c r="B5341" s="69" t="s">
        <v>3533</v>
      </c>
      <c r="C5341" s="167">
        <v>14</v>
      </c>
      <c r="D5341" s="155">
        <v>1</v>
      </c>
      <c r="E5341" s="155">
        <v>1</v>
      </c>
      <c r="F5341" s="155">
        <v>0</v>
      </c>
      <c r="G5341" s="155">
        <v>0</v>
      </c>
      <c r="H5341" s="155">
        <v>1</v>
      </c>
      <c r="I5341" s="155">
        <v>1</v>
      </c>
      <c r="J5341" s="710">
        <f>(VLOOKUP($C5341,[2]Sheet1!$A$2:$P$18,$M5341+1)/12)*12*D5341</f>
        <v>640731.40824000002</v>
      </c>
      <c r="K5341" s="711"/>
      <c r="M5341" s="62">
        <f t="shared" si="408"/>
        <v>1</v>
      </c>
    </row>
    <row r="5342" spans="1:13">
      <c r="A5342" s="88">
        <f t="shared" si="411"/>
        <v>4</v>
      </c>
      <c r="B5342" s="69" t="s">
        <v>315</v>
      </c>
      <c r="C5342" s="167">
        <v>16</v>
      </c>
      <c r="D5342" s="155">
        <v>1</v>
      </c>
      <c r="E5342" s="155">
        <v>1</v>
      </c>
      <c r="F5342" s="155">
        <v>1</v>
      </c>
      <c r="G5342" s="155">
        <v>1</v>
      </c>
      <c r="H5342" s="155">
        <v>6</v>
      </c>
      <c r="I5342" s="155">
        <v>1</v>
      </c>
      <c r="J5342" s="710">
        <f>(VLOOKUP($C5342,[2]Sheet1!$A$2:$P$18,$M5342+1)/12)*12*D5342</f>
        <v>631249.26084</v>
      </c>
      <c r="K5342" s="711"/>
      <c r="M5342" s="62">
        <f t="shared" si="408"/>
        <v>1</v>
      </c>
    </row>
    <row r="5343" spans="1:13">
      <c r="A5343" s="88">
        <f t="shared" si="411"/>
        <v>5</v>
      </c>
      <c r="B5343" s="69" t="s">
        <v>2795</v>
      </c>
      <c r="C5343" s="167">
        <v>15</v>
      </c>
      <c r="D5343" s="155">
        <v>2</v>
      </c>
      <c r="E5343" s="155">
        <v>6</v>
      </c>
      <c r="F5343" s="155">
        <v>1</v>
      </c>
      <c r="G5343" s="155">
        <v>1</v>
      </c>
      <c r="H5343" s="155">
        <v>5</v>
      </c>
      <c r="I5343" s="155">
        <v>0</v>
      </c>
      <c r="J5343" s="710">
        <f>(VLOOKUP($C5343,[2]Sheet1!$A$2:$P$18,$M5343+1)/12)*12*D5343</f>
        <v>1240055.79984</v>
      </c>
      <c r="K5343" s="711"/>
      <c r="M5343" s="62">
        <f t="shared" si="408"/>
        <v>1</v>
      </c>
    </row>
    <row r="5344" spans="1:13">
      <c r="A5344" s="88">
        <f t="shared" si="411"/>
        <v>6</v>
      </c>
      <c r="B5344" s="69" t="s">
        <v>2637</v>
      </c>
      <c r="C5344" s="167">
        <v>14</v>
      </c>
      <c r="D5344" s="155">
        <v>4</v>
      </c>
      <c r="E5344" s="155">
        <v>5</v>
      </c>
      <c r="F5344" s="155">
        <v>5</v>
      </c>
      <c r="G5344" s="155">
        <v>5</v>
      </c>
      <c r="H5344" s="155">
        <v>5</v>
      </c>
      <c r="I5344" s="155">
        <v>4</v>
      </c>
      <c r="J5344" s="710">
        <f>(VLOOKUP($C5344,[2]Sheet1!$A$2:$P$18,$M5344+1)/12)*12*D5344</f>
        <v>2562925.6329600001</v>
      </c>
      <c r="K5344" s="711"/>
      <c r="M5344" s="62">
        <f t="shared" si="408"/>
        <v>1</v>
      </c>
    </row>
    <row r="5345" spans="1:13">
      <c r="A5345" s="88">
        <f t="shared" si="411"/>
        <v>7</v>
      </c>
      <c r="B5345" s="69" t="s">
        <v>2638</v>
      </c>
      <c r="C5345" s="167">
        <v>13</v>
      </c>
      <c r="D5345" s="155">
        <v>6</v>
      </c>
      <c r="E5345" s="155">
        <v>6</v>
      </c>
      <c r="F5345" s="155">
        <v>6</v>
      </c>
      <c r="G5345" s="155">
        <v>6</v>
      </c>
      <c r="H5345" s="155">
        <v>6</v>
      </c>
      <c r="I5345" s="155">
        <v>6</v>
      </c>
      <c r="J5345" s="710">
        <f>(VLOOKUP($C5345,[2]Sheet1!$A$2:$P$18,$M5345+1)/12)*12*D5345</f>
        <v>3614445.2282400001</v>
      </c>
      <c r="K5345" s="711"/>
      <c r="M5345" s="62">
        <f t="shared" si="408"/>
        <v>1</v>
      </c>
    </row>
    <row r="5346" spans="1:13">
      <c r="A5346" s="88">
        <f t="shared" si="411"/>
        <v>8</v>
      </c>
      <c r="B5346" s="69" t="s">
        <v>1788</v>
      </c>
      <c r="C5346" s="167">
        <v>12</v>
      </c>
      <c r="D5346" s="155">
        <v>0</v>
      </c>
      <c r="E5346" s="155">
        <v>6</v>
      </c>
      <c r="F5346" s="155">
        <v>6</v>
      </c>
      <c r="G5346" s="155">
        <v>6</v>
      </c>
      <c r="H5346" s="155">
        <v>6</v>
      </c>
      <c r="I5346" s="155">
        <v>0</v>
      </c>
      <c r="J5346" s="710">
        <f>(VLOOKUP($C5346,[2]Sheet1!$A$2:$P$18,$M5346+1)/12)*12*D5346</f>
        <v>0</v>
      </c>
      <c r="K5346" s="711"/>
      <c r="M5346" s="62">
        <f t="shared" si="408"/>
        <v>1</v>
      </c>
    </row>
    <row r="5347" spans="1:13">
      <c r="A5347" s="88">
        <f t="shared" si="411"/>
        <v>9</v>
      </c>
      <c r="B5347" s="69" t="s">
        <v>1633</v>
      </c>
      <c r="C5347" s="167">
        <v>10</v>
      </c>
      <c r="D5347" s="155">
        <v>0</v>
      </c>
      <c r="E5347" s="155">
        <v>0</v>
      </c>
      <c r="F5347" s="155">
        <v>0</v>
      </c>
      <c r="G5347" s="155">
        <v>0</v>
      </c>
      <c r="H5347" s="155">
        <v>0</v>
      </c>
      <c r="I5347" s="155">
        <v>0</v>
      </c>
      <c r="J5347" s="710">
        <f>(VLOOKUP($C5347,[2]Sheet1!$A$2:$P$18,$M5347+1)/12)*12*D5347</f>
        <v>0</v>
      </c>
      <c r="K5347" s="711"/>
      <c r="M5347" s="62">
        <f t="shared" si="408"/>
        <v>1</v>
      </c>
    </row>
    <row r="5348" spans="1:13">
      <c r="A5348" s="88"/>
      <c r="B5348" s="90" t="s">
        <v>1531</v>
      </c>
      <c r="C5348" s="167"/>
      <c r="D5348" s="155"/>
      <c r="E5348" s="155"/>
      <c r="F5348" s="155"/>
      <c r="G5348" s="155"/>
      <c r="H5348" s="155"/>
      <c r="I5348" s="155"/>
      <c r="J5348" s="710"/>
      <c r="K5348" s="711"/>
      <c r="M5348" s="62">
        <f t="shared" si="408"/>
        <v>2</v>
      </c>
    </row>
    <row r="5349" spans="1:13">
      <c r="A5349" s="88">
        <v>1</v>
      </c>
      <c r="B5349" s="69" t="s">
        <v>5373</v>
      </c>
      <c r="C5349" s="167">
        <v>16</v>
      </c>
      <c r="D5349" s="155">
        <v>1</v>
      </c>
      <c r="E5349" s="155">
        <v>1</v>
      </c>
      <c r="F5349" s="155">
        <v>1</v>
      </c>
      <c r="G5349" s="155">
        <v>1</v>
      </c>
      <c r="H5349" s="155">
        <v>1</v>
      </c>
      <c r="I5349" s="155">
        <v>1</v>
      </c>
      <c r="J5349" s="710">
        <f>(VLOOKUP($C5349,[2]Sheet1!$A$2:$P$18,$M5349+1)/12)*12*D5349</f>
        <v>631249.26084</v>
      </c>
      <c r="K5349" s="711"/>
      <c r="M5349" s="62">
        <f t="shared" si="408"/>
        <v>1</v>
      </c>
    </row>
    <row r="5350" spans="1:13">
      <c r="A5350" s="88">
        <f t="shared" si="411"/>
        <v>2</v>
      </c>
      <c r="B5350" s="69" t="s">
        <v>1532</v>
      </c>
      <c r="C5350" s="167">
        <v>15</v>
      </c>
      <c r="D5350" s="155">
        <v>3</v>
      </c>
      <c r="E5350" s="155">
        <v>3</v>
      </c>
      <c r="F5350" s="155">
        <v>3</v>
      </c>
      <c r="G5350" s="155">
        <v>3</v>
      </c>
      <c r="H5350" s="155">
        <v>3</v>
      </c>
      <c r="I5350" s="155">
        <v>3</v>
      </c>
      <c r="J5350" s="710">
        <f>(VLOOKUP($C5350,[2]Sheet1!$A$2:$P$18,$M5350+1)/12)*12*D5350</f>
        <v>1860083.69976</v>
      </c>
      <c r="K5350" s="711"/>
      <c r="M5350" s="62">
        <f t="shared" si="408"/>
        <v>1</v>
      </c>
    </row>
    <row r="5351" spans="1:13">
      <c r="A5351" s="88"/>
      <c r="B5351" s="90" t="s">
        <v>4263</v>
      </c>
      <c r="C5351" s="167"/>
      <c r="D5351" s="155"/>
      <c r="E5351" s="155"/>
      <c r="F5351" s="155"/>
      <c r="G5351" s="155"/>
      <c r="H5351" s="155"/>
      <c r="I5351" s="155"/>
      <c r="J5351" s="710"/>
      <c r="K5351" s="711"/>
      <c r="M5351" s="62">
        <f t="shared" si="408"/>
        <v>2</v>
      </c>
    </row>
    <row r="5352" spans="1:13">
      <c r="A5352" s="88">
        <f t="shared" si="411"/>
        <v>1</v>
      </c>
      <c r="B5352" s="69" t="s">
        <v>3532</v>
      </c>
      <c r="C5352" s="167">
        <v>16</v>
      </c>
      <c r="D5352" s="155"/>
      <c r="E5352" s="155"/>
      <c r="F5352" s="155"/>
      <c r="G5352" s="155"/>
      <c r="H5352" s="155"/>
      <c r="I5352" s="155"/>
      <c r="J5352" s="710">
        <f>(VLOOKUP($C5352,[2]Sheet1!$A$2:$P$18,$M5352+1)/12)*12*D5352</f>
        <v>0</v>
      </c>
      <c r="K5352" s="711"/>
      <c r="M5352" s="62">
        <f t="shared" si="408"/>
        <v>1</v>
      </c>
    </row>
    <row r="5353" spans="1:13">
      <c r="A5353" s="88">
        <f t="shared" si="411"/>
        <v>2</v>
      </c>
      <c r="B5353" s="69" t="s">
        <v>1099</v>
      </c>
      <c r="C5353" s="167">
        <v>15</v>
      </c>
      <c r="D5353" s="155">
        <v>1</v>
      </c>
      <c r="E5353" s="155">
        <v>1</v>
      </c>
      <c r="F5353" s="155">
        <v>1</v>
      </c>
      <c r="G5353" s="155"/>
      <c r="H5353" s="155"/>
      <c r="I5353" s="155"/>
      <c r="J5353" s="710">
        <f>(VLOOKUP($C5353,[2]Sheet1!$A$2:$P$18,$M5353+1)/12)*12*D5353</f>
        <v>620027.89992</v>
      </c>
      <c r="K5353" s="711"/>
      <c r="M5353" s="62">
        <f t="shared" si="408"/>
        <v>1</v>
      </c>
    </row>
    <row r="5354" spans="1:13">
      <c r="A5354" s="88">
        <f t="shared" si="411"/>
        <v>3</v>
      </c>
      <c r="B5354" s="69" t="s">
        <v>4264</v>
      </c>
      <c r="C5354" s="167">
        <v>12</v>
      </c>
      <c r="D5354" s="155">
        <v>1</v>
      </c>
      <c r="E5354" s="155">
        <v>1</v>
      </c>
      <c r="F5354" s="155">
        <v>1</v>
      </c>
      <c r="G5354" s="155"/>
      <c r="H5354" s="155"/>
      <c r="I5354" s="155"/>
      <c r="J5354" s="710">
        <f>(VLOOKUP($C5354,[2]Sheet1!$A$2:$P$18,$M5354+1)/12)*12*D5354</f>
        <v>527773.0537200002</v>
      </c>
      <c r="K5354" s="711"/>
      <c r="M5354" s="62">
        <f t="shared" si="408"/>
        <v>1</v>
      </c>
    </row>
    <row r="5355" spans="1:13">
      <c r="A5355" s="88">
        <f t="shared" si="411"/>
        <v>4</v>
      </c>
      <c r="B5355" s="69" t="s">
        <v>4265</v>
      </c>
      <c r="C5355" s="167">
        <v>7</v>
      </c>
      <c r="D5355" s="155">
        <v>3</v>
      </c>
      <c r="E5355" s="155">
        <v>3</v>
      </c>
      <c r="F5355" s="155">
        <v>3</v>
      </c>
      <c r="G5355" s="155"/>
      <c r="H5355" s="155"/>
      <c r="I5355" s="155"/>
      <c r="J5355" s="710">
        <f>(VLOOKUP($C5355,[2]Sheet1!$A$2:$P$18,$M5355+1)/12)*12*D5355</f>
        <v>893096.1072000002</v>
      </c>
      <c r="K5355" s="711"/>
      <c r="M5355" s="62">
        <f t="shared" si="408"/>
        <v>1</v>
      </c>
    </row>
    <row r="5356" spans="1:13">
      <c r="A5356" s="88">
        <f t="shared" si="411"/>
        <v>5</v>
      </c>
      <c r="B5356" s="69" t="s">
        <v>4266</v>
      </c>
      <c r="C5356" s="167">
        <v>6</v>
      </c>
      <c r="D5356" s="155">
        <v>3</v>
      </c>
      <c r="E5356" s="155">
        <v>3</v>
      </c>
      <c r="F5356" s="155">
        <v>3</v>
      </c>
      <c r="G5356" s="155"/>
      <c r="H5356" s="155"/>
      <c r="I5356" s="155"/>
      <c r="J5356" s="710">
        <f>(VLOOKUP($C5356,[2]Sheet1!$A$2:$P$18,$M5356+1)/12)*12*D5356</f>
        <v>677794.1367910949</v>
      </c>
      <c r="K5356" s="711"/>
      <c r="M5356" s="62">
        <f t="shared" si="408"/>
        <v>2</v>
      </c>
    </row>
    <row r="5357" spans="1:13">
      <c r="A5357" s="88">
        <f t="shared" si="411"/>
        <v>6</v>
      </c>
      <c r="B5357" s="69" t="s">
        <v>2863</v>
      </c>
      <c r="C5357" s="167">
        <v>4</v>
      </c>
      <c r="D5357" s="155">
        <v>3</v>
      </c>
      <c r="E5357" s="155">
        <v>3</v>
      </c>
      <c r="F5357" s="155">
        <v>3</v>
      </c>
      <c r="G5357" s="155"/>
      <c r="H5357" s="155"/>
      <c r="I5357" s="155"/>
      <c r="J5357" s="710">
        <f>(VLOOKUP($C5357,[2]Sheet1!$A$2:$P$18,$M5357+1)/12)*12*D5357</f>
        <v>647816.93679109495</v>
      </c>
      <c r="K5357" s="711"/>
      <c r="M5357" s="62">
        <f t="shared" si="408"/>
        <v>2</v>
      </c>
    </row>
    <row r="5358" spans="1:13">
      <c r="A5358" s="88">
        <f t="shared" si="411"/>
        <v>7</v>
      </c>
      <c r="B5358" s="69" t="s">
        <v>3430</v>
      </c>
      <c r="C5358" s="167">
        <v>4</v>
      </c>
      <c r="D5358" s="155">
        <v>3</v>
      </c>
      <c r="E5358" s="155">
        <v>3</v>
      </c>
      <c r="F5358" s="155">
        <v>3</v>
      </c>
      <c r="G5358" s="155"/>
      <c r="H5358" s="155"/>
      <c r="I5358" s="155"/>
      <c r="J5358" s="710">
        <f>(VLOOKUP($C5358,[2]Sheet1!$A$2:$P$18,$M5358+1)/12)*12*D5358</f>
        <v>647816.93679109495</v>
      </c>
      <c r="K5358" s="711"/>
      <c r="M5358" s="62">
        <f t="shared" si="408"/>
        <v>2</v>
      </c>
    </row>
    <row r="5359" spans="1:13">
      <c r="A5359" s="88"/>
      <c r="B5359" s="90" t="s">
        <v>146</v>
      </c>
      <c r="C5359" s="167"/>
      <c r="D5359" s="155"/>
      <c r="E5359" s="155"/>
      <c r="F5359" s="155"/>
      <c r="G5359" s="155"/>
      <c r="H5359" s="155"/>
      <c r="I5359" s="155"/>
      <c r="J5359" s="710"/>
      <c r="K5359" s="711"/>
      <c r="M5359" s="62">
        <f t="shared" si="408"/>
        <v>2</v>
      </c>
    </row>
    <row r="5360" spans="1:13">
      <c r="A5360" s="88">
        <f t="shared" si="411"/>
        <v>1</v>
      </c>
      <c r="B5360" s="69" t="s">
        <v>3532</v>
      </c>
      <c r="C5360" s="167">
        <v>16</v>
      </c>
      <c r="D5360" s="155"/>
      <c r="E5360" s="155"/>
      <c r="F5360" s="155"/>
      <c r="G5360" s="155"/>
      <c r="H5360" s="155"/>
      <c r="I5360" s="155"/>
      <c r="J5360" s="710">
        <f>(VLOOKUP($C5360,[2]Sheet1!$A$2:$P$18,$M5360+1)/12)*12*D5360</f>
        <v>0</v>
      </c>
      <c r="K5360" s="711"/>
      <c r="M5360" s="62">
        <f t="shared" si="408"/>
        <v>1</v>
      </c>
    </row>
    <row r="5361" spans="1:13">
      <c r="A5361" s="88">
        <f t="shared" si="411"/>
        <v>2</v>
      </c>
      <c r="B5361" s="69" t="s">
        <v>1099</v>
      </c>
      <c r="C5361" s="167">
        <v>15</v>
      </c>
      <c r="D5361" s="155"/>
      <c r="E5361" s="155"/>
      <c r="F5361" s="155"/>
      <c r="G5361" s="155"/>
      <c r="H5361" s="155"/>
      <c r="I5361" s="155"/>
      <c r="J5361" s="710">
        <f>(VLOOKUP($C5361,[2]Sheet1!$A$2:$P$18,$M5361+1)/12)*12*D5361</f>
        <v>0</v>
      </c>
      <c r="K5361" s="711"/>
      <c r="M5361" s="62">
        <f t="shared" si="408"/>
        <v>1</v>
      </c>
    </row>
    <row r="5362" spans="1:13">
      <c r="A5362" s="88">
        <f t="shared" si="411"/>
        <v>3</v>
      </c>
      <c r="B5362" s="69" t="s">
        <v>3533</v>
      </c>
      <c r="C5362" s="167">
        <v>14</v>
      </c>
      <c r="D5362" s="155">
        <v>1</v>
      </c>
      <c r="E5362" s="155"/>
      <c r="F5362" s="155"/>
      <c r="G5362" s="155"/>
      <c r="H5362" s="155"/>
      <c r="I5362" s="155"/>
      <c r="J5362" s="710">
        <f>(VLOOKUP($C5362,[2]Sheet1!$A$2:$P$18,$M5362+1)/12)*12*D5362</f>
        <v>640731.40824000002</v>
      </c>
      <c r="K5362" s="711"/>
      <c r="M5362" s="62">
        <f t="shared" si="408"/>
        <v>1</v>
      </c>
    </row>
    <row r="5363" spans="1:13">
      <c r="A5363" s="88">
        <f t="shared" si="411"/>
        <v>4</v>
      </c>
      <c r="B5363" s="69" t="s">
        <v>312</v>
      </c>
      <c r="C5363" s="167">
        <v>12</v>
      </c>
      <c r="D5363" s="155">
        <v>2</v>
      </c>
      <c r="E5363" s="155"/>
      <c r="F5363" s="155"/>
      <c r="G5363" s="155"/>
      <c r="H5363" s="155"/>
      <c r="I5363" s="155"/>
      <c r="J5363" s="710">
        <f>(VLOOKUP($C5363,[2]Sheet1!$A$2:$P$18,$M5363+1)/12)*12*D5363</f>
        <v>1055546.1074400004</v>
      </c>
      <c r="K5363" s="711"/>
      <c r="M5363" s="62">
        <f t="shared" si="408"/>
        <v>1</v>
      </c>
    </row>
    <row r="5364" spans="1:13">
      <c r="A5364" s="88">
        <f t="shared" si="411"/>
        <v>5</v>
      </c>
      <c r="B5364" s="69" t="s">
        <v>4267</v>
      </c>
      <c r="C5364" s="167">
        <v>9</v>
      </c>
      <c r="D5364" s="155">
        <v>1</v>
      </c>
      <c r="E5364" s="155"/>
      <c r="F5364" s="155"/>
      <c r="G5364" s="155"/>
      <c r="H5364" s="155"/>
      <c r="I5364" s="155"/>
      <c r="J5364" s="710">
        <f>(VLOOKUP($C5364,[2]Sheet1!$A$2:$P$18,$M5364+1)/12)*12*D5364</f>
        <v>395353.90619999997</v>
      </c>
      <c r="K5364" s="711"/>
      <c r="M5364" s="62">
        <f>IF(C5364&gt;6,1,2)</f>
        <v>1</v>
      </c>
    </row>
    <row r="5365" spans="1:13">
      <c r="A5365" s="88">
        <f t="shared" si="411"/>
        <v>6</v>
      </c>
      <c r="B5365" s="69" t="s">
        <v>4268</v>
      </c>
      <c r="C5365" s="167">
        <v>9</v>
      </c>
      <c r="D5365" s="155">
        <v>1</v>
      </c>
      <c r="E5365" s="155"/>
      <c r="F5365" s="155"/>
      <c r="G5365" s="155"/>
      <c r="H5365" s="155"/>
      <c r="I5365" s="155"/>
      <c r="J5365" s="710">
        <f>(VLOOKUP($C5365,[2]Sheet1!$A$2:$P$18,$M5365+1)/12)*12*D5365</f>
        <v>395353.90619999997</v>
      </c>
      <c r="K5365" s="711"/>
      <c r="M5365" s="62">
        <f>IF(C5365&gt;6,1,2)</f>
        <v>1</v>
      </c>
    </row>
    <row r="5366" spans="1:13">
      <c r="A5366" s="88">
        <f t="shared" si="411"/>
        <v>7</v>
      </c>
      <c r="B5366" s="69" t="s">
        <v>2845</v>
      </c>
      <c r="C5366" s="167">
        <v>9</v>
      </c>
      <c r="D5366" s="155">
        <v>1</v>
      </c>
      <c r="E5366" s="155"/>
      <c r="F5366" s="155"/>
      <c r="G5366" s="155"/>
      <c r="H5366" s="155"/>
      <c r="I5366" s="155"/>
      <c r="J5366" s="710">
        <f>(VLOOKUP($C5366,[2]Sheet1!$A$2:$P$18,$M5366+1)/12)*12*D5366</f>
        <v>395353.90619999997</v>
      </c>
      <c r="K5366" s="711"/>
      <c r="M5366" s="62">
        <f>IF(C5366&gt;6,1,2)</f>
        <v>1</v>
      </c>
    </row>
    <row r="5367" spans="1:13">
      <c r="A5367" s="92"/>
      <c r="B5367" s="93" t="s">
        <v>2531</v>
      </c>
      <c r="C5367" s="168"/>
      <c r="D5367" s="169">
        <f t="shared" ref="D5367:J5367" si="412">SUM(D5235:D5366)</f>
        <v>530</v>
      </c>
      <c r="E5367" s="169">
        <f t="shared" si="412"/>
        <v>821</v>
      </c>
      <c r="F5367" s="169">
        <f t="shared" si="412"/>
        <v>762</v>
      </c>
      <c r="G5367" s="169">
        <f t="shared" si="412"/>
        <v>291</v>
      </c>
      <c r="H5367" s="169">
        <f t="shared" si="412"/>
        <v>475</v>
      </c>
      <c r="I5367" s="169">
        <f t="shared" si="412"/>
        <v>395</v>
      </c>
      <c r="J5367" s="169">
        <f t="shared" si="412"/>
        <v>161204177.25043669</v>
      </c>
      <c r="K5367" s="385"/>
      <c r="M5367" s="62">
        <f>IF(C5367&gt;6,1,2)</f>
        <v>2</v>
      </c>
    </row>
    <row r="5368" spans="1:13">
      <c r="A5368" s="170"/>
      <c r="B5368" s="97" t="s">
        <v>1199</v>
      </c>
      <c r="C5368" s="167"/>
      <c r="D5368" s="155"/>
      <c r="E5368" s="155"/>
      <c r="F5368" s="99"/>
      <c r="G5368" s="240" t="s">
        <v>243</v>
      </c>
      <c r="H5368" s="240" t="s">
        <v>4130</v>
      </c>
      <c r="I5368" s="240" t="s">
        <v>4202</v>
      </c>
      <c r="J5368" s="241" t="s">
        <v>4200</v>
      </c>
      <c r="K5368" s="375"/>
      <c r="M5368" s="62">
        <f t="shared" ref="M5368:M5378" si="413">IF(C5368&gt;6,3,5)</f>
        <v>5</v>
      </c>
    </row>
    <row r="5369" spans="1:13">
      <c r="A5369" s="88">
        <v>1</v>
      </c>
      <c r="B5369" s="69" t="s">
        <v>4258</v>
      </c>
      <c r="C5369" s="167"/>
      <c r="D5369" s="155"/>
      <c r="E5369" s="155"/>
      <c r="F5369" s="89"/>
      <c r="G5369" s="100">
        <f>J5367*0.35</f>
        <v>56421462.037652843</v>
      </c>
      <c r="H5369" s="100">
        <f t="shared" ref="H5369:H5375" si="414">G5369*1.02</f>
        <v>57549891.278405897</v>
      </c>
      <c r="I5369" s="100">
        <f t="shared" ref="I5369:I5375" si="415">H5369*1.02</f>
        <v>58700889.103974015</v>
      </c>
      <c r="J5369" s="100">
        <f t="shared" ref="J5369:J5375" si="416">SUM(G5369:I5369)</f>
        <v>172672242.42003274</v>
      </c>
      <c r="K5369" s="114"/>
      <c r="M5369" s="62">
        <f t="shared" si="413"/>
        <v>5</v>
      </c>
    </row>
    <row r="5370" spans="1:13">
      <c r="A5370" s="88">
        <v>2</v>
      </c>
      <c r="B5370" s="69" t="s">
        <v>763</v>
      </c>
      <c r="C5370" s="167"/>
      <c r="D5370" s="155"/>
      <c r="E5370" s="155"/>
      <c r="F5370" s="89"/>
      <c r="G5370" s="100">
        <f>J5367*0.5</f>
        <v>80602088.625218347</v>
      </c>
      <c r="H5370" s="100">
        <f t="shared" si="414"/>
        <v>82214130.397722721</v>
      </c>
      <c r="I5370" s="100">
        <f t="shared" si="415"/>
        <v>83858413.005677179</v>
      </c>
      <c r="J5370" s="100">
        <f t="shared" si="416"/>
        <v>246674632.02861822</v>
      </c>
      <c r="K5370" s="114"/>
      <c r="M5370" s="62">
        <f t="shared" si="413"/>
        <v>5</v>
      </c>
    </row>
    <row r="5371" spans="1:13">
      <c r="A5371" s="88"/>
      <c r="B5371" s="69" t="s">
        <v>4259</v>
      </c>
      <c r="C5371" s="167"/>
      <c r="D5371" s="155"/>
      <c r="E5371" s="155"/>
      <c r="F5371" s="89"/>
      <c r="G5371" s="100">
        <f>J5367*0.1</f>
        <v>16120417.725043669</v>
      </c>
      <c r="H5371" s="100">
        <f t="shared" si="414"/>
        <v>16442826.079544542</v>
      </c>
      <c r="I5371" s="100">
        <f t="shared" si="415"/>
        <v>16771682.601135433</v>
      </c>
      <c r="J5371" s="100">
        <f t="shared" si="416"/>
        <v>49334926.405723646</v>
      </c>
      <c r="K5371" s="114"/>
    </row>
    <row r="5372" spans="1:13">
      <c r="A5372" s="88"/>
      <c r="B5372" s="69" t="s">
        <v>5365</v>
      </c>
      <c r="C5372" s="167"/>
      <c r="D5372" s="155"/>
      <c r="E5372" s="155"/>
      <c r="F5372" s="89"/>
      <c r="G5372" s="100">
        <f>J5367*0.45</f>
        <v>72541879.762696519</v>
      </c>
      <c r="H5372" s="100">
        <f t="shared" si="414"/>
        <v>73992717.357950449</v>
      </c>
      <c r="I5372" s="100">
        <f t="shared" si="415"/>
        <v>75472571.705109462</v>
      </c>
      <c r="J5372" s="100">
        <f t="shared" si="416"/>
        <v>222007168.82575643</v>
      </c>
      <c r="K5372" s="114"/>
    </row>
    <row r="5373" spans="1:13">
      <c r="A5373" s="88"/>
      <c r="B5373" s="69" t="s">
        <v>1040</v>
      </c>
      <c r="C5373" s="167"/>
      <c r="D5373" s="155"/>
      <c r="E5373" s="155"/>
      <c r="F5373" s="89"/>
      <c r="G5373" s="100">
        <v>187216704</v>
      </c>
      <c r="H5373" s="100">
        <f t="shared" si="414"/>
        <v>190961038.08000001</v>
      </c>
      <c r="I5373" s="100">
        <f t="shared" si="415"/>
        <v>194780258.84160003</v>
      </c>
      <c r="J5373" s="100">
        <f t="shared" si="416"/>
        <v>572958000.9216001</v>
      </c>
      <c r="K5373" s="114"/>
    </row>
    <row r="5374" spans="1:13">
      <c r="A5374" s="88">
        <f>A5370+1</f>
        <v>3</v>
      </c>
      <c r="B5374" s="69" t="s">
        <v>4260</v>
      </c>
      <c r="C5374" s="167"/>
      <c r="D5374" s="155"/>
      <c r="E5374" s="155"/>
      <c r="F5374" s="89"/>
      <c r="G5374" s="100">
        <f>G5371</f>
        <v>16120417.725043669</v>
      </c>
      <c r="H5374" s="100">
        <f t="shared" si="414"/>
        <v>16442826.079544542</v>
      </c>
      <c r="I5374" s="100">
        <f t="shared" si="415"/>
        <v>16771682.601135433</v>
      </c>
      <c r="J5374" s="100">
        <f t="shared" si="416"/>
        <v>49334926.405723646</v>
      </c>
      <c r="K5374" s="114"/>
      <c r="M5374" s="62">
        <f t="shared" si="413"/>
        <v>5</v>
      </c>
    </row>
    <row r="5375" spans="1:13">
      <c r="A5375" s="88">
        <f>A5374+1</f>
        <v>4</v>
      </c>
      <c r="B5375" s="69" t="s">
        <v>4261</v>
      </c>
      <c r="C5375" s="167"/>
      <c r="D5375" s="155"/>
      <c r="E5375" s="155"/>
      <c r="F5375" s="89"/>
      <c r="G5375" s="100">
        <f>G5374</f>
        <v>16120417.725043669</v>
      </c>
      <c r="H5375" s="100">
        <f t="shared" si="414"/>
        <v>16442826.079544542</v>
      </c>
      <c r="I5375" s="100">
        <f t="shared" si="415"/>
        <v>16771682.601135433</v>
      </c>
      <c r="J5375" s="100">
        <f t="shared" si="416"/>
        <v>49334926.405723646</v>
      </c>
      <c r="K5375" s="114"/>
      <c r="M5375" s="62">
        <f t="shared" si="413"/>
        <v>5</v>
      </c>
    </row>
    <row r="5376" spans="1:13">
      <c r="A5376" s="92"/>
      <c r="B5376" s="93" t="s">
        <v>2531</v>
      </c>
      <c r="C5376" s="168"/>
      <c r="D5376" s="171"/>
      <c r="E5376" s="171"/>
      <c r="F5376" s="169"/>
      <c r="G5376" s="169">
        <f>SUM(G5369:G5375)</f>
        <v>445143387.60069865</v>
      </c>
      <c r="H5376" s="169">
        <f>SUM(H5369:H5375)</f>
        <v>454046255.35271275</v>
      </c>
      <c r="I5376" s="169">
        <f>SUM(I5369:I5375)</f>
        <v>463127180.45976698</v>
      </c>
      <c r="J5376" s="169">
        <f>SUM(J5369:J5375)</f>
        <v>1362316823.4131782</v>
      </c>
      <c r="K5376" s="385"/>
      <c r="M5376" s="62">
        <f t="shared" si="413"/>
        <v>5</v>
      </c>
    </row>
    <row r="5377" spans="1:13">
      <c r="A5377" s="88"/>
      <c r="B5377" s="88"/>
      <c r="C5377" s="88"/>
      <c r="D5377" s="88"/>
      <c r="E5377" s="88"/>
      <c r="F5377" s="88"/>
      <c r="G5377" s="88"/>
      <c r="H5377" s="100">
        <f>G5377*1.02</f>
        <v>0</v>
      </c>
      <c r="I5377" s="100">
        <f>H5377*1.02</f>
        <v>0</v>
      </c>
      <c r="J5377" s="88"/>
      <c r="K5377" s="113"/>
    </row>
    <row r="5378" spans="1:13">
      <c r="A5378" s="88"/>
      <c r="B5378" s="69" t="s">
        <v>926</v>
      </c>
      <c r="C5378" s="167"/>
      <c r="D5378" s="155"/>
      <c r="E5378" s="155"/>
      <c r="F5378" s="155"/>
      <c r="G5378" s="100">
        <f>G5376+J5367</f>
        <v>606347564.85113537</v>
      </c>
      <c r="H5378" s="100">
        <f>G5378*1.02</f>
        <v>618474516.14815807</v>
      </c>
      <c r="I5378" s="100">
        <f>H5378*1.02</f>
        <v>630844006.47112119</v>
      </c>
      <c r="J5378" s="100">
        <f>SUM(G5378:I5378)</f>
        <v>1855666087.4704146</v>
      </c>
      <c r="K5378" s="114"/>
      <c r="L5378" s="112"/>
      <c r="M5378" s="62">
        <f t="shared" si="413"/>
        <v>5</v>
      </c>
    </row>
    <row r="5379" spans="1:13">
      <c r="A5379" s="88"/>
      <c r="B5379" s="69" t="s">
        <v>2121</v>
      </c>
      <c r="C5379" s="167"/>
      <c r="D5379" s="155"/>
      <c r="E5379" s="155"/>
      <c r="F5379" s="155"/>
      <c r="G5379" s="155">
        <f>C5406</f>
        <v>120000000</v>
      </c>
      <c r="H5379" s="155">
        <f>D5406</f>
        <v>109500000</v>
      </c>
      <c r="I5379" s="155">
        <f>E5406</f>
        <v>119950000.00000003</v>
      </c>
      <c r="J5379" s="100">
        <f>SUM(G5379:I5379)</f>
        <v>349450000</v>
      </c>
      <c r="K5379" s="114"/>
      <c r="M5379" s="62">
        <f t="shared" ref="M5379:M5440" si="417">IF(C5379&gt;6,3,5)</f>
        <v>5</v>
      </c>
    </row>
    <row r="5380" spans="1:13" ht="13.5" thickBot="1">
      <c r="A5380" s="102"/>
      <c r="B5380" s="103" t="s">
        <v>2241</v>
      </c>
      <c r="C5380" s="172"/>
      <c r="D5380" s="173"/>
      <c r="E5380" s="173"/>
      <c r="F5380" s="174"/>
      <c r="G5380" s="174">
        <f>SUM(G5378:G5379)</f>
        <v>726347564.85113537</v>
      </c>
      <c r="H5380" s="174">
        <f>SUM(H5378:H5379)</f>
        <v>727974516.14815807</v>
      </c>
      <c r="I5380" s="174">
        <f>SUM(I5378:I5379)</f>
        <v>750794006.47112119</v>
      </c>
      <c r="J5380" s="174">
        <f>SUM(J5378:J5379)</f>
        <v>2205116087.4704146</v>
      </c>
      <c r="K5380" s="385"/>
      <c r="M5380" s="62">
        <f t="shared" si="417"/>
        <v>5</v>
      </c>
    </row>
    <row r="5381" spans="1:13" ht="15.75" thickTop="1">
      <c r="C5381" s="163"/>
      <c r="D5381" s="164" t="s">
        <v>5434</v>
      </c>
      <c r="E5381" s="165"/>
      <c r="F5381" s="165"/>
      <c r="G5381" s="165"/>
      <c r="H5381" s="165"/>
      <c r="I5381" s="165"/>
      <c r="J5381" s="584"/>
      <c r="K5381" s="584"/>
      <c r="M5381" s="62">
        <f t="shared" si="417"/>
        <v>5</v>
      </c>
    </row>
    <row r="5382" spans="1:13" ht="15">
      <c r="C5382" s="166"/>
      <c r="D5382" s="78" t="s">
        <v>716</v>
      </c>
      <c r="E5382" s="165"/>
      <c r="F5382" s="165"/>
      <c r="G5382" s="165"/>
      <c r="H5382" s="165"/>
      <c r="I5382" s="165"/>
      <c r="J5382" s="827"/>
      <c r="K5382" s="827"/>
      <c r="M5382" s="62">
        <f t="shared" si="417"/>
        <v>5</v>
      </c>
    </row>
    <row r="5383" spans="1:13" ht="15">
      <c r="C5383" s="79" t="s">
        <v>717</v>
      </c>
      <c r="D5383" s="164" t="s">
        <v>2777</v>
      </c>
      <c r="E5383" s="165"/>
      <c r="F5383" s="165"/>
      <c r="G5383" s="165"/>
      <c r="H5383" s="165"/>
      <c r="I5383" s="165"/>
      <c r="J5383" s="584"/>
      <c r="K5383" s="584"/>
      <c r="M5383" s="62">
        <f t="shared" si="417"/>
        <v>3</v>
      </c>
    </row>
    <row r="5384" spans="1:13" ht="15">
      <c r="C5384" s="79" t="s">
        <v>718</v>
      </c>
      <c r="D5384" s="164" t="s">
        <v>1214</v>
      </c>
      <c r="E5384" s="165"/>
      <c r="F5384" s="165"/>
      <c r="G5384" s="165"/>
      <c r="H5384" s="165"/>
      <c r="I5384" s="165"/>
      <c r="J5384" s="584"/>
      <c r="K5384" s="584"/>
      <c r="M5384" s="62">
        <f t="shared" si="417"/>
        <v>3</v>
      </c>
    </row>
    <row r="5385" spans="1:13" ht="15">
      <c r="A5385" s="634" t="s">
        <v>1839</v>
      </c>
      <c r="B5385" s="635" t="s">
        <v>903</v>
      </c>
      <c r="C5385" s="1037" t="s">
        <v>4127</v>
      </c>
      <c r="D5385" s="1038"/>
      <c r="E5385" s="1039"/>
      <c r="F5385" s="635" t="s">
        <v>1684</v>
      </c>
      <c r="G5385" s="1037" t="s">
        <v>4132</v>
      </c>
      <c r="H5385" s="1038"/>
      <c r="I5385" s="1039"/>
      <c r="J5385" s="726"/>
      <c r="K5385" s="727"/>
    </row>
    <row r="5386" spans="1:13">
      <c r="A5386" s="636" t="s">
        <v>1620</v>
      </c>
      <c r="B5386" s="637"/>
      <c r="C5386" s="635" t="s">
        <v>1841</v>
      </c>
      <c r="D5386" s="635" t="s">
        <v>4133</v>
      </c>
      <c r="E5386" s="635" t="s">
        <v>4133</v>
      </c>
      <c r="F5386" s="1056" t="s">
        <v>4200</v>
      </c>
      <c r="G5386" s="634" t="s">
        <v>4135</v>
      </c>
      <c r="H5386" s="1051" t="s">
        <v>4182</v>
      </c>
      <c r="I5386" s="634" t="s">
        <v>4135</v>
      </c>
      <c r="J5386" s="728" t="s">
        <v>4136</v>
      </c>
      <c r="K5386" s="727"/>
    </row>
    <row r="5387" spans="1:13" ht="12.75" customHeight="1">
      <c r="A5387" s="638" t="s">
        <v>387</v>
      </c>
      <c r="B5387" s="639"/>
      <c r="C5387" s="638">
        <v>2015</v>
      </c>
      <c r="D5387" s="638">
        <v>2016</v>
      </c>
      <c r="E5387" s="638">
        <v>2017</v>
      </c>
      <c r="F5387" s="1057"/>
      <c r="G5387" s="638" t="s">
        <v>4304</v>
      </c>
      <c r="H5387" s="1052"/>
      <c r="I5387" s="638" t="s">
        <v>4303</v>
      </c>
      <c r="J5387" s="639"/>
      <c r="K5387" s="729"/>
    </row>
    <row r="5388" spans="1:13">
      <c r="A5388" s="822"/>
      <c r="B5388" s="823"/>
      <c r="C5388" s="824"/>
      <c r="D5388" s="824"/>
      <c r="E5388" s="824"/>
      <c r="F5388" s="824"/>
      <c r="G5388" s="824"/>
      <c r="H5388" s="824"/>
      <c r="I5388" s="824"/>
      <c r="J5388" s="824"/>
      <c r="K5388" s="734"/>
      <c r="M5388" s="62" t="e">
        <f>IF(#REF!&gt;6,3,5)</f>
        <v>#REF!</v>
      </c>
    </row>
    <row r="5389" spans="1:13">
      <c r="A5389" s="822">
        <v>2</v>
      </c>
      <c r="B5389" s="823" t="s">
        <v>768</v>
      </c>
      <c r="C5389" s="824">
        <v>10000000</v>
      </c>
      <c r="D5389" s="824">
        <f>C5389*1.1</f>
        <v>11000000</v>
      </c>
      <c r="E5389" s="824">
        <f>D5389*1.1</f>
        <v>12100000.000000002</v>
      </c>
      <c r="F5389" s="824">
        <v>2948634</v>
      </c>
      <c r="G5389" s="824"/>
      <c r="H5389" s="824">
        <v>3000000</v>
      </c>
      <c r="I5389" s="824">
        <v>751550</v>
      </c>
      <c r="J5389" s="824"/>
      <c r="K5389" s="734"/>
      <c r="M5389" s="62" t="e">
        <f>IF(#REF!&gt;6,3,5)</f>
        <v>#REF!</v>
      </c>
    </row>
    <row r="5390" spans="1:13">
      <c r="A5390" s="822">
        <f t="shared" ref="A5390:A5405" si="418">+A5389+1</f>
        <v>3</v>
      </c>
      <c r="B5390" s="768" t="s">
        <v>1696</v>
      </c>
      <c r="C5390" s="824">
        <v>2000000</v>
      </c>
      <c r="D5390" s="824">
        <f>C5390*1.1</f>
        <v>2200000</v>
      </c>
      <c r="E5390" s="824">
        <f>D5390*1.1</f>
        <v>2420000</v>
      </c>
      <c r="F5390" s="824">
        <f t="shared" ref="F5390:F5396" si="419">SUM(C5390:E5390)</f>
        <v>6620000</v>
      </c>
      <c r="G5390" s="824"/>
      <c r="H5390" s="824" t="s">
        <v>1386</v>
      </c>
      <c r="I5390" s="824"/>
      <c r="J5390" s="824"/>
      <c r="K5390" s="734"/>
      <c r="M5390" s="62" t="e">
        <f>IF(#REF!&gt;6,3,5)</f>
        <v>#REF!</v>
      </c>
    </row>
    <row r="5391" spans="1:13">
      <c r="A5391" s="822">
        <f t="shared" si="418"/>
        <v>4</v>
      </c>
      <c r="B5391" s="768" t="s">
        <v>1701</v>
      </c>
      <c r="C5391" s="824" t="s">
        <v>1386</v>
      </c>
      <c r="D5391" s="824" t="s">
        <v>1386</v>
      </c>
      <c r="E5391" s="824" t="s">
        <v>1386</v>
      </c>
      <c r="F5391" s="824">
        <f t="shared" si="419"/>
        <v>0</v>
      </c>
      <c r="G5391" s="824"/>
      <c r="H5391" s="824" t="s">
        <v>1386</v>
      </c>
      <c r="I5391" s="824"/>
      <c r="J5391" s="824"/>
      <c r="K5391" s="734"/>
      <c r="M5391" s="62" t="e">
        <f>IF(#REF!&gt;6,3,5)</f>
        <v>#REF!</v>
      </c>
    </row>
    <row r="5392" spans="1:13">
      <c r="A5392" s="822">
        <f t="shared" si="418"/>
        <v>5</v>
      </c>
      <c r="B5392" s="768" t="s">
        <v>998</v>
      </c>
      <c r="C5392" s="824">
        <v>6000000</v>
      </c>
      <c r="D5392" s="824">
        <f t="shared" ref="D5392:E5394" si="420">C5392*1.1</f>
        <v>6600000.0000000009</v>
      </c>
      <c r="E5392" s="824">
        <f t="shared" si="420"/>
        <v>7260000.0000000019</v>
      </c>
      <c r="F5392" s="824">
        <v>589800</v>
      </c>
      <c r="G5392" s="824">
        <f>2500000</f>
        <v>2500000</v>
      </c>
      <c r="H5392" s="824">
        <v>800000</v>
      </c>
      <c r="I5392" s="824">
        <v>449300</v>
      </c>
      <c r="J5392" s="824"/>
      <c r="K5392" s="734"/>
      <c r="M5392" s="62" t="e">
        <f>IF(#REF!&gt;6,3,5)</f>
        <v>#REF!</v>
      </c>
    </row>
    <row r="5393" spans="1:13" ht="25.5">
      <c r="A5393" s="822">
        <f t="shared" si="418"/>
        <v>6</v>
      </c>
      <c r="B5393" s="773" t="s">
        <v>1072</v>
      </c>
      <c r="C5393" s="824">
        <v>2000000</v>
      </c>
      <c r="D5393" s="824">
        <f t="shared" si="420"/>
        <v>2200000</v>
      </c>
      <c r="E5393" s="824">
        <f t="shared" si="420"/>
        <v>2420000</v>
      </c>
      <c r="F5393" s="824">
        <v>347000</v>
      </c>
      <c r="G5393" s="824"/>
      <c r="H5393" s="824">
        <v>800000</v>
      </c>
      <c r="I5393" s="824">
        <v>40000</v>
      </c>
      <c r="J5393" s="824"/>
      <c r="K5393" s="734"/>
      <c r="M5393" s="62" t="e">
        <f>IF(#REF!&gt;6,3,5)</f>
        <v>#REF!</v>
      </c>
    </row>
    <row r="5394" spans="1:13" ht="25.5">
      <c r="A5394" s="822">
        <f t="shared" si="418"/>
        <v>7</v>
      </c>
      <c r="B5394" s="773" t="s">
        <v>1073</v>
      </c>
      <c r="C5394" s="824">
        <v>10000000</v>
      </c>
      <c r="D5394" s="824">
        <f t="shared" si="420"/>
        <v>11000000</v>
      </c>
      <c r="E5394" s="824">
        <f t="shared" si="420"/>
        <v>12100000.000000002</v>
      </c>
      <c r="F5394" s="824">
        <v>1394150</v>
      </c>
      <c r="G5394" s="824"/>
      <c r="H5394" s="824">
        <v>3000000</v>
      </c>
      <c r="I5394" s="824">
        <v>457750</v>
      </c>
      <c r="J5394" s="824"/>
      <c r="K5394" s="734"/>
      <c r="M5394" s="62" t="e">
        <f>IF(#REF!&gt;6,3,5)</f>
        <v>#REF!</v>
      </c>
    </row>
    <row r="5395" spans="1:13">
      <c r="A5395" s="822">
        <f t="shared" si="418"/>
        <v>8</v>
      </c>
      <c r="B5395" s="768" t="s">
        <v>1385</v>
      </c>
      <c r="C5395" s="817" t="s">
        <v>4296</v>
      </c>
      <c r="D5395" s="817" t="s">
        <v>4296</v>
      </c>
      <c r="E5395" s="817" t="s">
        <v>4296</v>
      </c>
      <c r="F5395" s="824">
        <f t="shared" si="419"/>
        <v>0</v>
      </c>
      <c r="G5395" s="824"/>
      <c r="H5395" s="824" t="s">
        <v>1386</v>
      </c>
      <c r="I5395" s="824"/>
      <c r="J5395" s="824"/>
      <c r="K5395" s="734"/>
      <c r="M5395" s="62" t="e">
        <f>IF(#REF!&gt;6,3,5)</f>
        <v>#REF!</v>
      </c>
    </row>
    <row r="5396" spans="1:13" ht="24">
      <c r="A5396" s="822">
        <f t="shared" si="418"/>
        <v>9</v>
      </c>
      <c r="B5396" s="828" t="s">
        <v>1146</v>
      </c>
      <c r="C5396" s="817" t="s">
        <v>4296</v>
      </c>
      <c r="D5396" s="817" t="s">
        <v>4296</v>
      </c>
      <c r="E5396" s="817" t="s">
        <v>4296</v>
      </c>
      <c r="F5396" s="824">
        <f t="shared" si="419"/>
        <v>0</v>
      </c>
      <c r="G5396" s="824"/>
      <c r="H5396" s="824" t="s">
        <v>1386</v>
      </c>
      <c r="I5396" s="824"/>
      <c r="J5396" s="824"/>
      <c r="K5396" s="734"/>
      <c r="M5396" s="62" t="e">
        <f>IF(#REF!&gt;6,3,5)</f>
        <v>#REF!</v>
      </c>
    </row>
    <row r="5397" spans="1:13">
      <c r="A5397" s="822">
        <f t="shared" si="418"/>
        <v>10</v>
      </c>
      <c r="B5397" s="768" t="s">
        <v>1716</v>
      </c>
      <c r="C5397" s="824">
        <v>5000000</v>
      </c>
      <c r="D5397" s="824">
        <f t="shared" ref="D5397:E5403" si="421">C5397*1.1</f>
        <v>5500000</v>
      </c>
      <c r="E5397" s="824">
        <f t="shared" si="421"/>
        <v>6050000.0000000009</v>
      </c>
      <c r="F5397" s="824">
        <v>0</v>
      </c>
      <c r="G5397" s="824"/>
      <c r="H5397" s="824">
        <v>500000</v>
      </c>
      <c r="I5397" s="824"/>
      <c r="J5397" s="824"/>
      <c r="K5397" s="734"/>
      <c r="M5397" s="62" t="e">
        <f>IF(#REF!&gt;6,3,5)</f>
        <v>#REF!</v>
      </c>
    </row>
    <row r="5398" spans="1:13" ht="25.5">
      <c r="A5398" s="822">
        <f t="shared" si="418"/>
        <v>11</v>
      </c>
      <c r="B5398" s="773" t="s">
        <v>764</v>
      </c>
      <c r="C5398" s="390">
        <v>500000</v>
      </c>
      <c r="D5398" s="824">
        <f t="shared" si="421"/>
        <v>550000</v>
      </c>
      <c r="E5398" s="824">
        <f t="shared" si="421"/>
        <v>605000</v>
      </c>
      <c r="F5398" s="824">
        <v>145950</v>
      </c>
      <c r="G5398" s="824"/>
      <c r="H5398" s="390">
        <v>300000</v>
      </c>
      <c r="I5398" s="824"/>
      <c r="J5398" s="824"/>
      <c r="K5398" s="734"/>
      <c r="M5398" s="62" t="e">
        <f>IF(#REF!&gt;6,3,5)</f>
        <v>#REF!</v>
      </c>
    </row>
    <row r="5399" spans="1:13">
      <c r="A5399" s="822">
        <f t="shared" si="418"/>
        <v>12</v>
      </c>
      <c r="B5399" s="768" t="s">
        <v>2688</v>
      </c>
      <c r="C5399" s="390">
        <v>10000000</v>
      </c>
      <c r="D5399" s="824">
        <f t="shared" si="421"/>
        <v>11000000</v>
      </c>
      <c r="E5399" s="824">
        <f t="shared" si="421"/>
        <v>12100000.000000002</v>
      </c>
      <c r="F5399" s="824">
        <v>30082926</v>
      </c>
      <c r="G5399" s="824">
        <f>1580000</f>
        <v>1580000</v>
      </c>
      <c r="H5399" s="390">
        <v>6000000</v>
      </c>
      <c r="I5399" s="824">
        <f>4063589</f>
        <v>4063589</v>
      </c>
      <c r="J5399" s="824">
        <v>7391400</v>
      </c>
      <c r="K5399" s="734"/>
      <c r="M5399" s="62" t="e">
        <f>IF(#REF!&gt;6,3,5)</f>
        <v>#REF!</v>
      </c>
    </row>
    <row r="5400" spans="1:13">
      <c r="A5400" s="822">
        <f t="shared" si="418"/>
        <v>13</v>
      </c>
      <c r="B5400" s="768" t="s">
        <v>2249</v>
      </c>
      <c r="C5400" s="390">
        <v>500000</v>
      </c>
      <c r="D5400" s="824">
        <f t="shared" si="421"/>
        <v>550000</v>
      </c>
      <c r="E5400" s="824">
        <f t="shared" si="421"/>
        <v>605000</v>
      </c>
      <c r="F5400" s="824">
        <v>0</v>
      </c>
      <c r="G5400" s="824"/>
      <c r="H5400" s="390">
        <v>100000</v>
      </c>
      <c r="I5400" s="824"/>
      <c r="J5400" s="824"/>
      <c r="K5400" s="734"/>
      <c r="M5400" s="62" t="e">
        <f>IF(#REF!&gt;6,3,5)</f>
        <v>#REF!</v>
      </c>
    </row>
    <row r="5401" spans="1:13">
      <c r="A5401" s="822">
        <f t="shared" si="418"/>
        <v>14</v>
      </c>
      <c r="B5401" s="773" t="s">
        <v>1336</v>
      </c>
      <c r="C5401" s="390">
        <v>7000000</v>
      </c>
      <c r="D5401" s="824">
        <f t="shared" si="421"/>
        <v>7700000.0000000009</v>
      </c>
      <c r="E5401" s="824">
        <f t="shared" si="421"/>
        <v>8470000.0000000019</v>
      </c>
      <c r="F5401" s="824">
        <v>0</v>
      </c>
      <c r="G5401" s="824"/>
      <c r="H5401" s="390">
        <v>2000000</v>
      </c>
      <c r="I5401" s="824">
        <v>7997280</v>
      </c>
      <c r="J5401" s="824">
        <v>7997280</v>
      </c>
      <c r="K5401" s="734"/>
      <c r="M5401" s="62" t="e">
        <f>IF(#REF!&gt;6,3,5)</f>
        <v>#REF!</v>
      </c>
    </row>
    <row r="5402" spans="1:13">
      <c r="A5402" s="822">
        <f t="shared" si="418"/>
        <v>15</v>
      </c>
      <c r="B5402" s="768" t="s">
        <v>3627</v>
      </c>
      <c r="C5402" s="390">
        <v>1000000</v>
      </c>
      <c r="D5402" s="824">
        <f t="shared" si="421"/>
        <v>1100000</v>
      </c>
      <c r="E5402" s="824">
        <f t="shared" si="421"/>
        <v>1210000</v>
      </c>
      <c r="F5402" s="824">
        <v>163550</v>
      </c>
      <c r="G5402" s="824"/>
      <c r="H5402" s="390">
        <v>200000</v>
      </c>
      <c r="I5402" s="824">
        <v>100000</v>
      </c>
      <c r="J5402" s="824">
        <v>100000</v>
      </c>
      <c r="K5402" s="734"/>
      <c r="M5402" s="62" t="e">
        <f>IF(#REF!&gt;6,3,5)</f>
        <v>#REF!</v>
      </c>
    </row>
    <row r="5403" spans="1:13">
      <c r="A5403" s="822">
        <f t="shared" si="418"/>
        <v>16</v>
      </c>
      <c r="B5403" s="768" t="s">
        <v>1148</v>
      </c>
      <c r="C5403" s="390">
        <v>12000000</v>
      </c>
      <c r="D5403" s="824">
        <f t="shared" si="421"/>
        <v>13200000.000000002</v>
      </c>
      <c r="E5403" s="824">
        <f t="shared" si="421"/>
        <v>14520000.000000004</v>
      </c>
      <c r="F5403" s="824">
        <v>1141900</v>
      </c>
      <c r="G5403" s="824"/>
      <c r="H5403" s="390">
        <v>300000</v>
      </c>
      <c r="I5403" s="824">
        <v>422400</v>
      </c>
      <c r="J5403" s="824">
        <v>422400</v>
      </c>
      <c r="K5403" s="734"/>
      <c r="M5403" s="62" t="e">
        <f>IF(#REF!&gt;6,3,5)</f>
        <v>#REF!</v>
      </c>
    </row>
    <row r="5404" spans="1:13">
      <c r="A5404" s="822">
        <f t="shared" si="418"/>
        <v>17</v>
      </c>
      <c r="B5404" s="768" t="s">
        <v>1149</v>
      </c>
      <c r="C5404" s="390">
        <v>25000000</v>
      </c>
      <c r="D5404" s="390">
        <v>5000000</v>
      </c>
      <c r="E5404" s="390">
        <v>5000000</v>
      </c>
      <c r="F5404" s="824">
        <v>345000</v>
      </c>
      <c r="G5404" s="824"/>
      <c r="H5404" s="390" t="s">
        <v>1386</v>
      </c>
      <c r="I5404" s="824">
        <v>65000</v>
      </c>
      <c r="J5404" s="824">
        <v>65000</v>
      </c>
      <c r="K5404" s="734"/>
      <c r="M5404" s="62" t="e">
        <f>IF(#REF!&gt;6,3,5)</f>
        <v>#REF!</v>
      </c>
    </row>
    <row r="5405" spans="1:13">
      <c r="A5405" s="822">
        <f t="shared" si="418"/>
        <v>18</v>
      </c>
      <c r="B5405" s="768" t="s">
        <v>4269</v>
      </c>
      <c r="C5405" s="390">
        <f>40000000-11000000</f>
        <v>29000000</v>
      </c>
      <c r="D5405" s="824">
        <f>C5405*1.1</f>
        <v>31900000.000000004</v>
      </c>
      <c r="E5405" s="824">
        <f>D5405*1.1</f>
        <v>35090000.000000007</v>
      </c>
      <c r="F5405" s="390"/>
      <c r="G5405" s="390"/>
      <c r="H5405" s="390"/>
      <c r="I5405" s="390"/>
      <c r="J5405" s="390"/>
      <c r="K5405" s="734"/>
      <c r="M5405" s="62" t="e">
        <f>IF(#REF!&gt;6,3,5)</f>
        <v>#REF!</v>
      </c>
    </row>
    <row r="5406" spans="1:13">
      <c r="A5406" s="770"/>
      <c r="B5406" s="770" t="s">
        <v>1684</v>
      </c>
      <c r="C5406" s="739">
        <f t="shared" ref="C5406:I5406" si="422">SUM(C5388:C5405)</f>
        <v>120000000</v>
      </c>
      <c r="D5406" s="739">
        <f t="shared" si="422"/>
        <v>109500000</v>
      </c>
      <c r="E5406" s="739">
        <f t="shared" si="422"/>
        <v>119950000.00000003</v>
      </c>
      <c r="F5406" s="739">
        <f t="shared" si="422"/>
        <v>43778910</v>
      </c>
      <c r="G5406" s="739">
        <f t="shared" si="422"/>
        <v>4080000</v>
      </c>
      <c r="H5406" s="739">
        <f t="shared" si="422"/>
        <v>17000000</v>
      </c>
      <c r="I5406" s="739">
        <f t="shared" si="422"/>
        <v>14346869</v>
      </c>
      <c r="J5406" s="739"/>
      <c r="K5406" s="740"/>
      <c r="M5406" s="62" t="e">
        <f>IF(#REF!&gt;6,3,5)</f>
        <v>#REF!</v>
      </c>
    </row>
    <row r="5407" spans="1:13" ht="15">
      <c r="C5407" s="166"/>
      <c r="D5407" s="164" t="s">
        <v>5434</v>
      </c>
      <c r="E5407" s="165"/>
      <c r="F5407" s="165"/>
      <c r="G5407" s="165"/>
      <c r="H5407" s="165"/>
      <c r="I5407" s="165"/>
      <c r="J5407" s="584"/>
      <c r="K5407" s="584"/>
      <c r="M5407" s="62">
        <f t="shared" si="417"/>
        <v>5</v>
      </c>
    </row>
    <row r="5408" spans="1:13" ht="15">
      <c r="C5408" s="166"/>
      <c r="D5408" s="164" t="s">
        <v>1693</v>
      </c>
      <c r="E5408" s="165"/>
      <c r="F5408" s="165"/>
      <c r="G5408" s="165"/>
      <c r="H5408" s="165"/>
      <c r="I5408" s="165"/>
      <c r="J5408" s="584"/>
      <c r="K5408" s="584"/>
    </row>
    <row r="5409" spans="1:13" ht="15">
      <c r="C5409" s="79" t="s">
        <v>717</v>
      </c>
      <c r="D5409" s="164" t="s">
        <v>1150</v>
      </c>
      <c r="E5409" s="165"/>
      <c r="F5409" s="165"/>
      <c r="G5409" s="165"/>
      <c r="H5409" s="165"/>
      <c r="I5409" s="165"/>
      <c r="J5409" s="584"/>
      <c r="K5409" s="584"/>
      <c r="M5409" s="62">
        <f t="shared" si="417"/>
        <v>3</v>
      </c>
    </row>
    <row r="5410" spans="1:13" ht="15.75" thickBot="1">
      <c r="C5410" s="79" t="s">
        <v>718</v>
      </c>
      <c r="D5410" s="164" t="s">
        <v>1151</v>
      </c>
      <c r="E5410" s="165"/>
      <c r="F5410" s="165"/>
      <c r="G5410" s="165"/>
      <c r="H5410" s="165"/>
      <c r="I5410" s="165"/>
      <c r="J5410" s="584"/>
      <c r="K5410" s="584"/>
      <c r="M5410" s="62">
        <f t="shared" si="417"/>
        <v>3</v>
      </c>
    </row>
    <row r="5411" spans="1:13" ht="15.75" thickTop="1">
      <c r="A5411" s="1047" t="s">
        <v>2791</v>
      </c>
      <c r="B5411" s="1049" t="s">
        <v>4126</v>
      </c>
      <c r="C5411" s="1049" t="s">
        <v>854</v>
      </c>
      <c r="D5411" s="1040" t="s">
        <v>4127</v>
      </c>
      <c r="E5411" s="1041"/>
      <c r="F5411" s="1041"/>
      <c r="G5411" s="1040" t="s">
        <v>904</v>
      </c>
      <c r="H5411" s="1041"/>
      <c r="I5411" s="1042"/>
      <c r="J5411" s="1035" t="s">
        <v>855</v>
      </c>
      <c r="K5411" s="389"/>
    </row>
    <row r="5412" spans="1:13" ht="26.25" thickBot="1">
      <c r="A5412" s="1048"/>
      <c r="B5412" s="1050"/>
      <c r="C5412" s="1050"/>
      <c r="D5412" s="285" t="s">
        <v>5505</v>
      </c>
      <c r="E5412" s="285" t="s">
        <v>4485</v>
      </c>
      <c r="F5412" s="285" t="s">
        <v>4486</v>
      </c>
      <c r="G5412" s="287" t="s">
        <v>4487</v>
      </c>
      <c r="H5412" s="285" t="s">
        <v>4488</v>
      </c>
      <c r="I5412" s="287" t="s">
        <v>4489</v>
      </c>
      <c r="J5412" s="1036"/>
      <c r="K5412" s="712"/>
    </row>
    <row r="5413" spans="1:13" ht="13.5" thickTop="1">
      <c r="A5413" s="88"/>
      <c r="B5413" s="90" t="s">
        <v>2051</v>
      </c>
      <c r="C5413" s="167"/>
      <c r="D5413" s="155"/>
      <c r="E5413" s="155"/>
      <c r="F5413" s="155"/>
      <c r="G5413" s="155"/>
      <c r="H5413" s="155"/>
      <c r="I5413" s="155"/>
      <c r="J5413" s="713"/>
      <c r="K5413" s="711"/>
      <c r="M5413" s="62">
        <f t="shared" si="417"/>
        <v>5</v>
      </c>
    </row>
    <row r="5414" spans="1:13">
      <c r="A5414" s="88">
        <v>1</v>
      </c>
      <c r="B5414" s="69" t="s">
        <v>890</v>
      </c>
      <c r="C5414" s="167" t="s">
        <v>2335</v>
      </c>
      <c r="D5414" s="155">
        <v>1</v>
      </c>
      <c r="E5414" s="155">
        <v>1</v>
      </c>
      <c r="F5414" s="155">
        <v>1</v>
      </c>
      <c r="G5414" s="155">
        <v>1</v>
      </c>
      <c r="H5414" s="155">
        <v>1</v>
      </c>
      <c r="I5414" s="155">
        <v>1</v>
      </c>
      <c r="J5414" s="713">
        <f>H5414*L5414</f>
        <v>1250110</v>
      </c>
      <c r="K5414" s="711"/>
      <c r="L5414" s="183">
        <v>1250110</v>
      </c>
      <c r="M5414" s="62">
        <f t="shared" si="417"/>
        <v>3</v>
      </c>
    </row>
    <row r="5415" spans="1:13">
      <c r="A5415" s="88">
        <f t="shared" ref="A5415:A5449" si="423">+A5414+1</f>
        <v>2</v>
      </c>
      <c r="B5415" s="69" t="s">
        <v>3917</v>
      </c>
      <c r="C5415" s="167">
        <v>15</v>
      </c>
      <c r="D5415" s="155">
        <v>1</v>
      </c>
      <c r="E5415" s="155">
        <v>1</v>
      </c>
      <c r="F5415" s="155">
        <v>1</v>
      </c>
      <c r="G5415" s="155">
        <v>1</v>
      </c>
      <c r="H5415" s="155">
        <v>1</v>
      </c>
      <c r="I5415" s="155">
        <v>1</v>
      </c>
      <c r="J5415" s="710">
        <f>(VLOOKUP($C5415,[2]Sheet1!$A$2:$P$18,$M5415+1)/12)*12*D5415</f>
        <v>658331.89992</v>
      </c>
      <c r="K5415" s="711"/>
      <c r="M5415" s="62">
        <f t="shared" si="417"/>
        <v>3</v>
      </c>
    </row>
    <row r="5416" spans="1:13">
      <c r="A5416" s="88">
        <f t="shared" si="423"/>
        <v>3</v>
      </c>
      <c r="B5416" s="69" t="s">
        <v>567</v>
      </c>
      <c r="C5416" s="167">
        <v>14</v>
      </c>
      <c r="D5416" s="155">
        <v>1</v>
      </c>
      <c r="E5416" s="155">
        <v>1</v>
      </c>
      <c r="F5416" s="155">
        <v>1</v>
      </c>
      <c r="G5416" s="155">
        <v>1</v>
      </c>
      <c r="H5416" s="155">
        <v>1</v>
      </c>
      <c r="I5416" s="155">
        <v>1</v>
      </c>
      <c r="J5416" s="710">
        <f>(VLOOKUP($C5416,[2]Sheet1!$A$2:$P$18,$M5416+1)/12)*12*D5416</f>
        <v>669099.40824000002</v>
      </c>
      <c r="K5416" s="711"/>
      <c r="M5416" s="62">
        <f t="shared" si="417"/>
        <v>3</v>
      </c>
    </row>
    <row r="5417" spans="1:13">
      <c r="A5417" s="88">
        <f t="shared" si="423"/>
        <v>4</v>
      </c>
      <c r="B5417" s="69" t="s">
        <v>1878</v>
      </c>
      <c r="C5417" s="167">
        <v>13</v>
      </c>
      <c r="D5417" s="155">
        <v>1</v>
      </c>
      <c r="E5417" s="155">
        <v>1</v>
      </c>
      <c r="F5417" s="155">
        <v>1</v>
      </c>
      <c r="G5417" s="155">
        <v>1</v>
      </c>
      <c r="H5417" s="155">
        <v>1</v>
      </c>
      <c r="I5417" s="155">
        <v>1</v>
      </c>
      <c r="J5417" s="710">
        <f>(VLOOKUP($C5417,[2]Sheet1!$A$2:$P$18,$M5417+1)/12)*12*D5417</f>
        <v>628759.53804000001</v>
      </c>
      <c r="K5417" s="711"/>
      <c r="M5417" s="62">
        <f t="shared" si="417"/>
        <v>3</v>
      </c>
    </row>
    <row r="5418" spans="1:13">
      <c r="A5418" s="88">
        <f t="shared" si="423"/>
        <v>5</v>
      </c>
      <c r="B5418" s="69" t="s">
        <v>3239</v>
      </c>
      <c r="C5418" s="167">
        <v>12</v>
      </c>
      <c r="D5418" s="155">
        <v>1</v>
      </c>
      <c r="E5418" s="155">
        <v>1</v>
      </c>
      <c r="F5418" s="155">
        <v>1</v>
      </c>
      <c r="G5418" s="155">
        <v>1</v>
      </c>
      <c r="H5418" s="155">
        <v>1</v>
      </c>
      <c r="I5418" s="155">
        <v>1</v>
      </c>
      <c r="J5418" s="710">
        <f>(VLOOKUP($C5418,[2]Sheet1!$A$2:$P$18,$M5418+1)/12)*12*D5418</f>
        <v>552685.0537200002</v>
      </c>
      <c r="K5418" s="711"/>
      <c r="M5418" s="62">
        <f t="shared" si="417"/>
        <v>3</v>
      </c>
    </row>
    <row r="5419" spans="1:13">
      <c r="A5419" s="88">
        <f t="shared" si="423"/>
        <v>6</v>
      </c>
      <c r="B5419" s="69" t="s">
        <v>1873</v>
      </c>
      <c r="C5419" s="167">
        <v>10</v>
      </c>
      <c r="D5419" s="155">
        <v>3</v>
      </c>
      <c r="E5419" s="155">
        <v>3</v>
      </c>
      <c r="F5419" s="155">
        <v>3</v>
      </c>
      <c r="G5419" s="155">
        <v>3</v>
      </c>
      <c r="H5419" s="155">
        <v>3</v>
      </c>
      <c r="I5419" s="155">
        <v>3</v>
      </c>
      <c r="J5419" s="710">
        <f>(VLOOKUP($C5419,[2]Sheet1!$A$2:$P$18,$M5419+1)/12)*12*D5419</f>
        <v>1451923.7061600003</v>
      </c>
      <c r="K5419" s="711"/>
      <c r="M5419" s="62">
        <f t="shared" si="417"/>
        <v>3</v>
      </c>
    </row>
    <row r="5420" spans="1:13">
      <c r="A5420" s="88">
        <f t="shared" si="423"/>
        <v>7</v>
      </c>
      <c r="B5420" s="69" t="s">
        <v>1876</v>
      </c>
      <c r="C5420" s="167">
        <v>9</v>
      </c>
      <c r="D5420" s="155">
        <v>5</v>
      </c>
      <c r="E5420" s="155">
        <v>1</v>
      </c>
      <c r="F5420" s="155">
        <v>1</v>
      </c>
      <c r="G5420" s="155">
        <v>1</v>
      </c>
      <c r="H5420" s="155">
        <v>5</v>
      </c>
      <c r="I5420" s="155">
        <v>5</v>
      </c>
      <c r="J5420" s="710">
        <f>(VLOOKUP($C5420,[2]Sheet1!$A$2:$P$18,$M5420+1)/12)*12*D5420</f>
        <v>2048409.531</v>
      </c>
      <c r="K5420" s="711"/>
      <c r="M5420" s="62">
        <f t="shared" si="417"/>
        <v>3</v>
      </c>
    </row>
    <row r="5421" spans="1:13">
      <c r="A5421" s="88">
        <f t="shared" si="423"/>
        <v>8</v>
      </c>
      <c r="B5421" s="69" t="s">
        <v>2338</v>
      </c>
      <c r="C5421" s="167">
        <v>8</v>
      </c>
      <c r="D5421" s="155">
        <v>25</v>
      </c>
      <c r="E5421" s="155">
        <v>25</v>
      </c>
      <c r="F5421" s="155">
        <v>25</v>
      </c>
      <c r="G5421" s="155">
        <v>25</v>
      </c>
      <c r="H5421" s="155">
        <v>25</v>
      </c>
      <c r="I5421" s="155">
        <v>25</v>
      </c>
      <c r="J5421" s="710">
        <f>(VLOOKUP($C5421,[2]Sheet1!$A$2:$P$18,$M5421+1)/12)*12*D5421</f>
        <v>8553531.852</v>
      </c>
      <c r="K5421" s="711"/>
      <c r="M5421" s="62">
        <f t="shared" si="417"/>
        <v>3</v>
      </c>
    </row>
    <row r="5422" spans="1:13">
      <c r="A5422" s="88">
        <f t="shared" si="423"/>
        <v>9</v>
      </c>
      <c r="B5422" s="69" t="s">
        <v>4064</v>
      </c>
      <c r="C5422" s="167">
        <v>7</v>
      </c>
      <c r="D5422" s="155">
        <v>30</v>
      </c>
      <c r="E5422" s="155">
        <v>30</v>
      </c>
      <c r="F5422" s="155">
        <v>30</v>
      </c>
      <c r="G5422" s="155">
        <v>30</v>
      </c>
      <c r="H5422" s="155">
        <v>30</v>
      </c>
      <c r="I5422" s="155">
        <v>30</v>
      </c>
      <c r="J5422" s="710">
        <f>(VLOOKUP($C5422,[2]Sheet1!$A$2:$P$18,$M5422+1)/12)*12*D5422</f>
        <v>9231201.0720000025</v>
      </c>
      <c r="K5422" s="711"/>
      <c r="M5422" s="62">
        <f t="shared" si="417"/>
        <v>3</v>
      </c>
    </row>
    <row r="5423" spans="1:13">
      <c r="A5423" s="88">
        <f t="shared" si="423"/>
        <v>10</v>
      </c>
      <c r="B5423" s="69" t="s">
        <v>3846</v>
      </c>
      <c r="C5423" s="167">
        <v>6</v>
      </c>
      <c r="D5423" s="155">
        <v>45</v>
      </c>
      <c r="E5423" s="155">
        <v>45</v>
      </c>
      <c r="F5423" s="155">
        <v>45</v>
      </c>
      <c r="G5423" s="155">
        <v>45</v>
      </c>
      <c r="H5423" s="155">
        <v>45</v>
      </c>
      <c r="I5423" s="155">
        <v>45</v>
      </c>
      <c r="J5423" s="710">
        <f>(VLOOKUP($C5423,[2]Sheet1!$A$2:$P$18,$M5423+1)/12)*12*D5423</f>
        <v>10714472.051866423</v>
      </c>
      <c r="K5423" s="711"/>
      <c r="M5423" s="62">
        <f t="shared" si="417"/>
        <v>5</v>
      </c>
    </row>
    <row r="5424" spans="1:13">
      <c r="A5424" s="88">
        <f t="shared" si="423"/>
        <v>11</v>
      </c>
      <c r="B5424" s="69" t="s">
        <v>3847</v>
      </c>
      <c r="C5424" s="167">
        <v>5</v>
      </c>
      <c r="D5424" s="155">
        <v>13</v>
      </c>
      <c r="E5424" s="155">
        <v>10</v>
      </c>
      <c r="F5424" s="155">
        <v>10</v>
      </c>
      <c r="G5424" s="155">
        <v>10</v>
      </c>
      <c r="H5424" s="155">
        <v>13</v>
      </c>
      <c r="I5424" s="155">
        <v>13</v>
      </c>
      <c r="J5424" s="710">
        <f>(VLOOKUP($C5424,[2]Sheet1!$A$2:$P$18,$M5424+1)/12)*12*D5424</f>
        <v>2984407.126094745</v>
      </c>
      <c r="K5424" s="711"/>
      <c r="M5424" s="62">
        <f t="shared" si="417"/>
        <v>5</v>
      </c>
    </row>
    <row r="5425" spans="1:13">
      <c r="A5425" s="88">
        <f t="shared" si="423"/>
        <v>12</v>
      </c>
      <c r="B5425" s="69" t="s">
        <v>2336</v>
      </c>
      <c r="C5425" s="167">
        <v>4</v>
      </c>
      <c r="D5425" s="155">
        <v>23</v>
      </c>
      <c r="E5425" s="155">
        <v>10</v>
      </c>
      <c r="F5425" s="155">
        <v>10</v>
      </c>
      <c r="G5425" s="155">
        <v>10</v>
      </c>
      <c r="H5425" s="155">
        <v>23</v>
      </c>
      <c r="I5425" s="155">
        <v>23</v>
      </c>
      <c r="J5425" s="710">
        <f>(VLOOKUP($C5425,[2]Sheet1!$A$2:$P$18,$M5425+1)/12)*12*D5425</f>
        <v>5164488.5153983952</v>
      </c>
      <c r="K5425" s="711"/>
      <c r="M5425" s="62">
        <f t="shared" si="417"/>
        <v>5</v>
      </c>
    </row>
    <row r="5426" spans="1:13">
      <c r="A5426" s="88">
        <f t="shared" si="423"/>
        <v>13</v>
      </c>
      <c r="B5426" s="69" t="s">
        <v>1069</v>
      </c>
      <c r="C5426" s="167">
        <v>3</v>
      </c>
      <c r="D5426" s="155">
        <v>43</v>
      </c>
      <c r="E5426" s="155">
        <v>30</v>
      </c>
      <c r="F5426" s="155">
        <v>30</v>
      </c>
      <c r="G5426" s="155">
        <v>30</v>
      </c>
      <c r="H5426" s="155">
        <v>43</v>
      </c>
      <c r="I5426" s="155">
        <v>43</v>
      </c>
      <c r="J5426" s="710">
        <f>(VLOOKUP($C5426,[2]Sheet1!$A$2:$P$18,$M5426+1)/12)*12*D5426</f>
        <v>9431455.6940056942</v>
      </c>
      <c r="K5426" s="711"/>
      <c r="M5426" s="62">
        <f t="shared" si="417"/>
        <v>5</v>
      </c>
    </row>
    <row r="5427" spans="1:13">
      <c r="A5427" s="88">
        <f t="shared" si="423"/>
        <v>14</v>
      </c>
      <c r="B5427" s="69" t="s">
        <v>2572</v>
      </c>
      <c r="C5427" s="167">
        <v>7</v>
      </c>
      <c r="D5427" s="155">
        <v>1</v>
      </c>
      <c r="E5427" s="155">
        <v>1</v>
      </c>
      <c r="F5427" s="155">
        <v>0</v>
      </c>
      <c r="G5427" s="155">
        <v>0</v>
      </c>
      <c r="H5427" s="155">
        <v>0</v>
      </c>
      <c r="I5427" s="155">
        <v>1</v>
      </c>
      <c r="J5427" s="710">
        <f>(VLOOKUP($C5427,[2]Sheet1!$A$2:$P$18,$M5427+1)/12)*12*D5427</f>
        <v>307706.70240000007</v>
      </c>
      <c r="K5427" s="711"/>
      <c r="M5427" s="62">
        <f t="shared" si="417"/>
        <v>3</v>
      </c>
    </row>
    <row r="5428" spans="1:13">
      <c r="A5428" s="88">
        <f t="shared" si="423"/>
        <v>15</v>
      </c>
      <c r="B5428" s="69" t="s">
        <v>1749</v>
      </c>
      <c r="C5428" s="167">
        <v>6</v>
      </c>
      <c r="D5428" s="155">
        <v>1</v>
      </c>
      <c r="E5428" s="155">
        <v>3</v>
      </c>
      <c r="F5428" s="155">
        <v>1</v>
      </c>
      <c r="G5428" s="155">
        <v>1</v>
      </c>
      <c r="H5428" s="155">
        <v>1</v>
      </c>
      <c r="I5428" s="155">
        <v>1</v>
      </c>
      <c r="J5428" s="710">
        <f>(VLOOKUP($C5428,[2]Sheet1!$A$2:$P$18,$M5428+1)/12)*12*D5428</f>
        <v>238099.37893036497</v>
      </c>
      <c r="K5428" s="711"/>
      <c r="M5428" s="62">
        <f t="shared" si="417"/>
        <v>5</v>
      </c>
    </row>
    <row r="5429" spans="1:13">
      <c r="A5429" s="88">
        <f t="shared" si="423"/>
        <v>16</v>
      </c>
      <c r="B5429" s="69" t="s">
        <v>3796</v>
      </c>
      <c r="C5429" s="167">
        <v>5</v>
      </c>
      <c r="D5429" s="155">
        <v>1</v>
      </c>
      <c r="E5429" s="155">
        <v>0</v>
      </c>
      <c r="F5429" s="155">
        <v>1</v>
      </c>
      <c r="G5429" s="155">
        <v>1</v>
      </c>
      <c r="H5429" s="155">
        <v>1</v>
      </c>
      <c r="I5429" s="155">
        <v>1</v>
      </c>
      <c r="J5429" s="710">
        <f>(VLOOKUP($C5429,[2]Sheet1!$A$2:$P$18,$M5429+1)/12)*12*D5429</f>
        <v>229569.77893036499</v>
      </c>
      <c r="K5429" s="711"/>
      <c r="M5429" s="62">
        <f t="shared" si="417"/>
        <v>5</v>
      </c>
    </row>
    <row r="5430" spans="1:13">
      <c r="A5430" s="88">
        <f t="shared" si="423"/>
        <v>17</v>
      </c>
      <c r="B5430" s="69" t="s">
        <v>3797</v>
      </c>
      <c r="C5430" s="167">
        <v>4</v>
      </c>
      <c r="D5430" s="155">
        <v>1</v>
      </c>
      <c r="E5430" s="155">
        <v>1</v>
      </c>
      <c r="F5430" s="155">
        <v>1</v>
      </c>
      <c r="G5430" s="155">
        <v>1</v>
      </c>
      <c r="H5430" s="155">
        <v>3</v>
      </c>
      <c r="I5430" s="155">
        <v>1</v>
      </c>
      <c r="J5430" s="710">
        <f>(VLOOKUP($C5430,[2]Sheet1!$A$2:$P$18,$M5430+1)/12)*12*D5430</f>
        <v>224542.978930365</v>
      </c>
      <c r="K5430" s="711"/>
      <c r="M5430" s="62">
        <f t="shared" si="417"/>
        <v>5</v>
      </c>
    </row>
    <row r="5431" spans="1:13">
      <c r="A5431" s="88">
        <f t="shared" si="423"/>
        <v>18</v>
      </c>
      <c r="B5431" s="69" t="s">
        <v>3798</v>
      </c>
      <c r="C5431" s="167">
        <v>3</v>
      </c>
      <c r="D5431" s="155">
        <v>3</v>
      </c>
      <c r="E5431" s="155">
        <v>2</v>
      </c>
      <c r="F5431" s="155">
        <v>2</v>
      </c>
      <c r="G5431" s="155">
        <v>2</v>
      </c>
      <c r="H5431" s="155">
        <v>3</v>
      </c>
      <c r="I5431" s="155">
        <v>3</v>
      </c>
      <c r="J5431" s="710">
        <f>(VLOOKUP($C5431,[2]Sheet1!$A$2:$P$18,$M5431+1)/12)*12*D5431</f>
        <v>658008.53679109493</v>
      </c>
      <c r="K5431" s="711"/>
      <c r="M5431" s="62">
        <f t="shared" si="417"/>
        <v>5</v>
      </c>
    </row>
    <row r="5432" spans="1:13">
      <c r="A5432" s="88">
        <f t="shared" si="423"/>
        <v>19</v>
      </c>
      <c r="B5432" s="69" t="s">
        <v>3250</v>
      </c>
      <c r="C5432" s="167">
        <v>7</v>
      </c>
      <c r="D5432" s="155">
        <v>3</v>
      </c>
      <c r="E5432" s="155">
        <v>1</v>
      </c>
      <c r="F5432" s="155">
        <v>1</v>
      </c>
      <c r="G5432" s="155">
        <v>1</v>
      </c>
      <c r="H5432" s="155">
        <v>3</v>
      </c>
      <c r="I5432" s="155">
        <v>3</v>
      </c>
      <c r="J5432" s="710">
        <f>(VLOOKUP($C5432,[2]Sheet1!$A$2:$P$18,$M5432+1)/12)*12*D5432</f>
        <v>923120.1072000002</v>
      </c>
      <c r="K5432" s="711"/>
      <c r="M5432" s="62">
        <f t="shared" si="417"/>
        <v>3</v>
      </c>
    </row>
    <row r="5433" spans="1:13">
      <c r="A5433" s="88">
        <f t="shared" si="423"/>
        <v>20</v>
      </c>
      <c r="B5433" s="69" t="s">
        <v>1872</v>
      </c>
      <c r="C5433" s="167">
        <v>6</v>
      </c>
      <c r="D5433" s="155">
        <v>4</v>
      </c>
      <c r="E5433" s="155">
        <v>3</v>
      </c>
      <c r="F5433" s="155">
        <v>2</v>
      </c>
      <c r="G5433" s="155">
        <v>2</v>
      </c>
      <c r="H5433" s="155">
        <v>4</v>
      </c>
      <c r="I5433" s="155">
        <v>4</v>
      </c>
      <c r="J5433" s="710">
        <f>(VLOOKUP($C5433,[2]Sheet1!$A$2:$P$18,$M5433+1)/12)*12*D5433</f>
        <v>952397.51572145987</v>
      </c>
      <c r="K5433" s="711"/>
      <c r="M5433" s="62">
        <f t="shared" si="417"/>
        <v>5</v>
      </c>
    </row>
    <row r="5434" spans="1:13">
      <c r="A5434" s="88">
        <f t="shared" si="423"/>
        <v>21</v>
      </c>
      <c r="B5434" s="69" t="s">
        <v>1266</v>
      </c>
      <c r="C5434" s="167">
        <v>5</v>
      </c>
      <c r="D5434" s="155">
        <v>5</v>
      </c>
      <c r="E5434" s="155">
        <v>2</v>
      </c>
      <c r="F5434" s="155">
        <v>1</v>
      </c>
      <c r="G5434" s="155">
        <v>1</v>
      </c>
      <c r="H5434" s="155">
        <v>5</v>
      </c>
      <c r="I5434" s="155">
        <v>5</v>
      </c>
      <c r="J5434" s="710">
        <f>(VLOOKUP($C5434,[2]Sheet1!$A$2:$P$18,$M5434+1)/12)*12*D5434</f>
        <v>1147848.8946518251</v>
      </c>
      <c r="K5434" s="711"/>
      <c r="M5434" s="62">
        <f t="shared" si="417"/>
        <v>5</v>
      </c>
    </row>
    <row r="5435" spans="1:13">
      <c r="A5435" s="88">
        <f t="shared" si="423"/>
        <v>22</v>
      </c>
      <c r="B5435" s="69" t="s">
        <v>1267</v>
      </c>
      <c r="C5435" s="167">
        <v>4</v>
      </c>
      <c r="D5435" s="155">
        <v>5</v>
      </c>
      <c r="E5435" s="155">
        <v>5</v>
      </c>
      <c r="F5435" s="155">
        <v>4</v>
      </c>
      <c r="G5435" s="155">
        <v>4</v>
      </c>
      <c r="H5435" s="155">
        <v>5</v>
      </c>
      <c r="I5435" s="155">
        <v>5</v>
      </c>
      <c r="J5435" s="710">
        <f>(VLOOKUP($C5435,[2]Sheet1!$A$2:$P$18,$M5435+1)/12)*12*D5435</f>
        <v>1122714.8946518251</v>
      </c>
      <c r="K5435" s="711"/>
      <c r="M5435" s="62">
        <f t="shared" si="417"/>
        <v>5</v>
      </c>
    </row>
    <row r="5436" spans="1:13">
      <c r="A5436" s="88">
        <f t="shared" si="423"/>
        <v>23</v>
      </c>
      <c r="B5436" s="69" t="s">
        <v>3252</v>
      </c>
      <c r="C5436" s="167">
        <v>3</v>
      </c>
      <c r="D5436" s="155">
        <v>10</v>
      </c>
      <c r="E5436" s="155">
        <v>10</v>
      </c>
      <c r="F5436" s="155">
        <v>10</v>
      </c>
      <c r="G5436" s="155">
        <v>10</v>
      </c>
      <c r="H5436" s="155">
        <v>10</v>
      </c>
      <c r="I5436" s="155">
        <v>10</v>
      </c>
      <c r="J5436" s="710">
        <f>(VLOOKUP($C5436,[2]Sheet1!$A$2:$P$18,$M5436+1)/12)*12*D5436</f>
        <v>2193361.7893036497</v>
      </c>
      <c r="K5436" s="711"/>
      <c r="M5436" s="62">
        <f t="shared" si="417"/>
        <v>5</v>
      </c>
    </row>
    <row r="5437" spans="1:13">
      <c r="A5437" s="88">
        <f t="shared" si="423"/>
        <v>24</v>
      </c>
      <c r="B5437" s="69" t="s">
        <v>2179</v>
      </c>
      <c r="C5437" s="167">
        <v>5</v>
      </c>
      <c r="D5437" s="155">
        <v>2</v>
      </c>
      <c r="E5437" s="155">
        <v>6</v>
      </c>
      <c r="F5437" s="155">
        <v>2</v>
      </c>
      <c r="G5437" s="155">
        <v>2</v>
      </c>
      <c r="H5437" s="155">
        <v>2</v>
      </c>
      <c r="I5437" s="155">
        <v>2</v>
      </c>
      <c r="J5437" s="710">
        <f>(VLOOKUP($C5437,[2]Sheet1!$A$2:$P$18,$M5437+1)/12)*12*D5437</f>
        <v>459139.55786072998</v>
      </c>
      <c r="K5437" s="711"/>
      <c r="M5437" s="62">
        <f t="shared" si="417"/>
        <v>5</v>
      </c>
    </row>
    <row r="5438" spans="1:13">
      <c r="A5438" s="88">
        <f t="shared" si="423"/>
        <v>25</v>
      </c>
      <c r="B5438" s="69" t="s">
        <v>2542</v>
      </c>
      <c r="C5438" s="167">
        <v>4</v>
      </c>
      <c r="D5438" s="155">
        <v>0</v>
      </c>
      <c r="E5438" s="155">
        <v>5</v>
      </c>
      <c r="F5438" s="155">
        <v>0</v>
      </c>
      <c r="G5438" s="155">
        <v>0</v>
      </c>
      <c r="H5438" s="155">
        <v>0</v>
      </c>
      <c r="I5438" s="155">
        <v>0</v>
      </c>
      <c r="J5438" s="710">
        <f>(VLOOKUP($C5438,[2]Sheet1!$A$2:$P$18,$M5438+1)/12)*12*D5438</f>
        <v>0</v>
      </c>
      <c r="K5438" s="711"/>
      <c r="M5438" s="62">
        <f t="shared" si="417"/>
        <v>5</v>
      </c>
    </row>
    <row r="5439" spans="1:13">
      <c r="A5439" s="88">
        <f t="shared" si="423"/>
        <v>26</v>
      </c>
      <c r="B5439" s="69" t="s">
        <v>2362</v>
      </c>
      <c r="C5439" s="167">
        <v>3</v>
      </c>
      <c r="D5439" s="155">
        <v>30</v>
      </c>
      <c r="E5439" s="155">
        <v>80</v>
      </c>
      <c r="F5439" s="155">
        <v>30</v>
      </c>
      <c r="G5439" s="155">
        <v>30</v>
      </c>
      <c r="H5439" s="155">
        <v>30</v>
      </c>
      <c r="I5439" s="155">
        <v>30</v>
      </c>
      <c r="J5439" s="710">
        <f>(VLOOKUP($C5439,[2]Sheet1!$A$2:$P$18,$M5439+1)/12)*12*D5439</f>
        <v>6580085.3679109495</v>
      </c>
      <c r="K5439" s="711"/>
      <c r="M5439" s="62">
        <f t="shared" si="417"/>
        <v>5</v>
      </c>
    </row>
    <row r="5440" spans="1:13">
      <c r="A5440" s="88">
        <f t="shared" si="423"/>
        <v>27</v>
      </c>
      <c r="B5440" s="69" t="s">
        <v>2363</v>
      </c>
      <c r="C5440" s="167">
        <v>2</v>
      </c>
      <c r="D5440" s="155">
        <v>100</v>
      </c>
      <c r="E5440" s="155">
        <v>50</v>
      </c>
      <c r="F5440" s="155">
        <v>100</v>
      </c>
      <c r="G5440" s="155">
        <v>100</v>
      </c>
      <c r="H5440" s="155">
        <v>100</v>
      </c>
      <c r="I5440" s="155">
        <v>100</v>
      </c>
      <c r="J5440" s="710">
        <f>(VLOOKUP($C5440,[2]Sheet1!$A$2:$P$18,$M5440+1)/12)*12*D5440</f>
        <v>21465737.893036503</v>
      </c>
      <c r="K5440" s="711"/>
      <c r="M5440" s="62">
        <f t="shared" si="417"/>
        <v>5</v>
      </c>
    </row>
    <row r="5441" spans="1:13">
      <c r="A5441" s="88">
        <f t="shared" si="423"/>
        <v>28</v>
      </c>
      <c r="B5441" s="69" t="s">
        <v>3918</v>
      </c>
      <c r="C5441" s="167">
        <v>5</v>
      </c>
      <c r="D5441" s="155">
        <v>0</v>
      </c>
      <c r="E5441" s="155">
        <v>0</v>
      </c>
      <c r="F5441" s="155">
        <v>0</v>
      </c>
      <c r="G5441" s="155">
        <v>0</v>
      </c>
      <c r="H5441" s="155">
        <v>0</v>
      </c>
      <c r="I5441" s="155">
        <v>0</v>
      </c>
      <c r="J5441" s="710">
        <f>(VLOOKUP($C5441,[2]Sheet1!$A$2:$P$18,$M5441+1)/12)*12*D5441</f>
        <v>0</v>
      </c>
      <c r="K5441" s="711"/>
      <c r="M5441" s="62">
        <f t="shared" ref="M5441:M5511" si="424">IF(C5441&gt;6,3,5)</f>
        <v>5</v>
      </c>
    </row>
    <row r="5442" spans="1:13">
      <c r="A5442" s="88">
        <f t="shared" si="423"/>
        <v>29</v>
      </c>
      <c r="B5442" s="69" t="s">
        <v>3919</v>
      </c>
      <c r="C5442" s="167">
        <v>4</v>
      </c>
      <c r="D5442" s="155">
        <v>0</v>
      </c>
      <c r="E5442" s="155">
        <v>0</v>
      </c>
      <c r="F5442" s="155">
        <v>0</v>
      </c>
      <c r="G5442" s="155">
        <v>0</v>
      </c>
      <c r="H5442" s="155">
        <v>0</v>
      </c>
      <c r="I5442" s="155">
        <v>0</v>
      </c>
      <c r="J5442" s="710">
        <f>(VLOOKUP($C5442,[2]Sheet1!$A$2:$P$18,$M5442+1)/12)*12*D5442</f>
        <v>0</v>
      </c>
      <c r="K5442" s="711"/>
      <c r="M5442" s="62">
        <f t="shared" si="424"/>
        <v>5</v>
      </c>
    </row>
    <row r="5443" spans="1:13">
      <c r="A5443" s="88">
        <f t="shared" si="423"/>
        <v>30</v>
      </c>
      <c r="B5443" s="69" t="s">
        <v>1268</v>
      </c>
      <c r="C5443" s="167">
        <v>2</v>
      </c>
      <c r="D5443" s="155">
        <v>7</v>
      </c>
      <c r="E5443" s="155">
        <v>7</v>
      </c>
      <c r="F5443" s="155">
        <v>7</v>
      </c>
      <c r="G5443" s="155">
        <v>7</v>
      </c>
      <c r="H5443" s="155">
        <v>7</v>
      </c>
      <c r="I5443" s="155">
        <v>7</v>
      </c>
      <c r="J5443" s="710">
        <f>(VLOOKUP($C5443,[2]Sheet1!$A$2:$P$18,$M5443+1)/12)*12*D5443</f>
        <v>1502601.6525125552</v>
      </c>
      <c r="K5443" s="711"/>
      <c r="M5443" s="62">
        <f t="shared" si="424"/>
        <v>5</v>
      </c>
    </row>
    <row r="5444" spans="1:13">
      <c r="A5444" s="88">
        <f t="shared" si="423"/>
        <v>31</v>
      </c>
      <c r="B5444" s="69" t="s">
        <v>4095</v>
      </c>
      <c r="C5444" s="167">
        <v>2</v>
      </c>
      <c r="D5444" s="155">
        <v>0</v>
      </c>
      <c r="E5444" s="155">
        <v>0</v>
      </c>
      <c r="F5444" s="155">
        <v>0</v>
      </c>
      <c r="G5444" s="155">
        <v>0</v>
      </c>
      <c r="H5444" s="155">
        <v>0</v>
      </c>
      <c r="I5444" s="155">
        <v>0</v>
      </c>
      <c r="J5444" s="710">
        <f>(VLOOKUP($C5444,[2]Sheet1!$A$2:$P$18,$M5444+1)/12)*12*D5444</f>
        <v>0</v>
      </c>
      <c r="K5444" s="711"/>
      <c r="M5444" s="62">
        <f t="shared" si="424"/>
        <v>5</v>
      </c>
    </row>
    <row r="5445" spans="1:13">
      <c r="A5445" s="88">
        <f t="shared" si="423"/>
        <v>32</v>
      </c>
      <c r="B5445" s="69" t="s">
        <v>3674</v>
      </c>
      <c r="C5445" s="167">
        <v>2</v>
      </c>
      <c r="D5445" s="155">
        <v>5</v>
      </c>
      <c r="E5445" s="155">
        <v>6</v>
      </c>
      <c r="F5445" s="155">
        <v>5</v>
      </c>
      <c r="G5445" s="155">
        <v>5</v>
      </c>
      <c r="H5445" s="155">
        <v>5</v>
      </c>
      <c r="I5445" s="155">
        <v>5</v>
      </c>
      <c r="J5445" s="710">
        <f>(VLOOKUP($C5445,[2]Sheet1!$A$2:$P$18,$M5445+1)/12)*12*D5445</f>
        <v>1073286.8946518251</v>
      </c>
      <c r="K5445" s="711"/>
      <c r="M5445" s="62">
        <f t="shared" si="424"/>
        <v>5</v>
      </c>
    </row>
    <row r="5446" spans="1:13">
      <c r="A5446" s="88">
        <f t="shared" si="423"/>
        <v>33</v>
      </c>
      <c r="B5446" s="69" t="s">
        <v>4096</v>
      </c>
      <c r="C5446" s="167">
        <v>6</v>
      </c>
      <c r="D5446" s="155">
        <v>0</v>
      </c>
      <c r="E5446" s="155">
        <v>0</v>
      </c>
      <c r="F5446" s="155">
        <v>0</v>
      </c>
      <c r="G5446" s="155">
        <v>0</v>
      </c>
      <c r="H5446" s="155">
        <v>0</v>
      </c>
      <c r="I5446" s="155">
        <v>0</v>
      </c>
      <c r="J5446" s="710">
        <f>(VLOOKUP($C5446,[2]Sheet1!$A$2:$P$18,$M5446+1)/12)*12*D5446</f>
        <v>0</v>
      </c>
      <c r="K5446" s="711"/>
      <c r="M5446" s="62">
        <f t="shared" si="424"/>
        <v>5</v>
      </c>
    </row>
    <row r="5447" spans="1:13">
      <c r="A5447" s="88">
        <f t="shared" si="423"/>
        <v>34</v>
      </c>
      <c r="B5447" s="69" t="s">
        <v>2707</v>
      </c>
      <c r="C5447" s="167">
        <v>3</v>
      </c>
      <c r="D5447" s="155">
        <v>0</v>
      </c>
      <c r="E5447" s="155">
        <v>0</v>
      </c>
      <c r="F5447" s="155">
        <v>0</v>
      </c>
      <c r="G5447" s="155">
        <v>0</v>
      </c>
      <c r="H5447" s="155">
        <v>0</v>
      </c>
      <c r="I5447" s="155">
        <v>0</v>
      </c>
      <c r="J5447" s="710">
        <f>(VLOOKUP($C5447,[2]Sheet1!$A$2:$P$18,$M5447+1)/12)*12*D5447</f>
        <v>0</v>
      </c>
      <c r="K5447" s="711"/>
      <c r="M5447" s="62">
        <f t="shared" si="424"/>
        <v>5</v>
      </c>
    </row>
    <row r="5448" spans="1:13">
      <c r="A5448" s="88">
        <f t="shared" si="423"/>
        <v>35</v>
      </c>
      <c r="B5448" s="69" t="s">
        <v>2694</v>
      </c>
      <c r="C5448" s="167">
        <v>3</v>
      </c>
      <c r="D5448" s="155">
        <v>0</v>
      </c>
      <c r="E5448" s="155">
        <v>4</v>
      </c>
      <c r="F5448" s="155">
        <v>0</v>
      </c>
      <c r="G5448" s="155">
        <v>0</v>
      </c>
      <c r="H5448" s="155">
        <v>0</v>
      </c>
      <c r="I5448" s="155">
        <v>0</v>
      </c>
      <c r="J5448" s="710">
        <f>(VLOOKUP($C5448,[2]Sheet1!$A$2:$P$18,$M5448+1)/12)*12*D5448</f>
        <v>0</v>
      </c>
      <c r="K5448" s="711"/>
      <c r="M5448" s="62">
        <f t="shared" si="424"/>
        <v>5</v>
      </c>
    </row>
    <row r="5449" spans="1:13" ht="13.5" thickBot="1">
      <c r="A5449" s="88">
        <f t="shared" si="423"/>
        <v>36</v>
      </c>
      <c r="B5449" s="69" t="s">
        <v>2172</v>
      </c>
      <c r="C5449" s="167">
        <v>2</v>
      </c>
      <c r="D5449" s="155">
        <v>200</v>
      </c>
      <c r="E5449" s="155">
        <v>200</v>
      </c>
      <c r="F5449" s="155">
        <v>200</v>
      </c>
      <c r="G5449" s="155">
        <v>200</v>
      </c>
      <c r="H5449" s="155">
        <v>200</v>
      </c>
      <c r="I5449" s="155">
        <v>200</v>
      </c>
      <c r="J5449" s="710">
        <f>(VLOOKUP($C5449,[2]Sheet1!$A$2:$P$18,$M5449+1)/12)*12*D5449</f>
        <v>42931475.786073007</v>
      </c>
      <c r="K5449" s="711"/>
      <c r="M5449" s="62">
        <f t="shared" si="424"/>
        <v>5</v>
      </c>
    </row>
    <row r="5450" spans="1:13" ht="15.75" thickTop="1">
      <c r="A5450" s="1047" t="s">
        <v>2791</v>
      </c>
      <c r="B5450" s="1049" t="s">
        <v>4126</v>
      </c>
      <c r="C5450" s="1049" t="s">
        <v>854</v>
      </c>
      <c r="D5450" s="1040" t="s">
        <v>4127</v>
      </c>
      <c r="E5450" s="1041"/>
      <c r="F5450" s="1041"/>
      <c r="G5450" s="1040" t="s">
        <v>904</v>
      </c>
      <c r="H5450" s="1041"/>
      <c r="I5450" s="1042"/>
      <c r="J5450" s="1035" t="s">
        <v>855</v>
      </c>
      <c r="K5450" s="389"/>
    </row>
    <row r="5451" spans="1:13" ht="26.25" thickBot="1">
      <c r="A5451" s="1048"/>
      <c r="B5451" s="1050"/>
      <c r="C5451" s="1050"/>
      <c r="D5451" s="285" t="s">
        <v>5505</v>
      </c>
      <c r="E5451" s="285" t="s">
        <v>4485</v>
      </c>
      <c r="F5451" s="285" t="s">
        <v>4486</v>
      </c>
      <c r="G5451" s="287" t="s">
        <v>4487</v>
      </c>
      <c r="H5451" s="285" t="s">
        <v>4488</v>
      </c>
      <c r="I5451" s="287" t="s">
        <v>4489</v>
      </c>
      <c r="J5451" s="1036"/>
      <c r="K5451" s="712"/>
    </row>
    <row r="5452" spans="1:13" ht="13.5" thickTop="1">
      <c r="A5452" s="88"/>
      <c r="B5452" s="90" t="s">
        <v>856</v>
      </c>
      <c r="C5452" s="167"/>
      <c r="D5452" s="155"/>
      <c r="E5452" s="155"/>
      <c r="F5452" s="155"/>
      <c r="G5452" s="155"/>
      <c r="H5452" s="155"/>
      <c r="I5452" s="155"/>
      <c r="J5452" s="713"/>
      <c r="K5452" s="711"/>
      <c r="M5452" s="62">
        <f t="shared" si="424"/>
        <v>5</v>
      </c>
    </row>
    <row r="5453" spans="1:13">
      <c r="A5453" s="88">
        <f>+A5449+1</f>
        <v>37</v>
      </c>
      <c r="B5453" s="69" t="s">
        <v>1911</v>
      </c>
      <c r="C5453" s="167">
        <v>16</v>
      </c>
      <c r="D5453" s="155">
        <v>1</v>
      </c>
      <c r="E5453" s="155">
        <v>1</v>
      </c>
      <c r="F5453" s="155">
        <v>1</v>
      </c>
      <c r="G5453" s="155">
        <v>1</v>
      </c>
      <c r="H5453" s="155">
        <v>1</v>
      </c>
      <c r="I5453" s="155">
        <v>1</v>
      </c>
      <c r="J5453" s="710">
        <f>(VLOOKUP($C5453,[2]Sheet1!$A$2:$P$18,$M5453+1)/12)*12*D5453</f>
        <v>677281.26084</v>
      </c>
      <c r="K5453" s="711"/>
      <c r="M5453" s="62">
        <f t="shared" si="424"/>
        <v>3</v>
      </c>
    </row>
    <row r="5454" spans="1:13">
      <c r="A5454" s="88">
        <f t="shared" ref="A5454:A5459" si="425">+A5453+1</f>
        <v>38</v>
      </c>
      <c r="B5454" s="69" t="s">
        <v>1256</v>
      </c>
      <c r="C5454" s="167">
        <v>15</v>
      </c>
      <c r="D5454" s="155">
        <v>1</v>
      </c>
      <c r="E5454" s="155">
        <v>1</v>
      </c>
      <c r="F5454" s="155">
        <v>1</v>
      </c>
      <c r="G5454" s="155">
        <v>1</v>
      </c>
      <c r="H5454" s="155">
        <v>1</v>
      </c>
      <c r="I5454" s="155">
        <v>1</v>
      </c>
      <c r="J5454" s="710">
        <f>(VLOOKUP($C5454,[2]Sheet1!$A$2:$P$18,$M5454+1)/12)*12*D5454</f>
        <v>658331.89992</v>
      </c>
      <c r="K5454" s="711"/>
      <c r="M5454" s="62">
        <f t="shared" si="424"/>
        <v>3</v>
      </c>
    </row>
    <row r="5455" spans="1:13">
      <c r="A5455" s="88">
        <f t="shared" si="425"/>
        <v>39</v>
      </c>
      <c r="B5455" s="69" t="s">
        <v>3533</v>
      </c>
      <c r="C5455" s="167">
        <v>14</v>
      </c>
      <c r="D5455" s="155">
        <v>5</v>
      </c>
      <c r="E5455" s="155">
        <v>3</v>
      </c>
      <c r="F5455" s="155">
        <v>5</v>
      </c>
      <c r="G5455" s="155">
        <v>5</v>
      </c>
      <c r="H5455" s="155">
        <v>5</v>
      </c>
      <c r="I5455" s="155">
        <v>5</v>
      </c>
      <c r="J5455" s="710">
        <f>(VLOOKUP($C5455,[2]Sheet1!$A$2:$P$18,$M5455+1)/12)*12*D5455</f>
        <v>3345497.0411999999</v>
      </c>
      <c r="K5455" s="711"/>
      <c r="M5455" s="62">
        <f t="shared" si="424"/>
        <v>3</v>
      </c>
    </row>
    <row r="5456" spans="1:13">
      <c r="A5456" s="88">
        <f t="shared" si="425"/>
        <v>40</v>
      </c>
      <c r="B5456" s="69" t="s">
        <v>2058</v>
      </c>
      <c r="C5456" s="167">
        <v>13</v>
      </c>
      <c r="D5456" s="155">
        <v>5</v>
      </c>
      <c r="E5456" s="155">
        <v>6</v>
      </c>
      <c r="F5456" s="155">
        <v>4</v>
      </c>
      <c r="G5456" s="155">
        <v>4</v>
      </c>
      <c r="H5456" s="155">
        <v>4</v>
      </c>
      <c r="I5456" s="155">
        <v>5</v>
      </c>
      <c r="J5456" s="710">
        <f>(VLOOKUP($C5456,[2]Sheet1!$A$2:$P$18,$M5456+1)/12)*12*D5456</f>
        <v>3143797.6902000001</v>
      </c>
      <c r="K5456" s="711"/>
      <c r="M5456" s="62">
        <f t="shared" si="424"/>
        <v>3</v>
      </c>
    </row>
    <row r="5457" spans="1:13">
      <c r="A5457" s="88">
        <f t="shared" si="425"/>
        <v>41</v>
      </c>
      <c r="B5457" s="69" t="s">
        <v>2059</v>
      </c>
      <c r="C5457" s="167">
        <v>12</v>
      </c>
      <c r="D5457" s="155">
        <v>5</v>
      </c>
      <c r="E5457" s="155">
        <v>5</v>
      </c>
      <c r="F5457" s="155">
        <v>5</v>
      </c>
      <c r="G5457" s="155">
        <v>5</v>
      </c>
      <c r="H5457" s="155">
        <v>5</v>
      </c>
      <c r="I5457" s="155">
        <v>5</v>
      </c>
      <c r="J5457" s="710">
        <f>(VLOOKUP($C5457,[2]Sheet1!$A$2:$P$18,$M5457+1)/12)*12*D5457</f>
        <v>2763425.268600001</v>
      </c>
      <c r="K5457" s="711"/>
      <c r="M5457" s="62">
        <f t="shared" si="424"/>
        <v>3</v>
      </c>
    </row>
    <row r="5458" spans="1:13">
      <c r="A5458" s="88">
        <f t="shared" si="425"/>
        <v>42</v>
      </c>
      <c r="B5458" s="69" t="s">
        <v>565</v>
      </c>
      <c r="C5458" s="167">
        <v>10</v>
      </c>
      <c r="D5458" s="155">
        <v>10</v>
      </c>
      <c r="E5458" s="155">
        <v>10</v>
      </c>
      <c r="F5458" s="155">
        <v>10</v>
      </c>
      <c r="G5458" s="155">
        <v>10</v>
      </c>
      <c r="H5458" s="155">
        <v>10</v>
      </c>
      <c r="I5458" s="155">
        <v>10</v>
      </c>
      <c r="J5458" s="710">
        <f>(VLOOKUP($C5458,[2]Sheet1!$A$2:$P$18,$M5458+1)/12)*12*D5458</f>
        <v>4839745.6872000005</v>
      </c>
      <c r="K5458" s="711"/>
      <c r="M5458" s="62">
        <f t="shared" si="424"/>
        <v>3</v>
      </c>
    </row>
    <row r="5459" spans="1:13">
      <c r="A5459" s="88">
        <f t="shared" si="425"/>
        <v>43</v>
      </c>
      <c r="B5459" s="69" t="s">
        <v>3750</v>
      </c>
      <c r="C5459" s="167">
        <v>12</v>
      </c>
      <c r="D5459" s="155">
        <v>0</v>
      </c>
      <c r="E5459" s="155">
        <v>10</v>
      </c>
      <c r="F5459" s="155">
        <v>37</v>
      </c>
      <c r="G5459" s="155">
        <v>37</v>
      </c>
      <c r="H5459" s="155">
        <v>37</v>
      </c>
      <c r="I5459" s="155">
        <v>0</v>
      </c>
      <c r="J5459" s="710">
        <f>(VLOOKUP($C5459,[2]Sheet1!$A$2:$P$18,$M5459+1)/12)*12*D5459</f>
        <v>0</v>
      </c>
      <c r="K5459" s="711"/>
      <c r="M5459" s="62">
        <f>IF(C5459&gt;6,3,5)</f>
        <v>3</v>
      </c>
    </row>
    <row r="5460" spans="1:13">
      <c r="A5460" s="88">
        <f t="shared" ref="A5460:A5480" si="426">A5459+1</f>
        <v>44</v>
      </c>
      <c r="B5460" s="69" t="s">
        <v>565</v>
      </c>
      <c r="C5460" s="167">
        <v>10</v>
      </c>
      <c r="D5460" s="155">
        <v>10</v>
      </c>
      <c r="E5460" s="155">
        <v>20</v>
      </c>
      <c r="F5460" s="155">
        <v>20</v>
      </c>
      <c r="G5460" s="155">
        <v>20</v>
      </c>
      <c r="H5460" s="155">
        <v>20</v>
      </c>
      <c r="I5460" s="155">
        <v>10</v>
      </c>
      <c r="J5460" s="710">
        <f>(VLOOKUP($C5460,[2]Sheet1!$A$2:$P$18,$M5460+1)/12)*12*D5460</f>
        <v>4839745.6872000005</v>
      </c>
      <c r="K5460" s="711"/>
      <c r="M5460" s="62">
        <f>IF(C5460&gt;6,3,5)</f>
        <v>3</v>
      </c>
    </row>
    <row r="5461" spans="1:13">
      <c r="A5461" s="88">
        <f t="shared" si="426"/>
        <v>45</v>
      </c>
      <c r="B5461" s="69" t="s">
        <v>566</v>
      </c>
      <c r="C5461" s="167">
        <v>9</v>
      </c>
      <c r="D5461" s="155">
        <v>37</v>
      </c>
      <c r="E5461" s="155">
        <v>30</v>
      </c>
      <c r="F5461" s="155">
        <v>30</v>
      </c>
      <c r="G5461" s="155">
        <v>30</v>
      </c>
      <c r="H5461" s="155">
        <v>30</v>
      </c>
      <c r="I5461" s="155">
        <v>37</v>
      </c>
      <c r="J5461" s="710">
        <f>(VLOOKUP($C5461,[2]Sheet1!$A$2:$P$18,$M5461+1)/12)*12*D5461</f>
        <v>333</v>
      </c>
      <c r="K5461" s="711"/>
    </row>
    <row r="5462" spans="1:13">
      <c r="A5462" s="88">
        <f t="shared" si="426"/>
        <v>46</v>
      </c>
      <c r="B5462" s="69" t="s">
        <v>413</v>
      </c>
      <c r="C5462" s="167">
        <v>8</v>
      </c>
      <c r="D5462" s="155">
        <v>50</v>
      </c>
      <c r="E5462" s="155">
        <v>40</v>
      </c>
      <c r="F5462" s="155">
        <v>50</v>
      </c>
      <c r="G5462" s="155">
        <v>50</v>
      </c>
      <c r="H5462" s="155">
        <v>50</v>
      </c>
      <c r="I5462" s="155">
        <v>50</v>
      </c>
      <c r="J5462" s="710">
        <f>(VLOOKUP($C5462,[2]Sheet1!$A$2:$P$18,$M5462+1)/12)*12*D5462</f>
        <v>17107063.704</v>
      </c>
      <c r="K5462" s="711"/>
      <c r="M5462" s="62">
        <f t="shared" si="424"/>
        <v>3</v>
      </c>
    </row>
    <row r="5463" spans="1:13">
      <c r="A5463" s="88">
        <f t="shared" si="426"/>
        <v>47</v>
      </c>
      <c r="B5463" s="69" t="s">
        <v>414</v>
      </c>
      <c r="C5463" s="167">
        <v>7</v>
      </c>
      <c r="D5463" s="155">
        <v>51</v>
      </c>
      <c r="E5463" s="155">
        <v>40</v>
      </c>
      <c r="F5463" s="155">
        <v>55</v>
      </c>
      <c r="G5463" s="155">
        <v>55</v>
      </c>
      <c r="H5463" s="155">
        <v>55</v>
      </c>
      <c r="I5463" s="155">
        <v>51</v>
      </c>
      <c r="J5463" s="710">
        <f>(VLOOKUP($C5463,[2]Sheet1!$A$2:$P$18,$M5463+1)/12)*12*D5463</f>
        <v>15693041.822400004</v>
      </c>
      <c r="K5463" s="711"/>
      <c r="M5463" s="62">
        <f t="shared" si="424"/>
        <v>3</v>
      </c>
    </row>
    <row r="5464" spans="1:13">
      <c r="A5464" s="88">
        <f t="shared" si="426"/>
        <v>48</v>
      </c>
      <c r="B5464" s="69" t="s">
        <v>415</v>
      </c>
      <c r="C5464" s="167">
        <v>6</v>
      </c>
      <c r="D5464" s="155">
        <v>55</v>
      </c>
      <c r="E5464" s="155">
        <v>50</v>
      </c>
      <c r="F5464" s="155">
        <v>50</v>
      </c>
      <c r="G5464" s="155">
        <v>50</v>
      </c>
      <c r="H5464" s="155">
        <v>50</v>
      </c>
      <c r="I5464" s="155">
        <v>55</v>
      </c>
      <c r="J5464" s="710">
        <f>(VLOOKUP($C5464,[2]Sheet1!$A$2:$P$18,$M5464+1)/12)*12*D5464</f>
        <v>13095465.841170073</v>
      </c>
      <c r="K5464" s="711"/>
      <c r="M5464" s="62">
        <f t="shared" si="424"/>
        <v>5</v>
      </c>
    </row>
    <row r="5465" spans="1:13">
      <c r="A5465" s="88">
        <f t="shared" si="426"/>
        <v>49</v>
      </c>
      <c r="B5465" s="69" t="s">
        <v>4143</v>
      </c>
      <c r="C5465" s="167">
        <v>16</v>
      </c>
      <c r="D5465" s="155">
        <v>0</v>
      </c>
      <c r="E5465" s="155">
        <v>0</v>
      </c>
      <c r="F5465" s="155">
        <v>0</v>
      </c>
      <c r="G5465" s="155">
        <v>0</v>
      </c>
      <c r="H5465" s="155">
        <v>0</v>
      </c>
      <c r="I5465" s="155">
        <v>0</v>
      </c>
      <c r="J5465" s="710">
        <f>(VLOOKUP($C5465,[2]Sheet1!$A$2:$P$18,$M5465+1)/12)*12*D5465</f>
        <v>0</v>
      </c>
      <c r="K5465" s="711"/>
      <c r="M5465" s="62">
        <f t="shared" si="424"/>
        <v>3</v>
      </c>
    </row>
    <row r="5466" spans="1:13">
      <c r="A5466" s="88">
        <f t="shared" si="426"/>
        <v>50</v>
      </c>
      <c r="B5466" s="69" t="s">
        <v>4144</v>
      </c>
      <c r="C5466" s="167">
        <v>14</v>
      </c>
      <c r="D5466" s="155">
        <v>1</v>
      </c>
      <c r="E5466" s="155">
        <v>0</v>
      </c>
      <c r="F5466" s="155">
        <v>1</v>
      </c>
      <c r="G5466" s="155">
        <v>1</v>
      </c>
      <c r="H5466" s="155">
        <v>1</v>
      </c>
      <c r="I5466" s="155">
        <v>1</v>
      </c>
      <c r="J5466" s="710">
        <f>(VLOOKUP($C5466,[2]Sheet1!$A$2:$P$18,$M5466+1)/12)*12*D5466</f>
        <v>669099.40824000002</v>
      </c>
      <c r="K5466" s="711"/>
      <c r="M5466" s="62">
        <f t="shared" si="424"/>
        <v>3</v>
      </c>
    </row>
    <row r="5467" spans="1:13">
      <c r="A5467" s="88">
        <f t="shared" si="426"/>
        <v>51</v>
      </c>
      <c r="B5467" s="69" t="s">
        <v>4145</v>
      </c>
      <c r="C5467" s="167">
        <v>13</v>
      </c>
      <c r="D5467" s="155">
        <v>0</v>
      </c>
      <c r="E5467" s="155">
        <v>0</v>
      </c>
      <c r="F5467" s="155">
        <v>0</v>
      </c>
      <c r="G5467" s="155">
        <v>0</v>
      </c>
      <c r="H5467" s="155">
        <v>5</v>
      </c>
      <c r="I5467" s="155">
        <v>0</v>
      </c>
      <c r="J5467" s="710">
        <f>(VLOOKUP($C5467,[2]Sheet1!$A$2:$P$18,$M5467+1)/12)*12*D5467</f>
        <v>0</v>
      </c>
      <c r="K5467" s="711"/>
      <c r="M5467" s="62">
        <f t="shared" si="424"/>
        <v>3</v>
      </c>
    </row>
    <row r="5468" spans="1:13">
      <c r="A5468" s="88">
        <f t="shared" si="426"/>
        <v>52</v>
      </c>
      <c r="B5468" s="69" t="s">
        <v>3174</v>
      </c>
      <c r="C5468" s="167">
        <v>12</v>
      </c>
      <c r="D5468" s="155">
        <v>1</v>
      </c>
      <c r="E5468" s="155">
        <v>1</v>
      </c>
      <c r="F5468" s="155">
        <v>1</v>
      </c>
      <c r="G5468" s="155">
        <v>1</v>
      </c>
      <c r="H5468" s="155">
        <v>1</v>
      </c>
      <c r="I5468" s="155">
        <v>1</v>
      </c>
      <c r="J5468" s="710">
        <f>(VLOOKUP($C5468,[2]Sheet1!$A$2:$P$18,$M5468+1)/12)*12*D5468</f>
        <v>552685.0537200002</v>
      </c>
      <c r="K5468" s="711"/>
      <c r="M5468" s="62">
        <f t="shared" si="424"/>
        <v>3</v>
      </c>
    </row>
    <row r="5469" spans="1:13">
      <c r="A5469" s="88">
        <f t="shared" si="426"/>
        <v>53</v>
      </c>
      <c r="B5469" s="69" t="s">
        <v>985</v>
      </c>
      <c r="C5469" s="167">
        <v>10</v>
      </c>
      <c r="D5469" s="155">
        <v>1</v>
      </c>
      <c r="E5469" s="155">
        <v>0</v>
      </c>
      <c r="F5469" s="155">
        <v>1</v>
      </c>
      <c r="G5469" s="155">
        <v>1</v>
      </c>
      <c r="H5469" s="155">
        <v>0</v>
      </c>
      <c r="I5469" s="155">
        <v>1</v>
      </c>
      <c r="J5469" s="710">
        <f>(VLOOKUP($C5469,[2]Sheet1!$A$2:$P$18,$M5469+1)/12)*12*D5469</f>
        <v>483974.5687200001</v>
      </c>
      <c r="K5469" s="711"/>
      <c r="M5469" s="62">
        <f t="shared" si="424"/>
        <v>3</v>
      </c>
    </row>
    <row r="5470" spans="1:13">
      <c r="A5470" s="88">
        <f t="shared" si="426"/>
        <v>54</v>
      </c>
      <c r="B5470" s="69" t="s">
        <v>1486</v>
      </c>
      <c r="C5470" s="167">
        <v>8</v>
      </c>
      <c r="D5470" s="155">
        <v>1</v>
      </c>
      <c r="E5470" s="155">
        <v>1</v>
      </c>
      <c r="F5470" s="155">
        <v>1</v>
      </c>
      <c r="G5470" s="155">
        <v>1</v>
      </c>
      <c r="H5470" s="155">
        <v>1</v>
      </c>
      <c r="I5470" s="155">
        <v>1</v>
      </c>
      <c r="J5470" s="710">
        <f>(VLOOKUP($C5470,[2]Sheet1!$A$2:$P$18,$M5470+1)/12)*12*D5470</f>
        <v>342141.27408</v>
      </c>
      <c r="K5470" s="711"/>
      <c r="M5470" s="62">
        <f t="shared" si="424"/>
        <v>3</v>
      </c>
    </row>
    <row r="5471" spans="1:13">
      <c r="A5471" s="88">
        <f t="shared" si="426"/>
        <v>55</v>
      </c>
      <c r="B5471" s="69" t="s">
        <v>863</v>
      </c>
      <c r="C5471" s="167">
        <v>7</v>
      </c>
      <c r="D5471" s="155">
        <v>2</v>
      </c>
      <c r="E5471" s="155">
        <v>1</v>
      </c>
      <c r="F5471" s="155">
        <v>2</v>
      </c>
      <c r="G5471" s="155">
        <v>2</v>
      </c>
      <c r="H5471" s="155">
        <v>1</v>
      </c>
      <c r="I5471" s="155">
        <v>2</v>
      </c>
      <c r="J5471" s="710">
        <f>(VLOOKUP($C5471,[2]Sheet1!$A$2:$P$18,$M5471+1)/12)*12*D5471</f>
        <v>615413.40480000013</v>
      </c>
      <c r="K5471" s="711"/>
      <c r="M5471" s="62">
        <f t="shared" si="424"/>
        <v>3</v>
      </c>
    </row>
    <row r="5472" spans="1:13">
      <c r="A5472" s="88">
        <f t="shared" si="426"/>
        <v>56</v>
      </c>
      <c r="B5472" s="69" t="s">
        <v>864</v>
      </c>
      <c r="C5472" s="167">
        <v>6</v>
      </c>
      <c r="D5472" s="155">
        <v>0</v>
      </c>
      <c r="E5472" s="155">
        <v>0</v>
      </c>
      <c r="F5472" s="155">
        <v>0</v>
      </c>
      <c r="G5472" s="155">
        <v>0</v>
      </c>
      <c r="H5472" s="155">
        <v>0</v>
      </c>
      <c r="I5472" s="155">
        <v>0</v>
      </c>
      <c r="J5472" s="710">
        <f>(VLOOKUP($C5472,[2]Sheet1!$A$2:$P$18,$M5472+1)/12)*12*D5472</f>
        <v>0</v>
      </c>
      <c r="K5472" s="711"/>
      <c r="M5472" s="62">
        <f t="shared" si="424"/>
        <v>5</v>
      </c>
    </row>
    <row r="5473" spans="1:13">
      <c r="A5473" s="88">
        <f t="shared" si="426"/>
        <v>57</v>
      </c>
      <c r="B5473" s="69" t="s">
        <v>2401</v>
      </c>
      <c r="C5473" s="167">
        <v>3</v>
      </c>
      <c r="D5473" s="155">
        <v>0</v>
      </c>
      <c r="E5473" s="155">
        <v>0</v>
      </c>
      <c r="F5473" s="155">
        <v>0</v>
      </c>
      <c r="G5473" s="155">
        <v>0</v>
      </c>
      <c r="H5473" s="155">
        <v>0</v>
      </c>
      <c r="I5473" s="155">
        <v>0</v>
      </c>
      <c r="J5473" s="710">
        <f>(VLOOKUP($C5473,[2]Sheet1!$A$2:$P$18,$M5473+1)/12)*12*D5473</f>
        <v>0</v>
      </c>
      <c r="K5473" s="711"/>
      <c r="M5473" s="62">
        <f t="shared" si="424"/>
        <v>5</v>
      </c>
    </row>
    <row r="5474" spans="1:13">
      <c r="A5474" s="88">
        <f t="shared" si="426"/>
        <v>58</v>
      </c>
      <c r="B5474" s="69" t="s">
        <v>861</v>
      </c>
      <c r="C5474" s="167">
        <v>9</v>
      </c>
      <c r="D5474" s="155">
        <v>0</v>
      </c>
      <c r="E5474" s="155">
        <v>0</v>
      </c>
      <c r="F5474" s="155">
        <v>0</v>
      </c>
      <c r="G5474" s="155">
        <v>0</v>
      </c>
      <c r="H5474" s="155">
        <v>0</v>
      </c>
      <c r="I5474" s="155">
        <v>0</v>
      </c>
      <c r="J5474" s="710">
        <f>(VLOOKUP($C5474,[2]Sheet1!$A$2:$P$18,$M5474+1)/12)*12*D5474</f>
        <v>0</v>
      </c>
      <c r="K5474" s="711"/>
      <c r="M5474" s="62">
        <f t="shared" si="424"/>
        <v>3</v>
      </c>
    </row>
    <row r="5475" spans="1:13">
      <c r="A5475" s="88">
        <f t="shared" si="426"/>
        <v>59</v>
      </c>
      <c r="B5475" s="69" t="s">
        <v>927</v>
      </c>
      <c r="C5475" s="167">
        <v>8</v>
      </c>
      <c r="D5475" s="155">
        <v>0</v>
      </c>
      <c r="E5475" s="155">
        <v>0</v>
      </c>
      <c r="F5475" s="155">
        <v>0</v>
      </c>
      <c r="G5475" s="155">
        <v>0</v>
      </c>
      <c r="H5475" s="155">
        <v>0</v>
      </c>
      <c r="I5475" s="155">
        <v>0</v>
      </c>
      <c r="J5475" s="710">
        <f>(VLOOKUP($C5475,[2]Sheet1!$A$2:$P$18,$M5475+1)/12)*12*D5475</f>
        <v>0</v>
      </c>
      <c r="K5475" s="711"/>
      <c r="M5475" s="62">
        <f t="shared" si="424"/>
        <v>3</v>
      </c>
    </row>
    <row r="5476" spans="1:13">
      <c r="A5476" s="88">
        <f t="shared" si="426"/>
        <v>60</v>
      </c>
      <c r="B5476" s="69" t="s">
        <v>928</v>
      </c>
      <c r="C5476" s="167">
        <v>7</v>
      </c>
      <c r="D5476" s="155">
        <v>1</v>
      </c>
      <c r="E5476" s="155">
        <v>1</v>
      </c>
      <c r="F5476" s="155">
        <v>1</v>
      </c>
      <c r="G5476" s="155">
        <v>1</v>
      </c>
      <c r="H5476" s="155">
        <v>1</v>
      </c>
      <c r="I5476" s="155">
        <v>1</v>
      </c>
      <c r="J5476" s="710">
        <f>(VLOOKUP($C5476,[2]Sheet1!$A$2:$P$18,$M5476+1)/12)*12*D5476</f>
        <v>307706.70240000007</v>
      </c>
      <c r="K5476" s="711"/>
      <c r="M5476" s="62">
        <f t="shared" si="424"/>
        <v>3</v>
      </c>
    </row>
    <row r="5477" spans="1:13">
      <c r="A5477" s="88">
        <f t="shared" si="426"/>
        <v>61</v>
      </c>
      <c r="B5477" s="69" t="s">
        <v>929</v>
      </c>
      <c r="C5477" s="167">
        <v>6</v>
      </c>
      <c r="D5477" s="155">
        <v>3</v>
      </c>
      <c r="E5477" s="155">
        <v>3</v>
      </c>
      <c r="F5477" s="155">
        <v>3</v>
      </c>
      <c r="G5477" s="155">
        <v>3</v>
      </c>
      <c r="H5477" s="155">
        <v>3</v>
      </c>
      <c r="I5477" s="155">
        <v>3</v>
      </c>
      <c r="J5477" s="710">
        <f>(VLOOKUP($C5477,[2]Sheet1!$A$2:$P$18,$M5477+1)/12)*12*D5477</f>
        <v>714298.1367910949</v>
      </c>
      <c r="K5477" s="711"/>
      <c r="M5477" s="62">
        <f t="shared" si="424"/>
        <v>5</v>
      </c>
    </row>
    <row r="5478" spans="1:13">
      <c r="A5478" s="88">
        <f t="shared" si="426"/>
        <v>62</v>
      </c>
      <c r="B5478" s="69" t="s">
        <v>930</v>
      </c>
      <c r="C5478" s="167">
        <v>5</v>
      </c>
      <c r="D5478" s="155">
        <v>6</v>
      </c>
      <c r="E5478" s="155">
        <v>6</v>
      </c>
      <c r="F5478" s="155">
        <v>6</v>
      </c>
      <c r="G5478" s="155">
        <v>6</v>
      </c>
      <c r="H5478" s="155">
        <v>6</v>
      </c>
      <c r="I5478" s="155">
        <v>6</v>
      </c>
      <c r="J5478" s="710">
        <f>(VLOOKUP($C5478,[2]Sheet1!$A$2:$P$18,$M5478+1)/12)*12*D5478</f>
        <v>1377418.6735821899</v>
      </c>
      <c r="K5478" s="711"/>
      <c r="M5478" s="62">
        <f t="shared" si="424"/>
        <v>5</v>
      </c>
    </row>
    <row r="5479" spans="1:13">
      <c r="A5479" s="88">
        <f t="shared" si="426"/>
        <v>63</v>
      </c>
      <c r="B5479" s="69" t="s">
        <v>931</v>
      </c>
      <c r="C5479" s="167">
        <v>4</v>
      </c>
      <c r="D5479" s="155">
        <v>10</v>
      </c>
      <c r="E5479" s="155">
        <v>10</v>
      </c>
      <c r="F5479" s="155">
        <v>10</v>
      </c>
      <c r="G5479" s="155">
        <v>10</v>
      </c>
      <c r="H5479" s="155">
        <v>10</v>
      </c>
      <c r="I5479" s="155">
        <v>10</v>
      </c>
      <c r="J5479" s="710">
        <f>(VLOOKUP($C5479,[2]Sheet1!$A$2:$P$18,$M5479+1)/12)*12*D5479</f>
        <v>2245429.7893036501</v>
      </c>
      <c r="K5479" s="711"/>
      <c r="M5479" s="62">
        <f t="shared" si="424"/>
        <v>5</v>
      </c>
    </row>
    <row r="5480" spans="1:13">
      <c r="A5480" s="88">
        <f t="shared" si="426"/>
        <v>64</v>
      </c>
      <c r="B5480" s="69" t="s">
        <v>932</v>
      </c>
      <c r="C5480" s="167">
        <v>3</v>
      </c>
      <c r="D5480" s="155">
        <v>12</v>
      </c>
      <c r="E5480" s="155">
        <v>12</v>
      </c>
      <c r="F5480" s="155">
        <v>12</v>
      </c>
      <c r="G5480" s="155">
        <v>12</v>
      </c>
      <c r="H5480" s="155">
        <v>12</v>
      </c>
      <c r="I5480" s="155">
        <v>12</v>
      </c>
      <c r="J5480" s="710">
        <f>(VLOOKUP($C5480,[2]Sheet1!$A$2:$P$18,$M5480+1)/12)*12*D5480</f>
        <v>2632034.1471643797</v>
      </c>
      <c r="K5480" s="711"/>
      <c r="M5480" s="62">
        <f t="shared" si="424"/>
        <v>5</v>
      </c>
    </row>
    <row r="5481" spans="1:13">
      <c r="A5481" s="88"/>
      <c r="B5481" s="90" t="s">
        <v>933</v>
      </c>
      <c r="C5481" s="167"/>
      <c r="D5481" s="155"/>
      <c r="E5481" s="155"/>
      <c r="F5481" s="155"/>
      <c r="G5481" s="155"/>
      <c r="H5481" s="155"/>
      <c r="I5481" s="155"/>
      <c r="J5481" s="710"/>
      <c r="K5481" s="711"/>
      <c r="M5481" s="62">
        <f t="shared" si="424"/>
        <v>5</v>
      </c>
    </row>
    <row r="5482" spans="1:13">
      <c r="A5482" s="88">
        <f>+A5480+1</f>
        <v>65</v>
      </c>
      <c r="B5482" s="69" t="s">
        <v>922</v>
      </c>
      <c r="C5482" s="167">
        <v>13</v>
      </c>
      <c r="D5482" s="155">
        <v>0</v>
      </c>
      <c r="E5482" s="155">
        <v>0</v>
      </c>
      <c r="F5482" s="155">
        <v>0</v>
      </c>
      <c r="G5482" s="155">
        <v>0</v>
      </c>
      <c r="H5482" s="155">
        <v>0</v>
      </c>
      <c r="I5482" s="155">
        <v>0</v>
      </c>
      <c r="J5482" s="710">
        <f>(VLOOKUP($C5482,[2]Sheet1!$A$2:$P$18,$M5482+1)/12)*12*D5482</f>
        <v>0</v>
      </c>
      <c r="K5482" s="711"/>
      <c r="M5482" s="62">
        <f t="shared" si="424"/>
        <v>3</v>
      </c>
    </row>
    <row r="5483" spans="1:13">
      <c r="A5483" s="88">
        <f t="shared" ref="A5483:A5490" si="427">+A5482+1</f>
        <v>66</v>
      </c>
      <c r="B5483" s="69" t="s">
        <v>1070</v>
      </c>
      <c r="C5483" s="167">
        <v>12</v>
      </c>
      <c r="D5483" s="155">
        <v>0</v>
      </c>
      <c r="E5483" s="155">
        <v>0</v>
      </c>
      <c r="F5483" s="155">
        <v>0</v>
      </c>
      <c r="G5483" s="155">
        <v>0</v>
      </c>
      <c r="H5483" s="155">
        <v>0</v>
      </c>
      <c r="I5483" s="155">
        <v>0</v>
      </c>
      <c r="J5483" s="710">
        <f>(VLOOKUP($C5483,[2]Sheet1!$A$2:$P$18,$M5483+1)/12)*12*D5483</f>
        <v>0</v>
      </c>
      <c r="K5483" s="711"/>
      <c r="M5483" s="62">
        <f t="shared" si="424"/>
        <v>3</v>
      </c>
    </row>
    <row r="5484" spans="1:13">
      <c r="A5484" s="88">
        <f t="shared" si="427"/>
        <v>67</v>
      </c>
      <c r="B5484" s="69" t="s">
        <v>1394</v>
      </c>
      <c r="C5484" s="167">
        <v>10</v>
      </c>
      <c r="D5484" s="155">
        <v>0</v>
      </c>
      <c r="E5484" s="155">
        <v>0</v>
      </c>
      <c r="F5484" s="155">
        <v>0</v>
      </c>
      <c r="G5484" s="155">
        <v>0</v>
      </c>
      <c r="H5484" s="155">
        <v>0</v>
      </c>
      <c r="I5484" s="155">
        <v>0</v>
      </c>
      <c r="J5484" s="710">
        <f>(VLOOKUP($C5484,[2]Sheet1!$A$2:$P$18,$M5484+1)/12)*12*D5484</f>
        <v>0</v>
      </c>
      <c r="K5484" s="711"/>
      <c r="M5484" s="62">
        <f t="shared" si="424"/>
        <v>3</v>
      </c>
    </row>
    <row r="5485" spans="1:13">
      <c r="A5485" s="88">
        <f t="shared" si="427"/>
        <v>68</v>
      </c>
      <c r="B5485" s="69" t="s">
        <v>1395</v>
      </c>
      <c r="C5485" s="167">
        <v>9</v>
      </c>
      <c r="D5485" s="155">
        <v>0</v>
      </c>
      <c r="E5485" s="155">
        <v>0</v>
      </c>
      <c r="F5485" s="155">
        <v>0</v>
      </c>
      <c r="G5485" s="155">
        <v>0</v>
      </c>
      <c r="H5485" s="155">
        <v>0</v>
      </c>
      <c r="I5485" s="155">
        <v>0</v>
      </c>
      <c r="J5485" s="710">
        <f>(VLOOKUP($C5485,[2]Sheet1!$A$2:$P$18,$M5485+1)/12)*12*D5485</f>
        <v>0</v>
      </c>
      <c r="K5485" s="711"/>
      <c r="M5485" s="62">
        <f t="shared" si="424"/>
        <v>3</v>
      </c>
    </row>
    <row r="5486" spans="1:13">
      <c r="A5486" s="88">
        <f t="shared" si="427"/>
        <v>69</v>
      </c>
      <c r="B5486" s="69" t="s">
        <v>1396</v>
      </c>
      <c r="C5486" s="167">
        <v>8</v>
      </c>
      <c r="D5486" s="155">
        <v>0</v>
      </c>
      <c r="E5486" s="155">
        <v>0</v>
      </c>
      <c r="F5486" s="155">
        <v>0</v>
      </c>
      <c r="G5486" s="155">
        <v>0</v>
      </c>
      <c r="H5486" s="155">
        <v>0</v>
      </c>
      <c r="I5486" s="155">
        <v>0</v>
      </c>
      <c r="J5486" s="710">
        <f>(VLOOKUP($C5486,[2]Sheet1!$A$2:$P$18,$M5486+1)/12)*12*D5486</f>
        <v>0</v>
      </c>
      <c r="K5486" s="711"/>
      <c r="M5486" s="62">
        <f t="shared" si="424"/>
        <v>3</v>
      </c>
    </row>
    <row r="5487" spans="1:13">
      <c r="A5487" s="88">
        <f t="shared" si="427"/>
        <v>70</v>
      </c>
      <c r="B5487" s="69" t="s">
        <v>1373</v>
      </c>
      <c r="C5487" s="167">
        <v>7</v>
      </c>
      <c r="D5487" s="155">
        <v>0</v>
      </c>
      <c r="E5487" s="155">
        <v>0</v>
      </c>
      <c r="F5487" s="155">
        <v>0</v>
      </c>
      <c r="G5487" s="155">
        <v>0</v>
      </c>
      <c r="H5487" s="155">
        <v>0</v>
      </c>
      <c r="I5487" s="155">
        <v>0</v>
      </c>
      <c r="J5487" s="710">
        <f>(VLOOKUP($C5487,[2]Sheet1!$A$2:$P$18,$M5487+1)/12)*12*D5487</f>
        <v>0</v>
      </c>
      <c r="K5487" s="711"/>
      <c r="M5487" s="62">
        <f t="shared" si="424"/>
        <v>3</v>
      </c>
    </row>
    <row r="5488" spans="1:13">
      <c r="A5488" s="88">
        <f t="shared" si="427"/>
        <v>71</v>
      </c>
      <c r="B5488" s="69" t="s">
        <v>1374</v>
      </c>
      <c r="C5488" s="167">
        <v>6</v>
      </c>
      <c r="D5488" s="155">
        <v>0</v>
      </c>
      <c r="E5488" s="155">
        <v>0</v>
      </c>
      <c r="F5488" s="155">
        <v>0</v>
      </c>
      <c r="G5488" s="155">
        <v>0</v>
      </c>
      <c r="H5488" s="155">
        <v>0</v>
      </c>
      <c r="I5488" s="155">
        <v>0</v>
      </c>
      <c r="J5488" s="710">
        <f>(VLOOKUP($C5488,[2]Sheet1!$A$2:$P$18,$M5488+1)/12)*12*D5488</f>
        <v>0</v>
      </c>
      <c r="K5488" s="711"/>
      <c r="M5488" s="62">
        <f t="shared" si="424"/>
        <v>5</v>
      </c>
    </row>
    <row r="5489" spans="1:13">
      <c r="A5489" s="88">
        <f t="shared" si="427"/>
        <v>72</v>
      </c>
      <c r="B5489" s="69" t="s">
        <v>1217</v>
      </c>
      <c r="C5489" s="167">
        <v>5</v>
      </c>
      <c r="D5489" s="155">
        <v>0</v>
      </c>
      <c r="E5489" s="155">
        <v>0</v>
      </c>
      <c r="F5489" s="155">
        <v>0</v>
      </c>
      <c r="G5489" s="155">
        <v>0</v>
      </c>
      <c r="H5489" s="155">
        <v>0</v>
      </c>
      <c r="I5489" s="155">
        <v>0</v>
      </c>
      <c r="J5489" s="710">
        <f>(VLOOKUP($C5489,[2]Sheet1!$A$2:$P$18,$M5489+1)/12)*12*D5489</f>
        <v>0</v>
      </c>
      <c r="K5489" s="711"/>
      <c r="M5489" s="62">
        <f t="shared" si="424"/>
        <v>5</v>
      </c>
    </row>
    <row r="5490" spans="1:13" ht="13.5" thickBot="1">
      <c r="A5490" s="88">
        <f t="shared" si="427"/>
        <v>73</v>
      </c>
      <c r="B5490" s="69" t="s">
        <v>2604</v>
      </c>
      <c r="C5490" s="167">
        <v>3</v>
      </c>
      <c r="D5490" s="155">
        <v>0</v>
      </c>
      <c r="E5490" s="155">
        <v>0</v>
      </c>
      <c r="F5490" s="155">
        <v>0</v>
      </c>
      <c r="G5490" s="155">
        <v>0</v>
      </c>
      <c r="H5490" s="155">
        <v>0</v>
      </c>
      <c r="I5490" s="155">
        <v>0</v>
      </c>
      <c r="J5490" s="710">
        <f>(VLOOKUP($C5490,[2]Sheet1!$A$2:$P$18,$M5490+1)/12)*12*D5490</f>
        <v>0</v>
      </c>
      <c r="K5490" s="711"/>
      <c r="M5490" s="62">
        <f t="shared" si="424"/>
        <v>5</v>
      </c>
    </row>
    <row r="5491" spans="1:13" ht="15.75" thickTop="1">
      <c r="A5491" s="1047" t="s">
        <v>2791</v>
      </c>
      <c r="B5491" s="1049" t="s">
        <v>4126</v>
      </c>
      <c r="C5491" s="1049" t="s">
        <v>854</v>
      </c>
      <c r="D5491" s="1040" t="s">
        <v>4127</v>
      </c>
      <c r="E5491" s="1041"/>
      <c r="F5491" s="1041"/>
      <c r="G5491" s="1040" t="s">
        <v>904</v>
      </c>
      <c r="H5491" s="1041"/>
      <c r="I5491" s="1042"/>
      <c r="J5491" s="1035" t="s">
        <v>855</v>
      </c>
      <c r="K5491" s="389"/>
    </row>
    <row r="5492" spans="1:13" ht="26.25" thickBot="1">
      <c r="A5492" s="1048"/>
      <c r="B5492" s="1050"/>
      <c r="C5492" s="1050"/>
      <c r="D5492" s="285" t="s">
        <v>5505</v>
      </c>
      <c r="E5492" s="285" t="s">
        <v>4485</v>
      </c>
      <c r="F5492" s="285" t="s">
        <v>4486</v>
      </c>
      <c r="G5492" s="287" t="s">
        <v>4487</v>
      </c>
      <c r="H5492" s="285" t="s">
        <v>4488</v>
      </c>
      <c r="I5492" s="287" t="s">
        <v>4489</v>
      </c>
      <c r="J5492" s="1036"/>
      <c r="K5492" s="712"/>
    </row>
    <row r="5493" spans="1:13" ht="13.5" thickTop="1">
      <c r="A5493" s="88"/>
      <c r="B5493" s="90" t="s">
        <v>2313</v>
      </c>
      <c r="C5493" s="167"/>
      <c r="D5493" s="155"/>
      <c r="E5493" s="155"/>
      <c r="F5493" s="155"/>
      <c r="G5493" s="155"/>
      <c r="H5493" s="155"/>
      <c r="I5493" s="155"/>
      <c r="J5493" s="713"/>
      <c r="K5493" s="711"/>
      <c r="M5493" s="62">
        <f t="shared" si="424"/>
        <v>5</v>
      </c>
    </row>
    <row r="5494" spans="1:13">
      <c r="A5494" s="88">
        <f>+A5490+1</f>
        <v>74</v>
      </c>
      <c r="B5494" s="69" t="s">
        <v>2437</v>
      </c>
      <c r="C5494" s="167">
        <v>16</v>
      </c>
      <c r="D5494" s="155">
        <v>1</v>
      </c>
      <c r="E5494" s="155">
        <v>1</v>
      </c>
      <c r="F5494" s="155">
        <v>0</v>
      </c>
      <c r="G5494" s="155">
        <v>0</v>
      </c>
      <c r="H5494" s="155">
        <v>1</v>
      </c>
      <c r="I5494" s="155">
        <v>1</v>
      </c>
      <c r="J5494" s="710">
        <f>(VLOOKUP($C5494,[2]Sheet1!$A$2:$P$18,$M5494+1)/12)*12*D5494</f>
        <v>677281.26084</v>
      </c>
      <c r="K5494" s="711"/>
      <c r="M5494" s="62">
        <f t="shared" si="424"/>
        <v>3</v>
      </c>
    </row>
    <row r="5495" spans="1:13">
      <c r="A5495" s="88">
        <f t="shared" ref="A5495:A5506" si="428">+A5494+1</f>
        <v>75</v>
      </c>
      <c r="B5495" s="69" t="s">
        <v>1256</v>
      </c>
      <c r="C5495" s="167">
        <v>15</v>
      </c>
      <c r="D5495" s="155">
        <v>1</v>
      </c>
      <c r="E5495" s="155">
        <v>1</v>
      </c>
      <c r="F5495" s="155">
        <v>0</v>
      </c>
      <c r="G5495" s="155">
        <v>0</v>
      </c>
      <c r="H5495" s="155">
        <v>1</v>
      </c>
      <c r="I5495" s="155">
        <v>1</v>
      </c>
      <c r="J5495" s="710">
        <f>(VLOOKUP($C5495,[2]Sheet1!$A$2:$P$18,$M5495+1)/12)*12*D5495</f>
        <v>658331.89992</v>
      </c>
      <c r="K5495" s="711"/>
      <c r="M5495" s="62">
        <f t="shared" si="424"/>
        <v>3</v>
      </c>
    </row>
    <row r="5496" spans="1:13">
      <c r="A5496" s="88">
        <f>+A5495+1</f>
        <v>76</v>
      </c>
      <c r="B5496" s="69" t="s">
        <v>3747</v>
      </c>
      <c r="C5496" s="167">
        <v>14</v>
      </c>
      <c r="D5496" s="155">
        <v>1</v>
      </c>
      <c r="E5496" s="155">
        <v>0</v>
      </c>
      <c r="F5496" s="155">
        <v>0</v>
      </c>
      <c r="G5496" s="155">
        <v>0</v>
      </c>
      <c r="H5496" s="155">
        <v>1</v>
      </c>
      <c r="I5496" s="155">
        <v>1</v>
      </c>
      <c r="J5496" s="710">
        <f>(VLOOKUP($C5496,[2]Sheet1!$A$2:$P$18,$M5496+1)/12)*12*D5496</f>
        <v>669099.40824000002</v>
      </c>
      <c r="K5496" s="711"/>
      <c r="M5496" s="62">
        <f>IF(C5496&gt;6,3,5)</f>
        <v>3</v>
      </c>
    </row>
    <row r="5497" spans="1:13">
      <c r="A5497" s="88">
        <f>+A5495+1</f>
        <v>76</v>
      </c>
      <c r="B5497" s="69" t="s">
        <v>3748</v>
      </c>
      <c r="C5497" s="167">
        <v>13</v>
      </c>
      <c r="D5497" s="155">
        <v>2</v>
      </c>
      <c r="E5497" s="155">
        <v>2</v>
      </c>
      <c r="F5497" s="155">
        <v>0</v>
      </c>
      <c r="G5497" s="155">
        <v>0</v>
      </c>
      <c r="H5497" s="155">
        <v>2</v>
      </c>
      <c r="I5497" s="155">
        <v>2</v>
      </c>
      <c r="J5497" s="710">
        <f>(VLOOKUP($C5497,[2]Sheet1!$A$2:$P$18,$M5497+1)/12)*12*D5497</f>
        <v>1257519.07608</v>
      </c>
      <c r="K5497" s="711"/>
      <c r="M5497" s="62">
        <f t="shared" si="424"/>
        <v>3</v>
      </c>
    </row>
    <row r="5498" spans="1:13">
      <c r="A5498" s="88">
        <f>+A5496+1</f>
        <v>77</v>
      </c>
      <c r="B5498" s="69" t="s">
        <v>3749</v>
      </c>
      <c r="C5498" s="167">
        <v>12</v>
      </c>
      <c r="D5498" s="155">
        <v>5</v>
      </c>
      <c r="E5498" s="155">
        <v>1</v>
      </c>
      <c r="F5498" s="155">
        <v>0</v>
      </c>
      <c r="G5498" s="155">
        <v>0</v>
      </c>
      <c r="H5498" s="155">
        <v>2</v>
      </c>
      <c r="I5498" s="155">
        <v>5</v>
      </c>
      <c r="J5498" s="710">
        <f>(VLOOKUP($C5498,[2]Sheet1!$A$2:$P$18,$M5498+1)/12)*12*D5498</f>
        <v>2763425.268600001</v>
      </c>
      <c r="K5498" s="711"/>
      <c r="M5498" s="62">
        <f>IF(C5498&gt;6,3,5)</f>
        <v>3</v>
      </c>
    </row>
    <row r="5499" spans="1:13">
      <c r="A5499" s="88">
        <f>+A5497+1</f>
        <v>77</v>
      </c>
      <c r="B5499" s="69" t="s">
        <v>1949</v>
      </c>
      <c r="C5499" s="167">
        <v>10</v>
      </c>
      <c r="D5499" s="155">
        <v>1</v>
      </c>
      <c r="E5499" s="155">
        <v>1</v>
      </c>
      <c r="F5499" s="155">
        <v>0</v>
      </c>
      <c r="G5499" s="155">
        <v>0</v>
      </c>
      <c r="H5499" s="155">
        <v>2</v>
      </c>
      <c r="I5499" s="155">
        <v>1</v>
      </c>
      <c r="J5499" s="710">
        <f>(VLOOKUP($C5499,[2]Sheet1!$A$2:$P$18,$M5499+1)/12)*12*D5499</f>
        <v>483974.5687200001</v>
      </c>
      <c r="K5499" s="711"/>
      <c r="M5499" s="62">
        <f t="shared" si="424"/>
        <v>3</v>
      </c>
    </row>
    <row r="5500" spans="1:13">
      <c r="A5500" s="88">
        <f t="shared" si="428"/>
        <v>78</v>
      </c>
      <c r="B5500" s="69" t="s">
        <v>1950</v>
      </c>
      <c r="C5500" s="167">
        <v>9</v>
      </c>
      <c r="D5500" s="155">
        <v>4</v>
      </c>
      <c r="E5500" s="155">
        <v>1</v>
      </c>
      <c r="F5500" s="155">
        <v>0</v>
      </c>
      <c r="G5500" s="155">
        <v>0</v>
      </c>
      <c r="H5500" s="155">
        <v>1</v>
      </c>
      <c r="I5500" s="155">
        <v>4</v>
      </c>
      <c r="J5500" s="710">
        <f>(VLOOKUP($C5500,[2]Sheet1!$A$2:$P$18,$M5500+1)/12)*12*D5500</f>
        <v>1638727.6247999999</v>
      </c>
      <c r="K5500" s="711"/>
      <c r="M5500" s="62">
        <f t="shared" si="424"/>
        <v>3</v>
      </c>
    </row>
    <row r="5501" spans="1:13">
      <c r="A5501" s="88">
        <f t="shared" si="428"/>
        <v>79</v>
      </c>
      <c r="B5501" s="69" t="s">
        <v>2425</v>
      </c>
      <c r="C5501" s="167">
        <v>8</v>
      </c>
      <c r="D5501" s="155">
        <v>14</v>
      </c>
      <c r="E5501" s="155">
        <v>10</v>
      </c>
      <c r="F5501" s="155">
        <v>0</v>
      </c>
      <c r="G5501" s="155">
        <v>0</v>
      </c>
      <c r="H5501" s="155">
        <v>17</v>
      </c>
      <c r="I5501" s="155">
        <v>14</v>
      </c>
      <c r="J5501" s="710">
        <f>(VLOOKUP($C5501,[2]Sheet1!$A$2:$P$18,$M5501+1)/12)*12*D5501</f>
        <v>4789977.8371200003</v>
      </c>
      <c r="K5501" s="711"/>
      <c r="M5501" s="62">
        <f t="shared" si="424"/>
        <v>3</v>
      </c>
    </row>
    <row r="5502" spans="1:13">
      <c r="A5502" s="88">
        <f t="shared" si="428"/>
        <v>80</v>
      </c>
      <c r="B5502" s="69" t="s">
        <v>2438</v>
      </c>
      <c r="C5502" s="167">
        <v>7</v>
      </c>
      <c r="D5502" s="155">
        <v>20</v>
      </c>
      <c r="E5502" s="155">
        <v>15</v>
      </c>
      <c r="F5502" s="155">
        <v>20</v>
      </c>
      <c r="G5502" s="155">
        <v>20</v>
      </c>
      <c r="H5502" s="155">
        <v>20</v>
      </c>
      <c r="I5502" s="155">
        <v>20</v>
      </c>
      <c r="J5502" s="710">
        <f>(VLOOKUP($C5502,[2]Sheet1!$A$2:$P$18,$M5502+1)/12)*12*D5502</f>
        <v>6154134.0480000013</v>
      </c>
      <c r="K5502" s="711"/>
      <c r="M5502" s="62">
        <f t="shared" si="424"/>
        <v>3</v>
      </c>
    </row>
    <row r="5503" spans="1:13">
      <c r="A5503" s="88">
        <f t="shared" si="428"/>
        <v>81</v>
      </c>
      <c r="B5503" s="69" t="s">
        <v>1317</v>
      </c>
      <c r="C5503" s="167">
        <v>6</v>
      </c>
      <c r="D5503" s="155">
        <v>30</v>
      </c>
      <c r="E5503" s="155">
        <v>25</v>
      </c>
      <c r="F5503" s="155">
        <v>30</v>
      </c>
      <c r="G5503" s="155">
        <v>30</v>
      </c>
      <c r="H5503" s="155">
        <v>20</v>
      </c>
      <c r="I5503" s="155">
        <v>30</v>
      </c>
      <c r="J5503" s="710">
        <f>(VLOOKUP($C5503,[2]Sheet1!$A$2:$P$18,$M5503+1)/12)*12*D5503</f>
        <v>7142981.3679109495</v>
      </c>
      <c r="K5503" s="711"/>
      <c r="M5503" s="62">
        <f t="shared" si="424"/>
        <v>5</v>
      </c>
    </row>
    <row r="5504" spans="1:13">
      <c r="A5504" s="88">
        <f t="shared" si="428"/>
        <v>82</v>
      </c>
      <c r="B5504" s="69" t="s">
        <v>602</v>
      </c>
      <c r="C5504" s="167">
        <v>5</v>
      </c>
      <c r="D5504" s="155">
        <v>4</v>
      </c>
      <c r="E5504" s="155">
        <v>0</v>
      </c>
      <c r="F5504" s="155">
        <v>4</v>
      </c>
      <c r="G5504" s="155">
        <v>4</v>
      </c>
      <c r="H5504" s="155">
        <v>1</v>
      </c>
      <c r="I5504" s="155">
        <v>4</v>
      </c>
      <c r="J5504" s="710">
        <f>(VLOOKUP($C5504,[2]Sheet1!$A$2:$P$18,$M5504+1)/12)*12*D5504</f>
        <v>918279.11572145997</v>
      </c>
      <c r="K5504" s="711"/>
      <c r="M5504" s="62">
        <f t="shared" si="424"/>
        <v>5</v>
      </c>
    </row>
    <row r="5505" spans="1:13">
      <c r="A5505" s="88">
        <f t="shared" si="428"/>
        <v>83</v>
      </c>
      <c r="B5505" s="69" t="s">
        <v>603</v>
      </c>
      <c r="C5505" s="167">
        <v>4</v>
      </c>
      <c r="D5505" s="155">
        <v>4</v>
      </c>
      <c r="E5505" s="155">
        <v>0</v>
      </c>
      <c r="F5505" s="155">
        <v>4</v>
      </c>
      <c r="G5505" s="155">
        <v>4</v>
      </c>
      <c r="H5505" s="155">
        <v>1</v>
      </c>
      <c r="I5505" s="155">
        <v>4</v>
      </c>
      <c r="J5505" s="710">
        <f>(VLOOKUP($C5505,[2]Sheet1!$A$2:$P$18,$M5505+1)/12)*12*D5505</f>
        <v>898171.91572146001</v>
      </c>
      <c r="K5505" s="711"/>
      <c r="M5505" s="62">
        <f t="shared" si="424"/>
        <v>5</v>
      </c>
    </row>
    <row r="5506" spans="1:13">
      <c r="A5506" s="88">
        <f t="shared" si="428"/>
        <v>84</v>
      </c>
      <c r="B5506" s="69" t="s">
        <v>604</v>
      </c>
      <c r="C5506" s="167">
        <v>3</v>
      </c>
      <c r="D5506" s="155">
        <v>4</v>
      </c>
      <c r="E5506" s="155">
        <v>0</v>
      </c>
      <c r="F5506" s="155">
        <v>4</v>
      </c>
      <c r="G5506" s="155">
        <v>4</v>
      </c>
      <c r="H5506" s="155">
        <v>1</v>
      </c>
      <c r="I5506" s="155">
        <v>4</v>
      </c>
      <c r="J5506" s="710">
        <f>(VLOOKUP($C5506,[2]Sheet1!$A$2:$P$18,$M5506+1)/12)*12*D5506</f>
        <v>877344.71572145994</v>
      </c>
      <c r="K5506" s="711"/>
      <c r="M5506" s="62">
        <f t="shared" si="424"/>
        <v>5</v>
      </c>
    </row>
    <row r="5507" spans="1:13">
      <c r="A5507" s="88"/>
      <c r="B5507" s="90" t="s">
        <v>862</v>
      </c>
      <c r="C5507" s="167"/>
      <c r="D5507" s="155"/>
      <c r="E5507" s="155"/>
      <c r="F5507" s="155"/>
      <c r="G5507" s="155"/>
      <c r="H5507" s="155"/>
      <c r="I5507" s="155"/>
      <c r="J5507" s="710"/>
      <c r="K5507" s="711"/>
      <c r="M5507" s="62">
        <f t="shared" si="424"/>
        <v>5</v>
      </c>
    </row>
    <row r="5508" spans="1:13">
      <c r="A5508" s="88">
        <f>+A5506+1</f>
        <v>85</v>
      </c>
      <c r="B5508" s="69" t="s">
        <v>1783</v>
      </c>
      <c r="C5508" s="167">
        <v>9</v>
      </c>
      <c r="D5508" s="155">
        <v>1</v>
      </c>
      <c r="E5508" s="155">
        <v>0</v>
      </c>
      <c r="F5508" s="155">
        <v>1</v>
      </c>
      <c r="G5508" s="155">
        <v>1</v>
      </c>
      <c r="H5508" s="155">
        <v>0</v>
      </c>
      <c r="I5508" s="155">
        <v>1</v>
      </c>
      <c r="J5508" s="710">
        <f>(VLOOKUP($C5508,[2]Sheet1!$A$2:$P$18,$M5508+1)/12)*12*D5508</f>
        <v>409681.90619999997</v>
      </c>
      <c r="K5508" s="711"/>
      <c r="M5508" s="62">
        <f t="shared" si="424"/>
        <v>3</v>
      </c>
    </row>
    <row r="5509" spans="1:13">
      <c r="A5509" s="88">
        <f t="shared" ref="A5509:A5515" si="429">+A5508+1</f>
        <v>86</v>
      </c>
      <c r="B5509" s="69" t="s">
        <v>3523</v>
      </c>
      <c r="C5509" s="167">
        <v>8</v>
      </c>
      <c r="D5509" s="155">
        <v>0</v>
      </c>
      <c r="E5509" s="155">
        <v>0</v>
      </c>
      <c r="F5509" s="155">
        <v>0</v>
      </c>
      <c r="G5509" s="155">
        <v>0</v>
      </c>
      <c r="H5509" s="155">
        <v>0</v>
      </c>
      <c r="I5509" s="155">
        <v>0</v>
      </c>
      <c r="J5509" s="710">
        <f>(VLOOKUP($C5509,[2]Sheet1!$A$2:$P$18,$M5509+1)/12)*12*D5509</f>
        <v>0</v>
      </c>
      <c r="K5509" s="711"/>
      <c r="M5509" s="62">
        <f t="shared" si="424"/>
        <v>3</v>
      </c>
    </row>
    <row r="5510" spans="1:13">
      <c r="A5510" s="88">
        <f t="shared" si="429"/>
        <v>87</v>
      </c>
      <c r="B5510" s="69" t="s">
        <v>2784</v>
      </c>
      <c r="C5510" s="167">
        <v>7</v>
      </c>
      <c r="D5510" s="155">
        <v>0</v>
      </c>
      <c r="E5510" s="155">
        <v>0</v>
      </c>
      <c r="F5510" s="155">
        <v>0</v>
      </c>
      <c r="G5510" s="155">
        <v>0</v>
      </c>
      <c r="H5510" s="155">
        <v>0</v>
      </c>
      <c r="I5510" s="155">
        <v>0</v>
      </c>
      <c r="J5510" s="710">
        <f>(VLOOKUP($C5510,[2]Sheet1!$A$2:$P$18,$M5510+1)/12)*12*D5510</f>
        <v>0</v>
      </c>
      <c r="K5510" s="711"/>
      <c r="M5510" s="62">
        <f t="shared" si="424"/>
        <v>3</v>
      </c>
    </row>
    <row r="5511" spans="1:13">
      <c r="A5511" s="88">
        <f t="shared" si="429"/>
        <v>88</v>
      </c>
      <c r="B5511" s="69" t="s">
        <v>798</v>
      </c>
      <c r="C5511" s="167">
        <v>6</v>
      </c>
      <c r="D5511" s="155">
        <v>1</v>
      </c>
      <c r="E5511" s="155">
        <v>1</v>
      </c>
      <c r="F5511" s="155">
        <v>1</v>
      </c>
      <c r="G5511" s="155">
        <v>1</v>
      </c>
      <c r="H5511" s="155">
        <v>1</v>
      </c>
      <c r="I5511" s="155">
        <v>1</v>
      </c>
      <c r="J5511" s="710">
        <f>(VLOOKUP($C5511,[2]Sheet1!$A$2:$P$18,$M5511+1)/12)*12*D5511</f>
        <v>238099.37893036497</v>
      </c>
      <c r="K5511" s="711"/>
      <c r="M5511" s="62">
        <f t="shared" si="424"/>
        <v>5</v>
      </c>
    </row>
    <row r="5512" spans="1:13">
      <c r="A5512" s="88">
        <f>+A5511+1</f>
        <v>89</v>
      </c>
      <c r="B5512" s="69" t="s">
        <v>583</v>
      </c>
      <c r="C5512" s="167">
        <v>5</v>
      </c>
      <c r="D5512" s="155">
        <v>0</v>
      </c>
      <c r="E5512" s="155">
        <v>0</v>
      </c>
      <c r="F5512" s="155">
        <v>0</v>
      </c>
      <c r="G5512" s="155">
        <v>0</v>
      </c>
      <c r="H5512" s="155">
        <v>0</v>
      </c>
      <c r="I5512" s="155">
        <v>0</v>
      </c>
      <c r="J5512" s="710">
        <f>(VLOOKUP($C5512,[2]Sheet1!$A$2:$P$18,$M5512+1)/12)*12*D5512</f>
        <v>0</v>
      </c>
      <c r="K5512" s="711"/>
      <c r="M5512" s="62">
        <f t="shared" ref="M5512:M5575" si="430">IF(C5512&gt;6,3,5)</f>
        <v>5</v>
      </c>
    </row>
    <row r="5513" spans="1:13">
      <c r="A5513" s="88">
        <f t="shared" si="429"/>
        <v>90</v>
      </c>
      <c r="B5513" s="69" t="s">
        <v>741</v>
      </c>
      <c r="C5513" s="167">
        <v>4</v>
      </c>
      <c r="D5513" s="155">
        <v>1</v>
      </c>
      <c r="E5513" s="155">
        <v>1</v>
      </c>
      <c r="F5513" s="155">
        <v>1</v>
      </c>
      <c r="G5513" s="155">
        <v>1</v>
      </c>
      <c r="H5513" s="155">
        <v>1</v>
      </c>
      <c r="I5513" s="155">
        <v>1</v>
      </c>
      <c r="J5513" s="710">
        <f>(VLOOKUP($C5513,[2]Sheet1!$A$2:$P$18,$M5513+1)/12)*12*D5513</f>
        <v>224542.978930365</v>
      </c>
      <c r="K5513" s="711"/>
      <c r="M5513" s="62">
        <f t="shared" si="430"/>
        <v>5</v>
      </c>
    </row>
    <row r="5514" spans="1:13">
      <c r="A5514" s="88">
        <f t="shared" si="429"/>
        <v>91</v>
      </c>
      <c r="B5514" s="178" t="s">
        <v>2874</v>
      </c>
      <c r="C5514" s="179">
        <v>3</v>
      </c>
      <c r="D5514" s="155">
        <v>0</v>
      </c>
      <c r="E5514" s="155">
        <v>0</v>
      </c>
      <c r="F5514" s="155">
        <v>0</v>
      </c>
      <c r="G5514" s="155">
        <v>0</v>
      </c>
      <c r="H5514" s="155">
        <v>0</v>
      </c>
      <c r="I5514" s="155">
        <v>0</v>
      </c>
      <c r="J5514" s="710">
        <f>(VLOOKUP($C5514,[2]Sheet1!$A$2:$P$18,$M5514+1)/12)*12*D5514</f>
        <v>0</v>
      </c>
      <c r="K5514" s="711"/>
      <c r="M5514" s="62">
        <f t="shared" si="430"/>
        <v>5</v>
      </c>
    </row>
    <row r="5515" spans="1:13">
      <c r="A5515" s="88">
        <f t="shared" si="429"/>
        <v>92</v>
      </c>
      <c r="B5515" s="69" t="s">
        <v>499</v>
      </c>
      <c r="C5515" s="167">
        <v>2</v>
      </c>
      <c r="D5515" s="155">
        <v>1</v>
      </c>
      <c r="E5515" s="155">
        <v>0</v>
      </c>
      <c r="F5515" s="155">
        <v>0</v>
      </c>
      <c r="G5515" s="155">
        <v>0</v>
      </c>
      <c r="H5515" s="155">
        <v>0</v>
      </c>
      <c r="I5515" s="155">
        <v>1</v>
      </c>
      <c r="J5515" s="710">
        <f>(VLOOKUP($C5515,[2]Sheet1!$A$2:$P$18,$M5515+1)/12)*12*D5515</f>
        <v>214657.37893036503</v>
      </c>
      <c r="K5515" s="711"/>
      <c r="M5515" s="62">
        <f t="shared" si="430"/>
        <v>5</v>
      </c>
    </row>
    <row r="5516" spans="1:13">
      <c r="A5516" s="88"/>
      <c r="B5516" s="90" t="s">
        <v>2161</v>
      </c>
      <c r="C5516" s="167"/>
      <c r="D5516" s="155"/>
      <c r="E5516" s="155"/>
      <c r="F5516" s="155"/>
      <c r="G5516" s="155"/>
      <c r="H5516" s="155"/>
      <c r="I5516" s="155"/>
      <c r="J5516" s="710"/>
      <c r="K5516" s="711"/>
      <c r="M5516" s="62">
        <f t="shared" si="430"/>
        <v>5</v>
      </c>
    </row>
    <row r="5517" spans="1:13">
      <c r="A5517" s="88">
        <f>+A5515+1</f>
        <v>93</v>
      </c>
      <c r="B5517" s="69" t="s">
        <v>1491</v>
      </c>
      <c r="C5517" s="167">
        <v>12</v>
      </c>
      <c r="D5517" s="155">
        <v>0</v>
      </c>
      <c r="E5517" s="155">
        <v>0</v>
      </c>
      <c r="F5517" s="155">
        <v>0</v>
      </c>
      <c r="G5517" s="155">
        <v>0</v>
      </c>
      <c r="H5517" s="155">
        <v>0</v>
      </c>
      <c r="I5517" s="155">
        <v>0</v>
      </c>
      <c r="J5517" s="710">
        <f>(VLOOKUP($C5517,[2]Sheet1!$A$2:$P$18,$M5517+1)/12)*12*D5517</f>
        <v>0</v>
      </c>
      <c r="K5517" s="711"/>
      <c r="M5517" s="62">
        <f t="shared" si="430"/>
        <v>3</v>
      </c>
    </row>
    <row r="5518" spans="1:13">
      <c r="A5518" s="88">
        <f t="shared" ref="A5518:A5523" si="431">+A5517+1</f>
        <v>94</v>
      </c>
      <c r="B5518" s="69" t="s">
        <v>2605</v>
      </c>
      <c r="C5518" s="167">
        <v>10</v>
      </c>
      <c r="D5518" s="155">
        <v>0</v>
      </c>
      <c r="E5518" s="155">
        <v>0</v>
      </c>
      <c r="F5518" s="155">
        <v>0</v>
      </c>
      <c r="G5518" s="155">
        <v>0</v>
      </c>
      <c r="H5518" s="155">
        <v>0</v>
      </c>
      <c r="I5518" s="155">
        <v>0</v>
      </c>
      <c r="J5518" s="710">
        <f>(VLOOKUP($C5518,[2]Sheet1!$A$2:$P$18,$M5518+1)/12)*12*D5518</f>
        <v>0</v>
      </c>
      <c r="K5518" s="711"/>
      <c r="M5518" s="62">
        <f t="shared" si="430"/>
        <v>3</v>
      </c>
    </row>
    <row r="5519" spans="1:13">
      <c r="A5519" s="88">
        <f t="shared" si="431"/>
        <v>95</v>
      </c>
      <c r="B5519" s="69" t="s">
        <v>2000</v>
      </c>
      <c r="C5519" s="167">
        <v>9</v>
      </c>
      <c r="D5519" s="155">
        <v>0</v>
      </c>
      <c r="E5519" s="155">
        <v>0</v>
      </c>
      <c r="F5519" s="155">
        <v>0</v>
      </c>
      <c r="G5519" s="155">
        <v>0</v>
      </c>
      <c r="H5519" s="155">
        <v>0</v>
      </c>
      <c r="I5519" s="155">
        <v>0</v>
      </c>
      <c r="J5519" s="710">
        <f>(VLOOKUP($C5519,[2]Sheet1!$A$2:$P$18,$M5519+1)/12)*12*D5519</f>
        <v>0</v>
      </c>
      <c r="K5519" s="711"/>
      <c r="M5519" s="62">
        <f t="shared" si="430"/>
        <v>3</v>
      </c>
    </row>
    <row r="5520" spans="1:13">
      <c r="A5520" s="88">
        <f t="shared" si="431"/>
        <v>96</v>
      </c>
      <c r="B5520" s="69" t="s">
        <v>2673</v>
      </c>
      <c r="C5520" s="167">
        <v>6</v>
      </c>
      <c r="D5520" s="155">
        <v>0</v>
      </c>
      <c r="E5520" s="155">
        <v>0</v>
      </c>
      <c r="F5520" s="155">
        <v>0</v>
      </c>
      <c r="G5520" s="155">
        <v>0</v>
      </c>
      <c r="H5520" s="155">
        <v>0</v>
      </c>
      <c r="I5520" s="155">
        <v>0</v>
      </c>
      <c r="J5520" s="710">
        <f>(VLOOKUP($C5520,[2]Sheet1!$A$2:$P$18,$M5520+1)/12)*12*D5520</f>
        <v>0</v>
      </c>
      <c r="K5520" s="711"/>
      <c r="M5520" s="62">
        <f t="shared" si="430"/>
        <v>5</v>
      </c>
    </row>
    <row r="5521" spans="1:13">
      <c r="A5521" s="88">
        <f t="shared" si="431"/>
        <v>97</v>
      </c>
      <c r="B5521" s="69" t="s">
        <v>1016</v>
      </c>
      <c r="C5521" s="167">
        <v>5</v>
      </c>
      <c r="D5521" s="155">
        <v>0</v>
      </c>
      <c r="E5521" s="155">
        <v>0</v>
      </c>
      <c r="F5521" s="155">
        <v>0</v>
      </c>
      <c r="G5521" s="155">
        <v>0</v>
      </c>
      <c r="H5521" s="155">
        <v>1</v>
      </c>
      <c r="I5521" s="155">
        <v>0</v>
      </c>
      <c r="J5521" s="710">
        <f>(VLOOKUP($C5521,[2]Sheet1!$A$2:$P$18,$M5521+1)/12)*12*D5521</f>
        <v>0</v>
      </c>
      <c r="K5521" s="711"/>
      <c r="M5521" s="62">
        <f t="shared" si="430"/>
        <v>5</v>
      </c>
    </row>
    <row r="5522" spans="1:13">
      <c r="A5522" s="88">
        <f t="shared" si="431"/>
        <v>98</v>
      </c>
      <c r="B5522" s="69" t="s">
        <v>1017</v>
      </c>
      <c r="C5522" s="167">
        <v>4</v>
      </c>
      <c r="D5522" s="155">
        <v>0</v>
      </c>
      <c r="E5522" s="155">
        <v>0</v>
      </c>
      <c r="F5522" s="155">
        <v>0</v>
      </c>
      <c r="G5522" s="155">
        <v>0</v>
      </c>
      <c r="H5522" s="155">
        <v>0</v>
      </c>
      <c r="I5522" s="155">
        <v>0</v>
      </c>
      <c r="J5522" s="710">
        <f>(VLOOKUP($C5522,[2]Sheet1!$A$2:$P$18,$M5522+1)/12)*12*D5522</f>
        <v>0</v>
      </c>
      <c r="K5522" s="711"/>
      <c r="M5522" s="62">
        <f t="shared" si="430"/>
        <v>5</v>
      </c>
    </row>
    <row r="5523" spans="1:13">
      <c r="A5523" s="88">
        <f t="shared" si="431"/>
        <v>99</v>
      </c>
      <c r="B5523" s="69" t="s">
        <v>1662</v>
      </c>
      <c r="C5523" s="167">
        <v>3</v>
      </c>
      <c r="D5523" s="155">
        <v>0</v>
      </c>
      <c r="E5523" s="155">
        <v>0</v>
      </c>
      <c r="F5523" s="155">
        <v>0</v>
      </c>
      <c r="G5523" s="155">
        <v>0</v>
      </c>
      <c r="H5523" s="155">
        <v>1</v>
      </c>
      <c r="I5523" s="155">
        <v>0</v>
      </c>
      <c r="J5523" s="710">
        <f>(VLOOKUP($C5523,[2]Sheet1!$A$2:$P$18,$M5523+1)/12)*12*D5523</f>
        <v>0</v>
      </c>
      <c r="K5523" s="711"/>
      <c r="M5523" s="62">
        <f t="shared" si="430"/>
        <v>5</v>
      </c>
    </row>
    <row r="5524" spans="1:13">
      <c r="A5524" s="88"/>
      <c r="B5524" s="90" t="s">
        <v>869</v>
      </c>
      <c r="C5524" s="167"/>
      <c r="D5524" s="155"/>
      <c r="E5524" s="155"/>
      <c r="F5524" s="155"/>
      <c r="G5524" s="155"/>
      <c r="H5524" s="155"/>
      <c r="I5524" s="155"/>
      <c r="J5524" s="710"/>
      <c r="K5524" s="711"/>
      <c r="M5524" s="62">
        <f t="shared" si="430"/>
        <v>5</v>
      </c>
    </row>
    <row r="5525" spans="1:13">
      <c r="A5525" s="88">
        <f>+A5523+1</f>
        <v>100</v>
      </c>
      <c r="B5525" s="69" t="s">
        <v>3532</v>
      </c>
      <c r="C5525" s="167">
        <v>16</v>
      </c>
      <c r="D5525" s="155">
        <v>0</v>
      </c>
      <c r="E5525" s="155">
        <v>0</v>
      </c>
      <c r="F5525" s="155">
        <v>0</v>
      </c>
      <c r="G5525" s="155">
        <v>0</v>
      </c>
      <c r="H5525" s="155">
        <v>0</v>
      </c>
      <c r="I5525" s="155">
        <v>0</v>
      </c>
      <c r="J5525" s="710">
        <f>(VLOOKUP($C5525,[2]Sheet1!$A$2:$P$18,$M5525+1)/12)*12*D5525</f>
        <v>0</v>
      </c>
      <c r="K5525" s="711"/>
      <c r="M5525" s="62">
        <f t="shared" si="430"/>
        <v>3</v>
      </c>
    </row>
    <row r="5526" spans="1:13">
      <c r="A5526" s="88">
        <f t="shared" ref="A5526:A5532" si="432">+A5525+1</f>
        <v>101</v>
      </c>
      <c r="B5526" s="69" t="s">
        <v>1256</v>
      </c>
      <c r="C5526" s="167">
        <v>15</v>
      </c>
      <c r="D5526" s="155">
        <v>0</v>
      </c>
      <c r="E5526" s="155">
        <v>0</v>
      </c>
      <c r="F5526" s="155">
        <v>0</v>
      </c>
      <c r="G5526" s="155">
        <v>0</v>
      </c>
      <c r="H5526" s="155">
        <v>0</v>
      </c>
      <c r="I5526" s="155">
        <v>0</v>
      </c>
      <c r="J5526" s="710">
        <f>(VLOOKUP($C5526,[2]Sheet1!$A$2:$P$18,$M5526+1)/12)*12*D5526</f>
        <v>0</v>
      </c>
      <c r="K5526" s="711"/>
      <c r="M5526" s="62">
        <f t="shared" si="430"/>
        <v>3</v>
      </c>
    </row>
    <row r="5527" spans="1:13">
      <c r="A5527" s="88">
        <f t="shared" si="432"/>
        <v>102</v>
      </c>
      <c r="B5527" s="69" t="s">
        <v>870</v>
      </c>
      <c r="C5527" s="167">
        <v>12</v>
      </c>
      <c r="D5527" s="155">
        <v>0</v>
      </c>
      <c r="E5527" s="155">
        <v>0</v>
      </c>
      <c r="F5527" s="155">
        <v>0</v>
      </c>
      <c r="G5527" s="155">
        <v>0</v>
      </c>
      <c r="H5527" s="155">
        <v>0</v>
      </c>
      <c r="I5527" s="155">
        <v>0</v>
      </c>
      <c r="J5527" s="710">
        <f>(VLOOKUP($C5527,[2]Sheet1!$A$2:$P$18,$M5527+1)/12)*12*D5527</f>
        <v>0</v>
      </c>
      <c r="K5527" s="711"/>
      <c r="M5527" s="62">
        <f t="shared" si="430"/>
        <v>3</v>
      </c>
    </row>
    <row r="5528" spans="1:13">
      <c r="A5528" s="88">
        <f t="shared" si="432"/>
        <v>103</v>
      </c>
      <c r="B5528" s="69" t="s">
        <v>3429</v>
      </c>
      <c r="C5528" s="167">
        <v>7</v>
      </c>
      <c r="D5528" s="155">
        <v>0</v>
      </c>
      <c r="E5528" s="155">
        <v>0</v>
      </c>
      <c r="F5528" s="155">
        <v>0</v>
      </c>
      <c r="G5528" s="155">
        <v>0</v>
      </c>
      <c r="H5528" s="155">
        <v>1</v>
      </c>
      <c r="I5528" s="155">
        <v>0</v>
      </c>
      <c r="J5528" s="710">
        <f>(VLOOKUP($C5528,[2]Sheet1!$A$2:$P$18,$M5528+1)/12)*12*D5528</f>
        <v>0</v>
      </c>
      <c r="K5528" s="711"/>
      <c r="M5528" s="62">
        <f t="shared" si="430"/>
        <v>3</v>
      </c>
    </row>
    <row r="5529" spans="1:13">
      <c r="A5529" s="88">
        <f t="shared" si="432"/>
        <v>104</v>
      </c>
      <c r="B5529" s="69" t="s">
        <v>3431</v>
      </c>
      <c r="C5529" s="167">
        <v>6</v>
      </c>
      <c r="D5529" s="155">
        <v>0</v>
      </c>
      <c r="E5529" s="155">
        <v>0</v>
      </c>
      <c r="F5529" s="155">
        <v>0</v>
      </c>
      <c r="G5529" s="155">
        <v>0</v>
      </c>
      <c r="H5529" s="155">
        <v>1</v>
      </c>
      <c r="I5529" s="155">
        <v>0</v>
      </c>
      <c r="J5529" s="710">
        <f>(VLOOKUP($C5529,[2]Sheet1!$A$2:$P$18,$M5529+1)/12)*12*D5529</f>
        <v>0</v>
      </c>
      <c r="K5529" s="711"/>
      <c r="M5529" s="62">
        <f t="shared" si="430"/>
        <v>5</v>
      </c>
    </row>
    <row r="5530" spans="1:13">
      <c r="A5530" s="88">
        <f t="shared" si="432"/>
        <v>105</v>
      </c>
      <c r="B5530" s="69" t="s">
        <v>2863</v>
      </c>
      <c r="C5530" s="167">
        <v>4</v>
      </c>
      <c r="D5530" s="155">
        <v>0</v>
      </c>
      <c r="E5530" s="155">
        <v>0</v>
      </c>
      <c r="F5530" s="155">
        <v>0</v>
      </c>
      <c r="G5530" s="155">
        <v>0</v>
      </c>
      <c r="H5530" s="155">
        <v>1</v>
      </c>
      <c r="I5530" s="155">
        <v>0</v>
      </c>
      <c r="J5530" s="710">
        <f>(VLOOKUP($C5530,[2]Sheet1!$A$2:$P$18,$M5530+1)/12)*12*D5530</f>
        <v>0</v>
      </c>
      <c r="K5530" s="711"/>
      <c r="M5530" s="62">
        <f t="shared" si="430"/>
        <v>5</v>
      </c>
    </row>
    <row r="5531" spans="1:13">
      <c r="A5531" s="88">
        <f t="shared" si="432"/>
        <v>106</v>
      </c>
      <c r="B5531" s="69" t="s">
        <v>3430</v>
      </c>
      <c r="C5531" s="167">
        <v>4</v>
      </c>
      <c r="D5531" s="155">
        <v>0</v>
      </c>
      <c r="E5531" s="155">
        <v>0</v>
      </c>
      <c r="F5531" s="155">
        <v>0</v>
      </c>
      <c r="G5531" s="155">
        <v>0</v>
      </c>
      <c r="H5531" s="155">
        <v>1</v>
      </c>
      <c r="I5531" s="155">
        <v>0</v>
      </c>
      <c r="J5531" s="710">
        <f>(VLOOKUP($C5531,[2]Sheet1!$A$2:$P$18,$M5531+1)/12)*12*D5531</f>
        <v>0</v>
      </c>
      <c r="K5531" s="711"/>
      <c r="M5531" s="62">
        <f t="shared" si="430"/>
        <v>5</v>
      </c>
    </row>
    <row r="5532" spans="1:13" ht="13.5" thickBot="1">
      <c r="A5532" s="88">
        <f t="shared" si="432"/>
        <v>107</v>
      </c>
      <c r="B5532" s="69" t="s">
        <v>1816</v>
      </c>
      <c r="C5532" s="167">
        <v>3</v>
      </c>
      <c r="D5532" s="155">
        <v>0</v>
      </c>
      <c r="E5532" s="155">
        <v>0</v>
      </c>
      <c r="F5532" s="155">
        <v>0</v>
      </c>
      <c r="G5532" s="155">
        <v>0</v>
      </c>
      <c r="H5532" s="155">
        <v>1</v>
      </c>
      <c r="I5532" s="155">
        <v>0</v>
      </c>
      <c r="J5532" s="710">
        <f>(VLOOKUP($C5532,[2]Sheet1!$A$2:$P$18,$M5532+1)/12)*12*D5532</f>
        <v>0</v>
      </c>
      <c r="K5532" s="711"/>
      <c r="M5532" s="62">
        <f t="shared" si="430"/>
        <v>5</v>
      </c>
    </row>
    <row r="5533" spans="1:13" ht="15.75" thickTop="1">
      <c r="A5533" s="1047" t="s">
        <v>2791</v>
      </c>
      <c r="B5533" s="1049" t="s">
        <v>4126</v>
      </c>
      <c r="C5533" s="1049" t="s">
        <v>854</v>
      </c>
      <c r="D5533" s="1040" t="s">
        <v>4127</v>
      </c>
      <c r="E5533" s="1041"/>
      <c r="F5533" s="1041"/>
      <c r="G5533" s="1040" t="s">
        <v>904</v>
      </c>
      <c r="H5533" s="1041"/>
      <c r="I5533" s="1042"/>
      <c r="J5533" s="1035" t="s">
        <v>855</v>
      </c>
      <c r="K5533" s="389"/>
    </row>
    <row r="5534" spans="1:13" ht="26.25" thickBot="1">
      <c r="A5534" s="1048"/>
      <c r="B5534" s="1050"/>
      <c r="C5534" s="1050"/>
      <c r="D5534" s="285" t="s">
        <v>5505</v>
      </c>
      <c r="E5534" s="285" t="s">
        <v>4485</v>
      </c>
      <c r="F5534" s="285" t="s">
        <v>4486</v>
      </c>
      <c r="G5534" s="287" t="s">
        <v>4487</v>
      </c>
      <c r="H5534" s="285" t="s">
        <v>4488</v>
      </c>
      <c r="I5534" s="287" t="s">
        <v>4489</v>
      </c>
      <c r="J5534" s="1036"/>
      <c r="K5534" s="712"/>
    </row>
    <row r="5535" spans="1:13" ht="13.5" thickTop="1">
      <c r="A5535" s="88"/>
      <c r="B5535" s="90" t="s">
        <v>146</v>
      </c>
      <c r="C5535" s="167"/>
      <c r="D5535" s="155"/>
      <c r="E5535" s="155"/>
      <c r="F5535" s="155"/>
      <c r="G5535" s="155"/>
      <c r="H5535" s="155"/>
      <c r="I5535" s="155"/>
      <c r="J5535" s="713"/>
      <c r="K5535" s="711"/>
      <c r="M5535" s="62">
        <f t="shared" si="430"/>
        <v>5</v>
      </c>
    </row>
    <row r="5536" spans="1:13">
      <c r="A5536" s="88">
        <f>+A5532+1</f>
        <v>108</v>
      </c>
      <c r="B5536" s="69" t="s">
        <v>3532</v>
      </c>
      <c r="C5536" s="167">
        <v>16</v>
      </c>
      <c r="D5536" s="155">
        <v>0</v>
      </c>
      <c r="E5536" s="155">
        <v>0</v>
      </c>
      <c r="F5536" s="155">
        <v>0</v>
      </c>
      <c r="G5536" s="155">
        <v>0</v>
      </c>
      <c r="H5536" s="155">
        <v>0</v>
      </c>
      <c r="I5536" s="155">
        <v>0</v>
      </c>
      <c r="J5536" s="710">
        <f>(VLOOKUP($C5536,[2]Sheet1!$A$2:$P$18,$M5536+1)/12)*12*D5536</f>
        <v>0</v>
      </c>
      <c r="K5536" s="711"/>
      <c r="M5536" s="62">
        <f t="shared" si="430"/>
        <v>3</v>
      </c>
    </row>
    <row r="5537" spans="1:13">
      <c r="A5537" s="88">
        <f t="shared" ref="A5537:A5549" si="433">+A5536+1</f>
        <v>109</v>
      </c>
      <c r="B5537" s="69" t="s">
        <v>1256</v>
      </c>
      <c r="C5537" s="167">
        <v>15</v>
      </c>
      <c r="D5537" s="155">
        <v>0</v>
      </c>
      <c r="E5537" s="155">
        <v>0</v>
      </c>
      <c r="F5537" s="155">
        <v>0</v>
      </c>
      <c r="G5537" s="155">
        <v>0</v>
      </c>
      <c r="H5537" s="155">
        <v>0</v>
      </c>
      <c r="I5537" s="155">
        <v>0</v>
      </c>
      <c r="J5537" s="710">
        <f>(VLOOKUP($C5537,[2]Sheet1!$A$2:$P$18,$M5537+1)/12)*12*D5537</f>
        <v>0</v>
      </c>
      <c r="K5537" s="711"/>
      <c r="M5537" s="62">
        <f t="shared" si="430"/>
        <v>3</v>
      </c>
    </row>
    <row r="5538" spans="1:13">
      <c r="A5538" s="88">
        <f t="shared" si="433"/>
        <v>110</v>
      </c>
      <c r="B5538" s="69" t="s">
        <v>3533</v>
      </c>
      <c r="C5538" s="167">
        <v>14</v>
      </c>
      <c r="D5538" s="155">
        <v>0</v>
      </c>
      <c r="E5538" s="155">
        <v>0</v>
      </c>
      <c r="F5538" s="155">
        <v>0</v>
      </c>
      <c r="G5538" s="155">
        <v>0</v>
      </c>
      <c r="H5538" s="155">
        <v>0</v>
      </c>
      <c r="I5538" s="155">
        <v>0</v>
      </c>
      <c r="J5538" s="710">
        <f>(VLOOKUP($C5538,[2]Sheet1!$A$2:$P$18,$M5538+1)/12)*12*D5538</f>
        <v>0</v>
      </c>
      <c r="K5538" s="711"/>
      <c r="M5538" s="62">
        <f t="shared" si="430"/>
        <v>3</v>
      </c>
    </row>
    <row r="5539" spans="1:13">
      <c r="A5539" s="88">
        <f t="shared" si="433"/>
        <v>111</v>
      </c>
      <c r="B5539" s="69" t="s">
        <v>944</v>
      </c>
      <c r="C5539" s="167">
        <v>12</v>
      </c>
      <c r="D5539" s="155">
        <v>0</v>
      </c>
      <c r="E5539" s="155">
        <v>0</v>
      </c>
      <c r="F5539" s="155">
        <v>0</v>
      </c>
      <c r="G5539" s="155">
        <v>0</v>
      </c>
      <c r="H5539" s="155">
        <v>0</v>
      </c>
      <c r="I5539" s="155">
        <v>0</v>
      </c>
      <c r="J5539" s="710">
        <f>(VLOOKUP($C5539,[2]Sheet1!$A$2:$P$18,$M5539+1)/12)*12*D5539</f>
        <v>0</v>
      </c>
      <c r="K5539" s="711"/>
      <c r="M5539" s="62">
        <f t="shared" si="430"/>
        <v>3</v>
      </c>
    </row>
    <row r="5540" spans="1:13">
      <c r="A5540" s="88">
        <f t="shared" si="433"/>
        <v>112</v>
      </c>
      <c r="B5540" s="69" t="s">
        <v>2402</v>
      </c>
      <c r="C5540" s="167">
        <v>9</v>
      </c>
      <c r="D5540" s="155">
        <v>1</v>
      </c>
      <c r="E5540" s="155">
        <v>0</v>
      </c>
      <c r="F5540" s="155">
        <v>1</v>
      </c>
      <c r="G5540" s="155">
        <v>1</v>
      </c>
      <c r="H5540" s="155">
        <v>0</v>
      </c>
      <c r="I5540" s="155">
        <v>1</v>
      </c>
      <c r="J5540" s="710">
        <f>(VLOOKUP($C5540,[2]Sheet1!$A$2:$P$18,$M5540+1)/12)*12*D5540</f>
        <v>409681.90619999997</v>
      </c>
      <c r="K5540" s="711"/>
      <c r="M5540" s="62">
        <f t="shared" si="430"/>
        <v>3</v>
      </c>
    </row>
    <row r="5541" spans="1:13">
      <c r="A5541" s="88">
        <f t="shared" si="433"/>
        <v>113</v>
      </c>
      <c r="B5541" s="69" t="s">
        <v>2844</v>
      </c>
      <c r="C5541" s="167">
        <v>9</v>
      </c>
      <c r="D5541" s="155">
        <v>1</v>
      </c>
      <c r="E5541" s="155">
        <v>0</v>
      </c>
      <c r="F5541" s="155">
        <v>1</v>
      </c>
      <c r="G5541" s="155">
        <v>1</v>
      </c>
      <c r="H5541" s="155">
        <v>0</v>
      </c>
      <c r="I5541" s="155">
        <v>1</v>
      </c>
      <c r="J5541" s="710">
        <f>(VLOOKUP($C5541,[2]Sheet1!$A$2:$P$18,$M5541+1)/12)*12*D5541</f>
        <v>409681.90619999997</v>
      </c>
      <c r="K5541" s="711"/>
      <c r="M5541" s="62">
        <f t="shared" si="430"/>
        <v>3</v>
      </c>
    </row>
    <row r="5542" spans="1:13">
      <c r="A5542" s="88">
        <f t="shared" si="433"/>
        <v>114</v>
      </c>
      <c r="B5542" s="69" t="s">
        <v>2845</v>
      </c>
      <c r="C5542" s="167">
        <v>9</v>
      </c>
      <c r="D5542" s="155">
        <v>0</v>
      </c>
      <c r="E5542" s="155">
        <v>0</v>
      </c>
      <c r="F5542" s="155">
        <v>0</v>
      </c>
      <c r="G5542" s="155">
        <v>0</v>
      </c>
      <c r="H5542" s="155">
        <v>0</v>
      </c>
      <c r="I5542" s="155">
        <v>0</v>
      </c>
      <c r="J5542" s="710">
        <f>(VLOOKUP($C5542,[2]Sheet1!$A$2:$P$18,$M5542+1)/12)*12*D5542</f>
        <v>0</v>
      </c>
      <c r="K5542" s="711"/>
      <c r="M5542" s="62">
        <f t="shared" si="430"/>
        <v>3</v>
      </c>
    </row>
    <row r="5543" spans="1:13">
      <c r="A5543" s="88">
        <f t="shared" si="433"/>
        <v>115</v>
      </c>
      <c r="B5543" s="69" t="s">
        <v>154</v>
      </c>
      <c r="C5543" s="167">
        <v>12</v>
      </c>
      <c r="D5543" s="155">
        <v>0</v>
      </c>
      <c r="E5543" s="155">
        <v>0</v>
      </c>
      <c r="F5543" s="155">
        <v>0</v>
      </c>
      <c r="G5543" s="155">
        <v>0</v>
      </c>
      <c r="H5543" s="155">
        <v>0</v>
      </c>
      <c r="I5543" s="155">
        <v>0</v>
      </c>
      <c r="J5543" s="710">
        <f>(VLOOKUP($C5543,[2]Sheet1!$A$2:$P$18,$M5543+1)/12)*12*D5543</f>
        <v>0</v>
      </c>
      <c r="K5543" s="711"/>
      <c r="M5543" s="62">
        <f t="shared" si="430"/>
        <v>3</v>
      </c>
    </row>
    <row r="5544" spans="1:13">
      <c r="A5544" s="88">
        <f t="shared" si="433"/>
        <v>116</v>
      </c>
      <c r="B5544" s="69" t="s">
        <v>337</v>
      </c>
      <c r="C5544" s="167">
        <v>9</v>
      </c>
      <c r="D5544" s="155">
        <v>0</v>
      </c>
      <c r="E5544" s="155">
        <v>0</v>
      </c>
      <c r="F5544" s="155">
        <v>0</v>
      </c>
      <c r="G5544" s="155">
        <v>0</v>
      </c>
      <c r="H5544" s="155">
        <v>0</v>
      </c>
      <c r="I5544" s="155">
        <v>0</v>
      </c>
      <c r="J5544" s="710">
        <f>(VLOOKUP($C5544,[2]Sheet1!$A$2:$P$18,$M5544+1)/12)*12*D5544</f>
        <v>0</v>
      </c>
      <c r="K5544" s="711"/>
      <c r="M5544" s="62">
        <f t="shared" si="430"/>
        <v>3</v>
      </c>
    </row>
    <row r="5545" spans="1:13">
      <c r="A5545" s="88">
        <f t="shared" si="433"/>
        <v>117</v>
      </c>
      <c r="B5545" s="69" t="s">
        <v>618</v>
      </c>
      <c r="C5545" s="167">
        <v>7</v>
      </c>
      <c r="D5545" s="155">
        <v>0</v>
      </c>
      <c r="E5545" s="155">
        <v>0</v>
      </c>
      <c r="F5545" s="155">
        <v>0</v>
      </c>
      <c r="G5545" s="155">
        <v>0</v>
      </c>
      <c r="H5545" s="155">
        <v>0</v>
      </c>
      <c r="I5545" s="155">
        <v>0</v>
      </c>
      <c r="J5545" s="710">
        <f>(VLOOKUP($C5545,[2]Sheet1!$A$2:$P$18,$M5545+1)/12)*12*D5545</f>
        <v>0</v>
      </c>
      <c r="K5545" s="711"/>
      <c r="M5545" s="62">
        <f t="shared" si="430"/>
        <v>3</v>
      </c>
    </row>
    <row r="5546" spans="1:13">
      <c r="A5546" s="88">
        <f t="shared" si="433"/>
        <v>118</v>
      </c>
      <c r="B5546" s="69" t="s">
        <v>2178</v>
      </c>
      <c r="C5546" s="167">
        <v>4</v>
      </c>
      <c r="D5546" s="155">
        <v>0</v>
      </c>
      <c r="E5546" s="155">
        <v>1</v>
      </c>
      <c r="F5546" s="155">
        <v>0</v>
      </c>
      <c r="G5546" s="155">
        <v>0</v>
      </c>
      <c r="H5546" s="155">
        <v>1</v>
      </c>
      <c r="I5546" s="155">
        <v>0</v>
      </c>
      <c r="J5546" s="710">
        <f>(VLOOKUP($C5546,[2]Sheet1!$A$2:$P$18,$M5546+1)/12)*12*D5546</f>
        <v>0</v>
      </c>
      <c r="K5546" s="711"/>
      <c r="M5546" s="62">
        <f t="shared" si="430"/>
        <v>5</v>
      </c>
    </row>
    <row r="5547" spans="1:13">
      <c r="A5547" s="88">
        <f t="shared" si="433"/>
        <v>119</v>
      </c>
      <c r="B5547" s="69" t="s">
        <v>761</v>
      </c>
      <c r="C5547" s="167">
        <v>3</v>
      </c>
      <c r="D5547" s="155">
        <v>0</v>
      </c>
      <c r="E5547" s="155">
        <v>1</v>
      </c>
      <c r="F5547" s="155">
        <v>0</v>
      </c>
      <c r="G5547" s="155">
        <v>0</v>
      </c>
      <c r="H5547" s="155">
        <v>1</v>
      </c>
      <c r="I5547" s="155">
        <v>0</v>
      </c>
      <c r="J5547" s="710">
        <f>(VLOOKUP($C5547,[2]Sheet1!$A$2:$P$18,$M5547+1)/12)*12*D5547</f>
        <v>0</v>
      </c>
      <c r="K5547" s="711"/>
      <c r="M5547" s="62">
        <f t="shared" si="430"/>
        <v>5</v>
      </c>
    </row>
    <row r="5548" spans="1:13">
      <c r="A5548" s="88">
        <f t="shared" si="433"/>
        <v>120</v>
      </c>
      <c r="B5548" s="69" t="s">
        <v>2550</v>
      </c>
      <c r="C5548" s="167">
        <v>3</v>
      </c>
      <c r="D5548" s="155">
        <v>0</v>
      </c>
      <c r="E5548" s="155">
        <v>1</v>
      </c>
      <c r="F5548" s="155">
        <v>0</v>
      </c>
      <c r="G5548" s="155">
        <v>0</v>
      </c>
      <c r="H5548" s="155">
        <v>1</v>
      </c>
      <c r="I5548" s="155">
        <v>0</v>
      </c>
      <c r="J5548" s="710">
        <f>(VLOOKUP($C5548,[2]Sheet1!$A$2:$P$18,$M5548+1)/12)*12*D5548</f>
        <v>0</v>
      </c>
      <c r="K5548" s="711"/>
      <c r="M5548" s="62">
        <f t="shared" si="430"/>
        <v>5</v>
      </c>
    </row>
    <row r="5549" spans="1:13">
      <c r="A5549" s="88">
        <f t="shared" si="433"/>
        <v>121</v>
      </c>
      <c r="B5549" s="69" t="s">
        <v>707</v>
      </c>
      <c r="C5549" s="167">
        <v>3</v>
      </c>
      <c r="D5549" s="155">
        <v>0</v>
      </c>
      <c r="E5549" s="155">
        <v>1</v>
      </c>
      <c r="F5549" s="155">
        <v>0</v>
      </c>
      <c r="G5549" s="155">
        <v>0</v>
      </c>
      <c r="H5549" s="155">
        <v>1</v>
      </c>
      <c r="I5549" s="155">
        <v>0</v>
      </c>
      <c r="J5549" s="710">
        <f>(VLOOKUP($C5549,[2]Sheet1!$A$2:$P$18,$M5549+1)/12)*12*D5549</f>
        <v>0</v>
      </c>
      <c r="K5549" s="711"/>
      <c r="M5549" s="62">
        <f t="shared" si="430"/>
        <v>5</v>
      </c>
    </row>
    <row r="5550" spans="1:13">
      <c r="A5550" s="88"/>
      <c r="B5550" s="90" t="s">
        <v>4146</v>
      </c>
      <c r="C5550" s="167"/>
      <c r="D5550" s="155"/>
      <c r="E5550" s="155"/>
      <c r="F5550" s="155"/>
      <c r="G5550" s="155"/>
      <c r="H5550" s="155"/>
      <c r="I5550" s="155"/>
      <c r="J5550" s="710"/>
      <c r="K5550" s="711"/>
    </row>
    <row r="5551" spans="1:13">
      <c r="A5551" s="88">
        <f>+A5549+1</f>
        <v>122</v>
      </c>
      <c r="B5551" s="69" t="s">
        <v>5374</v>
      </c>
      <c r="C5551" s="167">
        <v>16</v>
      </c>
      <c r="D5551" s="155">
        <v>0</v>
      </c>
      <c r="E5551" s="155">
        <v>1</v>
      </c>
      <c r="F5551" s="155">
        <v>0</v>
      </c>
      <c r="G5551" s="155">
        <v>0</v>
      </c>
      <c r="H5551" s="155">
        <v>1</v>
      </c>
      <c r="I5551" s="155">
        <v>0</v>
      </c>
      <c r="J5551" s="710">
        <f>(VLOOKUP($C5551,[2]Sheet1!$A$2:$P$18,$M5551+1)/12)*12*D5551</f>
        <v>0</v>
      </c>
      <c r="K5551" s="711"/>
      <c r="M5551" s="62">
        <f t="shared" si="430"/>
        <v>3</v>
      </c>
    </row>
    <row r="5552" spans="1:13">
      <c r="A5552" s="88">
        <f t="shared" ref="A5552:A5577" si="434">+A5551+1</f>
        <v>123</v>
      </c>
      <c r="B5552" s="69" t="s">
        <v>1099</v>
      </c>
      <c r="C5552" s="167">
        <v>15</v>
      </c>
      <c r="D5552" s="155">
        <v>0</v>
      </c>
      <c r="E5552" s="155">
        <v>1</v>
      </c>
      <c r="F5552" s="155">
        <v>0</v>
      </c>
      <c r="G5552" s="155">
        <v>0</v>
      </c>
      <c r="H5552" s="155">
        <v>1</v>
      </c>
      <c r="I5552" s="155">
        <v>0</v>
      </c>
      <c r="J5552" s="710">
        <f>(VLOOKUP($C5552,[2]Sheet1!$A$2:$P$18,$M5552+1)/12)*12*D5552</f>
        <v>0</v>
      </c>
      <c r="K5552" s="711"/>
      <c r="M5552" s="62">
        <f t="shared" si="430"/>
        <v>3</v>
      </c>
    </row>
    <row r="5553" spans="1:13">
      <c r="A5553" s="88">
        <f t="shared" si="434"/>
        <v>124</v>
      </c>
      <c r="B5553" s="69" t="s">
        <v>3533</v>
      </c>
      <c r="C5553" s="167">
        <v>14</v>
      </c>
      <c r="D5553" s="155">
        <v>1</v>
      </c>
      <c r="E5553" s="155">
        <v>1</v>
      </c>
      <c r="F5553" s="155">
        <v>1</v>
      </c>
      <c r="G5553" s="155">
        <v>1</v>
      </c>
      <c r="H5553" s="155">
        <v>1</v>
      </c>
      <c r="I5553" s="155">
        <v>1</v>
      </c>
      <c r="J5553" s="710">
        <f>(VLOOKUP($C5553,[2]Sheet1!$A$2:$P$18,$M5553+1)/12)*12*D5553</f>
        <v>669099.40824000002</v>
      </c>
      <c r="K5553" s="711"/>
      <c r="M5553" s="62">
        <f t="shared" si="430"/>
        <v>3</v>
      </c>
    </row>
    <row r="5554" spans="1:13">
      <c r="A5554" s="88">
        <f t="shared" si="434"/>
        <v>125</v>
      </c>
      <c r="B5554" s="69" t="s">
        <v>2194</v>
      </c>
      <c r="C5554" s="167">
        <v>16</v>
      </c>
      <c r="D5554" s="155">
        <v>15</v>
      </c>
      <c r="E5554" s="155">
        <v>13</v>
      </c>
      <c r="F5554" s="155">
        <v>15</v>
      </c>
      <c r="G5554" s="155">
        <v>15</v>
      </c>
      <c r="H5554" s="155">
        <v>14</v>
      </c>
      <c r="I5554" s="155">
        <v>15</v>
      </c>
      <c r="J5554" s="710">
        <f>(VLOOKUP($C5554,[2]Sheet1!$A$2:$P$18,$M5554+1)/12)*12*D5554</f>
        <v>10159218.912599999</v>
      </c>
      <c r="K5554" s="711"/>
      <c r="M5554" s="62">
        <f t="shared" si="430"/>
        <v>3</v>
      </c>
    </row>
    <row r="5555" spans="1:13">
      <c r="A5555" s="88">
        <f t="shared" si="434"/>
        <v>126</v>
      </c>
      <c r="B5555" s="69" t="s">
        <v>2195</v>
      </c>
      <c r="C5555" s="167">
        <v>15</v>
      </c>
      <c r="D5555" s="155">
        <v>50</v>
      </c>
      <c r="E5555" s="155">
        <v>9</v>
      </c>
      <c r="F5555" s="155">
        <v>50</v>
      </c>
      <c r="G5555" s="155">
        <v>50</v>
      </c>
      <c r="H5555" s="155">
        <v>15</v>
      </c>
      <c r="I5555" s="155">
        <v>50</v>
      </c>
      <c r="J5555" s="710">
        <f>(VLOOKUP($C5555,[2]Sheet1!$A$2:$P$18,$M5555+1)/12)*12*D5555</f>
        <v>32916594.995999999</v>
      </c>
      <c r="K5555" s="711"/>
      <c r="M5555" s="62">
        <f t="shared" si="430"/>
        <v>3</v>
      </c>
    </row>
    <row r="5556" spans="1:13">
      <c r="A5556" s="88">
        <f t="shared" si="434"/>
        <v>127</v>
      </c>
      <c r="B5556" s="69" t="s">
        <v>2196</v>
      </c>
      <c r="C5556" s="167">
        <v>14</v>
      </c>
      <c r="D5556" s="155">
        <v>25</v>
      </c>
      <c r="E5556" s="155">
        <v>12</v>
      </c>
      <c r="F5556" s="155">
        <v>25</v>
      </c>
      <c r="G5556" s="155">
        <v>25</v>
      </c>
      <c r="H5556" s="155">
        <v>12</v>
      </c>
      <c r="I5556" s="155">
        <v>25</v>
      </c>
      <c r="J5556" s="710">
        <f>(VLOOKUP($C5556,[2]Sheet1!$A$2:$P$18,$M5556+1)/12)*12*D5556</f>
        <v>16727485.206</v>
      </c>
      <c r="K5556" s="711"/>
      <c r="M5556" s="62">
        <f t="shared" si="430"/>
        <v>3</v>
      </c>
    </row>
    <row r="5557" spans="1:13">
      <c r="A5557" s="88">
        <f t="shared" si="434"/>
        <v>128</v>
      </c>
      <c r="B5557" s="69" t="s">
        <v>2197</v>
      </c>
      <c r="C5557" s="167">
        <v>13</v>
      </c>
      <c r="D5557" s="155">
        <v>54</v>
      </c>
      <c r="E5557" s="155">
        <v>18</v>
      </c>
      <c r="F5557" s="155">
        <v>54</v>
      </c>
      <c r="G5557" s="155">
        <v>54</v>
      </c>
      <c r="H5557" s="155">
        <v>13</v>
      </c>
      <c r="I5557" s="155">
        <v>54</v>
      </c>
      <c r="J5557" s="710">
        <f>(VLOOKUP($C5557,[2]Sheet1!$A$2:$P$18,$M5557+1)/12)*12*D5557</f>
        <v>33953015.054159999</v>
      </c>
      <c r="K5557" s="711"/>
      <c r="M5557" s="62">
        <f t="shared" si="430"/>
        <v>3</v>
      </c>
    </row>
    <row r="5558" spans="1:13">
      <c r="A5558" s="88">
        <f t="shared" si="434"/>
        <v>129</v>
      </c>
      <c r="B5558" s="69" t="s">
        <v>2198</v>
      </c>
      <c r="C5558" s="167">
        <v>12</v>
      </c>
      <c r="D5558" s="155">
        <v>26</v>
      </c>
      <c r="E5558" s="155">
        <v>26</v>
      </c>
      <c r="F5558" s="155">
        <v>26</v>
      </c>
      <c r="G5558" s="155">
        <v>26</v>
      </c>
      <c r="H5558" s="155">
        <v>26</v>
      </c>
      <c r="I5558" s="155">
        <v>26</v>
      </c>
      <c r="J5558" s="710">
        <f>(VLOOKUP($C5558,[2]Sheet1!$A$2:$P$18,$M5558+1)/12)*12*D5558</f>
        <v>14369811.396720005</v>
      </c>
      <c r="K5558" s="711"/>
      <c r="M5558" s="62">
        <f t="shared" si="430"/>
        <v>3</v>
      </c>
    </row>
    <row r="5559" spans="1:13">
      <c r="A5559" s="88">
        <f t="shared" si="434"/>
        <v>130</v>
      </c>
      <c r="B5559" s="69" t="s">
        <v>2398</v>
      </c>
      <c r="C5559" s="167">
        <v>14</v>
      </c>
      <c r="D5559" s="155">
        <v>4</v>
      </c>
      <c r="E5559" s="155">
        <v>0</v>
      </c>
      <c r="F5559" s="155">
        <v>4</v>
      </c>
      <c r="G5559" s="155">
        <v>4</v>
      </c>
      <c r="H5559" s="155">
        <v>0</v>
      </c>
      <c r="I5559" s="155">
        <v>4</v>
      </c>
      <c r="J5559" s="710">
        <f>(VLOOKUP($C5559,[2]Sheet1!$A$2:$P$18,$M5559+1)/12)*12*D5559</f>
        <v>2676397.6329600001</v>
      </c>
      <c r="K5559" s="711"/>
      <c r="M5559" s="62">
        <f t="shared" si="430"/>
        <v>3</v>
      </c>
    </row>
    <row r="5560" spans="1:13">
      <c r="A5560" s="88">
        <f t="shared" si="434"/>
        <v>131</v>
      </c>
      <c r="B5560" s="69" t="s">
        <v>2399</v>
      </c>
      <c r="C5560" s="167">
        <v>13</v>
      </c>
      <c r="D5560" s="155">
        <v>1</v>
      </c>
      <c r="E5560" s="155">
        <v>1</v>
      </c>
      <c r="F5560" s="155">
        <v>1</v>
      </c>
      <c r="G5560" s="155">
        <v>1</v>
      </c>
      <c r="H5560" s="155">
        <v>1</v>
      </c>
      <c r="I5560" s="155">
        <v>1</v>
      </c>
      <c r="J5560" s="710">
        <f>(VLOOKUP($C5560,[2]Sheet1!$A$2:$P$18,$M5560+1)/12)*12*D5560</f>
        <v>628759.53804000001</v>
      </c>
      <c r="K5560" s="711"/>
      <c r="M5560" s="62">
        <f t="shared" si="430"/>
        <v>3</v>
      </c>
    </row>
    <row r="5561" spans="1:13">
      <c r="A5561" s="88">
        <f>+A5560+1</f>
        <v>132</v>
      </c>
      <c r="B5561" s="69" t="s">
        <v>2247</v>
      </c>
      <c r="C5561" s="167">
        <v>12</v>
      </c>
      <c r="D5561" s="155">
        <v>2</v>
      </c>
      <c r="E5561" s="155">
        <v>0</v>
      </c>
      <c r="F5561" s="155">
        <v>2</v>
      </c>
      <c r="G5561" s="155">
        <v>2</v>
      </c>
      <c r="H5561" s="155">
        <v>0</v>
      </c>
      <c r="I5561" s="155">
        <v>2</v>
      </c>
      <c r="J5561" s="710">
        <f>(VLOOKUP($C5561,[2]Sheet1!$A$2:$P$18,$M5561+1)/12)*12*D5561</f>
        <v>1105370.1074400004</v>
      </c>
      <c r="K5561" s="711"/>
      <c r="M5561" s="62">
        <f t="shared" si="430"/>
        <v>3</v>
      </c>
    </row>
    <row r="5562" spans="1:13">
      <c r="A5562" s="88">
        <f t="shared" si="434"/>
        <v>133</v>
      </c>
      <c r="B5562" s="69" t="s">
        <v>2248</v>
      </c>
      <c r="C5562" s="167">
        <v>10</v>
      </c>
      <c r="D5562" s="155">
        <v>3</v>
      </c>
      <c r="E5562" s="155">
        <v>0</v>
      </c>
      <c r="F5562" s="155">
        <v>3</v>
      </c>
      <c r="G5562" s="155">
        <v>3</v>
      </c>
      <c r="H5562" s="155">
        <v>0</v>
      </c>
      <c r="I5562" s="155">
        <v>3</v>
      </c>
      <c r="J5562" s="710">
        <f>(VLOOKUP($C5562,[2]Sheet1!$A$2:$P$18,$M5562+1)/12)*12*D5562</f>
        <v>1451923.7061600003</v>
      </c>
      <c r="K5562" s="711"/>
      <c r="M5562" s="62">
        <f t="shared" si="430"/>
        <v>3</v>
      </c>
    </row>
    <row r="5563" spans="1:13">
      <c r="A5563" s="88">
        <f t="shared" si="434"/>
        <v>134</v>
      </c>
      <c r="B5563" s="69" t="s">
        <v>2226</v>
      </c>
      <c r="C5563" s="167">
        <v>12</v>
      </c>
      <c r="D5563" s="155">
        <v>6</v>
      </c>
      <c r="E5563" s="155">
        <v>2</v>
      </c>
      <c r="F5563" s="155">
        <v>6</v>
      </c>
      <c r="G5563" s="155">
        <v>6</v>
      </c>
      <c r="H5563" s="155">
        <v>2</v>
      </c>
      <c r="I5563" s="155">
        <v>6</v>
      </c>
      <c r="J5563" s="710">
        <f>(VLOOKUP($C5563,[2]Sheet1!$A$2:$P$18,$M5563+1)/12)*12*D5563</f>
        <v>3316110.3223200012</v>
      </c>
      <c r="K5563" s="711"/>
      <c r="M5563" s="62">
        <f t="shared" si="430"/>
        <v>3</v>
      </c>
    </row>
    <row r="5564" spans="1:13">
      <c r="A5564" s="88">
        <f t="shared" si="434"/>
        <v>135</v>
      </c>
      <c r="B5564" s="69" t="s">
        <v>2223</v>
      </c>
      <c r="C5564" s="167">
        <v>4</v>
      </c>
      <c r="D5564" s="155">
        <v>60</v>
      </c>
      <c r="E5564" s="155">
        <v>155</v>
      </c>
      <c r="F5564" s="155">
        <v>60</v>
      </c>
      <c r="G5564" s="155">
        <v>60</v>
      </c>
      <c r="H5564" s="155">
        <v>155</v>
      </c>
      <c r="I5564" s="155">
        <v>60</v>
      </c>
      <c r="J5564" s="710">
        <f>(VLOOKUP($C5564,[2]Sheet1!$A$2:$P$18,$M5564+1)/12)*12*D5564</f>
        <v>13472578.735821901</v>
      </c>
      <c r="K5564" s="711"/>
      <c r="M5564" s="62">
        <f t="shared" si="430"/>
        <v>5</v>
      </c>
    </row>
    <row r="5565" spans="1:13">
      <c r="A5565" s="88">
        <f t="shared" si="434"/>
        <v>136</v>
      </c>
      <c r="B5565" s="69" t="s">
        <v>2456</v>
      </c>
      <c r="C5565" s="167">
        <v>3</v>
      </c>
      <c r="D5565" s="155">
        <v>200</v>
      </c>
      <c r="E5565" s="155">
        <v>150</v>
      </c>
      <c r="F5565" s="155">
        <v>200</v>
      </c>
      <c r="G5565" s="155">
        <v>200</v>
      </c>
      <c r="H5565" s="155">
        <v>150</v>
      </c>
      <c r="I5565" s="155">
        <v>200</v>
      </c>
      <c r="J5565" s="710">
        <f>(VLOOKUP($C5565,[2]Sheet1!$A$2:$P$18,$M5565+1)/12)*12*D5565</f>
        <v>43867235.786072999</v>
      </c>
      <c r="K5565" s="711"/>
      <c r="M5565" s="62">
        <f t="shared" si="430"/>
        <v>5</v>
      </c>
    </row>
    <row r="5566" spans="1:13">
      <c r="A5566" s="88"/>
      <c r="B5566" s="90" t="s">
        <v>2065</v>
      </c>
      <c r="C5566" s="167"/>
      <c r="D5566" s="155"/>
      <c r="E5566" s="155"/>
      <c r="F5566" s="155"/>
      <c r="G5566" s="155"/>
      <c r="H5566" s="155"/>
      <c r="I5566" s="155"/>
      <c r="J5566" s="710"/>
      <c r="K5566" s="711"/>
      <c r="M5566" s="62">
        <f t="shared" si="430"/>
        <v>5</v>
      </c>
    </row>
    <row r="5567" spans="1:13">
      <c r="A5567" s="88">
        <f>+A5565+1</f>
        <v>137</v>
      </c>
      <c r="B5567" s="69" t="s">
        <v>3910</v>
      </c>
      <c r="C5567" s="167">
        <v>10</v>
      </c>
      <c r="D5567" s="155">
        <v>0</v>
      </c>
      <c r="E5567" s="155">
        <v>0</v>
      </c>
      <c r="F5567" s="155">
        <v>0</v>
      </c>
      <c r="G5567" s="155">
        <v>0</v>
      </c>
      <c r="H5567" s="155">
        <v>0</v>
      </c>
      <c r="I5567" s="155">
        <v>0</v>
      </c>
      <c r="J5567" s="710">
        <f>(VLOOKUP($C5567,[2]Sheet1!$A$2:$P$18,$M5567+1)/12)*12*D5567</f>
        <v>0</v>
      </c>
      <c r="K5567" s="711"/>
      <c r="M5567" s="62">
        <f t="shared" si="430"/>
        <v>3</v>
      </c>
    </row>
    <row r="5568" spans="1:13">
      <c r="A5568" s="88">
        <f t="shared" si="434"/>
        <v>138</v>
      </c>
      <c r="B5568" s="69" t="s">
        <v>3911</v>
      </c>
      <c r="C5568" s="167">
        <v>10</v>
      </c>
      <c r="D5568" s="155">
        <v>0</v>
      </c>
      <c r="E5568" s="155">
        <v>0</v>
      </c>
      <c r="F5568" s="155">
        <v>0</v>
      </c>
      <c r="G5568" s="155">
        <v>0</v>
      </c>
      <c r="H5568" s="155">
        <v>0</v>
      </c>
      <c r="I5568" s="155">
        <v>0</v>
      </c>
      <c r="J5568" s="710">
        <f>(VLOOKUP($C5568,[2]Sheet1!$A$2:$P$18,$M5568+1)/12)*12*D5568</f>
        <v>0</v>
      </c>
      <c r="K5568" s="711"/>
      <c r="M5568" s="62">
        <f t="shared" si="430"/>
        <v>3</v>
      </c>
    </row>
    <row r="5569" spans="1:13">
      <c r="A5569" s="88">
        <f t="shared" si="434"/>
        <v>139</v>
      </c>
      <c r="B5569" s="69" t="s">
        <v>3758</v>
      </c>
      <c r="C5569" s="167">
        <v>9</v>
      </c>
      <c r="D5569" s="155">
        <v>0</v>
      </c>
      <c r="E5569" s="155">
        <v>0</v>
      </c>
      <c r="F5569" s="155">
        <v>0</v>
      </c>
      <c r="G5569" s="155">
        <v>0</v>
      </c>
      <c r="H5569" s="155">
        <v>0</v>
      </c>
      <c r="I5569" s="155">
        <v>0</v>
      </c>
      <c r="J5569" s="710">
        <f>(VLOOKUP($C5569,[2]Sheet1!$A$2:$P$18,$M5569+1)/12)*12*D5569</f>
        <v>0</v>
      </c>
      <c r="K5569" s="711"/>
      <c r="M5569" s="62">
        <f t="shared" si="430"/>
        <v>3</v>
      </c>
    </row>
    <row r="5570" spans="1:13">
      <c r="A5570" s="88">
        <f t="shared" si="434"/>
        <v>140</v>
      </c>
      <c r="B5570" s="69" t="s">
        <v>137</v>
      </c>
      <c r="C5570" s="167">
        <v>9</v>
      </c>
      <c r="D5570" s="155">
        <v>0</v>
      </c>
      <c r="E5570" s="155">
        <v>0</v>
      </c>
      <c r="F5570" s="155">
        <v>0</v>
      </c>
      <c r="G5570" s="155">
        <v>0</v>
      </c>
      <c r="H5570" s="155">
        <v>0</v>
      </c>
      <c r="I5570" s="155">
        <v>0</v>
      </c>
      <c r="J5570" s="710">
        <f>(VLOOKUP($C5570,[2]Sheet1!$A$2:$P$18,$M5570+1)/12)*12*D5570</f>
        <v>0</v>
      </c>
      <c r="K5570" s="711"/>
      <c r="M5570" s="62">
        <f t="shared" si="430"/>
        <v>3</v>
      </c>
    </row>
    <row r="5571" spans="1:13">
      <c r="A5571" s="88">
        <f t="shared" si="434"/>
        <v>141</v>
      </c>
      <c r="B5571" s="69" t="s">
        <v>3581</v>
      </c>
      <c r="C5571" s="167">
        <v>9</v>
      </c>
      <c r="D5571" s="155">
        <v>0</v>
      </c>
      <c r="E5571" s="155">
        <v>0</v>
      </c>
      <c r="F5571" s="155">
        <v>0</v>
      </c>
      <c r="G5571" s="155">
        <v>0</v>
      </c>
      <c r="H5571" s="155">
        <v>0</v>
      </c>
      <c r="I5571" s="155">
        <v>0</v>
      </c>
      <c r="J5571" s="710">
        <f>(VLOOKUP($C5571,[2]Sheet1!$A$2:$P$18,$M5571+1)/12)*12*D5571</f>
        <v>0</v>
      </c>
      <c r="K5571" s="711"/>
      <c r="M5571" s="62">
        <f t="shared" si="430"/>
        <v>3</v>
      </c>
    </row>
    <row r="5572" spans="1:13">
      <c r="A5572" s="88">
        <f t="shared" si="434"/>
        <v>142</v>
      </c>
      <c r="B5572" s="69" t="s">
        <v>3423</v>
      </c>
      <c r="C5572" s="167">
        <v>4</v>
      </c>
      <c r="D5572" s="155">
        <v>0</v>
      </c>
      <c r="E5572" s="155">
        <v>0</v>
      </c>
      <c r="F5572" s="155">
        <v>0</v>
      </c>
      <c r="G5572" s="155">
        <v>0</v>
      </c>
      <c r="H5572" s="155">
        <v>0</v>
      </c>
      <c r="I5572" s="155">
        <v>0</v>
      </c>
      <c r="J5572" s="710">
        <f>(VLOOKUP($C5572,[2]Sheet1!$A$2:$P$18,$M5572+1)/12)*12*D5572</f>
        <v>0</v>
      </c>
      <c r="K5572" s="711"/>
      <c r="M5572" s="62">
        <f t="shared" si="430"/>
        <v>5</v>
      </c>
    </row>
    <row r="5573" spans="1:13">
      <c r="A5573" s="88">
        <f t="shared" si="434"/>
        <v>143</v>
      </c>
      <c r="B5573" s="69" t="s">
        <v>3860</v>
      </c>
      <c r="C5573" s="167">
        <v>5</v>
      </c>
      <c r="D5573" s="155">
        <v>0</v>
      </c>
      <c r="E5573" s="155">
        <v>0</v>
      </c>
      <c r="F5573" s="155">
        <v>0</v>
      </c>
      <c r="G5573" s="155">
        <v>0</v>
      </c>
      <c r="H5573" s="155">
        <v>0</v>
      </c>
      <c r="I5573" s="155">
        <v>0</v>
      </c>
      <c r="J5573" s="710">
        <f>(VLOOKUP($C5573,[2]Sheet1!$A$2:$P$18,$M5573+1)/12)*12*D5573</f>
        <v>0</v>
      </c>
      <c r="K5573" s="711"/>
      <c r="M5573" s="62">
        <f t="shared" si="430"/>
        <v>5</v>
      </c>
    </row>
    <row r="5574" spans="1:13">
      <c r="A5574" s="88">
        <f t="shared" si="434"/>
        <v>144</v>
      </c>
      <c r="B5574" s="69" t="s">
        <v>3582</v>
      </c>
      <c r="C5574" s="167">
        <v>7</v>
      </c>
      <c r="D5574" s="155">
        <v>0</v>
      </c>
      <c r="E5574" s="155">
        <v>0</v>
      </c>
      <c r="F5574" s="155">
        <v>0</v>
      </c>
      <c r="G5574" s="155">
        <v>0</v>
      </c>
      <c r="H5574" s="155">
        <v>0</v>
      </c>
      <c r="I5574" s="155">
        <v>0</v>
      </c>
      <c r="J5574" s="710">
        <f>(VLOOKUP($C5574,[2]Sheet1!$A$2:$P$18,$M5574+1)/12)*12*D5574</f>
        <v>0</v>
      </c>
      <c r="K5574" s="711"/>
      <c r="M5574" s="62">
        <f t="shared" si="430"/>
        <v>3</v>
      </c>
    </row>
    <row r="5575" spans="1:13">
      <c r="A5575" s="88">
        <f t="shared" si="434"/>
        <v>145</v>
      </c>
      <c r="B5575" s="69" t="s">
        <v>2008</v>
      </c>
      <c r="C5575" s="167">
        <v>6</v>
      </c>
      <c r="D5575" s="155">
        <v>0</v>
      </c>
      <c r="E5575" s="155">
        <v>0</v>
      </c>
      <c r="F5575" s="155">
        <v>0</v>
      </c>
      <c r="G5575" s="155">
        <v>0</v>
      </c>
      <c r="H5575" s="155">
        <v>0</v>
      </c>
      <c r="I5575" s="155">
        <v>0</v>
      </c>
      <c r="J5575" s="710">
        <f>(VLOOKUP($C5575,[2]Sheet1!$A$2:$P$18,$M5575+1)/12)*12*D5575</f>
        <v>0</v>
      </c>
      <c r="K5575" s="711"/>
      <c r="M5575" s="62">
        <f t="shared" si="430"/>
        <v>5</v>
      </c>
    </row>
    <row r="5576" spans="1:13">
      <c r="A5576" s="88">
        <f t="shared" si="434"/>
        <v>146</v>
      </c>
      <c r="B5576" s="69" t="s">
        <v>3759</v>
      </c>
      <c r="C5576" s="167">
        <v>5</v>
      </c>
      <c r="D5576" s="155">
        <v>0</v>
      </c>
      <c r="E5576" s="155">
        <v>0</v>
      </c>
      <c r="F5576" s="155">
        <v>0</v>
      </c>
      <c r="G5576" s="155">
        <v>0</v>
      </c>
      <c r="H5576" s="155">
        <v>0</v>
      </c>
      <c r="I5576" s="155">
        <v>0</v>
      </c>
      <c r="J5576" s="710">
        <f>(VLOOKUP($C5576,[2]Sheet1!$A$2:$P$18,$M5576+1)/12)*12*D5576</f>
        <v>0</v>
      </c>
      <c r="K5576" s="711"/>
      <c r="M5576" s="62">
        <f t="shared" ref="M5576:M5638" si="435">IF(C5576&gt;6,3,5)</f>
        <v>5</v>
      </c>
    </row>
    <row r="5577" spans="1:13">
      <c r="A5577" s="88">
        <f t="shared" si="434"/>
        <v>147</v>
      </c>
      <c r="B5577" s="69" t="s">
        <v>3859</v>
      </c>
      <c r="C5577" s="167">
        <v>3</v>
      </c>
      <c r="D5577" s="155">
        <v>0</v>
      </c>
      <c r="E5577" s="155">
        <v>0</v>
      </c>
      <c r="F5577" s="155">
        <v>0</v>
      </c>
      <c r="G5577" s="155">
        <v>0</v>
      </c>
      <c r="H5577" s="155">
        <v>0</v>
      </c>
      <c r="I5577" s="155">
        <v>0</v>
      </c>
      <c r="J5577" s="710">
        <f>(VLOOKUP($C5577,[2]Sheet1!$A$2:$P$18,$M5577+1)/12)*12*D5577</f>
        <v>0</v>
      </c>
      <c r="K5577" s="711"/>
      <c r="M5577" s="62">
        <f t="shared" si="435"/>
        <v>5</v>
      </c>
    </row>
    <row r="5578" spans="1:13">
      <c r="A5578" s="92"/>
      <c r="B5578" s="93" t="s">
        <v>2531</v>
      </c>
      <c r="C5578" s="168"/>
      <c r="D5578" s="169">
        <f t="shared" ref="D5578:J5578" si="436">SUM(D5413:D5577)</f>
        <v>1382</v>
      </c>
      <c r="E5578" s="169">
        <f t="shared" si="436"/>
        <v>1248</v>
      </c>
      <c r="F5578" s="169">
        <f t="shared" si="436"/>
        <v>1346</v>
      </c>
      <c r="G5578" s="169">
        <f>SUM(G5413:G5577)</f>
        <v>1346</v>
      </c>
      <c r="H5578" s="169">
        <f t="shared" si="436"/>
        <v>1354</v>
      </c>
      <c r="I5578" s="169">
        <f t="shared" si="436"/>
        <v>1382</v>
      </c>
      <c r="J5578" s="169">
        <f t="shared" si="436"/>
        <v>417601697.60485446</v>
      </c>
      <c r="K5578" s="385"/>
      <c r="L5578" s="193"/>
      <c r="M5578" s="62">
        <f t="shared" si="435"/>
        <v>5</v>
      </c>
    </row>
    <row r="5579" spans="1:13">
      <c r="A5579" s="170"/>
      <c r="B5579" s="97" t="s">
        <v>1199</v>
      </c>
      <c r="C5579" s="167"/>
      <c r="D5579" s="155"/>
      <c r="E5579" s="155"/>
      <c r="F5579" s="99"/>
      <c r="G5579" s="240" t="s">
        <v>243</v>
      </c>
      <c r="H5579" s="240" t="s">
        <v>4130</v>
      </c>
      <c r="I5579" s="240" t="s">
        <v>4202</v>
      </c>
      <c r="J5579" s="241" t="s">
        <v>4200</v>
      </c>
      <c r="K5579" s="375"/>
      <c r="M5579" s="62">
        <f t="shared" si="435"/>
        <v>5</v>
      </c>
    </row>
    <row r="5580" spans="1:13">
      <c r="A5580" s="88">
        <v>1</v>
      </c>
      <c r="B5580" s="69" t="s">
        <v>4258</v>
      </c>
      <c r="C5580" s="167"/>
      <c r="D5580" s="155"/>
      <c r="E5580" s="155"/>
      <c r="F5580" s="89"/>
      <c r="G5580" s="100">
        <f>J5578*0.35</f>
        <v>146160594.16169906</v>
      </c>
      <c r="H5580" s="100">
        <f t="shared" ref="H5580:H5586" si="437">G5580*1.02</f>
        <v>149083806.04493305</v>
      </c>
      <c r="I5580" s="100">
        <f t="shared" ref="I5580:I5586" si="438">H5580*1.02</f>
        <v>152065482.16583171</v>
      </c>
      <c r="J5580" s="100">
        <f t="shared" ref="J5580:J5586" si="439">SUM(G5580:I5580)</f>
        <v>447309882.37246382</v>
      </c>
      <c r="K5580" s="114"/>
      <c r="M5580" s="62">
        <f t="shared" si="435"/>
        <v>5</v>
      </c>
    </row>
    <row r="5581" spans="1:13">
      <c r="A5581" s="88">
        <v>2</v>
      </c>
      <c r="B5581" s="69" t="s">
        <v>763</v>
      </c>
      <c r="C5581" s="167"/>
      <c r="D5581" s="155"/>
      <c r="E5581" s="155"/>
      <c r="F5581" s="89"/>
      <c r="G5581" s="100">
        <f>J5578*0.5</f>
        <v>208800848.80242723</v>
      </c>
      <c r="H5581" s="100">
        <f t="shared" si="437"/>
        <v>212976865.77847579</v>
      </c>
      <c r="I5581" s="100">
        <f t="shared" si="438"/>
        <v>217236403.09404531</v>
      </c>
      <c r="J5581" s="100">
        <f t="shared" si="439"/>
        <v>639014117.67494833</v>
      </c>
      <c r="K5581" s="114"/>
      <c r="M5581" s="62">
        <f t="shared" si="435"/>
        <v>5</v>
      </c>
    </row>
    <row r="5582" spans="1:13">
      <c r="A5582" s="88"/>
      <c r="B5582" s="69" t="s">
        <v>4259</v>
      </c>
      <c r="C5582" s="167"/>
      <c r="D5582" s="155"/>
      <c r="E5582" s="155"/>
      <c r="F5582" s="89"/>
      <c r="G5582" s="100">
        <f>J5578*0.1</f>
        <v>41760169.760485448</v>
      </c>
      <c r="H5582" s="100">
        <f t="shared" si="437"/>
        <v>42595373.155695155</v>
      </c>
      <c r="I5582" s="100">
        <f t="shared" si="438"/>
        <v>43447280.618809059</v>
      </c>
      <c r="J5582" s="100">
        <f t="shared" si="439"/>
        <v>127802823.53498967</v>
      </c>
      <c r="K5582" s="114"/>
      <c r="M5582" s="62">
        <f t="shared" si="435"/>
        <v>5</v>
      </c>
    </row>
    <row r="5583" spans="1:13">
      <c r="A5583" s="88"/>
      <c r="B5583" s="69" t="s">
        <v>5365</v>
      </c>
      <c r="C5583" s="167"/>
      <c r="D5583" s="155"/>
      <c r="E5583" s="155"/>
      <c r="F5583" s="89"/>
      <c r="G5583" s="100">
        <f>J5578*0.45</f>
        <v>187920763.92218453</v>
      </c>
      <c r="H5583" s="100">
        <f t="shared" si="437"/>
        <v>191679179.20062822</v>
      </c>
      <c r="I5583" s="100">
        <f t="shared" si="438"/>
        <v>195512762.78464079</v>
      </c>
      <c r="J5583" s="100">
        <f t="shared" si="439"/>
        <v>575112705.90745354</v>
      </c>
      <c r="K5583" s="114"/>
    </row>
    <row r="5584" spans="1:13">
      <c r="A5584" s="88"/>
      <c r="B5584" s="69" t="s">
        <v>1040</v>
      </c>
      <c r="C5584" s="167"/>
      <c r="D5584" s="155"/>
      <c r="E5584" s="155"/>
      <c r="F5584" s="89"/>
      <c r="G5584" s="100">
        <v>187216704</v>
      </c>
      <c r="H5584" s="100">
        <f t="shared" si="437"/>
        <v>190961038.08000001</v>
      </c>
      <c r="I5584" s="100">
        <f t="shared" si="438"/>
        <v>194780258.84160003</v>
      </c>
      <c r="J5584" s="100">
        <f t="shared" si="439"/>
        <v>572958000.9216001</v>
      </c>
      <c r="K5584" s="114"/>
    </row>
    <row r="5585" spans="1:13">
      <c r="A5585" s="88">
        <f>A5581+1</f>
        <v>3</v>
      </c>
      <c r="B5585" s="69" t="s">
        <v>4260</v>
      </c>
      <c r="C5585" s="167"/>
      <c r="D5585" s="155"/>
      <c r="E5585" s="155"/>
      <c r="F5585" s="89"/>
      <c r="G5585" s="100">
        <f>G5582</f>
        <v>41760169.760485448</v>
      </c>
      <c r="H5585" s="100">
        <f t="shared" si="437"/>
        <v>42595373.155695155</v>
      </c>
      <c r="I5585" s="100">
        <f t="shared" si="438"/>
        <v>43447280.618809059</v>
      </c>
      <c r="J5585" s="100">
        <f t="shared" si="439"/>
        <v>127802823.53498967</v>
      </c>
      <c r="K5585" s="114"/>
    </row>
    <row r="5586" spans="1:13">
      <c r="A5586" s="88">
        <f>A5585+1</f>
        <v>4</v>
      </c>
      <c r="B5586" s="69" t="s">
        <v>4261</v>
      </c>
      <c r="C5586" s="167"/>
      <c r="D5586" s="155"/>
      <c r="E5586" s="155"/>
      <c r="F5586" s="89"/>
      <c r="G5586" s="100">
        <f>G5585</f>
        <v>41760169.760485448</v>
      </c>
      <c r="H5586" s="100">
        <f t="shared" si="437"/>
        <v>42595373.155695155</v>
      </c>
      <c r="I5586" s="100">
        <f t="shared" si="438"/>
        <v>43447280.618809059</v>
      </c>
      <c r="J5586" s="100">
        <f t="shared" si="439"/>
        <v>127802823.53498967</v>
      </c>
      <c r="K5586" s="114"/>
    </row>
    <row r="5587" spans="1:13">
      <c r="A5587" s="88"/>
      <c r="B5587" s="69"/>
      <c r="C5587" s="167"/>
      <c r="D5587" s="155"/>
      <c r="E5587" s="155"/>
      <c r="F5587" s="155"/>
      <c r="G5587" s="155"/>
      <c r="H5587" s="155"/>
      <c r="I5587" s="155"/>
      <c r="J5587" s="155"/>
      <c r="K5587" s="386"/>
      <c r="M5587" s="62">
        <f t="shared" si="435"/>
        <v>5</v>
      </c>
    </row>
    <row r="5588" spans="1:13">
      <c r="A5588" s="92"/>
      <c r="B5588" s="93" t="s">
        <v>2531</v>
      </c>
      <c r="C5588" s="168"/>
      <c r="D5588" s="171"/>
      <c r="E5588" s="171"/>
      <c r="F5588" s="169"/>
      <c r="G5588" s="169">
        <f>SUM(G5580:G5587)</f>
        <v>855379420.16776705</v>
      </c>
      <c r="H5588" s="169">
        <f>SUM(H5580:H5587)</f>
        <v>872487008.57112265</v>
      </c>
      <c r="I5588" s="169">
        <f>SUM(I5580:I5587)</f>
        <v>889936748.74254513</v>
      </c>
      <c r="J5588" s="169">
        <f>SUM(J5580:J5587)</f>
        <v>2617803177.4814348</v>
      </c>
      <c r="K5588" s="385"/>
      <c r="M5588" s="62">
        <f t="shared" si="435"/>
        <v>5</v>
      </c>
    </row>
    <row r="5589" spans="1:13">
      <c r="A5589" s="88"/>
      <c r="B5589" s="69"/>
      <c r="C5589" s="167"/>
      <c r="D5589" s="155"/>
      <c r="E5589" s="155"/>
      <c r="F5589" s="155"/>
      <c r="G5589" s="155"/>
      <c r="H5589" s="155"/>
      <c r="I5589" s="155"/>
      <c r="J5589" s="155"/>
      <c r="K5589" s="386"/>
      <c r="M5589" s="62">
        <f t="shared" si="435"/>
        <v>5</v>
      </c>
    </row>
    <row r="5590" spans="1:13">
      <c r="A5590" s="88"/>
      <c r="B5590" s="69" t="s">
        <v>926</v>
      </c>
      <c r="C5590" s="167"/>
      <c r="D5590" s="155"/>
      <c r="E5590" s="155"/>
      <c r="F5590" s="155"/>
      <c r="G5590" s="100">
        <f>G5588+J5578</f>
        <v>1272981117.7726216</v>
      </c>
      <c r="H5590" s="100">
        <f>G5590*1.02</f>
        <v>1298440740.1280742</v>
      </c>
      <c r="I5590" s="100">
        <f>H5590*1.02</f>
        <v>1324409554.9306357</v>
      </c>
      <c r="J5590" s="100">
        <f>SUM(G5590:I5590)</f>
        <v>3895831412.8313313</v>
      </c>
      <c r="K5590" s="114"/>
      <c r="L5590" s="112"/>
      <c r="M5590" s="62">
        <f t="shared" si="435"/>
        <v>5</v>
      </c>
    </row>
    <row r="5591" spans="1:13">
      <c r="A5591" s="88"/>
      <c r="B5591" s="69" t="s">
        <v>2121</v>
      </c>
      <c r="C5591" s="167"/>
      <c r="D5591" s="155"/>
      <c r="E5591" s="155"/>
      <c r="F5591" s="155"/>
      <c r="G5591" s="155">
        <f>C5621</f>
        <v>120000000</v>
      </c>
      <c r="H5591" s="155">
        <f>D5621</f>
        <v>96300000</v>
      </c>
      <c r="I5591" s="155">
        <f>E5621</f>
        <v>105430000.00000001</v>
      </c>
      <c r="J5591" s="100">
        <f>SUM(G5591:I5591)</f>
        <v>321730000</v>
      </c>
      <c r="K5591" s="114"/>
      <c r="M5591" s="62">
        <f t="shared" si="435"/>
        <v>5</v>
      </c>
    </row>
    <row r="5592" spans="1:13">
      <c r="A5592" s="88"/>
      <c r="B5592" s="69"/>
      <c r="C5592" s="167"/>
      <c r="D5592" s="155"/>
      <c r="E5592" s="155"/>
      <c r="F5592" s="155"/>
      <c r="G5592" s="155"/>
      <c r="H5592" s="155"/>
      <c r="I5592" s="155"/>
      <c r="J5592" s="155"/>
      <c r="K5592" s="386"/>
      <c r="M5592" s="62">
        <f t="shared" si="435"/>
        <v>5</v>
      </c>
    </row>
    <row r="5593" spans="1:13" ht="13.5" thickBot="1">
      <c r="A5593" s="102"/>
      <c r="B5593" s="103" t="s">
        <v>2241</v>
      </c>
      <c r="C5593" s="172"/>
      <c r="D5593" s="173"/>
      <c r="E5593" s="173"/>
      <c r="F5593" s="174"/>
      <c r="G5593" s="174">
        <f>SUM(G5590:G5592)</f>
        <v>1392981117.7726216</v>
      </c>
      <c r="H5593" s="174">
        <f>SUM(H5590:H5592)</f>
        <v>1394740740.1280742</v>
      </c>
      <c r="I5593" s="174">
        <f>SUM(I5590:I5592)</f>
        <v>1429839554.9306357</v>
      </c>
      <c r="J5593" s="174">
        <f>SUM(J5590:J5592)</f>
        <v>4217561412.8313313</v>
      </c>
      <c r="K5593" s="385"/>
      <c r="M5593" s="62">
        <f t="shared" si="435"/>
        <v>5</v>
      </c>
    </row>
    <row r="5594" spans="1:13" ht="15.75" thickTop="1">
      <c r="C5594" s="175"/>
      <c r="D5594" s="165"/>
      <c r="E5594" s="165"/>
      <c r="F5594" s="165"/>
      <c r="G5594" s="165"/>
      <c r="H5594" s="165"/>
      <c r="I5594" s="165"/>
      <c r="J5594" s="584"/>
      <c r="K5594" s="584"/>
      <c r="M5594" s="62">
        <f t="shared" si="435"/>
        <v>5</v>
      </c>
    </row>
    <row r="5595" spans="1:13" ht="15">
      <c r="C5595" s="163"/>
      <c r="D5595" s="164" t="s">
        <v>5434</v>
      </c>
      <c r="E5595" s="165"/>
      <c r="F5595" s="165"/>
      <c r="G5595" s="165"/>
      <c r="H5595" s="165"/>
      <c r="I5595" s="165"/>
      <c r="J5595" s="584"/>
      <c r="K5595" s="584"/>
      <c r="M5595" s="62">
        <f t="shared" si="435"/>
        <v>5</v>
      </c>
    </row>
    <row r="5596" spans="1:13" ht="15">
      <c r="C5596" s="166"/>
      <c r="D5596" s="78" t="s">
        <v>716</v>
      </c>
      <c r="E5596" s="165"/>
      <c r="F5596" s="165"/>
      <c r="G5596" s="165"/>
      <c r="H5596" s="165"/>
      <c r="I5596" s="165"/>
      <c r="J5596" s="584"/>
      <c r="K5596" s="584"/>
      <c r="M5596" s="62">
        <f t="shared" si="435"/>
        <v>5</v>
      </c>
    </row>
    <row r="5597" spans="1:13" ht="15">
      <c r="C5597" s="79" t="s">
        <v>717</v>
      </c>
      <c r="D5597" s="164" t="s">
        <v>1150</v>
      </c>
      <c r="E5597" s="165"/>
      <c r="F5597" s="165"/>
      <c r="G5597" s="165"/>
      <c r="H5597" s="165"/>
      <c r="I5597" s="165"/>
      <c r="J5597" s="584"/>
      <c r="K5597" s="584"/>
      <c r="M5597" s="62">
        <f t="shared" si="435"/>
        <v>3</v>
      </c>
    </row>
    <row r="5598" spans="1:13" ht="15">
      <c r="C5598" s="79" t="s">
        <v>718</v>
      </c>
      <c r="D5598" s="164" t="s">
        <v>1151</v>
      </c>
      <c r="E5598" s="165"/>
      <c r="F5598" s="165"/>
      <c r="G5598" s="165"/>
      <c r="H5598" s="165"/>
      <c r="I5598" s="165"/>
      <c r="J5598" s="584"/>
      <c r="K5598" s="584"/>
      <c r="M5598" s="62">
        <f t="shared" si="435"/>
        <v>3</v>
      </c>
    </row>
    <row r="5599" spans="1:13" ht="15">
      <c r="A5599" s="634" t="s">
        <v>1839</v>
      </c>
      <c r="B5599" s="635" t="s">
        <v>903</v>
      </c>
      <c r="C5599" s="1037" t="s">
        <v>4127</v>
      </c>
      <c r="D5599" s="1038"/>
      <c r="E5599" s="1039"/>
      <c r="F5599" s="635" t="s">
        <v>1684</v>
      </c>
      <c r="G5599" s="1037" t="s">
        <v>4132</v>
      </c>
      <c r="H5599" s="1038"/>
      <c r="I5599" s="1039"/>
      <c r="J5599" s="726"/>
      <c r="K5599" s="727"/>
    </row>
    <row r="5600" spans="1:13">
      <c r="A5600" s="636" t="s">
        <v>1620</v>
      </c>
      <c r="B5600" s="637"/>
      <c r="C5600" s="635" t="s">
        <v>1841</v>
      </c>
      <c r="D5600" s="635" t="s">
        <v>4133</v>
      </c>
      <c r="E5600" s="635" t="s">
        <v>4133</v>
      </c>
      <c r="F5600" s="1056" t="s">
        <v>4200</v>
      </c>
      <c r="G5600" s="634" t="s">
        <v>4135</v>
      </c>
      <c r="H5600" s="1051" t="s">
        <v>4182</v>
      </c>
      <c r="I5600" s="634" t="s">
        <v>4135</v>
      </c>
      <c r="J5600" s="728" t="s">
        <v>4136</v>
      </c>
      <c r="K5600" s="727"/>
    </row>
    <row r="5601" spans="1:13" ht="12.75" customHeight="1">
      <c r="A5601" s="638" t="s">
        <v>387</v>
      </c>
      <c r="B5601" s="639"/>
      <c r="C5601" s="638">
        <v>2015</v>
      </c>
      <c r="D5601" s="638">
        <v>2016</v>
      </c>
      <c r="E5601" s="638">
        <v>2017</v>
      </c>
      <c r="F5601" s="1057"/>
      <c r="G5601" s="638" t="s">
        <v>4304</v>
      </c>
      <c r="H5601" s="1052"/>
      <c r="I5601" s="638" t="s">
        <v>4303</v>
      </c>
      <c r="J5601" s="639"/>
      <c r="K5601" s="729"/>
    </row>
    <row r="5602" spans="1:13">
      <c r="A5602" s="822"/>
      <c r="B5602" s="823"/>
      <c r="C5602" s="824"/>
      <c r="D5602" s="824"/>
      <c r="E5602" s="824"/>
      <c r="F5602" s="824"/>
      <c r="G5602" s="824"/>
      <c r="H5602" s="824"/>
      <c r="I5602" s="824"/>
      <c r="J5602" s="824"/>
      <c r="K5602" s="734"/>
      <c r="M5602" s="62" t="e">
        <f>IF(#REF!&gt;6,3,5)</f>
        <v>#REF!</v>
      </c>
    </row>
    <row r="5603" spans="1:13">
      <c r="A5603" s="829">
        <v>2</v>
      </c>
      <c r="B5603" s="830" t="s">
        <v>768</v>
      </c>
      <c r="C5603" s="1021">
        <v>7000000</v>
      </c>
      <c r="D5603" s="831">
        <f>C5603*1.1</f>
        <v>7700000.0000000009</v>
      </c>
      <c r="E5603" s="831">
        <f>D5603*1.1</f>
        <v>8470000.0000000019</v>
      </c>
      <c r="F5603" s="831">
        <f>SUM(C5603:E5603)</f>
        <v>23170000</v>
      </c>
      <c r="G5603" s="831">
        <v>1209000</v>
      </c>
      <c r="H5603" s="831">
        <v>5000000</v>
      </c>
      <c r="I5603" s="831">
        <v>834000</v>
      </c>
      <c r="J5603" s="824"/>
      <c r="K5603" s="734"/>
      <c r="M5603" s="62" t="e">
        <f>IF(#REF!&gt;6,3,5)</f>
        <v>#REF!</v>
      </c>
    </row>
    <row r="5604" spans="1:13">
      <c r="A5604" s="829">
        <f t="shared" ref="A5604:A5616" si="440">+A5603+1</f>
        <v>3</v>
      </c>
      <c r="B5604" s="788" t="s">
        <v>1696</v>
      </c>
      <c r="C5604" s="1021">
        <v>1000000</v>
      </c>
      <c r="D5604" s="831">
        <f>C5604*1.1</f>
        <v>1100000</v>
      </c>
      <c r="E5604" s="831">
        <f>D5604*1.1</f>
        <v>1210000</v>
      </c>
      <c r="F5604" s="831">
        <f t="shared" ref="F5604:F5618" si="441">SUM(C5604:E5604)</f>
        <v>3310000</v>
      </c>
      <c r="G5604" s="831"/>
      <c r="H5604" s="831">
        <v>200000</v>
      </c>
      <c r="I5604" s="831"/>
      <c r="J5604" s="824"/>
      <c r="K5604" s="734"/>
      <c r="M5604" s="62" t="e">
        <f>IF(#REF!&gt;6,3,5)</f>
        <v>#REF!</v>
      </c>
    </row>
    <row r="5605" spans="1:13">
      <c r="A5605" s="829">
        <f t="shared" si="440"/>
        <v>4</v>
      </c>
      <c r="B5605" s="788" t="s">
        <v>1191</v>
      </c>
      <c r="C5605" s="1021" t="s">
        <v>1386</v>
      </c>
      <c r="D5605" s="831" t="s">
        <v>1386</v>
      </c>
      <c r="E5605" s="831" t="s">
        <v>1386</v>
      </c>
      <c r="F5605" s="831">
        <f t="shared" si="441"/>
        <v>0</v>
      </c>
      <c r="G5605" s="831"/>
      <c r="H5605" s="831" t="s">
        <v>1386</v>
      </c>
      <c r="I5605" s="831"/>
      <c r="J5605" s="824"/>
      <c r="K5605" s="734"/>
      <c r="M5605" s="62" t="e">
        <f>IF(#REF!&gt;6,3,5)</f>
        <v>#REF!</v>
      </c>
    </row>
    <row r="5606" spans="1:13">
      <c r="A5606" s="829">
        <f t="shared" si="440"/>
        <v>5</v>
      </c>
      <c r="B5606" s="788" t="s">
        <v>998</v>
      </c>
      <c r="C5606" s="1021">
        <v>5000000</v>
      </c>
      <c r="D5606" s="831">
        <f t="shared" ref="D5606:E5608" si="442">C5606*1.1</f>
        <v>5500000</v>
      </c>
      <c r="E5606" s="831">
        <f t="shared" si="442"/>
        <v>6050000.0000000009</v>
      </c>
      <c r="F5606" s="831">
        <f t="shared" si="441"/>
        <v>16550000</v>
      </c>
      <c r="G5606" s="831">
        <v>1399625</v>
      </c>
      <c r="H5606" s="831">
        <v>2000000</v>
      </c>
      <c r="I5606" s="831">
        <v>1505800</v>
      </c>
      <c r="J5606" s="824"/>
      <c r="K5606" s="734"/>
      <c r="M5606" s="62" t="e">
        <f>IF(#REF!&gt;6,3,5)</f>
        <v>#REF!</v>
      </c>
    </row>
    <row r="5607" spans="1:13">
      <c r="A5607" s="829">
        <f t="shared" si="440"/>
        <v>6</v>
      </c>
      <c r="B5607" s="788" t="s">
        <v>1072</v>
      </c>
      <c r="C5607" s="1022">
        <v>2000000</v>
      </c>
      <c r="D5607" s="831">
        <f t="shared" si="442"/>
        <v>2200000</v>
      </c>
      <c r="E5607" s="831">
        <f t="shared" si="442"/>
        <v>2420000</v>
      </c>
      <c r="F5607" s="831">
        <f t="shared" si="441"/>
        <v>6620000</v>
      </c>
      <c r="G5607" s="831">
        <v>977875</v>
      </c>
      <c r="H5607" s="731">
        <v>2000000</v>
      </c>
      <c r="I5607" s="831">
        <v>1056475</v>
      </c>
      <c r="J5607" s="824"/>
      <c r="K5607" s="734"/>
      <c r="M5607" s="62" t="e">
        <f>IF(#REF!&gt;6,3,5)</f>
        <v>#REF!</v>
      </c>
    </row>
    <row r="5608" spans="1:13">
      <c r="A5608" s="829">
        <f t="shared" si="440"/>
        <v>7</v>
      </c>
      <c r="B5608" s="832" t="s">
        <v>1073</v>
      </c>
      <c r="C5608" s="1022">
        <v>5000000</v>
      </c>
      <c r="D5608" s="831">
        <f t="shared" si="442"/>
        <v>5500000</v>
      </c>
      <c r="E5608" s="831">
        <f t="shared" si="442"/>
        <v>6050000.0000000009</v>
      </c>
      <c r="F5608" s="831">
        <f t="shared" si="441"/>
        <v>16550000</v>
      </c>
      <c r="G5608" s="831">
        <v>464000</v>
      </c>
      <c r="H5608" s="731">
        <v>5000000</v>
      </c>
      <c r="I5608" s="831">
        <v>370000</v>
      </c>
      <c r="J5608" s="824"/>
      <c r="K5608" s="734"/>
      <c r="M5608" s="62" t="e">
        <f>IF(#REF!&gt;6,3,5)</f>
        <v>#REF!</v>
      </c>
    </row>
    <row r="5609" spans="1:13">
      <c r="A5609" s="829">
        <f t="shared" si="440"/>
        <v>8</v>
      </c>
      <c r="B5609" s="788" t="s">
        <v>3599</v>
      </c>
      <c r="C5609" s="1021" t="s">
        <v>1386</v>
      </c>
      <c r="D5609" s="831" t="s">
        <v>1386</v>
      </c>
      <c r="E5609" s="831" t="s">
        <v>1386</v>
      </c>
      <c r="F5609" s="831">
        <f t="shared" si="441"/>
        <v>0</v>
      </c>
      <c r="G5609" s="831"/>
      <c r="H5609" s="731" t="s">
        <v>1386</v>
      </c>
      <c r="I5609" s="831"/>
      <c r="J5609" s="824"/>
      <c r="K5609" s="734"/>
      <c r="M5609" s="62" t="e">
        <f>IF(#REF!&gt;6,3,5)</f>
        <v>#REF!</v>
      </c>
    </row>
    <row r="5610" spans="1:13">
      <c r="A5610" s="829">
        <f t="shared" si="440"/>
        <v>9</v>
      </c>
      <c r="B5610" s="788" t="s">
        <v>2061</v>
      </c>
      <c r="C5610" s="1021" t="s">
        <v>1386</v>
      </c>
      <c r="D5610" s="831" t="s">
        <v>1386</v>
      </c>
      <c r="E5610" s="831" t="s">
        <v>1386</v>
      </c>
      <c r="F5610" s="831">
        <f t="shared" si="441"/>
        <v>0</v>
      </c>
      <c r="G5610" s="831"/>
      <c r="H5610" s="731" t="s">
        <v>1386</v>
      </c>
      <c r="I5610" s="831"/>
      <c r="J5610" s="824"/>
      <c r="K5610" s="734"/>
      <c r="M5610" s="62" t="e">
        <f>IF(#REF!&gt;6,3,5)</f>
        <v>#REF!</v>
      </c>
    </row>
    <row r="5611" spans="1:13">
      <c r="A5611" s="829">
        <f t="shared" si="440"/>
        <v>10</v>
      </c>
      <c r="B5611" s="788" t="s">
        <v>1716</v>
      </c>
      <c r="C5611" s="1022">
        <v>5000000</v>
      </c>
      <c r="D5611" s="831">
        <f t="shared" ref="D5611:E5616" si="443">C5611*1.1</f>
        <v>5500000</v>
      </c>
      <c r="E5611" s="831">
        <f t="shared" si="443"/>
        <v>6050000.0000000009</v>
      </c>
      <c r="F5611" s="831">
        <f t="shared" si="441"/>
        <v>16550000</v>
      </c>
      <c r="G5611" s="831">
        <v>40000</v>
      </c>
      <c r="H5611" s="731">
        <v>3000000</v>
      </c>
      <c r="I5611" s="831">
        <v>120000</v>
      </c>
      <c r="J5611" s="824"/>
      <c r="K5611" s="734"/>
      <c r="M5611" s="62" t="e">
        <f>IF(#REF!&gt;6,3,5)</f>
        <v>#REF!</v>
      </c>
    </row>
    <row r="5612" spans="1:13">
      <c r="A5612" s="829">
        <f t="shared" si="440"/>
        <v>11</v>
      </c>
      <c r="B5612" s="833" t="s">
        <v>764</v>
      </c>
      <c r="C5612" s="1022">
        <v>500000</v>
      </c>
      <c r="D5612" s="831">
        <f t="shared" si="443"/>
        <v>550000</v>
      </c>
      <c r="E5612" s="831">
        <f t="shared" si="443"/>
        <v>605000</v>
      </c>
      <c r="F5612" s="831">
        <f t="shared" si="441"/>
        <v>1655000</v>
      </c>
      <c r="G5612" s="831"/>
      <c r="H5612" s="731">
        <v>200000</v>
      </c>
      <c r="I5612" s="831"/>
      <c r="J5612" s="824"/>
      <c r="K5612" s="734"/>
      <c r="M5612" s="62" t="e">
        <f>IF(#REF!&gt;6,3,5)</f>
        <v>#REF!</v>
      </c>
    </row>
    <row r="5613" spans="1:13">
      <c r="A5613" s="829">
        <f t="shared" si="440"/>
        <v>12</v>
      </c>
      <c r="B5613" s="788" t="s">
        <v>2688</v>
      </c>
      <c r="C5613" s="1022">
        <v>10000000</v>
      </c>
      <c r="D5613" s="831">
        <f t="shared" si="443"/>
        <v>11000000</v>
      </c>
      <c r="E5613" s="831">
        <f t="shared" si="443"/>
        <v>12100000.000000002</v>
      </c>
      <c r="F5613" s="831">
        <f t="shared" si="441"/>
        <v>33100000</v>
      </c>
      <c r="G5613" s="831">
        <v>1386227</v>
      </c>
      <c r="H5613" s="731">
        <v>10000000</v>
      </c>
      <c r="I5613" s="831">
        <v>2636562.25</v>
      </c>
      <c r="J5613" s="824"/>
      <c r="K5613" s="734"/>
      <c r="M5613" s="62" t="e">
        <f>IF(#REF!&gt;6,3,5)</f>
        <v>#REF!</v>
      </c>
    </row>
    <row r="5614" spans="1:13">
      <c r="A5614" s="829">
        <f t="shared" si="440"/>
        <v>13</v>
      </c>
      <c r="B5614" s="788" t="s">
        <v>2249</v>
      </c>
      <c r="C5614" s="1022">
        <v>500000</v>
      </c>
      <c r="D5614" s="831">
        <f t="shared" si="443"/>
        <v>550000</v>
      </c>
      <c r="E5614" s="831">
        <f t="shared" si="443"/>
        <v>605000</v>
      </c>
      <c r="F5614" s="831">
        <f t="shared" si="441"/>
        <v>1655000</v>
      </c>
      <c r="G5614" s="831"/>
      <c r="H5614" s="731">
        <v>100000</v>
      </c>
      <c r="I5614" s="831"/>
      <c r="J5614" s="824"/>
      <c r="K5614" s="734"/>
      <c r="M5614" s="62" t="e">
        <f>IF(#REF!&gt;6,3,5)</f>
        <v>#REF!</v>
      </c>
    </row>
    <row r="5615" spans="1:13">
      <c r="A5615" s="829">
        <f t="shared" si="440"/>
        <v>14</v>
      </c>
      <c r="B5615" s="788" t="s">
        <v>2228</v>
      </c>
      <c r="C5615" s="1022">
        <v>5000000</v>
      </c>
      <c r="D5615" s="831">
        <f t="shared" si="443"/>
        <v>5500000</v>
      </c>
      <c r="E5615" s="831">
        <f t="shared" si="443"/>
        <v>6050000.0000000009</v>
      </c>
      <c r="F5615" s="831">
        <f t="shared" si="441"/>
        <v>16550000</v>
      </c>
      <c r="G5615" s="831">
        <f>1325000</f>
        <v>1325000</v>
      </c>
      <c r="H5615" s="731">
        <v>3000000</v>
      </c>
      <c r="I5615" s="831">
        <v>0</v>
      </c>
      <c r="J5615" s="824"/>
      <c r="K5615" s="734"/>
      <c r="M5615" s="62" t="e">
        <f>IF(#REF!&gt;6,3,5)</f>
        <v>#REF!</v>
      </c>
    </row>
    <row r="5616" spans="1:13">
      <c r="A5616" s="829">
        <f t="shared" si="440"/>
        <v>15</v>
      </c>
      <c r="B5616" s="788" t="s">
        <v>2339</v>
      </c>
      <c r="C5616" s="1022">
        <v>7000000</v>
      </c>
      <c r="D5616" s="831">
        <f t="shared" si="443"/>
        <v>7700000.0000000009</v>
      </c>
      <c r="E5616" s="831">
        <f t="shared" si="443"/>
        <v>8470000.0000000019</v>
      </c>
      <c r="F5616" s="831">
        <f t="shared" si="441"/>
        <v>23170000</v>
      </c>
      <c r="G5616" s="831"/>
      <c r="H5616" s="731">
        <v>3000000</v>
      </c>
      <c r="I5616" s="831"/>
      <c r="J5616" s="824"/>
      <c r="K5616" s="734"/>
      <c r="M5616" s="62" t="e">
        <f>IF(#REF!&gt;6,3,5)</f>
        <v>#REF!</v>
      </c>
    </row>
    <row r="5617" spans="1:13">
      <c r="A5617" s="829">
        <f>+A5616+1</f>
        <v>16</v>
      </c>
      <c r="B5617" s="788" t="s">
        <v>1193</v>
      </c>
      <c r="C5617" s="1022">
        <v>37000000</v>
      </c>
      <c r="D5617" s="731">
        <v>5000000</v>
      </c>
      <c r="E5617" s="731">
        <v>5000000</v>
      </c>
      <c r="F5617" s="831">
        <f t="shared" si="441"/>
        <v>47000000</v>
      </c>
      <c r="G5617" s="831"/>
      <c r="H5617" s="731">
        <v>40000000</v>
      </c>
      <c r="I5617" s="831"/>
      <c r="J5617" s="824"/>
      <c r="K5617" s="734"/>
      <c r="M5617" s="62" t="e">
        <f>IF(#REF!&gt;6,3,5)</f>
        <v>#REF!</v>
      </c>
    </row>
    <row r="5618" spans="1:13" ht="25.5">
      <c r="A5618" s="829">
        <f>+A5617+1</f>
        <v>17</v>
      </c>
      <c r="B5618" s="775" t="s">
        <v>2395</v>
      </c>
      <c r="C5618" s="1022">
        <v>20000000</v>
      </c>
      <c r="D5618" s="831">
        <f>C5618*1.1</f>
        <v>22000000</v>
      </c>
      <c r="E5618" s="831">
        <f>D5618*1.1</f>
        <v>24200000.000000004</v>
      </c>
      <c r="F5618" s="831">
        <f t="shared" si="441"/>
        <v>66200000</v>
      </c>
      <c r="G5618" s="831"/>
      <c r="H5618" s="731">
        <v>15000000</v>
      </c>
      <c r="I5618" s="831"/>
      <c r="J5618" s="824"/>
      <c r="K5618" s="734"/>
      <c r="M5618" s="62" t="e">
        <f>IF(#REF!&gt;6,3,5)</f>
        <v>#REF!</v>
      </c>
    </row>
    <row r="5619" spans="1:13" ht="25.5">
      <c r="A5619" s="829">
        <f>+A5618+1</f>
        <v>18</v>
      </c>
      <c r="B5619" s="775" t="s">
        <v>4140</v>
      </c>
      <c r="C5619" s="1022">
        <v>15000000</v>
      </c>
      <c r="D5619" s="831">
        <f>C5619*1.1</f>
        <v>16500000.000000002</v>
      </c>
      <c r="E5619" s="831">
        <f>D5619*1.1</f>
        <v>18150000.000000004</v>
      </c>
      <c r="F5619" s="831">
        <v>0</v>
      </c>
      <c r="G5619" s="831"/>
      <c r="H5619" s="731">
        <v>10000000</v>
      </c>
      <c r="I5619" s="831">
        <v>17200000</v>
      </c>
      <c r="J5619" s="824"/>
      <c r="K5619" s="734"/>
      <c r="M5619" s="62" t="e">
        <f>IF(#REF!&gt;6,3,5)</f>
        <v>#REF!</v>
      </c>
    </row>
    <row r="5620" spans="1:13">
      <c r="A5620" s="768"/>
      <c r="B5620" s="768"/>
      <c r="C5620" s="731"/>
      <c r="D5620" s="731"/>
      <c r="E5620" s="731"/>
      <c r="F5620" s="731"/>
      <c r="G5620" s="731"/>
      <c r="H5620" s="731"/>
      <c r="I5620" s="731"/>
      <c r="J5620" s="731"/>
      <c r="K5620" s="732"/>
      <c r="M5620" s="62" t="e">
        <f>IF(#REF!&gt;6,3,5)</f>
        <v>#REF!</v>
      </c>
    </row>
    <row r="5621" spans="1:13">
      <c r="A5621" s="770"/>
      <c r="B5621" s="770" t="s">
        <v>1684</v>
      </c>
      <c r="C5621" s="739">
        <f>SUM(C5602:C5620)</f>
        <v>120000000</v>
      </c>
      <c r="D5621" s="739">
        <f t="shared" ref="D5621:I5621" si="444">SUM(D5602:D5620)</f>
        <v>96300000</v>
      </c>
      <c r="E5621" s="739">
        <f t="shared" si="444"/>
        <v>105430000.00000001</v>
      </c>
      <c r="F5621" s="739">
        <f t="shared" si="444"/>
        <v>272080000</v>
      </c>
      <c r="G5621" s="739">
        <f>SUM(G5602:G5620)</f>
        <v>6801727</v>
      </c>
      <c r="H5621" s="739">
        <f t="shared" si="444"/>
        <v>98500000</v>
      </c>
      <c r="I5621" s="739">
        <f t="shared" si="444"/>
        <v>23722837.25</v>
      </c>
      <c r="J5621" s="739"/>
      <c r="K5621" s="740"/>
      <c r="M5621" s="62" t="e">
        <f>IF(#REF!&gt;6,3,5)</f>
        <v>#REF!</v>
      </c>
    </row>
    <row r="5622" spans="1:13" ht="15">
      <c r="C5622" s="166"/>
      <c r="D5622" s="164" t="s">
        <v>5434</v>
      </c>
      <c r="E5622" s="165"/>
      <c r="F5622" s="165"/>
      <c r="G5622" s="165"/>
      <c r="H5622" s="165"/>
      <c r="I5622" s="165"/>
      <c r="J5622" s="584"/>
      <c r="K5622" s="584"/>
      <c r="M5622" s="62">
        <f t="shared" si="435"/>
        <v>5</v>
      </c>
    </row>
    <row r="5623" spans="1:13" ht="15">
      <c r="C5623" s="166"/>
      <c r="D5623" s="164" t="s">
        <v>1693</v>
      </c>
      <c r="E5623" s="165"/>
      <c r="F5623" s="165"/>
      <c r="G5623" s="165"/>
      <c r="H5623" s="165"/>
      <c r="I5623" s="165"/>
      <c r="J5623" s="584"/>
      <c r="K5623" s="584"/>
    </row>
    <row r="5624" spans="1:13" ht="15">
      <c r="C5624" s="79" t="s">
        <v>717</v>
      </c>
      <c r="D5624" s="164" t="s">
        <v>189</v>
      </c>
      <c r="E5624" s="165"/>
      <c r="F5624" s="165"/>
      <c r="G5624" s="165"/>
      <c r="H5624" s="165"/>
      <c r="I5624" s="165"/>
      <c r="J5624" s="584"/>
      <c r="K5624" s="584"/>
      <c r="M5624" s="62">
        <f t="shared" si="435"/>
        <v>3</v>
      </c>
    </row>
    <row r="5625" spans="1:13" ht="15.75" thickBot="1">
      <c r="C5625" s="79" t="s">
        <v>718</v>
      </c>
      <c r="D5625" s="164" t="s">
        <v>1194</v>
      </c>
      <c r="E5625" s="165"/>
      <c r="F5625" s="165"/>
      <c r="G5625" s="165"/>
      <c r="H5625" s="165"/>
      <c r="I5625" s="165"/>
      <c r="J5625" s="584"/>
      <c r="K5625" s="584"/>
      <c r="M5625" s="62">
        <f t="shared" si="435"/>
        <v>3</v>
      </c>
    </row>
    <row r="5626" spans="1:13" ht="15.75" thickTop="1">
      <c r="A5626" s="1047" t="s">
        <v>2791</v>
      </c>
      <c r="B5626" s="1049" t="s">
        <v>4126</v>
      </c>
      <c r="C5626" s="1049" t="s">
        <v>854</v>
      </c>
      <c r="D5626" s="1040" t="s">
        <v>4127</v>
      </c>
      <c r="E5626" s="1041"/>
      <c r="F5626" s="1041"/>
      <c r="G5626" s="1040" t="s">
        <v>904</v>
      </c>
      <c r="H5626" s="1041"/>
      <c r="I5626" s="1042"/>
      <c r="J5626" s="1035" t="s">
        <v>855</v>
      </c>
      <c r="K5626" s="389"/>
    </row>
    <row r="5627" spans="1:13" ht="26.25" thickBot="1">
      <c r="A5627" s="1048"/>
      <c r="B5627" s="1050"/>
      <c r="C5627" s="1050"/>
      <c r="D5627" s="285" t="s">
        <v>5505</v>
      </c>
      <c r="E5627" s="285" t="s">
        <v>4485</v>
      </c>
      <c r="F5627" s="285" t="s">
        <v>4486</v>
      </c>
      <c r="G5627" s="287" t="s">
        <v>4487</v>
      </c>
      <c r="H5627" s="285" t="s">
        <v>4488</v>
      </c>
      <c r="I5627" s="287" t="s">
        <v>4489</v>
      </c>
      <c r="J5627" s="1036"/>
      <c r="K5627" s="712"/>
    </row>
    <row r="5628" spans="1:13" ht="13.5" thickTop="1">
      <c r="A5628" s="88">
        <v>1</v>
      </c>
      <c r="B5628" s="69" t="s">
        <v>2970</v>
      </c>
      <c r="C5628" s="167" t="s">
        <v>2335</v>
      </c>
      <c r="D5628" s="155">
        <v>1</v>
      </c>
      <c r="E5628" s="155">
        <v>1</v>
      </c>
      <c r="F5628" s="155">
        <v>1</v>
      </c>
      <c r="G5628" s="155">
        <v>1</v>
      </c>
      <c r="H5628" s="155">
        <v>1</v>
      </c>
      <c r="I5628" s="155">
        <v>1</v>
      </c>
      <c r="J5628" s="713">
        <f>L5628*H5628</f>
        <v>3000000</v>
      </c>
      <c r="K5628" s="711"/>
      <c r="L5628" s="62">
        <v>3000000</v>
      </c>
      <c r="M5628" s="62">
        <f t="shared" si="435"/>
        <v>3</v>
      </c>
    </row>
    <row r="5629" spans="1:13">
      <c r="A5629" s="88">
        <f>1+A5628</f>
        <v>2</v>
      </c>
      <c r="B5629" s="69" t="s">
        <v>2333</v>
      </c>
      <c r="C5629" s="167">
        <v>17</v>
      </c>
      <c r="D5629" s="155">
        <v>1</v>
      </c>
      <c r="E5629" s="155">
        <v>1</v>
      </c>
      <c r="F5629" s="155">
        <v>1</v>
      </c>
      <c r="G5629" s="155">
        <v>1</v>
      </c>
      <c r="H5629" s="155">
        <v>1</v>
      </c>
      <c r="I5629" s="155">
        <v>1</v>
      </c>
      <c r="J5629" s="710">
        <f>(VLOOKUP($C5629,[2]Sheet1!$A$2:$P$18,$M5629+1)/12)*12*D5629</f>
        <v>880465.63909199997</v>
      </c>
      <c r="K5629" s="711"/>
      <c r="M5629" s="62">
        <f t="shared" si="435"/>
        <v>3</v>
      </c>
    </row>
    <row r="5630" spans="1:13">
      <c r="A5630" s="88">
        <f t="shared" ref="A5630:A5683" si="445">1+A5629</f>
        <v>3</v>
      </c>
      <c r="B5630" s="69" t="s">
        <v>1532</v>
      </c>
      <c r="C5630" s="167" t="s">
        <v>2335</v>
      </c>
      <c r="D5630" s="155">
        <v>4</v>
      </c>
      <c r="E5630" s="155">
        <v>4</v>
      </c>
      <c r="F5630" s="155">
        <v>4</v>
      </c>
      <c r="G5630" s="155">
        <v>4</v>
      </c>
      <c r="H5630" s="155">
        <v>4</v>
      </c>
      <c r="I5630" s="155">
        <v>4</v>
      </c>
      <c r="J5630" s="713">
        <f>L5630*H5630</f>
        <v>10000000</v>
      </c>
      <c r="K5630" s="711"/>
      <c r="L5630" s="62">
        <v>2500000</v>
      </c>
      <c r="M5630" s="62">
        <f t="shared" si="435"/>
        <v>3</v>
      </c>
    </row>
    <row r="5631" spans="1:13">
      <c r="A5631" s="88"/>
      <c r="B5631" s="90" t="s">
        <v>800</v>
      </c>
      <c r="C5631" s="167"/>
      <c r="D5631" s="155"/>
      <c r="E5631" s="155"/>
      <c r="F5631" s="155"/>
      <c r="G5631" s="155"/>
      <c r="H5631" s="155"/>
      <c r="I5631" s="155"/>
      <c r="J5631" s="713"/>
      <c r="K5631" s="711"/>
      <c r="M5631" s="62">
        <f t="shared" si="435"/>
        <v>5</v>
      </c>
    </row>
    <row r="5632" spans="1:13">
      <c r="A5632" s="88">
        <f>1+A5630</f>
        <v>4</v>
      </c>
      <c r="B5632" s="69" t="s">
        <v>3532</v>
      </c>
      <c r="C5632" s="167">
        <v>16</v>
      </c>
      <c r="D5632" s="155">
        <v>0</v>
      </c>
      <c r="E5632" s="155">
        <v>0</v>
      </c>
      <c r="F5632" s="155">
        <v>0</v>
      </c>
      <c r="G5632" s="155">
        <v>0</v>
      </c>
      <c r="H5632" s="155">
        <v>0</v>
      </c>
      <c r="I5632" s="155">
        <v>0</v>
      </c>
      <c r="J5632" s="710">
        <f>(VLOOKUP($C5632,[2]Sheet1!$A$2:$P$18,$M5632+1)/12)*12*D5632</f>
        <v>0</v>
      </c>
      <c r="K5632" s="711"/>
      <c r="M5632" s="62">
        <f t="shared" si="435"/>
        <v>3</v>
      </c>
    </row>
    <row r="5633" spans="1:13">
      <c r="A5633" s="88">
        <f>A5632+1</f>
        <v>5</v>
      </c>
      <c r="B5633" s="69" t="s">
        <v>3734</v>
      </c>
      <c r="C5633" s="167">
        <v>14</v>
      </c>
      <c r="D5633" s="155">
        <v>1</v>
      </c>
      <c r="E5633" s="155">
        <v>0</v>
      </c>
      <c r="F5633" s="155">
        <v>1</v>
      </c>
      <c r="G5633" s="155">
        <v>1</v>
      </c>
      <c r="H5633" s="155">
        <v>0</v>
      </c>
      <c r="I5633" s="155">
        <v>1</v>
      </c>
      <c r="J5633" s="710">
        <f>(VLOOKUP($C5633,[2]Sheet1!$A$2:$P$18,$M5633+1)/12)*12*D5633</f>
        <v>669099.40824000002</v>
      </c>
      <c r="K5633" s="711"/>
      <c r="M5633" s="62">
        <f t="shared" si="435"/>
        <v>3</v>
      </c>
    </row>
    <row r="5634" spans="1:13">
      <c r="A5634" s="88">
        <f>A5633+1</f>
        <v>6</v>
      </c>
      <c r="B5634" s="69" t="s">
        <v>2515</v>
      </c>
      <c r="C5634" s="167">
        <v>13</v>
      </c>
      <c r="D5634" s="155">
        <v>0</v>
      </c>
      <c r="E5634" s="155">
        <v>1</v>
      </c>
      <c r="F5634" s="155">
        <v>0</v>
      </c>
      <c r="G5634" s="155">
        <v>0</v>
      </c>
      <c r="H5634" s="155">
        <v>1</v>
      </c>
      <c r="I5634" s="155">
        <v>0</v>
      </c>
      <c r="J5634" s="710">
        <f>(VLOOKUP($C5634,[2]Sheet1!$A$2:$P$18,$M5634+1)/12)*12*D5634</f>
        <v>0</v>
      </c>
      <c r="K5634" s="711"/>
      <c r="M5634" s="62">
        <f t="shared" si="435"/>
        <v>3</v>
      </c>
    </row>
    <row r="5635" spans="1:13">
      <c r="A5635" s="88">
        <f t="shared" si="445"/>
        <v>7</v>
      </c>
      <c r="B5635" s="69" t="s">
        <v>1300</v>
      </c>
      <c r="C5635" s="167">
        <v>12</v>
      </c>
      <c r="D5635" s="155">
        <v>0</v>
      </c>
      <c r="E5635" s="155">
        <v>0</v>
      </c>
      <c r="F5635" s="155">
        <v>0</v>
      </c>
      <c r="G5635" s="155">
        <v>0</v>
      </c>
      <c r="H5635" s="155">
        <v>0</v>
      </c>
      <c r="I5635" s="155">
        <v>0</v>
      </c>
      <c r="J5635" s="710">
        <f>(VLOOKUP($C5635,[2]Sheet1!$A$2:$P$18,$M5635+1)/12)*12*D5635</f>
        <v>0</v>
      </c>
      <c r="K5635" s="711"/>
      <c r="M5635" s="62">
        <f t="shared" si="435"/>
        <v>3</v>
      </c>
    </row>
    <row r="5636" spans="1:13">
      <c r="A5636" s="88">
        <f t="shared" si="445"/>
        <v>8</v>
      </c>
      <c r="B5636" s="69" t="s">
        <v>1301</v>
      </c>
      <c r="C5636" s="167">
        <v>9</v>
      </c>
      <c r="D5636" s="155">
        <v>2</v>
      </c>
      <c r="E5636" s="155">
        <v>0</v>
      </c>
      <c r="F5636" s="155">
        <v>2</v>
      </c>
      <c r="G5636" s="155">
        <v>2</v>
      </c>
      <c r="H5636" s="155">
        <v>0</v>
      </c>
      <c r="I5636" s="155">
        <v>2</v>
      </c>
      <c r="J5636" s="710">
        <f>(VLOOKUP($C5636,[2]Sheet1!$A$2:$P$18,$M5636+1)/12)*12*D5636</f>
        <v>819363.81239999994</v>
      </c>
      <c r="K5636" s="711"/>
      <c r="M5636" s="62">
        <f t="shared" si="435"/>
        <v>3</v>
      </c>
    </row>
    <row r="5637" spans="1:13">
      <c r="A5637" s="88">
        <f t="shared" si="445"/>
        <v>9</v>
      </c>
      <c r="B5637" s="69" t="s">
        <v>1302</v>
      </c>
      <c r="C5637" s="167">
        <v>8</v>
      </c>
      <c r="D5637" s="155">
        <v>4</v>
      </c>
      <c r="E5637" s="155">
        <v>1</v>
      </c>
      <c r="F5637" s="155">
        <v>4</v>
      </c>
      <c r="G5637" s="155">
        <v>4</v>
      </c>
      <c r="H5637" s="155">
        <v>1</v>
      </c>
      <c r="I5637" s="155">
        <v>4</v>
      </c>
      <c r="J5637" s="710">
        <f>(VLOOKUP($C5637,[2]Sheet1!$A$2:$P$18,$M5637+1)/12)*12*D5637</f>
        <v>1368565.09632</v>
      </c>
      <c r="K5637" s="711"/>
      <c r="M5637" s="62">
        <f t="shared" si="435"/>
        <v>3</v>
      </c>
    </row>
    <row r="5638" spans="1:13">
      <c r="A5638" s="88">
        <f t="shared" si="445"/>
        <v>10</v>
      </c>
      <c r="B5638" s="69" t="s">
        <v>3331</v>
      </c>
      <c r="C5638" s="167">
        <v>7</v>
      </c>
      <c r="D5638" s="155">
        <v>1</v>
      </c>
      <c r="E5638" s="155">
        <v>3</v>
      </c>
      <c r="F5638" s="155">
        <v>1</v>
      </c>
      <c r="G5638" s="155">
        <v>1</v>
      </c>
      <c r="H5638" s="155">
        <v>1</v>
      </c>
      <c r="I5638" s="155">
        <v>1</v>
      </c>
      <c r="J5638" s="710">
        <f>(VLOOKUP($C5638,[2]Sheet1!$A$2:$P$18,$M5638+1)/12)*12*D5638</f>
        <v>307706.70240000007</v>
      </c>
      <c r="K5638" s="711"/>
      <c r="M5638" s="62">
        <f t="shared" si="435"/>
        <v>3</v>
      </c>
    </row>
    <row r="5639" spans="1:13">
      <c r="A5639" s="88">
        <f t="shared" si="445"/>
        <v>11</v>
      </c>
      <c r="B5639" s="69" t="s">
        <v>1873</v>
      </c>
      <c r="C5639" s="167">
        <v>10</v>
      </c>
      <c r="D5639" s="155">
        <v>0</v>
      </c>
      <c r="E5639" s="155">
        <v>0</v>
      </c>
      <c r="F5639" s="155">
        <v>0</v>
      </c>
      <c r="G5639" s="155">
        <v>0</v>
      </c>
      <c r="H5639" s="155">
        <v>0</v>
      </c>
      <c r="I5639" s="155">
        <v>0</v>
      </c>
      <c r="J5639" s="710">
        <f>(VLOOKUP($C5639,[2]Sheet1!$A$2:$P$18,$M5639+1)/12)*12*D5639</f>
        <v>0</v>
      </c>
      <c r="K5639" s="711"/>
      <c r="M5639" s="62">
        <f t="shared" ref="M5639:M5696" si="446">IF(C5639&gt;6,3,5)</f>
        <v>3</v>
      </c>
    </row>
    <row r="5640" spans="1:13">
      <c r="A5640" s="88">
        <f t="shared" si="445"/>
        <v>12</v>
      </c>
      <c r="B5640" s="69" t="s">
        <v>3332</v>
      </c>
      <c r="C5640" s="167">
        <v>6</v>
      </c>
      <c r="D5640" s="155">
        <v>1</v>
      </c>
      <c r="E5640" s="155">
        <v>1</v>
      </c>
      <c r="F5640" s="155">
        <v>1</v>
      </c>
      <c r="G5640" s="155">
        <v>1</v>
      </c>
      <c r="H5640" s="155">
        <v>1</v>
      </c>
      <c r="I5640" s="155">
        <v>1</v>
      </c>
      <c r="J5640" s="710">
        <f>(VLOOKUP($C5640,[2]Sheet1!$A$2:$P$18,$M5640+1)/12)*12*D5640</f>
        <v>238099.37893036497</v>
      </c>
      <c r="K5640" s="711"/>
      <c r="M5640" s="62">
        <f t="shared" si="446"/>
        <v>5</v>
      </c>
    </row>
    <row r="5641" spans="1:13">
      <c r="A5641" s="88">
        <f t="shared" si="445"/>
        <v>13</v>
      </c>
      <c r="B5641" s="69" t="s">
        <v>2539</v>
      </c>
      <c r="C5641" s="167">
        <v>5</v>
      </c>
      <c r="D5641" s="155">
        <v>1</v>
      </c>
      <c r="E5641" s="155">
        <v>1</v>
      </c>
      <c r="F5641" s="155">
        <v>1</v>
      </c>
      <c r="G5641" s="155">
        <v>1</v>
      </c>
      <c r="H5641" s="155">
        <v>1</v>
      </c>
      <c r="I5641" s="155">
        <v>1</v>
      </c>
      <c r="J5641" s="710">
        <f>(VLOOKUP($C5641,[2]Sheet1!$A$2:$P$18,$M5641+1)/12)*12*D5641</f>
        <v>229569.77893036499</v>
      </c>
      <c r="K5641" s="711"/>
      <c r="M5641" s="62">
        <f t="shared" si="446"/>
        <v>5</v>
      </c>
    </row>
    <row r="5642" spans="1:13">
      <c r="A5642" s="88">
        <f t="shared" si="445"/>
        <v>14</v>
      </c>
      <c r="B5642" s="69" t="s">
        <v>1964</v>
      </c>
      <c r="C5642" s="167">
        <v>4</v>
      </c>
      <c r="D5642" s="155">
        <v>0</v>
      </c>
      <c r="E5642" s="155">
        <v>0</v>
      </c>
      <c r="F5642" s="155">
        <v>0</v>
      </c>
      <c r="G5642" s="155">
        <v>0</v>
      </c>
      <c r="H5642" s="155">
        <v>0</v>
      </c>
      <c r="I5642" s="155">
        <v>0</v>
      </c>
      <c r="J5642" s="710">
        <f>(VLOOKUP($C5642,[2]Sheet1!$A$2:$P$18,$M5642+1)/12)*12*D5642</f>
        <v>0</v>
      </c>
      <c r="K5642" s="711"/>
      <c r="M5642" s="62">
        <f t="shared" si="446"/>
        <v>5</v>
      </c>
    </row>
    <row r="5643" spans="1:13">
      <c r="A5643" s="88">
        <f t="shared" si="445"/>
        <v>15</v>
      </c>
      <c r="B5643" s="69" t="s">
        <v>1965</v>
      </c>
      <c r="C5643" s="167">
        <v>3</v>
      </c>
      <c r="D5643" s="155">
        <v>0</v>
      </c>
      <c r="E5643" s="155">
        <v>0</v>
      </c>
      <c r="F5643" s="155">
        <v>0</v>
      </c>
      <c r="G5643" s="155">
        <v>0</v>
      </c>
      <c r="H5643" s="155">
        <v>0</v>
      </c>
      <c r="I5643" s="155">
        <v>0</v>
      </c>
      <c r="J5643" s="710">
        <f>(VLOOKUP($C5643,[2]Sheet1!$A$2:$P$18,$M5643+1)/12)*12*D5643</f>
        <v>0</v>
      </c>
      <c r="K5643" s="711"/>
      <c r="M5643" s="62">
        <f t="shared" si="446"/>
        <v>5</v>
      </c>
    </row>
    <row r="5644" spans="1:13">
      <c r="A5644" s="88">
        <f t="shared" si="445"/>
        <v>16</v>
      </c>
      <c r="B5644" s="69" t="s">
        <v>4068</v>
      </c>
      <c r="C5644" s="167">
        <v>9</v>
      </c>
      <c r="D5644" s="155">
        <v>0</v>
      </c>
      <c r="E5644" s="155">
        <v>0</v>
      </c>
      <c r="F5644" s="155">
        <v>0</v>
      </c>
      <c r="G5644" s="155">
        <v>0</v>
      </c>
      <c r="H5644" s="155">
        <v>0</v>
      </c>
      <c r="I5644" s="155">
        <v>0</v>
      </c>
      <c r="J5644" s="710">
        <f>(VLOOKUP($C5644,[2]Sheet1!$A$2:$P$18,$M5644+1)/12)*12*D5644</f>
        <v>0</v>
      </c>
      <c r="K5644" s="711"/>
      <c r="M5644" s="62">
        <f t="shared" si="446"/>
        <v>3</v>
      </c>
    </row>
    <row r="5645" spans="1:13">
      <c r="A5645" s="88">
        <f t="shared" si="445"/>
        <v>17</v>
      </c>
      <c r="B5645" s="69" t="s">
        <v>278</v>
      </c>
      <c r="C5645" s="167">
        <v>8</v>
      </c>
      <c r="D5645" s="155">
        <v>0</v>
      </c>
      <c r="E5645" s="155">
        <v>0</v>
      </c>
      <c r="F5645" s="155">
        <v>0</v>
      </c>
      <c r="G5645" s="155">
        <v>0</v>
      </c>
      <c r="H5645" s="155">
        <v>0</v>
      </c>
      <c r="I5645" s="155">
        <v>0</v>
      </c>
      <c r="J5645" s="710">
        <f>(VLOOKUP($C5645,[2]Sheet1!$A$2:$P$18,$M5645+1)/12)*12*D5645</f>
        <v>0</v>
      </c>
      <c r="K5645" s="711"/>
      <c r="M5645" s="62">
        <f t="shared" si="446"/>
        <v>3</v>
      </c>
    </row>
    <row r="5646" spans="1:13">
      <c r="A5646" s="88">
        <f t="shared" si="445"/>
        <v>18</v>
      </c>
      <c r="B5646" s="69" t="s">
        <v>3493</v>
      </c>
      <c r="C5646" s="167">
        <v>7</v>
      </c>
      <c r="D5646" s="155">
        <v>0</v>
      </c>
      <c r="E5646" s="155">
        <v>1</v>
      </c>
      <c r="F5646" s="155">
        <v>0</v>
      </c>
      <c r="G5646" s="155">
        <v>0</v>
      </c>
      <c r="H5646" s="155">
        <v>1</v>
      </c>
      <c r="I5646" s="155">
        <v>0</v>
      </c>
      <c r="J5646" s="710">
        <f>(VLOOKUP($C5646,[2]Sheet1!$A$2:$P$18,$M5646+1)/12)*12*D5646</f>
        <v>0</v>
      </c>
      <c r="K5646" s="711"/>
      <c r="M5646" s="62">
        <f t="shared" si="446"/>
        <v>3</v>
      </c>
    </row>
    <row r="5647" spans="1:13">
      <c r="A5647" s="88">
        <f t="shared" si="445"/>
        <v>19</v>
      </c>
      <c r="B5647" s="69" t="s">
        <v>3898</v>
      </c>
      <c r="C5647" s="167">
        <v>6</v>
      </c>
      <c r="D5647" s="155">
        <v>0</v>
      </c>
      <c r="E5647" s="155">
        <v>1</v>
      </c>
      <c r="F5647" s="155">
        <v>0</v>
      </c>
      <c r="G5647" s="155">
        <v>0</v>
      </c>
      <c r="H5647" s="155">
        <v>1</v>
      </c>
      <c r="I5647" s="155">
        <v>0</v>
      </c>
      <c r="J5647" s="710">
        <f>(VLOOKUP($C5647,[2]Sheet1!$A$2:$P$18,$M5647+1)/12)*12*D5647</f>
        <v>0</v>
      </c>
      <c r="K5647" s="711"/>
      <c r="M5647" s="62">
        <f t="shared" si="446"/>
        <v>5</v>
      </c>
    </row>
    <row r="5648" spans="1:13">
      <c r="A5648" s="88">
        <f t="shared" si="445"/>
        <v>20</v>
      </c>
      <c r="B5648" s="69" t="s">
        <v>279</v>
      </c>
      <c r="C5648" s="167">
        <v>3</v>
      </c>
      <c r="D5648" s="155">
        <v>1</v>
      </c>
      <c r="E5648" s="155">
        <v>1</v>
      </c>
      <c r="F5648" s="155">
        <v>1</v>
      </c>
      <c r="G5648" s="155">
        <v>1</v>
      </c>
      <c r="H5648" s="155">
        <v>1</v>
      </c>
      <c r="I5648" s="155">
        <v>1</v>
      </c>
      <c r="J5648" s="710">
        <f>(VLOOKUP($C5648,[2]Sheet1!$A$2:$P$18,$M5648+1)/12)*12*D5648</f>
        <v>219336.17893036499</v>
      </c>
      <c r="K5648" s="711"/>
      <c r="M5648" s="62">
        <f t="shared" si="446"/>
        <v>5</v>
      </c>
    </row>
    <row r="5649" spans="1:13">
      <c r="A5649" s="88">
        <f t="shared" si="445"/>
        <v>21</v>
      </c>
      <c r="B5649" s="69" t="s">
        <v>2607</v>
      </c>
      <c r="C5649" s="167">
        <v>5</v>
      </c>
      <c r="D5649" s="155">
        <v>1</v>
      </c>
      <c r="E5649" s="155">
        <v>1</v>
      </c>
      <c r="F5649" s="155">
        <v>1</v>
      </c>
      <c r="G5649" s="155">
        <v>1</v>
      </c>
      <c r="H5649" s="155">
        <v>1</v>
      </c>
      <c r="I5649" s="155">
        <v>1</v>
      </c>
      <c r="J5649" s="710">
        <f>(VLOOKUP($C5649,[2]Sheet1!$A$2:$P$18,$M5649+1)/12)*12*D5649</f>
        <v>229569.77893036499</v>
      </c>
      <c r="K5649" s="711"/>
      <c r="M5649" s="62">
        <f t="shared" si="446"/>
        <v>5</v>
      </c>
    </row>
    <row r="5650" spans="1:13">
      <c r="A5650" s="88">
        <f t="shared" si="445"/>
        <v>22</v>
      </c>
      <c r="B5650" s="69" t="s">
        <v>2232</v>
      </c>
      <c r="C5650" s="167">
        <v>4</v>
      </c>
      <c r="D5650" s="155">
        <v>1</v>
      </c>
      <c r="E5650" s="155">
        <v>1</v>
      </c>
      <c r="F5650" s="155">
        <v>1</v>
      </c>
      <c r="G5650" s="155">
        <v>1</v>
      </c>
      <c r="H5650" s="155">
        <v>1</v>
      </c>
      <c r="I5650" s="155">
        <v>1</v>
      </c>
      <c r="J5650" s="710">
        <f>(VLOOKUP($C5650,[2]Sheet1!$A$2:$P$18,$M5650+1)/12)*12*D5650</f>
        <v>224542.978930365</v>
      </c>
      <c r="K5650" s="711"/>
      <c r="M5650" s="62">
        <f t="shared" si="446"/>
        <v>5</v>
      </c>
    </row>
    <row r="5651" spans="1:13">
      <c r="A5651" s="88">
        <f t="shared" si="445"/>
        <v>23</v>
      </c>
      <c r="B5651" s="69" t="s">
        <v>2542</v>
      </c>
      <c r="C5651" s="167">
        <v>4</v>
      </c>
      <c r="D5651" s="155">
        <v>3</v>
      </c>
      <c r="E5651" s="155">
        <v>3</v>
      </c>
      <c r="F5651" s="155">
        <v>3</v>
      </c>
      <c r="G5651" s="155">
        <v>3</v>
      </c>
      <c r="H5651" s="155">
        <v>3</v>
      </c>
      <c r="I5651" s="155">
        <v>3</v>
      </c>
      <c r="J5651" s="710">
        <f>(VLOOKUP($C5651,[2]Sheet1!$A$2:$P$18,$M5651+1)/12)*12*D5651</f>
        <v>673628.93679109495</v>
      </c>
      <c r="K5651" s="711"/>
      <c r="M5651" s="62">
        <f t="shared" si="446"/>
        <v>5</v>
      </c>
    </row>
    <row r="5652" spans="1:13">
      <c r="A5652" s="88">
        <f t="shared" si="445"/>
        <v>24</v>
      </c>
      <c r="B5652" s="69" t="s">
        <v>2543</v>
      </c>
      <c r="C5652" s="167">
        <v>3</v>
      </c>
      <c r="D5652" s="155">
        <v>2</v>
      </c>
      <c r="E5652" s="155">
        <v>2</v>
      </c>
      <c r="F5652" s="155">
        <v>2</v>
      </c>
      <c r="G5652" s="155">
        <v>2</v>
      </c>
      <c r="H5652" s="155">
        <v>2</v>
      </c>
      <c r="I5652" s="155">
        <v>2</v>
      </c>
      <c r="J5652" s="710">
        <f>(VLOOKUP($C5652,[2]Sheet1!$A$2:$P$18,$M5652+1)/12)*12*D5652</f>
        <v>438672.35786072997</v>
      </c>
      <c r="K5652" s="711"/>
      <c r="M5652" s="62">
        <f t="shared" si="446"/>
        <v>5</v>
      </c>
    </row>
    <row r="5653" spans="1:13">
      <c r="A5653" s="88">
        <f t="shared" si="445"/>
        <v>25</v>
      </c>
      <c r="B5653" s="69" t="s">
        <v>3674</v>
      </c>
      <c r="C5653" s="167">
        <v>2</v>
      </c>
      <c r="D5653" s="155">
        <v>0</v>
      </c>
      <c r="E5653" s="155">
        <v>0</v>
      </c>
      <c r="F5653" s="155">
        <v>0</v>
      </c>
      <c r="G5653" s="155">
        <v>0</v>
      </c>
      <c r="H5653" s="155">
        <v>0</v>
      </c>
      <c r="I5653" s="155">
        <v>0</v>
      </c>
      <c r="J5653" s="710">
        <f>(VLOOKUP($C5653,[2]Sheet1!$A$2:$P$18,$M5653+1)/12)*12*D5653</f>
        <v>0</v>
      </c>
      <c r="K5653" s="711"/>
      <c r="M5653" s="62">
        <f t="shared" si="446"/>
        <v>5</v>
      </c>
    </row>
    <row r="5654" spans="1:13">
      <c r="A5654" s="88">
        <f t="shared" si="445"/>
        <v>26</v>
      </c>
      <c r="B5654" s="69" t="s">
        <v>2364</v>
      </c>
      <c r="C5654" s="167">
        <v>2</v>
      </c>
      <c r="D5654" s="155">
        <v>0</v>
      </c>
      <c r="E5654" s="155">
        <v>0</v>
      </c>
      <c r="F5654" s="155">
        <v>0</v>
      </c>
      <c r="G5654" s="155">
        <v>0</v>
      </c>
      <c r="H5654" s="155">
        <v>0</v>
      </c>
      <c r="I5654" s="155">
        <v>0</v>
      </c>
      <c r="J5654" s="710">
        <f>(VLOOKUP($C5654,[2]Sheet1!$A$2:$P$18,$M5654+1)/12)*12*D5654</f>
        <v>0</v>
      </c>
      <c r="K5654" s="711"/>
      <c r="M5654" s="62">
        <f t="shared" si="446"/>
        <v>5</v>
      </c>
    </row>
    <row r="5655" spans="1:13">
      <c r="A5655" s="88">
        <f t="shared" si="445"/>
        <v>27</v>
      </c>
      <c r="B5655" s="69" t="s">
        <v>3858</v>
      </c>
      <c r="C5655" s="167">
        <v>2</v>
      </c>
      <c r="D5655" s="155">
        <v>2</v>
      </c>
      <c r="E5655" s="155">
        <v>2</v>
      </c>
      <c r="F5655" s="155">
        <v>2</v>
      </c>
      <c r="G5655" s="155">
        <v>2</v>
      </c>
      <c r="H5655" s="155">
        <v>2</v>
      </c>
      <c r="I5655" s="155">
        <v>2</v>
      </c>
      <c r="J5655" s="710">
        <f>(VLOOKUP($C5655,[2]Sheet1!$A$2:$P$18,$M5655+1)/12)*12*D5655</f>
        <v>429314.75786073005</v>
      </c>
      <c r="K5655" s="711"/>
      <c r="M5655" s="62">
        <f t="shared" si="446"/>
        <v>5</v>
      </c>
    </row>
    <row r="5656" spans="1:13">
      <c r="A5656" s="88">
        <f t="shared" si="445"/>
        <v>28</v>
      </c>
      <c r="B5656" s="69" t="s">
        <v>1711</v>
      </c>
      <c r="C5656" s="167">
        <v>3</v>
      </c>
      <c r="D5656" s="155">
        <v>1</v>
      </c>
      <c r="E5656" s="155">
        <v>0</v>
      </c>
      <c r="F5656" s="155">
        <v>1</v>
      </c>
      <c r="G5656" s="155">
        <v>1</v>
      </c>
      <c r="H5656" s="155">
        <v>1</v>
      </c>
      <c r="I5656" s="155">
        <v>1</v>
      </c>
      <c r="J5656" s="710">
        <f>(VLOOKUP($C5656,[2]Sheet1!$A$2:$P$18,$M5656+1)/12)*12*D5656</f>
        <v>219336.17893036499</v>
      </c>
      <c r="K5656" s="711"/>
      <c r="M5656" s="62">
        <f t="shared" si="446"/>
        <v>5</v>
      </c>
    </row>
    <row r="5657" spans="1:13">
      <c r="A5657" s="88"/>
      <c r="B5657" s="90" t="s">
        <v>2313</v>
      </c>
      <c r="C5657" s="167"/>
      <c r="D5657" s="155"/>
      <c r="E5657" s="155"/>
      <c r="F5657" s="155"/>
      <c r="G5657" s="155"/>
      <c r="H5657" s="155"/>
      <c r="I5657" s="155"/>
      <c r="J5657" s="710"/>
      <c r="K5657" s="711"/>
      <c r="M5657" s="62">
        <f t="shared" si="446"/>
        <v>5</v>
      </c>
    </row>
    <row r="5658" spans="1:13">
      <c r="A5658" s="88">
        <f>1+A5656</f>
        <v>29</v>
      </c>
      <c r="B5658" s="69" t="s">
        <v>3532</v>
      </c>
      <c r="C5658" s="167">
        <v>16</v>
      </c>
      <c r="D5658" s="155">
        <v>0</v>
      </c>
      <c r="E5658" s="155">
        <v>0</v>
      </c>
      <c r="F5658" s="155">
        <v>0</v>
      </c>
      <c r="G5658" s="155">
        <v>0</v>
      </c>
      <c r="H5658" s="155">
        <v>0</v>
      </c>
      <c r="I5658" s="155">
        <v>0</v>
      </c>
      <c r="J5658" s="710">
        <f>(VLOOKUP($C5658,[2]Sheet1!$A$2:$P$18,$M5658+1)/12)*12*D5658</f>
        <v>0</v>
      </c>
      <c r="K5658" s="711"/>
      <c r="M5658" s="62">
        <f t="shared" si="446"/>
        <v>3</v>
      </c>
    </row>
    <row r="5659" spans="1:13">
      <c r="A5659" s="88">
        <f t="shared" si="445"/>
        <v>30</v>
      </c>
      <c r="B5659" s="69" t="s">
        <v>1855</v>
      </c>
      <c r="C5659" s="167">
        <v>13</v>
      </c>
      <c r="D5659" s="155">
        <v>0</v>
      </c>
      <c r="E5659" s="155">
        <v>0</v>
      </c>
      <c r="F5659" s="155">
        <v>0</v>
      </c>
      <c r="G5659" s="155">
        <v>0</v>
      </c>
      <c r="H5659" s="155">
        <v>0</v>
      </c>
      <c r="I5659" s="155">
        <v>0</v>
      </c>
      <c r="J5659" s="710">
        <f>(VLOOKUP($C5659,[2]Sheet1!$A$2:$P$18,$M5659+1)/12)*12*D5659</f>
        <v>0</v>
      </c>
      <c r="K5659" s="711"/>
      <c r="M5659" s="62">
        <f t="shared" si="446"/>
        <v>3</v>
      </c>
    </row>
    <row r="5660" spans="1:13">
      <c r="A5660" s="88">
        <f t="shared" si="445"/>
        <v>31</v>
      </c>
      <c r="B5660" s="69" t="s">
        <v>1712</v>
      </c>
      <c r="C5660" s="167">
        <v>9</v>
      </c>
      <c r="D5660" s="155">
        <v>0</v>
      </c>
      <c r="E5660" s="155">
        <v>0</v>
      </c>
      <c r="F5660" s="155">
        <v>0</v>
      </c>
      <c r="G5660" s="155">
        <v>0</v>
      </c>
      <c r="H5660" s="155">
        <v>0</v>
      </c>
      <c r="I5660" s="155">
        <v>0</v>
      </c>
      <c r="J5660" s="710">
        <f>(VLOOKUP($C5660,[2]Sheet1!$A$2:$P$18,$M5660+1)/12)*12*D5660</f>
        <v>0</v>
      </c>
      <c r="K5660" s="711"/>
      <c r="M5660" s="62">
        <f t="shared" si="446"/>
        <v>3</v>
      </c>
    </row>
    <row r="5661" spans="1:13">
      <c r="A5661" s="88">
        <f t="shared" si="445"/>
        <v>32</v>
      </c>
      <c r="B5661" s="69" t="s">
        <v>1712</v>
      </c>
      <c r="C5661" s="167">
        <v>6</v>
      </c>
      <c r="D5661" s="155">
        <v>0</v>
      </c>
      <c r="E5661" s="155">
        <v>0</v>
      </c>
      <c r="F5661" s="155">
        <v>0</v>
      </c>
      <c r="G5661" s="155">
        <v>0</v>
      </c>
      <c r="H5661" s="155">
        <v>0</v>
      </c>
      <c r="I5661" s="155">
        <v>0</v>
      </c>
      <c r="J5661" s="710">
        <f>(VLOOKUP($C5661,[2]Sheet1!$A$2:$P$18,$M5661+1)/12)*12*D5661</f>
        <v>0</v>
      </c>
      <c r="K5661" s="711"/>
      <c r="M5661" s="62">
        <f t="shared" si="446"/>
        <v>5</v>
      </c>
    </row>
    <row r="5662" spans="1:13">
      <c r="A5662" s="88">
        <f t="shared" si="445"/>
        <v>33</v>
      </c>
      <c r="B5662" s="69" t="s">
        <v>2778</v>
      </c>
      <c r="C5662" s="167">
        <v>5</v>
      </c>
      <c r="D5662" s="155">
        <v>0</v>
      </c>
      <c r="E5662" s="155">
        <v>0</v>
      </c>
      <c r="F5662" s="155">
        <v>0</v>
      </c>
      <c r="G5662" s="155">
        <v>0</v>
      </c>
      <c r="H5662" s="155">
        <v>0</v>
      </c>
      <c r="I5662" s="155">
        <v>0</v>
      </c>
      <c r="J5662" s="710">
        <f>(VLOOKUP($C5662,[2]Sheet1!$A$2:$P$18,$M5662+1)/12)*12*D5662</f>
        <v>0</v>
      </c>
      <c r="K5662" s="711"/>
      <c r="M5662" s="62">
        <f t="shared" si="446"/>
        <v>5</v>
      </c>
    </row>
    <row r="5663" spans="1:13">
      <c r="A5663" s="88">
        <f t="shared" si="445"/>
        <v>34</v>
      </c>
      <c r="B5663" s="69" t="s">
        <v>2779</v>
      </c>
      <c r="C5663" s="167">
        <v>4</v>
      </c>
      <c r="D5663" s="155">
        <v>0</v>
      </c>
      <c r="E5663" s="155">
        <v>0</v>
      </c>
      <c r="F5663" s="155">
        <v>0</v>
      </c>
      <c r="G5663" s="155">
        <v>0</v>
      </c>
      <c r="H5663" s="155">
        <v>0</v>
      </c>
      <c r="I5663" s="155">
        <v>0</v>
      </c>
      <c r="J5663" s="710">
        <f>(VLOOKUP($C5663,[2]Sheet1!$A$2:$P$18,$M5663+1)/12)*12*D5663</f>
        <v>0</v>
      </c>
      <c r="K5663" s="711"/>
      <c r="M5663" s="62">
        <f t="shared" si="446"/>
        <v>5</v>
      </c>
    </row>
    <row r="5664" spans="1:13" ht="13.5" thickBot="1">
      <c r="A5664" s="88">
        <f t="shared" si="445"/>
        <v>35</v>
      </c>
      <c r="B5664" s="69" t="s">
        <v>2780</v>
      </c>
      <c r="C5664" s="167">
        <v>3</v>
      </c>
      <c r="D5664" s="155">
        <v>0</v>
      </c>
      <c r="E5664" s="155">
        <v>0</v>
      </c>
      <c r="F5664" s="155">
        <v>0</v>
      </c>
      <c r="G5664" s="155">
        <v>0</v>
      </c>
      <c r="H5664" s="155">
        <v>0</v>
      </c>
      <c r="I5664" s="155">
        <v>0</v>
      </c>
      <c r="J5664" s="710">
        <f>(VLOOKUP($C5664,[2]Sheet1!$A$2:$P$18,$M5664+1)/12)*12*D5664</f>
        <v>0</v>
      </c>
      <c r="K5664" s="711"/>
      <c r="M5664" s="62">
        <f t="shared" si="446"/>
        <v>5</v>
      </c>
    </row>
    <row r="5665" spans="1:13" ht="15.75" thickTop="1">
      <c r="A5665" s="1047" t="s">
        <v>2791</v>
      </c>
      <c r="B5665" s="1049" t="s">
        <v>4126</v>
      </c>
      <c r="C5665" s="1049" t="s">
        <v>854</v>
      </c>
      <c r="D5665" s="1040" t="s">
        <v>4127</v>
      </c>
      <c r="E5665" s="1041"/>
      <c r="F5665" s="1041"/>
      <c r="G5665" s="1040" t="s">
        <v>904</v>
      </c>
      <c r="H5665" s="1041"/>
      <c r="I5665" s="1042"/>
      <c r="J5665" s="1035" t="s">
        <v>855</v>
      </c>
      <c r="K5665" s="389"/>
    </row>
    <row r="5666" spans="1:13" ht="26.25" thickBot="1">
      <c r="A5666" s="1048"/>
      <c r="B5666" s="1050"/>
      <c r="C5666" s="1050"/>
      <c r="D5666" s="285" t="s">
        <v>5505</v>
      </c>
      <c r="E5666" s="285" t="s">
        <v>4485</v>
      </c>
      <c r="F5666" s="285" t="s">
        <v>4486</v>
      </c>
      <c r="G5666" s="287" t="s">
        <v>4487</v>
      </c>
      <c r="H5666" s="285" t="s">
        <v>4488</v>
      </c>
      <c r="I5666" s="287" t="s">
        <v>4489</v>
      </c>
      <c r="J5666" s="1036"/>
      <c r="K5666" s="712"/>
    </row>
    <row r="5667" spans="1:13" ht="13.5" thickTop="1">
      <c r="A5667" s="88">
        <f>1+A5664</f>
        <v>36</v>
      </c>
      <c r="B5667" s="69" t="s">
        <v>1533</v>
      </c>
      <c r="C5667" s="167">
        <v>8</v>
      </c>
      <c r="D5667" s="155">
        <v>1</v>
      </c>
      <c r="E5667" s="155">
        <v>1</v>
      </c>
      <c r="F5667" s="155">
        <v>1</v>
      </c>
      <c r="G5667" s="155">
        <v>1</v>
      </c>
      <c r="H5667" s="155">
        <v>1</v>
      </c>
      <c r="I5667" s="155">
        <v>1</v>
      </c>
      <c r="J5667" s="710">
        <f>(VLOOKUP($C5667,[2]Sheet1!$A$2:$P$18,$M5667+1)/12)*12*D5667</f>
        <v>342141.27408</v>
      </c>
      <c r="K5667" s="711"/>
      <c r="M5667" s="62">
        <f t="shared" si="446"/>
        <v>3</v>
      </c>
    </row>
    <row r="5668" spans="1:13">
      <c r="A5668" s="88">
        <f>1+A5667</f>
        <v>37</v>
      </c>
      <c r="B5668" s="69" t="s">
        <v>2769</v>
      </c>
      <c r="C5668" s="167">
        <v>7</v>
      </c>
      <c r="D5668" s="155">
        <v>1</v>
      </c>
      <c r="E5668" s="155">
        <v>1</v>
      </c>
      <c r="F5668" s="155">
        <v>1</v>
      </c>
      <c r="G5668" s="155">
        <v>1</v>
      </c>
      <c r="H5668" s="155">
        <v>1</v>
      </c>
      <c r="I5668" s="155">
        <v>1</v>
      </c>
      <c r="J5668" s="710">
        <f>(VLOOKUP($C5668,[2]Sheet1!$A$2:$P$18,$M5668+1)/12)*12*D5668</f>
        <v>307706.70240000007</v>
      </c>
      <c r="K5668" s="711"/>
      <c r="M5668" s="62">
        <f t="shared" si="446"/>
        <v>3</v>
      </c>
    </row>
    <row r="5669" spans="1:13">
      <c r="A5669" s="88">
        <f t="shared" si="445"/>
        <v>38</v>
      </c>
      <c r="B5669" s="69" t="s">
        <v>602</v>
      </c>
      <c r="C5669" s="167">
        <v>3</v>
      </c>
      <c r="D5669" s="155">
        <v>2</v>
      </c>
      <c r="E5669" s="155">
        <v>1</v>
      </c>
      <c r="F5669" s="155">
        <v>2</v>
      </c>
      <c r="G5669" s="155">
        <v>2</v>
      </c>
      <c r="H5669" s="155">
        <v>2</v>
      </c>
      <c r="I5669" s="155">
        <v>2</v>
      </c>
      <c r="J5669" s="710">
        <f>(VLOOKUP($C5669,[2]Sheet1!$A$2:$P$18,$M5669+1)/12)*12*D5669</f>
        <v>438672.35786072997</v>
      </c>
      <c r="K5669" s="711"/>
      <c r="M5669" s="62">
        <f t="shared" si="446"/>
        <v>5</v>
      </c>
    </row>
    <row r="5670" spans="1:13">
      <c r="A5670" s="88">
        <f t="shared" si="445"/>
        <v>39</v>
      </c>
      <c r="B5670" s="69" t="s">
        <v>3725</v>
      </c>
      <c r="C5670" s="167">
        <v>2</v>
      </c>
      <c r="D5670" s="155">
        <v>0</v>
      </c>
      <c r="E5670" s="155">
        <v>0</v>
      </c>
      <c r="F5670" s="155">
        <v>0</v>
      </c>
      <c r="G5670" s="155">
        <v>0</v>
      </c>
      <c r="H5670" s="155">
        <v>0</v>
      </c>
      <c r="I5670" s="155">
        <v>0</v>
      </c>
      <c r="J5670" s="710">
        <f>(VLOOKUP($C5670,[2]Sheet1!$A$2:$P$18,$M5670+1)/12)*12*D5670</f>
        <v>0</v>
      </c>
      <c r="K5670" s="711"/>
      <c r="M5670" s="62">
        <f t="shared" si="446"/>
        <v>5</v>
      </c>
    </row>
    <row r="5671" spans="1:13">
      <c r="A5671" s="88"/>
      <c r="B5671" s="90" t="s">
        <v>2055</v>
      </c>
      <c r="C5671" s="167"/>
      <c r="D5671" s="155"/>
      <c r="E5671" s="155"/>
      <c r="F5671" s="155"/>
      <c r="G5671" s="155"/>
      <c r="H5671" s="155"/>
      <c r="I5671" s="155"/>
      <c r="J5671" s="710"/>
      <c r="K5671" s="711"/>
      <c r="M5671" s="62">
        <f t="shared" si="446"/>
        <v>5</v>
      </c>
    </row>
    <row r="5672" spans="1:13">
      <c r="A5672" s="88">
        <f>1+A5670</f>
        <v>40</v>
      </c>
      <c r="B5672" s="69" t="s">
        <v>3532</v>
      </c>
      <c r="C5672" s="167">
        <v>16</v>
      </c>
      <c r="D5672" s="155">
        <v>0</v>
      </c>
      <c r="E5672" s="155">
        <v>0</v>
      </c>
      <c r="F5672" s="155">
        <v>0</v>
      </c>
      <c r="G5672" s="155">
        <v>0</v>
      </c>
      <c r="H5672" s="155">
        <v>0</v>
      </c>
      <c r="I5672" s="155">
        <v>0</v>
      </c>
      <c r="J5672" s="710">
        <f>(VLOOKUP($C5672,[2]Sheet1!$A$2:$P$18,$M5672+1)/12)*12*D5672</f>
        <v>0</v>
      </c>
      <c r="K5672" s="711"/>
      <c r="M5672" s="62">
        <f t="shared" si="446"/>
        <v>3</v>
      </c>
    </row>
    <row r="5673" spans="1:13">
      <c r="A5673" s="88">
        <f t="shared" si="445"/>
        <v>41</v>
      </c>
      <c r="B5673" s="69" t="s">
        <v>1732</v>
      </c>
      <c r="C5673" s="167">
        <v>12</v>
      </c>
      <c r="D5673" s="155">
        <v>0</v>
      </c>
      <c r="E5673" s="155">
        <v>0</v>
      </c>
      <c r="F5673" s="155">
        <v>0</v>
      </c>
      <c r="G5673" s="155">
        <v>0</v>
      </c>
      <c r="H5673" s="155">
        <v>0</v>
      </c>
      <c r="I5673" s="155">
        <v>0</v>
      </c>
      <c r="J5673" s="710">
        <f>(VLOOKUP($C5673,[2]Sheet1!$A$2:$P$18,$M5673+1)/12)*12*D5673</f>
        <v>0</v>
      </c>
      <c r="K5673" s="711"/>
      <c r="M5673" s="62">
        <f t="shared" si="446"/>
        <v>3</v>
      </c>
    </row>
    <row r="5674" spans="1:13">
      <c r="A5674" s="88">
        <f t="shared" si="445"/>
        <v>42</v>
      </c>
      <c r="B5674" s="69" t="s">
        <v>2770</v>
      </c>
      <c r="C5674" s="167">
        <v>8</v>
      </c>
      <c r="D5674" s="155">
        <v>0</v>
      </c>
      <c r="E5674" s="155">
        <v>2</v>
      </c>
      <c r="F5674" s="155">
        <v>0</v>
      </c>
      <c r="G5674" s="155">
        <v>0</v>
      </c>
      <c r="H5674" s="155">
        <v>1</v>
      </c>
      <c r="I5674" s="155">
        <v>0</v>
      </c>
      <c r="J5674" s="710">
        <f>(VLOOKUP($C5674,[2]Sheet1!$A$2:$P$18,$M5674+1)/12)*12*D5674</f>
        <v>0</v>
      </c>
      <c r="K5674" s="711"/>
      <c r="M5674" s="62">
        <f t="shared" si="446"/>
        <v>3</v>
      </c>
    </row>
    <row r="5675" spans="1:13">
      <c r="A5675" s="88">
        <f t="shared" si="445"/>
        <v>43</v>
      </c>
      <c r="B5675" s="69" t="s">
        <v>2771</v>
      </c>
      <c r="C5675" s="167">
        <v>7</v>
      </c>
      <c r="D5675" s="155">
        <v>0</v>
      </c>
      <c r="E5675" s="155">
        <v>0</v>
      </c>
      <c r="F5675" s="155">
        <v>0</v>
      </c>
      <c r="G5675" s="155">
        <v>0</v>
      </c>
      <c r="H5675" s="155">
        <v>0</v>
      </c>
      <c r="I5675" s="155">
        <v>0</v>
      </c>
      <c r="J5675" s="710">
        <f>(VLOOKUP($C5675,[2]Sheet1!$A$2:$P$18,$M5675+1)/12)*12*D5675</f>
        <v>0</v>
      </c>
      <c r="K5675" s="711"/>
      <c r="M5675" s="62">
        <f t="shared" si="446"/>
        <v>3</v>
      </c>
    </row>
    <row r="5676" spans="1:13">
      <c r="A5676" s="88">
        <f t="shared" si="445"/>
        <v>44</v>
      </c>
      <c r="B5676" s="69" t="s">
        <v>199</v>
      </c>
      <c r="C5676" s="167">
        <v>6</v>
      </c>
      <c r="D5676" s="155">
        <v>0</v>
      </c>
      <c r="E5676" s="155">
        <v>2</v>
      </c>
      <c r="F5676" s="155">
        <v>0</v>
      </c>
      <c r="G5676" s="155">
        <v>0</v>
      </c>
      <c r="H5676" s="155">
        <v>1</v>
      </c>
      <c r="I5676" s="155">
        <v>0</v>
      </c>
      <c r="J5676" s="710">
        <f>(VLOOKUP($C5676,[2]Sheet1!$A$2:$P$18,$M5676+1)/12)*12*D5676</f>
        <v>0</v>
      </c>
      <c r="K5676" s="711"/>
      <c r="M5676" s="62">
        <f t="shared" si="446"/>
        <v>5</v>
      </c>
    </row>
    <row r="5677" spans="1:13">
      <c r="A5677" s="88">
        <f t="shared" si="445"/>
        <v>45</v>
      </c>
      <c r="B5677" s="69" t="s">
        <v>200</v>
      </c>
      <c r="C5677" s="167">
        <v>3</v>
      </c>
      <c r="D5677" s="155">
        <v>0</v>
      </c>
      <c r="E5677" s="155">
        <v>0</v>
      </c>
      <c r="F5677" s="155">
        <v>0</v>
      </c>
      <c r="G5677" s="155">
        <v>0</v>
      </c>
      <c r="H5677" s="155">
        <v>0</v>
      </c>
      <c r="I5677" s="155">
        <v>0</v>
      </c>
      <c r="J5677" s="710">
        <f>(VLOOKUP($C5677,[2]Sheet1!$A$2:$P$18,$M5677+1)/12)*12*D5677</f>
        <v>0</v>
      </c>
      <c r="K5677" s="711"/>
      <c r="M5677" s="62">
        <f t="shared" si="446"/>
        <v>5</v>
      </c>
    </row>
    <row r="5678" spans="1:13">
      <c r="A5678" s="88">
        <f t="shared" si="445"/>
        <v>46</v>
      </c>
      <c r="B5678" s="69" t="s">
        <v>3045</v>
      </c>
      <c r="C5678" s="167">
        <v>3</v>
      </c>
      <c r="D5678" s="155">
        <v>0</v>
      </c>
      <c r="E5678" s="155">
        <v>0</v>
      </c>
      <c r="F5678" s="155">
        <v>0</v>
      </c>
      <c r="G5678" s="155">
        <v>0</v>
      </c>
      <c r="H5678" s="155">
        <v>0</v>
      </c>
      <c r="I5678" s="155">
        <v>0</v>
      </c>
      <c r="J5678" s="710">
        <f>(VLOOKUP($C5678,[2]Sheet1!$A$2:$P$18,$M5678+1)/12)*12*D5678</f>
        <v>0</v>
      </c>
      <c r="K5678" s="711"/>
      <c r="M5678" s="62">
        <f t="shared" si="446"/>
        <v>5</v>
      </c>
    </row>
    <row r="5679" spans="1:13">
      <c r="A5679" s="88"/>
      <c r="B5679" s="90" t="s">
        <v>201</v>
      </c>
      <c r="C5679" s="167"/>
      <c r="D5679" s="155"/>
      <c r="E5679" s="155"/>
      <c r="F5679" s="155"/>
      <c r="G5679" s="155"/>
      <c r="H5679" s="155"/>
      <c r="I5679" s="155"/>
      <c r="J5679" s="710"/>
      <c r="K5679" s="711"/>
      <c r="M5679" s="62">
        <f t="shared" si="446"/>
        <v>5</v>
      </c>
    </row>
    <row r="5680" spans="1:13">
      <c r="A5680" s="88">
        <f>1+A5678</f>
        <v>47</v>
      </c>
      <c r="B5680" s="69" t="s">
        <v>2605</v>
      </c>
      <c r="C5680" s="167">
        <v>10</v>
      </c>
      <c r="D5680" s="155">
        <v>0</v>
      </c>
      <c r="E5680" s="155">
        <v>0</v>
      </c>
      <c r="F5680" s="155">
        <v>0</v>
      </c>
      <c r="G5680" s="155">
        <v>0</v>
      </c>
      <c r="H5680" s="155">
        <v>0</v>
      </c>
      <c r="I5680" s="155">
        <v>0</v>
      </c>
      <c r="J5680" s="710">
        <f>(VLOOKUP($C5680,[2]Sheet1!$A$2:$P$18,$M5680+1)/12)*12*D5680</f>
        <v>0</v>
      </c>
      <c r="K5680" s="711"/>
      <c r="M5680" s="62">
        <f t="shared" si="446"/>
        <v>3</v>
      </c>
    </row>
    <row r="5681" spans="1:13">
      <c r="A5681" s="88">
        <f t="shared" si="445"/>
        <v>48</v>
      </c>
      <c r="B5681" s="69" t="s">
        <v>2000</v>
      </c>
      <c r="C5681" s="167">
        <v>8</v>
      </c>
      <c r="D5681" s="155">
        <v>0</v>
      </c>
      <c r="E5681" s="155">
        <v>0</v>
      </c>
      <c r="F5681" s="155">
        <v>0</v>
      </c>
      <c r="G5681" s="155">
        <v>0</v>
      </c>
      <c r="H5681" s="155">
        <v>0</v>
      </c>
      <c r="I5681" s="155">
        <v>0</v>
      </c>
      <c r="J5681" s="710">
        <f>(VLOOKUP($C5681,[2]Sheet1!$A$2:$P$18,$M5681+1)/12)*12*D5681</f>
        <v>0</v>
      </c>
      <c r="K5681" s="711"/>
      <c r="M5681" s="62">
        <f t="shared" si="446"/>
        <v>3</v>
      </c>
    </row>
    <row r="5682" spans="1:13">
      <c r="A5682" s="88">
        <f t="shared" si="445"/>
        <v>49</v>
      </c>
      <c r="B5682" s="69" t="s">
        <v>602</v>
      </c>
      <c r="C5682" s="167">
        <v>3</v>
      </c>
      <c r="D5682" s="155">
        <v>1</v>
      </c>
      <c r="E5682" s="155">
        <v>2</v>
      </c>
      <c r="F5682" s="155">
        <v>1</v>
      </c>
      <c r="G5682" s="155">
        <v>1</v>
      </c>
      <c r="H5682" s="155">
        <v>1</v>
      </c>
      <c r="I5682" s="155">
        <v>1</v>
      </c>
      <c r="J5682" s="710">
        <f>(VLOOKUP($C5682,[2]Sheet1!$A$2:$P$18,$M5682+1)/12)*12*D5682</f>
        <v>219336.17893036499</v>
      </c>
      <c r="K5682" s="711"/>
      <c r="M5682" s="62">
        <f t="shared" si="446"/>
        <v>5</v>
      </c>
    </row>
    <row r="5683" spans="1:13">
      <c r="A5683" s="88">
        <f t="shared" si="445"/>
        <v>50</v>
      </c>
      <c r="B5683" s="69" t="s">
        <v>202</v>
      </c>
      <c r="C5683" s="167">
        <v>7</v>
      </c>
      <c r="D5683" s="155">
        <v>1</v>
      </c>
      <c r="E5683" s="155">
        <v>0</v>
      </c>
      <c r="F5683" s="155">
        <v>1</v>
      </c>
      <c r="G5683" s="155">
        <v>1</v>
      </c>
      <c r="H5683" s="155">
        <v>1</v>
      </c>
      <c r="I5683" s="155">
        <v>1</v>
      </c>
      <c r="J5683" s="710">
        <f>(VLOOKUP($C5683,[2]Sheet1!$A$2:$P$18,$M5683+1)/12)*12*D5683</f>
        <v>307706.70240000007</v>
      </c>
      <c r="K5683" s="711"/>
      <c r="M5683" s="62">
        <f t="shared" si="446"/>
        <v>3</v>
      </c>
    </row>
    <row r="5684" spans="1:13">
      <c r="A5684" s="88"/>
      <c r="B5684" s="69"/>
      <c r="C5684" s="167"/>
      <c r="D5684" s="155"/>
      <c r="E5684" s="155"/>
      <c r="F5684" s="155"/>
      <c r="G5684" s="155"/>
      <c r="H5684" s="155"/>
      <c r="I5684" s="155"/>
      <c r="J5684" s="710"/>
      <c r="K5684" s="711"/>
      <c r="M5684" s="62">
        <f t="shared" si="446"/>
        <v>5</v>
      </c>
    </row>
    <row r="5685" spans="1:13">
      <c r="A5685" s="92"/>
      <c r="B5685" s="93" t="s">
        <v>2531</v>
      </c>
      <c r="C5685" s="169">
        <f t="shared" ref="C5685:J5685" si="447">SUM(C5628:C5684)</f>
        <v>341</v>
      </c>
      <c r="D5685" s="169">
        <f t="shared" si="447"/>
        <v>33</v>
      </c>
      <c r="E5685" s="169">
        <f t="shared" si="447"/>
        <v>34</v>
      </c>
      <c r="F5685" s="169">
        <f t="shared" si="447"/>
        <v>33</v>
      </c>
      <c r="G5685" s="169">
        <f>SUM(G5628:G5684)</f>
        <v>33</v>
      </c>
      <c r="H5685" s="169">
        <f t="shared" si="447"/>
        <v>32</v>
      </c>
      <c r="I5685" s="169">
        <f t="shared" si="447"/>
        <v>33</v>
      </c>
      <c r="J5685" s="169">
        <f t="shared" si="447"/>
        <v>21562834.200217839</v>
      </c>
      <c r="K5685" s="385"/>
      <c r="M5685" s="62">
        <f t="shared" si="446"/>
        <v>3</v>
      </c>
    </row>
    <row r="5686" spans="1:13">
      <c r="A5686" s="170"/>
      <c r="B5686" s="97" t="s">
        <v>1199</v>
      </c>
      <c r="C5686" s="167"/>
      <c r="D5686" s="155"/>
      <c r="E5686" s="155"/>
      <c r="F5686" s="99"/>
      <c r="G5686" s="240" t="s">
        <v>243</v>
      </c>
      <c r="H5686" s="240" t="s">
        <v>4130</v>
      </c>
      <c r="I5686" s="240" t="s">
        <v>4202</v>
      </c>
      <c r="J5686" s="241" t="s">
        <v>4200</v>
      </c>
      <c r="K5686" s="375"/>
      <c r="M5686" s="62">
        <f t="shared" si="446"/>
        <v>5</v>
      </c>
    </row>
    <row r="5687" spans="1:13">
      <c r="A5687" s="88">
        <v>1</v>
      </c>
      <c r="B5687" s="69" t="s">
        <v>763</v>
      </c>
      <c r="C5687" s="167"/>
      <c r="D5687" s="155"/>
      <c r="E5687" s="155"/>
      <c r="F5687" s="89"/>
      <c r="G5687" s="100">
        <f>J5685*0.2</f>
        <v>4312566.8400435681</v>
      </c>
      <c r="H5687" s="100">
        <f t="shared" ref="H5687:I5689" si="448">G5687*1.02</f>
        <v>4398818.1768444395</v>
      </c>
      <c r="I5687" s="100">
        <f t="shared" si="448"/>
        <v>4486794.5403813282</v>
      </c>
      <c r="J5687" s="100">
        <f>SUM(G5687:I5687)</f>
        <v>13198179.557269335</v>
      </c>
      <c r="K5687" s="114"/>
      <c r="M5687" s="62">
        <f t="shared" si="446"/>
        <v>5</v>
      </c>
    </row>
    <row r="5688" spans="1:13">
      <c r="A5688" s="88">
        <v>2</v>
      </c>
      <c r="B5688" s="69" t="s">
        <v>2839</v>
      </c>
      <c r="C5688" s="167"/>
      <c r="D5688" s="155"/>
      <c r="E5688" s="155"/>
      <c r="F5688" s="89"/>
      <c r="G5688" s="100">
        <v>428103.11336000002</v>
      </c>
      <c r="H5688" s="100">
        <f t="shared" si="448"/>
        <v>436665.17562720005</v>
      </c>
      <c r="I5688" s="100">
        <f t="shared" si="448"/>
        <v>445398.47913974407</v>
      </c>
      <c r="J5688" s="100">
        <f>SUM(G5688:I5688)</f>
        <v>1310166.7681269441</v>
      </c>
      <c r="K5688" s="114"/>
      <c r="M5688" s="62">
        <f t="shared" si="446"/>
        <v>5</v>
      </c>
    </row>
    <row r="5689" spans="1:13">
      <c r="A5689" s="88">
        <f>A5688+1</f>
        <v>3</v>
      </c>
      <c r="B5689" s="69" t="s">
        <v>1040</v>
      </c>
      <c r="C5689" s="167"/>
      <c r="D5689" s="155"/>
      <c r="E5689" s="155"/>
      <c r="F5689" s="89"/>
      <c r="G5689" s="100">
        <v>8014051.5566799995</v>
      </c>
      <c r="H5689" s="100">
        <f t="shared" si="448"/>
        <v>8174332.5878136</v>
      </c>
      <c r="I5689" s="100">
        <f t="shared" si="448"/>
        <v>8337819.2395698717</v>
      </c>
      <c r="J5689" s="100">
        <f>SUM(G5689:I5689)</f>
        <v>24526203.384063471</v>
      </c>
      <c r="K5689" s="114"/>
      <c r="M5689" s="62">
        <f t="shared" si="446"/>
        <v>5</v>
      </c>
    </row>
    <row r="5690" spans="1:13">
      <c r="A5690" s="88"/>
      <c r="B5690" s="69"/>
      <c r="C5690" s="167"/>
      <c r="D5690" s="155"/>
      <c r="E5690" s="155"/>
      <c r="F5690" s="155"/>
      <c r="G5690" s="155"/>
      <c r="H5690" s="155"/>
      <c r="I5690" s="155"/>
      <c r="J5690" s="155"/>
      <c r="K5690" s="386"/>
      <c r="M5690" s="62">
        <f t="shared" si="446"/>
        <v>5</v>
      </c>
    </row>
    <row r="5691" spans="1:13">
      <c r="A5691" s="92"/>
      <c r="B5691" s="93" t="s">
        <v>2531</v>
      </c>
      <c r="C5691" s="168"/>
      <c r="D5691" s="171"/>
      <c r="E5691" s="171"/>
      <c r="F5691" s="169"/>
      <c r="G5691" s="169">
        <f>SUM(G5687:G5690)</f>
        <v>12754721.510083567</v>
      </c>
      <c r="H5691" s="169">
        <f>SUM(H5687:H5690)</f>
        <v>13009815.940285239</v>
      </c>
      <c r="I5691" s="169">
        <f>SUM(I5687:I5690)</f>
        <v>13270012.259090945</v>
      </c>
      <c r="J5691" s="169">
        <f>SUM(J5687:J5690)</f>
        <v>39034549.709459752</v>
      </c>
      <c r="K5691" s="385"/>
      <c r="M5691" s="62">
        <f t="shared" si="446"/>
        <v>5</v>
      </c>
    </row>
    <row r="5692" spans="1:13">
      <c r="A5692" s="88"/>
      <c r="B5692" s="69"/>
      <c r="C5692" s="167"/>
      <c r="D5692" s="155"/>
      <c r="E5692" s="155"/>
      <c r="F5692" s="155"/>
      <c r="G5692" s="155"/>
      <c r="H5692" s="155"/>
      <c r="I5692" s="155"/>
      <c r="J5692" s="155"/>
      <c r="K5692" s="386"/>
      <c r="M5692" s="62">
        <f t="shared" si="446"/>
        <v>5</v>
      </c>
    </row>
    <row r="5693" spans="1:13">
      <c r="A5693" s="88"/>
      <c r="B5693" s="69" t="s">
        <v>926</v>
      </c>
      <c r="C5693" s="167"/>
      <c r="D5693" s="155"/>
      <c r="E5693" s="155"/>
      <c r="F5693" s="155"/>
      <c r="G5693" s="100">
        <f>G5691+J5685</f>
        <v>34317555.710301407</v>
      </c>
      <c r="H5693" s="100">
        <f>G5693*1.02</f>
        <v>35003906.824507438</v>
      </c>
      <c r="I5693" s="100">
        <f>H5693*1.02</f>
        <v>35703984.960997589</v>
      </c>
      <c r="J5693" s="100">
        <f>SUM(G5693:I5693)</f>
        <v>105025447.49580643</v>
      </c>
      <c r="K5693" s="114"/>
      <c r="L5693" s="112"/>
      <c r="M5693" s="62">
        <f t="shared" si="446"/>
        <v>5</v>
      </c>
    </row>
    <row r="5694" spans="1:13">
      <c r="A5694" s="88"/>
      <c r="B5694" s="69" t="s">
        <v>2121</v>
      </c>
      <c r="C5694" s="167"/>
      <c r="D5694" s="155"/>
      <c r="E5694" s="155"/>
      <c r="F5694" s="155"/>
      <c r="G5694" s="155">
        <f>C5726</f>
        <v>13700000</v>
      </c>
      <c r="H5694" s="155">
        <f>D5726</f>
        <v>13870000</v>
      </c>
      <c r="I5694" s="155">
        <f>E5726</f>
        <v>14907000</v>
      </c>
      <c r="J5694" s="100">
        <f>SUM(G5694:I5694)</f>
        <v>42477000</v>
      </c>
      <c r="K5694" s="114"/>
      <c r="M5694" s="62">
        <f t="shared" si="446"/>
        <v>5</v>
      </c>
    </row>
    <row r="5695" spans="1:13">
      <c r="A5695" s="88"/>
      <c r="B5695" s="69"/>
      <c r="C5695" s="167"/>
      <c r="D5695" s="155"/>
      <c r="E5695" s="155"/>
      <c r="F5695" s="155"/>
      <c r="G5695" s="155"/>
      <c r="H5695" s="155"/>
      <c r="I5695" s="155"/>
      <c r="J5695" s="155"/>
      <c r="K5695" s="386"/>
      <c r="M5695" s="62">
        <f t="shared" si="446"/>
        <v>5</v>
      </c>
    </row>
    <row r="5696" spans="1:13" ht="13.5" thickBot="1">
      <c r="A5696" s="102"/>
      <c r="B5696" s="103" t="s">
        <v>2241</v>
      </c>
      <c r="C5696" s="172"/>
      <c r="D5696" s="173"/>
      <c r="E5696" s="173"/>
      <c r="F5696" s="174"/>
      <c r="G5696" s="174">
        <f>SUM(G5693:G5695)</f>
        <v>48017555.710301407</v>
      </c>
      <c r="H5696" s="174">
        <f>SUM(H5693:H5695)</f>
        <v>48873906.824507438</v>
      </c>
      <c r="I5696" s="174">
        <f>SUM(I5693:I5695)</f>
        <v>50610984.960997589</v>
      </c>
      <c r="J5696" s="174">
        <f>SUM(J5693:J5695)</f>
        <v>147502447.49580643</v>
      </c>
      <c r="K5696" s="385"/>
      <c r="M5696" s="62">
        <f t="shared" si="446"/>
        <v>5</v>
      </c>
    </row>
    <row r="5697" spans="1:13" ht="15.75" thickTop="1">
      <c r="C5697" s="175"/>
      <c r="D5697" s="165"/>
      <c r="E5697" s="165"/>
      <c r="F5697" s="165"/>
      <c r="G5697" s="165"/>
      <c r="H5697" s="165"/>
      <c r="I5697" s="165"/>
      <c r="J5697" s="584"/>
      <c r="K5697" s="584"/>
      <c r="M5697" s="62">
        <f t="shared" ref="M5697:M5757" si="449">IF(C5697&gt;6,3,5)</f>
        <v>5</v>
      </c>
    </row>
    <row r="5698" spans="1:13" ht="15">
      <c r="C5698" s="163"/>
      <c r="D5698" s="164" t="s">
        <v>5434</v>
      </c>
      <c r="E5698" s="165"/>
      <c r="F5698" s="165"/>
      <c r="G5698" s="165"/>
      <c r="H5698" s="165"/>
      <c r="I5698" s="165"/>
      <c r="J5698" s="584"/>
      <c r="K5698" s="584"/>
      <c r="M5698" s="62">
        <f t="shared" si="449"/>
        <v>5</v>
      </c>
    </row>
    <row r="5699" spans="1:13" ht="15">
      <c r="C5699" s="166"/>
      <c r="D5699" s="78" t="s">
        <v>716</v>
      </c>
      <c r="E5699" s="165"/>
      <c r="F5699" s="165"/>
      <c r="G5699" s="165"/>
      <c r="H5699" s="165"/>
      <c r="I5699" s="165"/>
      <c r="J5699" s="584"/>
      <c r="K5699" s="584"/>
      <c r="M5699" s="62">
        <f t="shared" si="449"/>
        <v>5</v>
      </c>
    </row>
    <row r="5700" spans="1:13" ht="15">
      <c r="C5700" s="79" t="s">
        <v>717</v>
      </c>
      <c r="D5700" s="164" t="s">
        <v>189</v>
      </c>
      <c r="E5700" s="165"/>
      <c r="F5700" s="165"/>
      <c r="G5700" s="165"/>
      <c r="H5700" s="165"/>
      <c r="I5700" s="165"/>
      <c r="J5700" s="584"/>
      <c r="K5700" s="584"/>
      <c r="M5700" s="62">
        <f t="shared" si="449"/>
        <v>3</v>
      </c>
    </row>
    <row r="5701" spans="1:13" ht="15">
      <c r="C5701" s="79" t="s">
        <v>718</v>
      </c>
      <c r="D5701" s="164" t="s">
        <v>14</v>
      </c>
      <c r="E5701" s="165"/>
      <c r="F5701" s="165"/>
      <c r="G5701" s="165"/>
      <c r="H5701" s="165"/>
      <c r="I5701" s="165"/>
      <c r="J5701" s="584"/>
      <c r="K5701" s="584"/>
      <c r="M5701" s="62">
        <f t="shared" si="449"/>
        <v>3</v>
      </c>
    </row>
    <row r="5702" spans="1:13" ht="15">
      <c r="A5702" s="634" t="s">
        <v>1839</v>
      </c>
      <c r="B5702" s="635" t="s">
        <v>903</v>
      </c>
      <c r="C5702" s="1037" t="s">
        <v>4127</v>
      </c>
      <c r="D5702" s="1038"/>
      <c r="E5702" s="1039"/>
      <c r="F5702" s="635" t="s">
        <v>1684</v>
      </c>
      <c r="G5702" s="1037" t="s">
        <v>4132</v>
      </c>
      <c r="H5702" s="1038"/>
      <c r="I5702" s="1039"/>
      <c r="J5702" s="726"/>
      <c r="K5702" s="727"/>
    </row>
    <row r="5703" spans="1:13">
      <c r="A5703" s="636" t="s">
        <v>1620</v>
      </c>
      <c r="B5703" s="637"/>
      <c r="C5703" s="635" t="s">
        <v>1841</v>
      </c>
      <c r="D5703" s="635" t="s">
        <v>4133</v>
      </c>
      <c r="E5703" s="635" t="s">
        <v>4133</v>
      </c>
      <c r="F5703" s="1056" t="s">
        <v>4200</v>
      </c>
      <c r="G5703" s="634" t="s">
        <v>4135</v>
      </c>
      <c r="H5703" s="1051" t="s">
        <v>4182</v>
      </c>
      <c r="I5703" s="634" t="s">
        <v>4135</v>
      </c>
      <c r="J5703" s="728" t="s">
        <v>4136</v>
      </c>
      <c r="K5703" s="727"/>
    </row>
    <row r="5704" spans="1:13" ht="12.75" customHeight="1">
      <c r="A5704" s="638" t="s">
        <v>387</v>
      </c>
      <c r="B5704" s="639"/>
      <c r="C5704" s="638">
        <v>2015</v>
      </c>
      <c r="D5704" s="638">
        <v>2016</v>
      </c>
      <c r="E5704" s="638">
        <v>2017</v>
      </c>
      <c r="F5704" s="1057"/>
      <c r="G5704" s="638" t="s">
        <v>4304</v>
      </c>
      <c r="H5704" s="1052"/>
      <c r="I5704" s="638" t="s">
        <v>4303</v>
      </c>
      <c r="J5704" s="639"/>
      <c r="K5704" s="729"/>
    </row>
    <row r="5705" spans="1:13">
      <c r="A5705" s="822"/>
      <c r="B5705" s="823"/>
      <c r="C5705" s="824"/>
      <c r="D5705" s="824"/>
      <c r="E5705" s="824"/>
      <c r="F5705" s="824"/>
      <c r="G5705" s="824"/>
      <c r="H5705" s="824"/>
      <c r="I5705" s="824"/>
      <c r="J5705" s="824"/>
      <c r="K5705" s="734"/>
      <c r="M5705" s="62" t="e">
        <f>IF(#REF!&gt;6,3,5)</f>
        <v>#REF!</v>
      </c>
    </row>
    <row r="5706" spans="1:13">
      <c r="A5706" s="822">
        <v>2</v>
      </c>
      <c r="B5706" s="823" t="s">
        <v>768</v>
      </c>
      <c r="C5706" s="824">
        <v>1000000</v>
      </c>
      <c r="D5706" s="824">
        <f>C5706*1.1</f>
        <v>1100000</v>
      </c>
      <c r="E5706" s="824">
        <f>D5706*1.1</f>
        <v>1210000</v>
      </c>
      <c r="F5706" s="824">
        <f>SUM(C5706:E5706)</f>
        <v>3310000</v>
      </c>
      <c r="G5706" s="824">
        <v>495000</v>
      </c>
      <c r="H5706" s="824">
        <v>1500000</v>
      </c>
      <c r="I5706" s="824">
        <v>660000</v>
      </c>
      <c r="J5706" s="824"/>
      <c r="K5706" s="734"/>
      <c r="M5706" s="62" t="e">
        <f>IF(#REF!&gt;6,3,5)</f>
        <v>#REF!</v>
      </c>
    </row>
    <row r="5707" spans="1:13">
      <c r="A5707" s="822">
        <f t="shared" ref="A5707:A5724" si="450">+A5706+1</f>
        <v>3</v>
      </c>
      <c r="B5707" s="768" t="s">
        <v>1696</v>
      </c>
      <c r="C5707" s="834" t="s">
        <v>4297</v>
      </c>
      <c r="D5707" s="824" t="s">
        <v>1386</v>
      </c>
      <c r="E5707" s="824" t="s">
        <v>1386</v>
      </c>
      <c r="F5707" s="824">
        <f t="shared" ref="F5707:F5724" si="451">SUM(C5707:E5707)</f>
        <v>0</v>
      </c>
      <c r="G5707" s="824"/>
      <c r="H5707" s="824" t="s">
        <v>1386</v>
      </c>
      <c r="I5707" s="824"/>
      <c r="J5707" s="824"/>
      <c r="K5707" s="734"/>
      <c r="M5707" s="62" t="e">
        <f>IF(#REF!&gt;6,3,5)</f>
        <v>#REF!</v>
      </c>
    </row>
    <row r="5708" spans="1:13">
      <c r="A5708" s="822">
        <f t="shared" si="450"/>
        <v>4</v>
      </c>
      <c r="B5708" s="768" t="s">
        <v>1701</v>
      </c>
      <c r="C5708" s="824" t="s">
        <v>1386</v>
      </c>
      <c r="D5708" s="824" t="s">
        <v>1386</v>
      </c>
      <c r="E5708" s="824" t="s">
        <v>1386</v>
      </c>
      <c r="F5708" s="824">
        <f t="shared" si="451"/>
        <v>0</v>
      </c>
      <c r="G5708" s="824"/>
      <c r="H5708" s="824" t="s">
        <v>1386</v>
      </c>
      <c r="I5708" s="824"/>
      <c r="J5708" s="824"/>
      <c r="K5708" s="734"/>
      <c r="M5708" s="62" t="e">
        <f>IF(#REF!&gt;6,3,5)</f>
        <v>#REF!</v>
      </c>
    </row>
    <row r="5709" spans="1:13">
      <c r="A5709" s="822">
        <f t="shared" si="450"/>
        <v>5</v>
      </c>
      <c r="B5709" s="768" t="s">
        <v>998</v>
      </c>
      <c r="C5709" s="824">
        <v>1000000</v>
      </c>
      <c r="D5709" s="824">
        <f t="shared" ref="D5709:E5711" si="452">C5709*1.1</f>
        <v>1100000</v>
      </c>
      <c r="E5709" s="824">
        <f t="shared" si="452"/>
        <v>1210000</v>
      </c>
      <c r="F5709" s="824">
        <f t="shared" si="451"/>
        <v>3310000</v>
      </c>
      <c r="G5709" s="824">
        <v>165000</v>
      </c>
      <c r="H5709" s="824">
        <v>300000</v>
      </c>
      <c r="I5709" s="824">
        <v>165000</v>
      </c>
      <c r="J5709" s="824"/>
      <c r="K5709" s="734"/>
      <c r="M5709" s="62" t="e">
        <f>IF(#REF!&gt;6,3,5)</f>
        <v>#REF!</v>
      </c>
    </row>
    <row r="5710" spans="1:13">
      <c r="A5710" s="822">
        <f t="shared" si="450"/>
        <v>6</v>
      </c>
      <c r="B5710" s="768" t="s">
        <v>1072</v>
      </c>
      <c r="C5710" s="824">
        <v>800000</v>
      </c>
      <c r="D5710" s="824">
        <f t="shared" si="452"/>
        <v>880000.00000000012</v>
      </c>
      <c r="E5710" s="824">
        <f t="shared" si="452"/>
        <v>968000.00000000023</v>
      </c>
      <c r="F5710" s="824">
        <f t="shared" si="451"/>
        <v>2648000</v>
      </c>
      <c r="G5710" s="824"/>
      <c r="H5710" s="824">
        <v>500000</v>
      </c>
      <c r="I5710" s="824">
        <v>149000</v>
      </c>
      <c r="J5710" s="824"/>
      <c r="K5710" s="734"/>
      <c r="M5710" s="62" t="e">
        <f>IF(#REF!&gt;6,3,5)</f>
        <v>#REF!</v>
      </c>
    </row>
    <row r="5711" spans="1:13" ht="25.5">
      <c r="A5711" s="822">
        <f t="shared" si="450"/>
        <v>7</v>
      </c>
      <c r="B5711" s="773" t="s">
        <v>1073</v>
      </c>
      <c r="C5711" s="824">
        <v>700000</v>
      </c>
      <c r="D5711" s="824">
        <f t="shared" si="452"/>
        <v>770000.00000000012</v>
      </c>
      <c r="E5711" s="824">
        <f t="shared" si="452"/>
        <v>847000.00000000023</v>
      </c>
      <c r="F5711" s="824">
        <f t="shared" si="451"/>
        <v>2317000</v>
      </c>
      <c r="G5711" s="824">
        <v>97000</v>
      </c>
      <c r="H5711" s="824">
        <v>500000</v>
      </c>
      <c r="I5711" s="824">
        <v>161000</v>
      </c>
      <c r="J5711" s="824"/>
      <c r="K5711" s="734"/>
      <c r="M5711" s="62" t="e">
        <f>IF(#REF!&gt;6,3,5)</f>
        <v>#REF!</v>
      </c>
    </row>
    <row r="5712" spans="1:13">
      <c r="A5712" s="822">
        <f t="shared" si="450"/>
        <v>8</v>
      </c>
      <c r="B5712" s="768" t="s">
        <v>1385</v>
      </c>
      <c r="C5712" s="824" t="s">
        <v>3007</v>
      </c>
      <c r="D5712" s="824" t="s">
        <v>3007</v>
      </c>
      <c r="E5712" s="824" t="s">
        <v>3007</v>
      </c>
      <c r="F5712" s="824">
        <f t="shared" si="451"/>
        <v>0</v>
      </c>
      <c r="G5712" s="824"/>
      <c r="H5712" s="824" t="s">
        <v>3007</v>
      </c>
      <c r="I5712" s="824"/>
      <c r="J5712" s="824"/>
      <c r="K5712" s="734"/>
      <c r="M5712" s="62" t="e">
        <f>IF(#REF!&gt;6,3,5)</f>
        <v>#REF!</v>
      </c>
    </row>
    <row r="5713" spans="1:13">
      <c r="A5713" s="822">
        <f t="shared" si="450"/>
        <v>9</v>
      </c>
      <c r="B5713" s="768" t="s">
        <v>766</v>
      </c>
      <c r="C5713" s="824" t="s">
        <v>3007</v>
      </c>
      <c r="D5713" s="824" t="s">
        <v>3007</v>
      </c>
      <c r="E5713" s="824" t="s">
        <v>3007</v>
      </c>
      <c r="F5713" s="824">
        <f t="shared" si="451"/>
        <v>0</v>
      </c>
      <c r="G5713" s="824"/>
      <c r="H5713" s="824" t="s">
        <v>3007</v>
      </c>
      <c r="I5713" s="824"/>
      <c r="J5713" s="824"/>
      <c r="K5713" s="734"/>
      <c r="M5713" s="62" t="e">
        <f>IF(#REF!&gt;6,3,5)</f>
        <v>#REF!</v>
      </c>
    </row>
    <row r="5714" spans="1:13">
      <c r="A5714" s="822">
        <f t="shared" si="450"/>
        <v>10</v>
      </c>
      <c r="B5714" s="768" t="s">
        <v>1716</v>
      </c>
      <c r="C5714" s="824">
        <v>1000000</v>
      </c>
      <c r="D5714" s="824">
        <f t="shared" ref="D5714:E5719" si="453">C5714*1.1</f>
        <v>1100000</v>
      </c>
      <c r="E5714" s="824">
        <f t="shared" si="453"/>
        <v>1210000</v>
      </c>
      <c r="F5714" s="824">
        <f t="shared" si="451"/>
        <v>3310000</v>
      </c>
      <c r="G5714" s="824"/>
      <c r="H5714" s="824">
        <v>250000</v>
      </c>
      <c r="I5714" s="824"/>
      <c r="J5714" s="824"/>
      <c r="K5714" s="734"/>
      <c r="M5714" s="62" t="e">
        <f>IF(#REF!&gt;6,3,5)</f>
        <v>#REF!</v>
      </c>
    </row>
    <row r="5715" spans="1:13" ht="25.5">
      <c r="A5715" s="822">
        <f t="shared" si="450"/>
        <v>11</v>
      </c>
      <c r="B5715" s="773" t="s">
        <v>764</v>
      </c>
      <c r="C5715" s="824">
        <v>100000</v>
      </c>
      <c r="D5715" s="824">
        <f t="shared" si="453"/>
        <v>110000.00000000001</v>
      </c>
      <c r="E5715" s="824">
        <f t="shared" si="453"/>
        <v>121000.00000000003</v>
      </c>
      <c r="F5715" s="824">
        <f t="shared" si="451"/>
        <v>331000</v>
      </c>
      <c r="G5715" s="824">
        <v>46000</v>
      </c>
      <c r="H5715" s="824">
        <v>100000</v>
      </c>
      <c r="I5715" s="824">
        <v>46000</v>
      </c>
      <c r="J5715" s="824"/>
      <c r="K5715" s="734"/>
      <c r="M5715" s="62" t="e">
        <f>IF(#REF!&gt;6,3,5)</f>
        <v>#REF!</v>
      </c>
    </row>
    <row r="5716" spans="1:13">
      <c r="A5716" s="822">
        <f t="shared" si="450"/>
        <v>12</v>
      </c>
      <c r="B5716" s="768" t="s">
        <v>2688</v>
      </c>
      <c r="C5716" s="824">
        <v>2000000</v>
      </c>
      <c r="D5716" s="824">
        <f t="shared" si="453"/>
        <v>2200000</v>
      </c>
      <c r="E5716" s="824">
        <f t="shared" si="453"/>
        <v>2420000</v>
      </c>
      <c r="F5716" s="824">
        <f t="shared" si="451"/>
        <v>6620000</v>
      </c>
      <c r="G5716" s="835">
        <v>334582.34999999998</v>
      </c>
      <c r="H5716" s="824">
        <v>1750000</v>
      </c>
      <c r="I5716" s="835">
        <v>192782.5</v>
      </c>
      <c r="J5716" s="824"/>
      <c r="K5716" s="734"/>
      <c r="M5716" s="62" t="e">
        <f>IF(#REF!&gt;6,3,5)</f>
        <v>#REF!</v>
      </c>
    </row>
    <row r="5717" spans="1:13">
      <c r="A5717" s="822">
        <f t="shared" si="450"/>
        <v>13</v>
      </c>
      <c r="B5717" s="768" t="s">
        <v>2234</v>
      </c>
      <c r="C5717" s="824">
        <v>100000</v>
      </c>
      <c r="D5717" s="824">
        <f t="shared" si="453"/>
        <v>110000.00000000001</v>
      </c>
      <c r="E5717" s="824">
        <f t="shared" si="453"/>
        <v>121000.00000000003</v>
      </c>
      <c r="F5717" s="824">
        <f t="shared" si="451"/>
        <v>331000</v>
      </c>
      <c r="G5717" s="824"/>
      <c r="H5717" s="824">
        <v>100000</v>
      </c>
      <c r="I5717" s="824"/>
      <c r="J5717" s="824"/>
      <c r="K5717" s="734"/>
      <c r="M5717" s="62" t="e">
        <f>IF(#REF!&gt;6,3,5)</f>
        <v>#REF!</v>
      </c>
    </row>
    <row r="5718" spans="1:13">
      <c r="A5718" s="822">
        <f t="shared" si="450"/>
        <v>14</v>
      </c>
      <c r="B5718" s="768" t="s">
        <v>1192</v>
      </c>
      <c r="C5718" s="390">
        <v>1000000</v>
      </c>
      <c r="D5718" s="824">
        <f t="shared" si="453"/>
        <v>1100000</v>
      </c>
      <c r="E5718" s="824">
        <f t="shared" si="453"/>
        <v>1210000</v>
      </c>
      <c r="F5718" s="824">
        <f t="shared" si="451"/>
        <v>3310000</v>
      </c>
      <c r="G5718" s="824"/>
      <c r="H5718" s="390">
        <v>500000</v>
      </c>
      <c r="I5718" s="824"/>
      <c r="J5718" s="824"/>
      <c r="K5718" s="734"/>
      <c r="M5718" s="62" t="e">
        <f>IF(#REF!&gt;6,3,5)</f>
        <v>#REF!</v>
      </c>
    </row>
    <row r="5719" spans="1:13">
      <c r="A5719" s="822">
        <f t="shared" si="450"/>
        <v>15</v>
      </c>
      <c r="B5719" s="768" t="s">
        <v>1536</v>
      </c>
      <c r="C5719" s="390">
        <v>2000000</v>
      </c>
      <c r="D5719" s="824">
        <f t="shared" si="453"/>
        <v>2200000</v>
      </c>
      <c r="E5719" s="824">
        <f t="shared" si="453"/>
        <v>2420000</v>
      </c>
      <c r="F5719" s="824">
        <f t="shared" si="451"/>
        <v>6620000</v>
      </c>
      <c r="G5719" s="824"/>
      <c r="H5719" s="390">
        <v>3000000</v>
      </c>
      <c r="I5719" s="824"/>
      <c r="J5719" s="824"/>
      <c r="K5719" s="734"/>
      <c r="M5719" s="62" t="e">
        <f>IF(#REF!&gt;6,3,5)</f>
        <v>#REF!</v>
      </c>
    </row>
    <row r="5720" spans="1:13">
      <c r="A5720" s="822">
        <f t="shared" si="450"/>
        <v>16</v>
      </c>
      <c r="B5720" s="768" t="s">
        <v>4270</v>
      </c>
      <c r="C5720" s="834" t="s">
        <v>4296</v>
      </c>
      <c r="D5720" s="834" t="s">
        <v>4296</v>
      </c>
      <c r="E5720" s="834" t="s">
        <v>4296</v>
      </c>
      <c r="F5720" s="824">
        <f t="shared" si="451"/>
        <v>0</v>
      </c>
      <c r="G5720" s="824"/>
      <c r="H5720" s="390"/>
      <c r="I5720" s="824"/>
      <c r="J5720" s="824"/>
      <c r="K5720" s="734"/>
    </row>
    <row r="5721" spans="1:13">
      <c r="A5721" s="822">
        <f t="shared" si="450"/>
        <v>17</v>
      </c>
      <c r="B5721" s="768" t="s">
        <v>4271</v>
      </c>
      <c r="C5721" s="834" t="s">
        <v>4296</v>
      </c>
      <c r="D5721" s="834" t="s">
        <v>4296</v>
      </c>
      <c r="E5721" s="834" t="s">
        <v>4296</v>
      </c>
      <c r="F5721" s="824">
        <f t="shared" si="451"/>
        <v>0</v>
      </c>
      <c r="G5721" s="824"/>
      <c r="H5721" s="390"/>
      <c r="I5721" s="824"/>
      <c r="J5721" s="824"/>
      <c r="K5721" s="734"/>
    </row>
    <row r="5722" spans="1:13">
      <c r="A5722" s="822">
        <f t="shared" si="450"/>
        <v>18</v>
      </c>
      <c r="B5722" s="768" t="s">
        <v>4272</v>
      </c>
      <c r="C5722" s="834" t="s">
        <v>4296</v>
      </c>
      <c r="D5722" s="834" t="s">
        <v>4296</v>
      </c>
      <c r="E5722" s="834" t="s">
        <v>4296</v>
      </c>
      <c r="F5722" s="824">
        <f t="shared" si="451"/>
        <v>0</v>
      </c>
      <c r="G5722" s="824"/>
      <c r="H5722" s="390"/>
      <c r="I5722" s="824"/>
      <c r="J5722" s="824"/>
      <c r="K5722" s="734"/>
    </row>
    <row r="5723" spans="1:13">
      <c r="A5723" s="822">
        <f t="shared" si="450"/>
        <v>19</v>
      </c>
      <c r="B5723" s="768" t="s">
        <v>4273</v>
      </c>
      <c r="C5723" s="390">
        <v>2000000</v>
      </c>
      <c r="D5723" s="824">
        <v>1000000</v>
      </c>
      <c r="E5723" s="824">
        <v>750000</v>
      </c>
      <c r="F5723" s="824">
        <f t="shared" si="451"/>
        <v>3750000</v>
      </c>
      <c r="G5723" s="824"/>
      <c r="H5723" s="390"/>
      <c r="I5723" s="824"/>
      <c r="J5723" s="824"/>
      <c r="K5723" s="734"/>
    </row>
    <row r="5724" spans="1:13">
      <c r="A5724" s="822">
        <f t="shared" si="450"/>
        <v>20</v>
      </c>
      <c r="B5724" s="768" t="s">
        <v>4274</v>
      </c>
      <c r="C5724" s="390">
        <v>2000000</v>
      </c>
      <c r="D5724" s="824">
        <f>C5724*1.1</f>
        <v>2200000</v>
      </c>
      <c r="E5724" s="824">
        <f>D5724*1.1</f>
        <v>2420000</v>
      </c>
      <c r="F5724" s="824">
        <f t="shared" si="451"/>
        <v>6620000</v>
      </c>
      <c r="G5724" s="824"/>
      <c r="H5724" s="390"/>
      <c r="I5724" s="824"/>
      <c r="J5724" s="824"/>
      <c r="K5724" s="734"/>
    </row>
    <row r="5725" spans="1:13">
      <c r="A5725" s="768"/>
      <c r="B5725" s="768"/>
      <c r="C5725" s="390"/>
      <c r="D5725" s="390"/>
      <c r="E5725" s="390"/>
      <c r="F5725" s="390"/>
      <c r="G5725" s="390"/>
      <c r="H5725" s="390"/>
      <c r="I5725" s="390"/>
      <c r="J5725" s="390"/>
      <c r="K5725" s="734"/>
      <c r="M5725" s="62" t="e">
        <f>IF(#REF!&gt;6,3,5)</f>
        <v>#REF!</v>
      </c>
    </row>
    <row r="5726" spans="1:13">
      <c r="A5726" s="770"/>
      <c r="B5726" s="770" t="s">
        <v>1684</v>
      </c>
      <c r="C5726" s="739">
        <f t="shared" ref="C5726:I5726" si="454">SUM(C5705:C5725)</f>
        <v>13700000</v>
      </c>
      <c r="D5726" s="739">
        <f t="shared" si="454"/>
        <v>13870000</v>
      </c>
      <c r="E5726" s="739">
        <f t="shared" si="454"/>
        <v>14907000</v>
      </c>
      <c r="F5726" s="739">
        <f t="shared" si="454"/>
        <v>42477000</v>
      </c>
      <c r="G5726" s="739">
        <f t="shared" si="454"/>
        <v>1137582.3500000001</v>
      </c>
      <c r="H5726" s="739">
        <f t="shared" si="454"/>
        <v>8500000</v>
      </c>
      <c r="I5726" s="739">
        <f t="shared" si="454"/>
        <v>1373782.5</v>
      </c>
      <c r="J5726" s="739"/>
      <c r="K5726" s="740"/>
      <c r="M5726" s="62" t="e">
        <f>IF(#REF!&gt;6,3,5)</f>
        <v>#REF!</v>
      </c>
    </row>
    <row r="5727" spans="1:13" ht="15">
      <c r="C5727" s="175"/>
      <c r="D5727" s="165"/>
      <c r="E5727" s="165"/>
      <c r="F5727" s="165"/>
      <c r="G5727" s="165"/>
      <c r="H5727" s="165"/>
      <c r="I5727" s="165"/>
      <c r="J5727" s="584"/>
      <c r="K5727" s="584"/>
      <c r="M5727" s="62">
        <f t="shared" si="449"/>
        <v>5</v>
      </c>
    </row>
    <row r="5728" spans="1:13" ht="15">
      <c r="C5728" s="166"/>
      <c r="D5728" s="164" t="s">
        <v>1693</v>
      </c>
      <c r="E5728" s="165"/>
      <c r="F5728" s="165"/>
      <c r="G5728" s="165"/>
      <c r="H5728" s="165"/>
      <c r="I5728" s="165"/>
      <c r="J5728" s="584"/>
      <c r="K5728" s="584"/>
      <c r="M5728" s="62">
        <f t="shared" si="449"/>
        <v>5</v>
      </c>
    </row>
    <row r="5729" spans="1:13" ht="15">
      <c r="C5729" s="79" t="s">
        <v>717</v>
      </c>
      <c r="D5729" s="164" t="s">
        <v>3560</v>
      </c>
      <c r="E5729" s="165"/>
      <c r="F5729" s="165"/>
      <c r="G5729" s="165"/>
      <c r="H5729" s="165"/>
      <c r="I5729" s="165"/>
      <c r="J5729" s="584"/>
      <c r="K5729" s="584"/>
      <c r="M5729" s="62">
        <f t="shared" si="449"/>
        <v>3</v>
      </c>
    </row>
    <row r="5730" spans="1:13" ht="15.75" thickBot="1">
      <c r="C5730" s="79" t="s">
        <v>718</v>
      </c>
      <c r="D5730" s="164" t="s">
        <v>1195</v>
      </c>
      <c r="E5730" s="165"/>
      <c r="F5730" s="165"/>
      <c r="G5730" s="165"/>
      <c r="H5730" s="165"/>
      <c r="I5730" s="165"/>
      <c r="J5730" s="584"/>
      <c r="K5730" s="584"/>
      <c r="M5730" s="62">
        <f t="shared" si="449"/>
        <v>3</v>
      </c>
    </row>
    <row r="5731" spans="1:13" ht="15.75" thickTop="1">
      <c r="A5731" s="1047" t="s">
        <v>2791</v>
      </c>
      <c r="B5731" s="1049" t="s">
        <v>4126</v>
      </c>
      <c r="C5731" s="1049" t="s">
        <v>854</v>
      </c>
      <c r="D5731" s="1040" t="s">
        <v>4127</v>
      </c>
      <c r="E5731" s="1041"/>
      <c r="F5731" s="1041"/>
      <c r="G5731" s="1040" t="s">
        <v>904</v>
      </c>
      <c r="H5731" s="1041"/>
      <c r="I5731" s="1042"/>
      <c r="J5731" s="1035" t="s">
        <v>855</v>
      </c>
      <c r="K5731" s="389"/>
    </row>
    <row r="5732" spans="1:13" ht="26.25" thickBot="1">
      <c r="A5732" s="1048"/>
      <c r="B5732" s="1050"/>
      <c r="C5732" s="1050"/>
      <c r="D5732" s="285" t="s">
        <v>5505</v>
      </c>
      <c r="E5732" s="285" t="s">
        <v>4485</v>
      </c>
      <c r="F5732" s="285" t="s">
        <v>4486</v>
      </c>
      <c r="G5732" s="287" t="s">
        <v>4487</v>
      </c>
      <c r="H5732" s="285" t="s">
        <v>4488</v>
      </c>
      <c r="I5732" s="287" t="s">
        <v>4489</v>
      </c>
      <c r="J5732" s="1036"/>
      <c r="K5732" s="712"/>
    </row>
    <row r="5733" spans="1:13" ht="13.5" thickTop="1">
      <c r="A5733" s="88">
        <v>1</v>
      </c>
      <c r="B5733" s="69" t="s">
        <v>2970</v>
      </c>
      <c r="C5733" s="167" t="s">
        <v>2335</v>
      </c>
      <c r="D5733" s="155">
        <v>1</v>
      </c>
      <c r="E5733" s="155">
        <v>1</v>
      </c>
      <c r="F5733" s="155">
        <v>1</v>
      </c>
      <c r="G5733" s="155">
        <v>1</v>
      </c>
      <c r="H5733" s="155">
        <v>1</v>
      </c>
      <c r="I5733" s="155">
        <v>1</v>
      </c>
      <c r="J5733" s="713">
        <f>H5733*L5733</f>
        <v>3000000</v>
      </c>
      <c r="K5733" s="711"/>
      <c r="L5733" s="62">
        <v>3000000</v>
      </c>
      <c r="M5733" s="62">
        <f t="shared" si="449"/>
        <v>3</v>
      </c>
    </row>
    <row r="5734" spans="1:13">
      <c r="A5734" s="88">
        <v>2</v>
      </c>
      <c r="B5734" s="69" t="s">
        <v>426</v>
      </c>
      <c r="C5734" s="167" t="s">
        <v>2335</v>
      </c>
      <c r="D5734" s="155">
        <v>2</v>
      </c>
      <c r="E5734" s="155">
        <v>2</v>
      </c>
      <c r="F5734" s="155">
        <v>2</v>
      </c>
      <c r="G5734" s="155">
        <v>2</v>
      </c>
      <c r="H5734" s="155">
        <v>2</v>
      </c>
      <c r="I5734" s="155">
        <v>2</v>
      </c>
      <c r="J5734" s="713">
        <f>H5734*L5734</f>
        <v>5000000</v>
      </c>
      <c r="K5734" s="711"/>
      <c r="L5734" s="62">
        <v>2500000</v>
      </c>
      <c r="M5734" s="62">
        <f t="shared" si="449"/>
        <v>3</v>
      </c>
    </row>
    <row r="5735" spans="1:13">
      <c r="A5735" s="88">
        <v>3</v>
      </c>
      <c r="B5735" s="69" t="s">
        <v>2333</v>
      </c>
      <c r="C5735" s="167" t="s">
        <v>2335</v>
      </c>
      <c r="D5735" s="155">
        <v>1</v>
      </c>
      <c r="E5735" s="155">
        <v>1</v>
      </c>
      <c r="F5735" s="155">
        <v>1</v>
      </c>
      <c r="G5735" s="155">
        <v>1</v>
      </c>
      <c r="H5735" s="155">
        <v>1</v>
      </c>
      <c r="I5735" s="155">
        <v>1</v>
      </c>
      <c r="J5735" s="713">
        <f>H5735*L5735</f>
        <v>1320000</v>
      </c>
      <c r="K5735" s="711"/>
      <c r="L5735" s="62">
        <f>110000*12</f>
        <v>1320000</v>
      </c>
      <c r="M5735" s="62">
        <f t="shared" si="449"/>
        <v>3</v>
      </c>
    </row>
    <row r="5736" spans="1:13">
      <c r="A5736" s="88"/>
      <c r="B5736" s="90" t="s">
        <v>800</v>
      </c>
      <c r="C5736" s="167"/>
      <c r="D5736" s="155"/>
      <c r="E5736" s="155"/>
      <c r="F5736" s="155"/>
      <c r="G5736" s="155"/>
      <c r="H5736" s="155"/>
      <c r="I5736" s="155"/>
      <c r="J5736" s="713"/>
      <c r="K5736" s="711"/>
      <c r="M5736" s="62">
        <f t="shared" si="449"/>
        <v>5</v>
      </c>
    </row>
    <row r="5737" spans="1:13">
      <c r="A5737" s="88">
        <v>4</v>
      </c>
      <c r="B5737" s="69" t="s">
        <v>2663</v>
      </c>
      <c r="C5737" s="167">
        <v>13</v>
      </c>
      <c r="D5737" s="155">
        <v>0</v>
      </c>
      <c r="E5737" s="155">
        <v>1</v>
      </c>
      <c r="F5737" s="155">
        <v>0</v>
      </c>
      <c r="G5737" s="155">
        <v>0</v>
      </c>
      <c r="H5737" s="155">
        <v>0</v>
      </c>
      <c r="I5737" s="155">
        <v>0</v>
      </c>
      <c r="J5737" s="710">
        <f>(VLOOKUP($C5737,[2]Sheet1!$A$2:$P$18,$M5737+1)/12)*12*D5737</f>
        <v>0</v>
      </c>
      <c r="K5737" s="711"/>
      <c r="M5737" s="62">
        <f t="shared" si="449"/>
        <v>3</v>
      </c>
    </row>
    <row r="5738" spans="1:13">
      <c r="A5738" s="88">
        <f t="shared" ref="A5738:A5747" si="455">1+A5737</f>
        <v>5</v>
      </c>
      <c r="B5738" s="69" t="s">
        <v>3023</v>
      </c>
      <c r="C5738" s="167">
        <v>12</v>
      </c>
      <c r="D5738" s="155">
        <v>0</v>
      </c>
      <c r="E5738" s="155">
        <v>1</v>
      </c>
      <c r="F5738" s="155">
        <v>0</v>
      </c>
      <c r="G5738" s="155">
        <v>0</v>
      </c>
      <c r="H5738" s="155">
        <v>0</v>
      </c>
      <c r="I5738" s="155">
        <v>0</v>
      </c>
      <c r="J5738" s="710">
        <f>(VLOOKUP($C5738,[2]Sheet1!$A$2:$P$18,$M5738+1)/12)*12*D5738</f>
        <v>0</v>
      </c>
      <c r="K5738" s="711"/>
      <c r="M5738" s="62">
        <f t="shared" si="449"/>
        <v>3</v>
      </c>
    </row>
    <row r="5739" spans="1:13">
      <c r="A5739" s="88">
        <f t="shared" si="455"/>
        <v>6</v>
      </c>
      <c r="B5739" s="69" t="s">
        <v>3788</v>
      </c>
      <c r="C5739" s="167">
        <v>6</v>
      </c>
      <c r="D5739" s="155">
        <v>1</v>
      </c>
      <c r="E5739" s="155">
        <v>2</v>
      </c>
      <c r="F5739" s="155">
        <v>1</v>
      </c>
      <c r="G5739" s="155">
        <v>1</v>
      </c>
      <c r="H5739" s="155">
        <v>1</v>
      </c>
      <c r="I5739" s="155">
        <v>1</v>
      </c>
      <c r="J5739" s="710">
        <f>(VLOOKUP($C5739,[2]Sheet1!$A$2:$P$18,$M5739+1)/12)*12*D5739</f>
        <v>238099.37893036497</v>
      </c>
      <c r="K5739" s="711"/>
      <c r="M5739" s="62">
        <f t="shared" si="449"/>
        <v>5</v>
      </c>
    </row>
    <row r="5740" spans="1:13">
      <c r="A5740" s="88">
        <f t="shared" si="455"/>
        <v>7</v>
      </c>
      <c r="B5740" s="69" t="s">
        <v>2556</v>
      </c>
      <c r="C5740" s="167">
        <v>6</v>
      </c>
      <c r="D5740" s="155">
        <v>1</v>
      </c>
      <c r="E5740" s="155">
        <v>1</v>
      </c>
      <c r="F5740" s="155">
        <v>1</v>
      </c>
      <c r="G5740" s="155">
        <v>1</v>
      </c>
      <c r="H5740" s="155">
        <v>1</v>
      </c>
      <c r="I5740" s="155">
        <v>1</v>
      </c>
      <c r="J5740" s="710">
        <f>(VLOOKUP($C5740,[2]Sheet1!$A$2:$P$18,$M5740+1)/12)*12*D5740</f>
        <v>238099.37893036497</v>
      </c>
      <c r="K5740" s="711"/>
      <c r="M5740" s="62">
        <f t="shared" si="449"/>
        <v>5</v>
      </c>
    </row>
    <row r="5741" spans="1:13">
      <c r="A5741" s="88">
        <f t="shared" si="455"/>
        <v>8</v>
      </c>
      <c r="B5741" s="69" t="s">
        <v>2665</v>
      </c>
      <c r="C5741" s="167">
        <v>4</v>
      </c>
      <c r="D5741" s="155">
        <v>1</v>
      </c>
      <c r="E5741" s="155">
        <v>1</v>
      </c>
      <c r="F5741" s="155">
        <v>1</v>
      </c>
      <c r="G5741" s="155">
        <v>1</v>
      </c>
      <c r="H5741" s="155">
        <v>1</v>
      </c>
      <c r="I5741" s="155">
        <v>1</v>
      </c>
      <c r="J5741" s="710">
        <f>(VLOOKUP($C5741,[2]Sheet1!$A$2:$P$18,$M5741+1)/12)*12*D5741</f>
        <v>224542.978930365</v>
      </c>
      <c r="K5741" s="711"/>
      <c r="M5741" s="62">
        <f t="shared" si="449"/>
        <v>5</v>
      </c>
    </row>
    <row r="5742" spans="1:13">
      <c r="A5742" s="88">
        <f t="shared" si="455"/>
        <v>9</v>
      </c>
      <c r="B5742" s="69" t="s">
        <v>3252</v>
      </c>
      <c r="C5742" s="167">
        <v>4</v>
      </c>
      <c r="D5742" s="155">
        <v>1</v>
      </c>
      <c r="E5742" s="155">
        <v>2</v>
      </c>
      <c r="F5742" s="155">
        <v>1</v>
      </c>
      <c r="G5742" s="155">
        <v>1</v>
      </c>
      <c r="H5742" s="155">
        <v>1</v>
      </c>
      <c r="I5742" s="155">
        <v>1</v>
      </c>
      <c r="J5742" s="710">
        <f>(VLOOKUP($C5742,[2]Sheet1!$A$2:$P$18,$M5742+1)/12)*12*D5742</f>
        <v>224542.978930365</v>
      </c>
      <c r="K5742" s="711"/>
      <c r="M5742" s="62">
        <f t="shared" si="449"/>
        <v>5</v>
      </c>
    </row>
    <row r="5743" spans="1:13">
      <c r="A5743" s="88">
        <f t="shared" si="455"/>
        <v>10</v>
      </c>
      <c r="B5743" s="69" t="s">
        <v>2543</v>
      </c>
      <c r="C5743" s="167">
        <v>3</v>
      </c>
      <c r="D5743" s="155">
        <v>2</v>
      </c>
      <c r="E5743" s="155">
        <v>2</v>
      </c>
      <c r="F5743" s="155">
        <v>2</v>
      </c>
      <c r="G5743" s="155">
        <v>2</v>
      </c>
      <c r="H5743" s="155">
        <v>2</v>
      </c>
      <c r="I5743" s="155">
        <v>2</v>
      </c>
      <c r="J5743" s="710">
        <f>(VLOOKUP($C5743,[2]Sheet1!$A$2:$P$18,$M5743+1)/12)*12*D5743</f>
        <v>438672.35786072997</v>
      </c>
      <c r="K5743" s="711"/>
      <c r="M5743" s="62">
        <f t="shared" si="449"/>
        <v>5</v>
      </c>
    </row>
    <row r="5744" spans="1:13">
      <c r="A5744" s="88">
        <f t="shared" si="455"/>
        <v>11</v>
      </c>
      <c r="B5744" s="69" t="s">
        <v>2172</v>
      </c>
      <c r="C5744" s="167">
        <v>3</v>
      </c>
      <c r="D5744" s="155">
        <v>3</v>
      </c>
      <c r="E5744" s="155">
        <v>2</v>
      </c>
      <c r="F5744" s="155">
        <v>3</v>
      </c>
      <c r="G5744" s="155">
        <v>3</v>
      </c>
      <c r="H5744" s="155">
        <v>3</v>
      </c>
      <c r="I5744" s="155">
        <v>3</v>
      </c>
      <c r="J5744" s="710">
        <f>(VLOOKUP($C5744,[2]Sheet1!$A$2:$P$18,$M5744+1)/12)*12*D5744</f>
        <v>658008.53679109493</v>
      </c>
      <c r="K5744" s="711"/>
      <c r="M5744" s="62">
        <f t="shared" si="449"/>
        <v>5</v>
      </c>
    </row>
    <row r="5745" spans="1:13">
      <c r="A5745" s="88">
        <f t="shared" si="455"/>
        <v>12</v>
      </c>
      <c r="B5745" s="69" t="s">
        <v>2172</v>
      </c>
      <c r="C5745" s="167">
        <v>2</v>
      </c>
      <c r="D5745" s="155">
        <v>0</v>
      </c>
      <c r="E5745" s="155">
        <v>1</v>
      </c>
      <c r="F5745" s="155">
        <v>0</v>
      </c>
      <c r="G5745" s="155">
        <v>0</v>
      </c>
      <c r="H5745" s="155">
        <v>0</v>
      </c>
      <c r="I5745" s="155">
        <v>0</v>
      </c>
      <c r="J5745" s="710">
        <f>(VLOOKUP($C5745,[2]Sheet1!$A$2:$P$18,$M5745+1)/12)*12*D5745</f>
        <v>0</v>
      </c>
      <c r="K5745" s="711"/>
      <c r="M5745" s="62">
        <f t="shared" si="449"/>
        <v>5</v>
      </c>
    </row>
    <row r="5746" spans="1:13">
      <c r="A5746" s="88">
        <f t="shared" si="455"/>
        <v>13</v>
      </c>
      <c r="B5746" s="69" t="s">
        <v>3674</v>
      </c>
      <c r="C5746" s="167">
        <v>1</v>
      </c>
      <c r="D5746" s="155">
        <v>0</v>
      </c>
      <c r="E5746" s="155">
        <v>1</v>
      </c>
      <c r="F5746" s="155">
        <v>0</v>
      </c>
      <c r="G5746" s="155">
        <v>0</v>
      </c>
      <c r="H5746" s="155">
        <v>0</v>
      </c>
      <c r="I5746" s="155">
        <v>0</v>
      </c>
      <c r="J5746" s="710">
        <f>(VLOOKUP($C5746,[2]Sheet1!$A$2:$P$18,$M5746+1)/12)*12*D5746</f>
        <v>0</v>
      </c>
      <c r="K5746" s="711"/>
      <c r="M5746" s="62">
        <f t="shared" si="449"/>
        <v>5</v>
      </c>
    </row>
    <row r="5747" spans="1:13">
      <c r="A5747" s="88">
        <f t="shared" si="455"/>
        <v>14</v>
      </c>
      <c r="B5747" s="69" t="s">
        <v>2097</v>
      </c>
      <c r="C5747" s="167">
        <v>4</v>
      </c>
      <c r="D5747" s="155">
        <v>0</v>
      </c>
      <c r="E5747" s="155">
        <v>1</v>
      </c>
      <c r="F5747" s="155">
        <v>0</v>
      </c>
      <c r="G5747" s="155">
        <v>0</v>
      </c>
      <c r="H5747" s="155">
        <v>0</v>
      </c>
      <c r="I5747" s="155">
        <v>0</v>
      </c>
      <c r="J5747" s="710">
        <f>(VLOOKUP($C5747,[2]Sheet1!$A$2:$P$18,$M5747+1)/12)*12*D5747</f>
        <v>0</v>
      </c>
      <c r="K5747" s="711"/>
      <c r="M5747" s="62">
        <f t="shared" si="449"/>
        <v>5</v>
      </c>
    </row>
    <row r="5748" spans="1:13">
      <c r="A5748" s="88"/>
      <c r="B5748" s="90" t="s">
        <v>1851</v>
      </c>
      <c r="C5748" s="167"/>
      <c r="D5748" s="155"/>
      <c r="E5748" s="155"/>
      <c r="F5748" s="155"/>
      <c r="G5748" s="155"/>
      <c r="H5748" s="155"/>
      <c r="I5748" s="155"/>
      <c r="J5748" s="710"/>
      <c r="K5748" s="711"/>
      <c r="M5748" s="62">
        <f t="shared" si="449"/>
        <v>5</v>
      </c>
    </row>
    <row r="5749" spans="1:13">
      <c r="A5749" s="88">
        <f>1+A5747</f>
        <v>15</v>
      </c>
      <c r="B5749" s="69" t="s">
        <v>2098</v>
      </c>
      <c r="C5749" s="167">
        <v>6</v>
      </c>
      <c r="D5749" s="155">
        <v>1</v>
      </c>
      <c r="E5749" s="155">
        <v>1</v>
      </c>
      <c r="F5749" s="155">
        <v>1</v>
      </c>
      <c r="G5749" s="155">
        <v>1</v>
      </c>
      <c r="H5749" s="155">
        <v>1</v>
      </c>
      <c r="I5749" s="155">
        <v>1</v>
      </c>
      <c r="J5749" s="710">
        <f>(VLOOKUP($C5749,[2]Sheet1!$A$2:$P$18,$M5749+1)/12)*12*D5749</f>
        <v>238099.37893036497</v>
      </c>
      <c r="K5749" s="711"/>
      <c r="M5749" s="62">
        <f t="shared" si="449"/>
        <v>5</v>
      </c>
    </row>
    <row r="5750" spans="1:13">
      <c r="A5750" s="88"/>
      <c r="B5750" s="69"/>
      <c r="C5750" s="167"/>
      <c r="D5750" s="155"/>
      <c r="E5750" s="155"/>
      <c r="F5750" s="155"/>
      <c r="G5750" s="155"/>
      <c r="H5750" s="155"/>
      <c r="I5750" s="155"/>
      <c r="J5750" s="713"/>
      <c r="K5750" s="711"/>
      <c r="M5750" s="62">
        <f t="shared" si="449"/>
        <v>5</v>
      </c>
    </row>
    <row r="5751" spans="1:13">
      <c r="A5751" s="92"/>
      <c r="B5751" s="93" t="s">
        <v>2531</v>
      </c>
      <c r="C5751" s="168"/>
      <c r="D5751" s="169">
        <f t="shared" ref="D5751:J5751" si="456">SUM(D5733:D5750)</f>
        <v>14</v>
      </c>
      <c r="E5751" s="169">
        <f t="shared" si="456"/>
        <v>20</v>
      </c>
      <c r="F5751" s="169">
        <f t="shared" si="456"/>
        <v>14</v>
      </c>
      <c r="G5751" s="169">
        <f>SUM(G5733:G5750)</f>
        <v>14</v>
      </c>
      <c r="H5751" s="169">
        <f t="shared" si="456"/>
        <v>14</v>
      </c>
      <c r="I5751" s="169">
        <f t="shared" si="456"/>
        <v>14</v>
      </c>
      <c r="J5751" s="169">
        <f t="shared" si="456"/>
        <v>11580064.989303652</v>
      </c>
      <c r="K5751" s="385"/>
      <c r="M5751" s="62">
        <f t="shared" si="449"/>
        <v>5</v>
      </c>
    </row>
    <row r="5752" spans="1:13">
      <c r="A5752" s="170"/>
      <c r="B5752" s="97" t="s">
        <v>1199</v>
      </c>
      <c r="C5752" s="167"/>
      <c r="D5752" s="155"/>
      <c r="E5752" s="155"/>
      <c r="F5752" s="99"/>
      <c r="G5752" s="240" t="s">
        <v>243</v>
      </c>
      <c r="H5752" s="240" t="s">
        <v>4130</v>
      </c>
      <c r="I5752" s="240" t="s">
        <v>4202</v>
      </c>
      <c r="J5752" s="241" t="s">
        <v>4200</v>
      </c>
      <c r="K5752" s="375"/>
      <c r="M5752" s="62">
        <f t="shared" si="449"/>
        <v>5</v>
      </c>
    </row>
    <row r="5753" spans="1:13">
      <c r="A5753" s="88">
        <v>1</v>
      </c>
      <c r="B5753" s="69" t="s">
        <v>763</v>
      </c>
      <c r="C5753" s="167"/>
      <c r="D5753" s="155"/>
      <c r="E5753" s="155"/>
      <c r="F5753" s="89"/>
      <c r="G5753" s="100">
        <f>J5751*0.2</f>
        <v>2316012.9978607306</v>
      </c>
      <c r="H5753" s="100">
        <f>G5753*1.02</f>
        <v>2362333.2578179454</v>
      </c>
      <c r="I5753" s="100">
        <f>H5753*1.02</f>
        <v>2409579.9229743043</v>
      </c>
      <c r="J5753" s="100">
        <f>SUM(G5753:I5753)</f>
        <v>7087926.1786529804</v>
      </c>
      <c r="K5753" s="114"/>
      <c r="M5753" s="62">
        <f t="shared" si="449"/>
        <v>5</v>
      </c>
    </row>
    <row r="5754" spans="1:13">
      <c r="A5754" s="88">
        <v>2</v>
      </c>
      <c r="B5754" s="69" t="s">
        <v>1040</v>
      </c>
      <c r="C5754" s="167"/>
      <c r="D5754" s="155"/>
      <c r="E5754" s="155"/>
      <c r="F5754" s="89"/>
      <c r="G5754" s="100">
        <f>G5753/7</f>
        <v>330858.99969439011</v>
      </c>
      <c r="H5754" s="100">
        <f>G5754*1.02</f>
        <v>337476.17968827789</v>
      </c>
      <c r="I5754" s="100">
        <f>H5754*1.02</f>
        <v>344225.70328204345</v>
      </c>
      <c r="J5754" s="100">
        <f>SUM(G5754:I5754)</f>
        <v>1012560.8826647114</v>
      </c>
      <c r="K5754" s="114"/>
      <c r="M5754" s="62">
        <f t="shared" si="449"/>
        <v>5</v>
      </c>
    </row>
    <row r="5755" spans="1:13">
      <c r="A5755" s="88"/>
      <c r="B5755" s="69"/>
      <c r="C5755" s="167"/>
      <c r="D5755" s="155"/>
      <c r="E5755" s="155"/>
      <c r="F5755" s="155"/>
      <c r="G5755" s="155"/>
      <c r="H5755" s="155"/>
      <c r="I5755" s="155"/>
      <c r="J5755" s="155"/>
      <c r="K5755" s="386"/>
      <c r="M5755" s="62">
        <f t="shared" si="449"/>
        <v>5</v>
      </c>
    </row>
    <row r="5756" spans="1:13">
      <c r="A5756" s="88"/>
      <c r="B5756" s="69"/>
      <c r="C5756" s="167"/>
      <c r="D5756" s="155"/>
      <c r="E5756" s="155"/>
      <c r="F5756" s="155"/>
      <c r="G5756" s="155"/>
      <c r="H5756" s="155"/>
      <c r="I5756" s="155"/>
      <c r="J5756" s="155"/>
      <c r="K5756" s="386"/>
      <c r="M5756" s="62">
        <f t="shared" si="449"/>
        <v>5</v>
      </c>
    </row>
    <row r="5757" spans="1:13">
      <c r="A5757" s="92"/>
      <c r="B5757" s="93" t="s">
        <v>2531</v>
      </c>
      <c r="C5757" s="168"/>
      <c r="D5757" s="171"/>
      <c r="E5757" s="171"/>
      <c r="F5757" s="169"/>
      <c r="G5757" s="169">
        <f>SUM(G5753:G5756)</f>
        <v>2646871.9975551208</v>
      </c>
      <c r="H5757" s="169">
        <f>SUM(H5753:H5756)</f>
        <v>2699809.4375062231</v>
      </c>
      <c r="I5757" s="169">
        <f>SUM(I5753:I5756)</f>
        <v>2753805.6262563476</v>
      </c>
      <c r="J5757" s="169">
        <f>SUM(J5753:J5756)</f>
        <v>8100487.0613176916</v>
      </c>
      <c r="K5757" s="385"/>
      <c r="M5757" s="62">
        <f t="shared" si="449"/>
        <v>5</v>
      </c>
    </row>
    <row r="5758" spans="1:13">
      <c r="A5758" s="88"/>
      <c r="B5758" s="69"/>
      <c r="C5758" s="167"/>
      <c r="D5758" s="155"/>
      <c r="E5758" s="155"/>
      <c r="F5758" s="155"/>
      <c r="G5758" s="155"/>
      <c r="H5758" s="155"/>
      <c r="I5758" s="155"/>
      <c r="J5758" s="155"/>
      <c r="K5758" s="386"/>
      <c r="M5758" s="62">
        <f t="shared" ref="M5758:M5820" si="457">IF(C5758&gt;6,3,5)</f>
        <v>5</v>
      </c>
    </row>
    <row r="5759" spans="1:13">
      <c r="A5759" s="88"/>
      <c r="B5759" s="69" t="s">
        <v>926</v>
      </c>
      <c r="C5759" s="167"/>
      <c r="D5759" s="155"/>
      <c r="E5759" s="155"/>
      <c r="F5759" s="155"/>
      <c r="G5759" s="100">
        <f>G5757+J5751</f>
        <v>14226936.986858774</v>
      </c>
      <c r="H5759" s="100">
        <f>G5759*1.02</f>
        <v>14511475.726595949</v>
      </c>
      <c r="I5759" s="100">
        <f>H5759*1.02</f>
        <v>14801705.241127869</v>
      </c>
      <c r="J5759" s="100">
        <f>SUM(G5759:I5759)</f>
        <v>43540117.954582594</v>
      </c>
      <c r="K5759" s="114"/>
      <c r="L5759" s="112"/>
      <c r="M5759" s="62">
        <f t="shared" si="457"/>
        <v>5</v>
      </c>
    </row>
    <row r="5760" spans="1:13">
      <c r="A5760" s="88"/>
      <c r="B5760" s="69" t="s">
        <v>2121</v>
      </c>
      <c r="C5760" s="167"/>
      <c r="D5760" s="155"/>
      <c r="E5760" s="155"/>
      <c r="F5760" s="155"/>
      <c r="G5760" s="155">
        <f>C5790</f>
        <v>6400000</v>
      </c>
      <c r="H5760" s="155">
        <f>D5790</f>
        <v>8400000</v>
      </c>
      <c r="I5760" s="155">
        <f>E5790</f>
        <v>8400000</v>
      </c>
      <c r="J5760" s="100">
        <f>SUM(G5760:I5760)</f>
        <v>23200000</v>
      </c>
      <c r="K5760" s="114"/>
      <c r="M5760" s="62">
        <f t="shared" si="457"/>
        <v>5</v>
      </c>
    </row>
    <row r="5761" spans="1:13">
      <c r="A5761" s="88"/>
      <c r="B5761" s="69"/>
      <c r="C5761" s="167"/>
      <c r="D5761" s="155"/>
      <c r="E5761" s="155"/>
      <c r="F5761" s="155"/>
      <c r="G5761" s="155"/>
      <c r="H5761" s="155"/>
      <c r="I5761" s="155"/>
      <c r="J5761" s="155"/>
      <c r="K5761" s="386"/>
      <c r="M5761" s="62">
        <f t="shared" si="457"/>
        <v>5</v>
      </c>
    </row>
    <row r="5762" spans="1:13" ht="13.5" thickBot="1">
      <c r="A5762" s="102"/>
      <c r="B5762" s="103" t="s">
        <v>2241</v>
      </c>
      <c r="C5762" s="172"/>
      <c r="D5762" s="173"/>
      <c r="E5762" s="173"/>
      <c r="F5762" s="174"/>
      <c r="G5762" s="174">
        <f>SUM(G5759:G5761)</f>
        <v>20626936.986858774</v>
      </c>
      <c r="H5762" s="174">
        <f>SUM(H5759:H5761)</f>
        <v>22911475.726595949</v>
      </c>
      <c r="I5762" s="174">
        <f>SUM(I5759:I5761)</f>
        <v>23201705.241127871</v>
      </c>
      <c r="J5762" s="174">
        <f>SUM(J5759:J5761)</f>
        <v>66740117.954582594</v>
      </c>
      <c r="K5762" s="385"/>
      <c r="M5762" s="62">
        <f t="shared" si="457"/>
        <v>5</v>
      </c>
    </row>
    <row r="5763" spans="1:13" ht="15.75" thickTop="1">
      <c r="C5763" s="175"/>
      <c r="D5763" s="165"/>
      <c r="E5763" s="165"/>
      <c r="F5763" s="165"/>
      <c r="G5763" s="165"/>
      <c r="H5763" s="165"/>
      <c r="I5763" s="165"/>
      <c r="J5763" s="584"/>
      <c r="K5763" s="584"/>
      <c r="M5763" s="62">
        <f t="shared" si="457"/>
        <v>5</v>
      </c>
    </row>
    <row r="5764" spans="1:13" ht="15">
      <c r="C5764" s="163"/>
      <c r="D5764" s="164" t="s">
        <v>5434</v>
      </c>
      <c r="E5764" s="165"/>
      <c r="F5764" s="165"/>
      <c r="G5764" s="165"/>
      <c r="H5764" s="165"/>
      <c r="I5764" s="165"/>
      <c r="J5764" s="584"/>
      <c r="K5764" s="584"/>
      <c r="M5764" s="62">
        <f t="shared" si="457"/>
        <v>5</v>
      </c>
    </row>
    <row r="5765" spans="1:13" ht="15">
      <c r="C5765" s="166"/>
      <c r="D5765" s="78" t="s">
        <v>716</v>
      </c>
      <c r="E5765" s="165"/>
      <c r="F5765" s="165"/>
      <c r="G5765" s="165"/>
      <c r="H5765" s="165"/>
      <c r="I5765" s="165"/>
      <c r="J5765" s="584"/>
      <c r="K5765" s="584"/>
      <c r="M5765" s="62">
        <f t="shared" si="457"/>
        <v>5</v>
      </c>
    </row>
    <row r="5766" spans="1:13" ht="15">
      <c r="C5766" s="79" t="s">
        <v>717</v>
      </c>
      <c r="D5766" s="164" t="s">
        <v>3560</v>
      </c>
      <c r="E5766" s="165"/>
      <c r="F5766" s="165"/>
      <c r="G5766" s="165"/>
      <c r="H5766" s="165"/>
      <c r="I5766" s="165"/>
      <c r="J5766" s="584"/>
      <c r="K5766" s="584"/>
      <c r="M5766" s="62">
        <f t="shared" si="457"/>
        <v>3</v>
      </c>
    </row>
    <row r="5767" spans="1:13" ht="15">
      <c r="C5767" s="79" t="s">
        <v>718</v>
      </c>
      <c r="D5767" s="164" t="s">
        <v>1195</v>
      </c>
      <c r="E5767" s="165"/>
      <c r="F5767" s="165"/>
      <c r="G5767" s="165"/>
      <c r="H5767" s="165"/>
      <c r="I5767" s="165"/>
      <c r="J5767" s="584"/>
      <c r="K5767" s="584"/>
      <c r="M5767" s="62">
        <f t="shared" si="457"/>
        <v>3</v>
      </c>
    </row>
    <row r="5768" spans="1:13" ht="15">
      <c r="A5768" s="634" t="s">
        <v>1839</v>
      </c>
      <c r="B5768" s="635" t="s">
        <v>903</v>
      </c>
      <c r="C5768" s="1037" t="s">
        <v>4127</v>
      </c>
      <c r="D5768" s="1038"/>
      <c r="E5768" s="1039"/>
      <c r="F5768" s="635" t="s">
        <v>1684</v>
      </c>
      <c r="G5768" s="1037" t="s">
        <v>4132</v>
      </c>
      <c r="H5768" s="1038"/>
      <c r="I5768" s="1039"/>
      <c r="J5768" s="726"/>
      <c r="K5768" s="727"/>
    </row>
    <row r="5769" spans="1:13">
      <c r="A5769" s="636" t="s">
        <v>1620</v>
      </c>
      <c r="B5769" s="637"/>
      <c r="C5769" s="635" t="s">
        <v>1841</v>
      </c>
      <c r="D5769" s="635" t="s">
        <v>4133</v>
      </c>
      <c r="E5769" s="635" t="s">
        <v>4133</v>
      </c>
      <c r="F5769" s="1056" t="s">
        <v>4200</v>
      </c>
      <c r="G5769" s="634" t="s">
        <v>4135</v>
      </c>
      <c r="H5769" s="1051" t="s">
        <v>4182</v>
      </c>
      <c r="I5769" s="634" t="s">
        <v>4135</v>
      </c>
      <c r="J5769" s="728" t="s">
        <v>4136</v>
      </c>
      <c r="K5769" s="727"/>
    </row>
    <row r="5770" spans="1:13" ht="12.75" customHeight="1">
      <c r="A5770" s="638" t="s">
        <v>387</v>
      </c>
      <c r="B5770" s="639"/>
      <c r="C5770" s="638">
        <v>2015</v>
      </c>
      <c r="D5770" s="638">
        <v>2016</v>
      </c>
      <c r="E5770" s="638">
        <v>2017</v>
      </c>
      <c r="F5770" s="1057"/>
      <c r="G5770" s="638" t="s">
        <v>4304</v>
      </c>
      <c r="H5770" s="1052"/>
      <c r="I5770" s="638" t="s">
        <v>4303</v>
      </c>
      <c r="J5770" s="639"/>
      <c r="K5770" s="729"/>
    </row>
    <row r="5771" spans="1:13">
      <c r="A5771" s="822"/>
      <c r="B5771" s="823"/>
      <c r="C5771" s="824"/>
      <c r="D5771" s="824"/>
      <c r="E5771" s="824"/>
      <c r="F5771" s="824"/>
      <c r="G5771" s="824"/>
      <c r="H5771" s="824"/>
      <c r="I5771" s="824"/>
      <c r="J5771" s="824"/>
      <c r="K5771" s="734"/>
      <c r="M5771" s="62" t="e">
        <f>IF(#REF!&gt;6,3,5)</f>
        <v>#REF!</v>
      </c>
    </row>
    <row r="5772" spans="1:13">
      <c r="A5772" s="822">
        <v>2</v>
      </c>
      <c r="B5772" s="823" t="s">
        <v>768</v>
      </c>
      <c r="C5772" s="824">
        <v>1000000</v>
      </c>
      <c r="D5772" s="824">
        <v>1000000</v>
      </c>
      <c r="E5772" s="824">
        <v>1000000</v>
      </c>
      <c r="F5772" s="824">
        <f>SUM(C5772:E5772)</f>
        <v>3000000</v>
      </c>
      <c r="G5772" s="824">
        <v>550000</v>
      </c>
      <c r="H5772" s="824">
        <v>1000000</v>
      </c>
      <c r="I5772" s="824">
        <v>550000</v>
      </c>
      <c r="J5772" s="824"/>
      <c r="K5772" s="734"/>
      <c r="M5772" s="62" t="e">
        <f>IF(#REF!&gt;6,3,5)</f>
        <v>#REF!</v>
      </c>
    </row>
    <row r="5773" spans="1:13">
      <c r="A5773" s="822">
        <f t="shared" ref="A5773:A5784" si="458">+A5772+1</f>
        <v>3</v>
      </c>
      <c r="B5773" s="768" t="s">
        <v>1696</v>
      </c>
      <c r="C5773" s="824">
        <v>200000</v>
      </c>
      <c r="D5773" s="824">
        <v>200000</v>
      </c>
      <c r="E5773" s="824">
        <v>200000</v>
      </c>
      <c r="F5773" s="824">
        <f t="shared" ref="F5773:F5785" si="459">SUM(C5773:E5773)</f>
        <v>600000</v>
      </c>
      <c r="G5773" s="824"/>
      <c r="H5773" s="824">
        <v>200000</v>
      </c>
      <c r="I5773" s="824"/>
      <c r="J5773" s="824"/>
      <c r="K5773" s="734"/>
      <c r="M5773" s="62" t="e">
        <f>IF(#REF!&gt;6,3,5)</f>
        <v>#REF!</v>
      </c>
    </row>
    <row r="5774" spans="1:13">
      <c r="A5774" s="822">
        <f t="shared" si="458"/>
        <v>4</v>
      </c>
      <c r="B5774" s="768" t="s">
        <v>1701</v>
      </c>
      <c r="C5774" s="824" t="s">
        <v>1386</v>
      </c>
      <c r="D5774" s="824" t="s">
        <v>1386</v>
      </c>
      <c r="E5774" s="824" t="s">
        <v>1386</v>
      </c>
      <c r="F5774" s="824">
        <f t="shared" si="459"/>
        <v>0</v>
      </c>
      <c r="G5774" s="824"/>
      <c r="H5774" s="824" t="s">
        <v>1386</v>
      </c>
      <c r="I5774" s="824"/>
      <c r="J5774" s="824"/>
      <c r="K5774" s="734"/>
      <c r="M5774" s="62" t="e">
        <f>IF(#REF!&gt;6,3,5)</f>
        <v>#REF!</v>
      </c>
    </row>
    <row r="5775" spans="1:13">
      <c r="A5775" s="822">
        <f t="shared" si="458"/>
        <v>5</v>
      </c>
      <c r="B5775" s="768" t="s">
        <v>998</v>
      </c>
      <c r="C5775" s="824">
        <v>800000</v>
      </c>
      <c r="D5775" s="824">
        <v>800000</v>
      </c>
      <c r="E5775" s="824">
        <v>800000</v>
      </c>
      <c r="F5775" s="824">
        <f t="shared" si="459"/>
        <v>2400000</v>
      </c>
      <c r="G5775" s="824">
        <v>245000</v>
      </c>
      <c r="H5775" s="824">
        <v>800000</v>
      </c>
      <c r="I5775" s="824">
        <v>245000</v>
      </c>
      <c r="J5775" s="824"/>
      <c r="K5775" s="734"/>
      <c r="M5775" s="62" t="e">
        <f>IF(#REF!&gt;6,3,5)</f>
        <v>#REF!</v>
      </c>
    </row>
    <row r="5776" spans="1:13">
      <c r="A5776" s="822">
        <f t="shared" si="458"/>
        <v>6</v>
      </c>
      <c r="B5776" s="768" t="s">
        <v>1072</v>
      </c>
      <c r="C5776" s="824">
        <v>500000</v>
      </c>
      <c r="D5776" s="824">
        <v>500000</v>
      </c>
      <c r="E5776" s="824">
        <v>500000</v>
      </c>
      <c r="F5776" s="824">
        <f t="shared" si="459"/>
        <v>1500000</v>
      </c>
      <c r="G5776" s="824">
        <v>129000</v>
      </c>
      <c r="H5776" s="824">
        <v>500000</v>
      </c>
      <c r="I5776" s="824">
        <v>129000</v>
      </c>
      <c r="J5776" s="824"/>
      <c r="K5776" s="734"/>
      <c r="M5776" s="62" t="e">
        <f>IF(#REF!&gt;6,3,5)</f>
        <v>#REF!</v>
      </c>
    </row>
    <row r="5777" spans="1:13" ht="25.5">
      <c r="A5777" s="822">
        <f t="shared" si="458"/>
        <v>7</v>
      </c>
      <c r="B5777" s="773" t="s">
        <v>1073</v>
      </c>
      <c r="C5777" s="824">
        <v>500000</v>
      </c>
      <c r="D5777" s="824">
        <v>500000</v>
      </c>
      <c r="E5777" s="824">
        <v>500000</v>
      </c>
      <c r="F5777" s="824">
        <f t="shared" si="459"/>
        <v>1500000</v>
      </c>
      <c r="G5777" s="824">
        <v>100000</v>
      </c>
      <c r="H5777" s="824">
        <v>500000</v>
      </c>
      <c r="I5777" s="824">
        <v>100000</v>
      </c>
      <c r="J5777" s="824"/>
      <c r="K5777" s="734"/>
      <c r="M5777" s="62" t="e">
        <f>IF(#REF!&gt;6,3,5)</f>
        <v>#REF!</v>
      </c>
    </row>
    <row r="5778" spans="1:13">
      <c r="A5778" s="822">
        <f t="shared" si="458"/>
        <v>8</v>
      </c>
      <c r="B5778" s="768" t="s">
        <v>2879</v>
      </c>
      <c r="C5778" s="824" t="s">
        <v>1386</v>
      </c>
      <c r="D5778" s="824" t="s">
        <v>1386</v>
      </c>
      <c r="E5778" s="824" t="s">
        <v>1386</v>
      </c>
      <c r="F5778" s="824">
        <f t="shared" si="459"/>
        <v>0</v>
      </c>
      <c r="G5778" s="824"/>
      <c r="H5778" s="824" t="s">
        <v>1386</v>
      </c>
      <c r="I5778" s="824"/>
      <c r="J5778" s="824"/>
      <c r="K5778" s="734"/>
      <c r="M5778" s="62" t="e">
        <f>IF(#REF!&gt;6,3,5)</f>
        <v>#REF!</v>
      </c>
    </row>
    <row r="5779" spans="1:13">
      <c r="A5779" s="822">
        <f t="shared" si="458"/>
        <v>9</v>
      </c>
      <c r="B5779" s="768" t="s">
        <v>766</v>
      </c>
      <c r="C5779" s="824" t="s">
        <v>1386</v>
      </c>
      <c r="D5779" s="824" t="s">
        <v>1386</v>
      </c>
      <c r="E5779" s="824" t="s">
        <v>1386</v>
      </c>
      <c r="F5779" s="824">
        <f t="shared" si="459"/>
        <v>0</v>
      </c>
      <c r="G5779" s="824"/>
      <c r="H5779" s="824" t="s">
        <v>1386</v>
      </c>
      <c r="I5779" s="824"/>
      <c r="J5779" s="824"/>
      <c r="K5779" s="734"/>
      <c r="M5779" s="62" t="e">
        <f>IF(#REF!&gt;6,3,5)</f>
        <v>#REF!</v>
      </c>
    </row>
    <row r="5780" spans="1:13">
      <c r="A5780" s="822">
        <f t="shared" si="458"/>
        <v>10</v>
      </c>
      <c r="B5780" s="768" t="s">
        <v>1716</v>
      </c>
      <c r="C5780" s="824">
        <v>200000</v>
      </c>
      <c r="D5780" s="824">
        <v>200000</v>
      </c>
      <c r="E5780" s="824">
        <v>200000</v>
      </c>
      <c r="F5780" s="824">
        <f t="shared" si="459"/>
        <v>600000</v>
      </c>
      <c r="G5780" s="824"/>
      <c r="H5780" s="824">
        <v>200000</v>
      </c>
      <c r="I5780" s="824"/>
      <c r="J5780" s="824"/>
      <c r="K5780" s="734"/>
      <c r="M5780" s="62" t="e">
        <f>IF(#REF!&gt;6,3,5)</f>
        <v>#REF!</v>
      </c>
    </row>
    <row r="5781" spans="1:13" ht="25.5">
      <c r="A5781" s="822">
        <f t="shared" si="458"/>
        <v>11</v>
      </c>
      <c r="B5781" s="773" t="s">
        <v>764</v>
      </c>
      <c r="C5781" s="824">
        <v>100000</v>
      </c>
      <c r="D5781" s="824">
        <v>100000</v>
      </c>
      <c r="E5781" s="824">
        <v>100000</v>
      </c>
      <c r="F5781" s="824">
        <f t="shared" si="459"/>
        <v>300000</v>
      </c>
      <c r="G5781" s="824"/>
      <c r="H5781" s="824">
        <v>100000</v>
      </c>
      <c r="I5781" s="824"/>
      <c r="J5781" s="824"/>
      <c r="K5781" s="734"/>
      <c r="M5781" s="62" t="e">
        <f>IF(#REF!&gt;6,3,5)</f>
        <v>#REF!</v>
      </c>
    </row>
    <row r="5782" spans="1:13">
      <c r="A5782" s="822">
        <f t="shared" si="458"/>
        <v>12</v>
      </c>
      <c r="B5782" s="768" t="s">
        <v>2688</v>
      </c>
      <c r="C5782" s="824">
        <v>1500000</v>
      </c>
      <c r="D5782" s="824">
        <v>2000000</v>
      </c>
      <c r="E5782" s="824">
        <v>2000000</v>
      </c>
      <c r="F5782" s="824">
        <f t="shared" si="459"/>
        <v>5500000</v>
      </c>
      <c r="G5782" s="824">
        <v>360000</v>
      </c>
      <c r="H5782" s="824">
        <v>1500000</v>
      </c>
      <c r="I5782" s="824">
        <v>360000</v>
      </c>
      <c r="J5782" s="824"/>
      <c r="K5782" s="734"/>
      <c r="M5782" s="62" t="e">
        <f>IF(#REF!&gt;6,3,5)</f>
        <v>#REF!</v>
      </c>
    </row>
    <row r="5783" spans="1:13">
      <c r="A5783" s="822">
        <f t="shared" si="458"/>
        <v>13</v>
      </c>
      <c r="B5783" s="768" t="s">
        <v>2249</v>
      </c>
      <c r="C5783" s="824">
        <v>100000</v>
      </c>
      <c r="D5783" s="824">
        <v>100000</v>
      </c>
      <c r="E5783" s="824">
        <v>100000</v>
      </c>
      <c r="F5783" s="824">
        <f t="shared" si="459"/>
        <v>300000</v>
      </c>
      <c r="G5783" s="824"/>
      <c r="H5783" s="824">
        <v>100000</v>
      </c>
      <c r="I5783" s="824"/>
      <c r="J5783" s="824"/>
      <c r="K5783" s="734"/>
      <c r="M5783" s="62" t="e">
        <f>IF(#REF!&gt;6,3,5)</f>
        <v>#REF!</v>
      </c>
    </row>
    <row r="5784" spans="1:13">
      <c r="A5784" s="822">
        <f t="shared" si="458"/>
        <v>14</v>
      </c>
      <c r="B5784" s="768" t="s">
        <v>1192</v>
      </c>
      <c r="C5784" s="824">
        <v>500000</v>
      </c>
      <c r="D5784" s="824">
        <v>500000</v>
      </c>
      <c r="E5784" s="824">
        <v>500000</v>
      </c>
      <c r="F5784" s="824">
        <f t="shared" si="459"/>
        <v>1500000</v>
      </c>
      <c r="G5784" s="824"/>
      <c r="H5784" s="824">
        <v>500000</v>
      </c>
      <c r="I5784" s="824"/>
      <c r="J5784" s="824"/>
      <c r="K5784" s="734"/>
      <c r="M5784" s="62" t="e">
        <f>IF(#REF!&gt;6,3,5)</f>
        <v>#REF!</v>
      </c>
    </row>
    <row r="5785" spans="1:13">
      <c r="A5785" s="768">
        <v>15</v>
      </c>
      <c r="B5785" s="768" t="s">
        <v>1536</v>
      </c>
      <c r="C5785" s="824">
        <v>1000000</v>
      </c>
      <c r="D5785" s="824">
        <v>2500000</v>
      </c>
      <c r="E5785" s="824">
        <v>2500000</v>
      </c>
      <c r="F5785" s="824">
        <f t="shared" si="459"/>
        <v>6000000</v>
      </c>
      <c r="G5785" s="824">
        <v>413500</v>
      </c>
      <c r="H5785" s="824">
        <v>1500000</v>
      </c>
      <c r="I5785" s="824">
        <v>413500</v>
      </c>
      <c r="J5785" s="824"/>
      <c r="K5785" s="734"/>
      <c r="M5785" s="62" t="e">
        <f>IF(#REF!&gt;6,3,5)</f>
        <v>#REF!</v>
      </c>
    </row>
    <row r="5786" spans="1:13">
      <c r="A5786" s="768"/>
      <c r="B5786" s="768"/>
      <c r="C5786" s="824"/>
      <c r="D5786" s="824"/>
      <c r="E5786" s="824"/>
      <c r="F5786" s="824"/>
      <c r="G5786" s="824"/>
      <c r="H5786" s="824"/>
      <c r="I5786" s="824"/>
      <c r="J5786" s="824"/>
      <c r="K5786" s="734"/>
      <c r="M5786" s="62" t="e">
        <f>IF(#REF!&gt;6,3,5)</f>
        <v>#REF!</v>
      </c>
    </row>
    <row r="5787" spans="1:13">
      <c r="A5787" s="768"/>
      <c r="B5787" s="768"/>
      <c r="C5787" s="824"/>
      <c r="D5787" s="824"/>
      <c r="E5787" s="824"/>
      <c r="F5787" s="824"/>
      <c r="G5787" s="824"/>
      <c r="H5787" s="824"/>
      <c r="I5787" s="824"/>
      <c r="J5787" s="824"/>
      <c r="K5787" s="734"/>
      <c r="M5787" s="62" t="e">
        <f>IF(#REF!&gt;6,3,5)</f>
        <v>#REF!</v>
      </c>
    </row>
    <row r="5788" spans="1:13">
      <c r="A5788" s="768"/>
      <c r="B5788" s="768"/>
      <c r="C5788" s="824"/>
      <c r="D5788" s="824"/>
      <c r="E5788" s="824"/>
      <c r="F5788" s="824"/>
      <c r="G5788" s="824"/>
      <c r="H5788" s="824"/>
      <c r="I5788" s="824"/>
      <c r="J5788" s="824"/>
      <c r="K5788" s="734"/>
      <c r="M5788" s="62" t="e">
        <f>IF(#REF!&gt;6,3,5)</f>
        <v>#REF!</v>
      </c>
    </row>
    <row r="5789" spans="1:13">
      <c r="A5789" s="768"/>
      <c r="B5789" s="768"/>
      <c r="C5789" s="824"/>
      <c r="D5789" s="824"/>
      <c r="E5789" s="824"/>
      <c r="F5789" s="824"/>
      <c r="G5789" s="824"/>
      <c r="H5789" s="824"/>
      <c r="I5789" s="824"/>
      <c r="J5789" s="824"/>
      <c r="K5789" s="734"/>
      <c r="M5789" s="62" t="e">
        <f>IF(#REF!&gt;6,3,5)</f>
        <v>#REF!</v>
      </c>
    </row>
    <row r="5790" spans="1:13">
      <c r="A5790" s="770"/>
      <c r="B5790" s="770" t="s">
        <v>1684</v>
      </c>
      <c r="C5790" s="739">
        <f t="shared" ref="C5790:I5790" si="460">SUM(C5771:C5789)</f>
        <v>6400000</v>
      </c>
      <c r="D5790" s="739">
        <f t="shared" si="460"/>
        <v>8400000</v>
      </c>
      <c r="E5790" s="739">
        <f t="shared" si="460"/>
        <v>8400000</v>
      </c>
      <c r="F5790" s="739">
        <f t="shared" si="460"/>
        <v>23200000</v>
      </c>
      <c r="G5790" s="739">
        <f>SUM(G5771:G5789)</f>
        <v>1797500</v>
      </c>
      <c r="H5790" s="739">
        <f t="shared" si="460"/>
        <v>6900000</v>
      </c>
      <c r="I5790" s="739">
        <f t="shared" si="460"/>
        <v>1797500</v>
      </c>
      <c r="J5790" s="739"/>
      <c r="K5790" s="740"/>
      <c r="M5790" s="62" t="e">
        <f>IF(#REF!&gt;6,3,5)</f>
        <v>#REF!</v>
      </c>
    </row>
    <row r="5791" spans="1:13" ht="15">
      <c r="C5791" s="175"/>
      <c r="D5791" s="165"/>
      <c r="E5791" s="165"/>
      <c r="F5791" s="165"/>
      <c r="G5791" s="165"/>
      <c r="H5791" s="165"/>
      <c r="I5791" s="165"/>
      <c r="J5791" s="584"/>
      <c r="K5791" s="584"/>
      <c r="M5791" s="62">
        <f t="shared" si="457"/>
        <v>5</v>
      </c>
    </row>
    <row r="5792" spans="1:13" ht="15">
      <c r="C5792" s="163"/>
      <c r="D5792" s="164" t="s">
        <v>5434</v>
      </c>
      <c r="E5792" s="165"/>
      <c r="F5792" s="165"/>
      <c r="G5792" s="165"/>
      <c r="H5792" s="165"/>
      <c r="I5792" s="165"/>
      <c r="J5792" s="584"/>
      <c r="K5792" s="584"/>
      <c r="M5792" s="62">
        <f t="shared" si="457"/>
        <v>5</v>
      </c>
    </row>
    <row r="5793" spans="1:13" ht="15">
      <c r="C5793" s="163"/>
      <c r="D5793" s="164" t="s">
        <v>1693</v>
      </c>
      <c r="E5793" s="165"/>
      <c r="F5793" s="165"/>
      <c r="G5793" s="165"/>
      <c r="H5793" s="165"/>
      <c r="I5793" s="165"/>
      <c r="J5793" s="584"/>
      <c r="K5793" s="584"/>
      <c r="M5793" s="62">
        <f t="shared" si="457"/>
        <v>5</v>
      </c>
    </row>
    <row r="5794" spans="1:13" ht="15">
      <c r="C5794" s="79" t="s">
        <v>1811</v>
      </c>
      <c r="D5794" s="164" t="s">
        <v>1653</v>
      </c>
      <c r="E5794" s="165"/>
      <c r="F5794" s="165"/>
      <c r="G5794" s="165"/>
      <c r="H5794" s="165"/>
      <c r="I5794" s="165"/>
      <c r="J5794" s="584"/>
      <c r="K5794" s="584"/>
      <c r="M5794" s="62">
        <f t="shared" si="457"/>
        <v>3</v>
      </c>
    </row>
    <row r="5795" spans="1:13" ht="15.75" thickBot="1">
      <c r="C5795" s="79" t="s">
        <v>718</v>
      </c>
      <c r="D5795" s="164" t="s">
        <v>1654</v>
      </c>
      <c r="E5795" s="165"/>
      <c r="F5795" s="165"/>
      <c r="G5795" s="165"/>
      <c r="H5795" s="165"/>
      <c r="I5795" s="165"/>
      <c r="J5795" s="584"/>
      <c r="K5795" s="584"/>
      <c r="M5795" s="62">
        <f t="shared" si="457"/>
        <v>3</v>
      </c>
    </row>
    <row r="5796" spans="1:13" ht="15.75" thickTop="1">
      <c r="A5796" s="1047" t="s">
        <v>2791</v>
      </c>
      <c r="B5796" s="1049" t="s">
        <v>4126</v>
      </c>
      <c r="C5796" s="1049" t="s">
        <v>854</v>
      </c>
      <c r="D5796" s="1040" t="s">
        <v>4127</v>
      </c>
      <c r="E5796" s="1041"/>
      <c r="F5796" s="1041"/>
      <c r="G5796" s="1040" t="s">
        <v>904</v>
      </c>
      <c r="H5796" s="1041"/>
      <c r="I5796" s="1042"/>
      <c r="J5796" s="1035" t="s">
        <v>855</v>
      </c>
      <c r="K5796" s="389"/>
    </row>
    <row r="5797" spans="1:13" ht="26.25" thickBot="1">
      <c r="A5797" s="1048"/>
      <c r="B5797" s="1050"/>
      <c r="C5797" s="1050"/>
      <c r="D5797" s="285" t="s">
        <v>5505</v>
      </c>
      <c r="E5797" s="285" t="s">
        <v>4485</v>
      </c>
      <c r="F5797" s="285" t="s">
        <v>4486</v>
      </c>
      <c r="G5797" s="287" t="s">
        <v>4487</v>
      </c>
      <c r="H5797" s="285" t="s">
        <v>4488</v>
      </c>
      <c r="I5797" s="287" t="s">
        <v>4489</v>
      </c>
      <c r="J5797" s="1036"/>
      <c r="K5797" s="712"/>
    </row>
    <row r="5798" spans="1:13" ht="13.5" thickTop="1">
      <c r="A5798" s="88">
        <v>1</v>
      </c>
      <c r="B5798" s="69" t="s">
        <v>2099</v>
      </c>
      <c r="C5798" s="167" t="s">
        <v>2100</v>
      </c>
      <c r="D5798" s="155">
        <v>1</v>
      </c>
      <c r="E5798" s="155">
        <v>1</v>
      </c>
      <c r="F5798" s="155">
        <v>1</v>
      </c>
      <c r="G5798" s="155">
        <v>1</v>
      </c>
      <c r="H5798" s="155">
        <v>1</v>
      </c>
      <c r="I5798" s="155">
        <v>1</v>
      </c>
      <c r="J5798" s="710"/>
      <c r="K5798" s="711"/>
      <c r="M5798" s="62">
        <f t="shared" si="457"/>
        <v>3</v>
      </c>
    </row>
    <row r="5799" spans="1:13">
      <c r="A5799" s="88">
        <f t="shared" ref="A5799:A5805" si="461">+A5798+1</f>
        <v>2</v>
      </c>
      <c r="B5799" s="69" t="s">
        <v>2101</v>
      </c>
      <c r="C5799" s="167" t="s">
        <v>2100</v>
      </c>
      <c r="D5799" s="155">
        <v>1</v>
      </c>
      <c r="E5799" s="155">
        <v>1</v>
      </c>
      <c r="F5799" s="155">
        <v>1</v>
      </c>
      <c r="G5799" s="155">
        <v>1</v>
      </c>
      <c r="H5799" s="155">
        <v>1</v>
      </c>
      <c r="I5799" s="155">
        <v>1</v>
      </c>
      <c r="J5799" s="710"/>
      <c r="K5799" s="711"/>
      <c r="M5799" s="62">
        <f t="shared" si="457"/>
        <v>3</v>
      </c>
    </row>
    <row r="5800" spans="1:13">
      <c r="A5800" s="88">
        <f t="shared" si="461"/>
        <v>3</v>
      </c>
      <c r="B5800" s="69" t="s">
        <v>2102</v>
      </c>
      <c r="C5800" s="167" t="s">
        <v>2100</v>
      </c>
      <c r="D5800" s="155">
        <v>1</v>
      </c>
      <c r="E5800" s="155">
        <v>1</v>
      </c>
      <c r="F5800" s="155">
        <v>1</v>
      </c>
      <c r="G5800" s="155">
        <v>1</v>
      </c>
      <c r="H5800" s="155">
        <v>1</v>
      </c>
      <c r="I5800" s="155">
        <v>1</v>
      </c>
      <c r="J5800" s="710"/>
      <c r="K5800" s="711"/>
      <c r="M5800" s="62">
        <f t="shared" si="457"/>
        <v>3</v>
      </c>
    </row>
    <row r="5801" spans="1:13">
      <c r="A5801" s="88">
        <f t="shared" si="461"/>
        <v>4</v>
      </c>
      <c r="B5801" s="69" t="s">
        <v>2103</v>
      </c>
      <c r="C5801" s="167" t="s">
        <v>2100</v>
      </c>
      <c r="D5801" s="155">
        <v>1</v>
      </c>
      <c r="E5801" s="155">
        <v>1</v>
      </c>
      <c r="F5801" s="155">
        <v>1</v>
      </c>
      <c r="G5801" s="155">
        <v>1</v>
      </c>
      <c r="H5801" s="155">
        <v>1</v>
      </c>
      <c r="I5801" s="155">
        <v>1</v>
      </c>
      <c r="J5801" s="710"/>
      <c r="K5801" s="711"/>
      <c r="M5801" s="62">
        <f t="shared" si="457"/>
        <v>3</v>
      </c>
    </row>
    <row r="5802" spans="1:13">
      <c r="A5802" s="88">
        <f t="shared" si="461"/>
        <v>5</v>
      </c>
      <c r="B5802" s="69" t="s">
        <v>2982</v>
      </c>
      <c r="C5802" s="167" t="s">
        <v>2100</v>
      </c>
      <c r="D5802" s="155">
        <v>1</v>
      </c>
      <c r="E5802" s="155">
        <v>1</v>
      </c>
      <c r="F5802" s="155">
        <v>1</v>
      </c>
      <c r="G5802" s="155">
        <v>1</v>
      </c>
      <c r="H5802" s="155">
        <v>1</v>
      </c>
      <c r="I5802" s="155">
        <v>1</v>
      </c>
      <c r="J5802" s="710"/>
      <c r="K5802" s="711"/>
      <c r="M5802" s="62">
        <f t="shared" si="457"/>
        <v>3</v>
      </c>
    </row>
    <row r="5803" spans="1:13">
      <c r="A5803" s="88">
        <f t="shared" si="461"/>
        <v>6</v>
      </c>
      <c r="B5803" s="69" t="s">
        <v>2983</v>
      </c>
      <c r="C5803" s="167" t="s">
        <v>2100</v>
      </c>
      <c r="D5803" s="155">
        <v>1</v>
      </c>
      <c r="E5803" s="155">
        <v>1</v>
      </c>
      <c r="F5803" s="155">
        <v>1</v>
      </c>
      <c r="G5803" s="155">
        <v>1</v>
      </c>
      <c r="H5803" s="155">
        <v>1</v>
      </c>
      <c r="I5803" s="155">
        <v>1</v>
      </c>
      <c r="J5803" s="710"/>
      <c r="K5803" s="711"/>
      <c r="M5803" s="62">
        <f t="shared" si="457"/>
        <v>3</v>
      </c>
    </row>
    <row r="5804" spans="1:13">
      <c r="A5804" s="88">
        <f t="shared" si="461"/>
        <v>7</v>
      </c>
      <c r="B5804" s="69" t="s">
        <v>2984</v>
      </c>
      <c r="C5804" s="167" t="s">
        <v>2100</v>
      </c>
      <c r="D5804" s="155">
        <v>18</v>
      </c>
      <c r="E5804" s="155">
        <v>18</v>
      </c>
      <c r="F5804" s="155">
        <v>18</v>
      </c>
      <c r="G5804" s="155">
        <v>18</v>
      </c>
      <c r="H5804" s="155">
        <v>18</v>
      </c>
      <c r="I5804" s="155">
        <v>18</v>
      </c>
      <c r="J5804" s="710"/>
      <c r="K5804" s="711"/>
      <c r="M5804" s="62">
        <f t="shared" si="457"/>
        <v>3</v>
      </c>
    </row>
    <row r="5805" spans="1:13">
      <c r="A5805" s="88">
        <f t="shared" si="461"/>
        <v>8</v>
      </c>
      <c r="B5805" s="69" t="s">
        <v>2668</v>
      </c>
      <c r="C5805" s="167" t="s">
        <v>2100</v>
      </c>
      <c r="D5805" s="155">
        <v>1</v>
      </c>
      <c r="E5805" s="155">
        <v>1</v>
      </c>
      <c r="F5805" s="155">
        <v>1</v>
      </c>
      <c r="G5805" s="155">
        <v>1</v>
      </c>
      <c r="H5805" s="155">
        <v>1</v>
      </c>
      <c r="I5805" s="155">
        <v>1</v>
      </c>
      <c r="J5805" s="710"/>
      <c r="K5805" s="711"/>
      <c r="M5805" s="62">
        <f t="shared" si="457"/>
        <v>3</v>
      </c>
    </row>
    <row r="5806" spans="1:13">
      <c r="A5806" s="88"/>
      <c r="B5806" s="90" t="s">
        <v>2985</v>
      </c>
      <c r="C5806" s="167"/>
      <c r="D5806" s="155"/>
      <c r="E5806" s="155"/>
      <c r="F5806" s="155"/>
      <c r="G5806" s="155"/>
      <c r="H5806" s="155"/>
      <c r="I5806" s="155"/>
      <c r="J5806" s="710"/>
      <c r="K5806" s="711"/>
      <c r="M5806" s="62">
        <f t="shared" si="457"/>
        <v>5</v>
      </c>
    </row>
    <row r="5807" spans="1:13">
      <c r="A5807" s="88">
        <f>+A5805+1</f>
        <v>9</v>
      </c>
      <c r="B5807" s="69" t="s">
        <v>2110</v>
      </c>
      <c r="C5807" s="167">
        <v>12</v>
      </c>
      <c r="D5807" s="155">
        <v>1</v>
      </c>
      <c r="E5807" s="155">
        <v>1</v>
      </c>
      <c r="F5807" s="155">
        <v>1</v>
      </c>
      <c r="G5807" s="155">
        <v>1</v>
      </c>
      <c r="H5807" s="155">
        <v>1</v>
      </c>
      <c r="I5807" s="155">
        <v>1</v>
      </c>
      <c r="J5807" s="710">
        <f>(VLOOKUP($C5807,[2]Sheet1!$A$2:$P$18,$M5807+1)/12)*12*D5807</f>
        <v>552685.0537200002</v>
      </c>
      <c r="K5807" s="711"/>
      <c r="M5807" s="62">
        <f t="shared" si="457"/>
        <v>3</v>
      </c>
    </row>
    <row r="5808" spans="1:13">
      <c r="A5808" s="88">
        <f t="shared" ref="A5808:A5817" si="462">+A5807+1</f>
        <v>10</v>
      </c>
      <c r="B5808" s="69" t="s">
        <v>2111</v>
      </c>
      <c r="C5808" s="167">
        <v>8</v>
      </c>
      <c r="D5808" s="155">
        <v>1</v>
      </c>
      <c r="E5808" s="155">
        <v>1</v>
      </c>
      <c r="F5808" s="155">
        <v>1</v>
      </c>
      <c r="G5808" s="155">
        <v>1</v>
      </c>
      <c r="H5808" s="155">
        <v>1</v>
      </c>
      <c r="I5808" s="155">
        <v>1</v>
      </c>
      <c r="J5808" s="710">
        <f>(VLOOKUP($C5808,[2]Sheet1!$A$2:$P$18,$M5808+1)/12)*12*D5808</f>
        <v>342141.27408</v>
      </c>
      <c r="K5808" s="711"/>
      <c r="M5808" s="62">
        <f t="shared" si="457"/>
        <v>3</v>
      </c>
    </row>
    <row r="5809" spans="1:13">
      <c r="A5809" s="88">
        <f t="shared" si="462"/>
        <v>11</v>
      </c>
      <c r="B5809" s="69" t="s">
        <v>1250</v>
      </c>
      <c r="C5809" s="167">
        <v>5</v>
      </c>
      <c r="D5809" s="155">
        <v>1</v>
      </c>
      <c r="E5809" s="155">
        <v>1</v>
      </c>
      <c r="F5809" s="155">
        <v>1</v>
      </c>
      <c r="G5809" s="155">
        <v>1</v>
      </c>
      <c r="H5809" s="155">
        <v>1</v>
      </c>
      <c r="I5809" s="155">
        <v>1</v>
      </c>
      <c r="J5809" s="710">
        <f>(VLOOKUP($C5809,[2]Sheet1!$A$2:$P$18,$M5809+1)/12)*12*D5809</f>
        <v>229569.77893036499</v>
      </c>
      <c r="K5809" s="711"/>
      <c r="M5809" s="62">
        <f t="shared" si="457"/>
        <v>5</v>
      </c>
    </row>
    <row r="5810" spans="1:13">
      <c r="A5810" s="88">
        <f t="shared" si="462"/>
        <v>12</v>
      </c>
      <c r="B5810" s="69" t="s">
        <v>3796</v>
      </c>
      <c r="C5810" s="167">
        <v>5</v>
      </c>
      <c r="D5810" s="155">
        <v>1</v>
      </c>
      <c r="E5810" s="155">
        <v>1</v>
      </c>
      <c r="F5810" s="155">
        <v>1</v>
      </c>
      <c r="G5810" s="155">
        <v>1</v>
      </c>
      <c r="H5810" s="155">
        <v>1</v>
      </c>
      <c r="I5810" s="155">
        <v>1</v>
      </c>
      <c r="J5810" s="710">
        <f>(VLOOKUP($C5810,[2]Sheet1!$A$2:$P$18,$M5810+1)/12)*12*D5810</f>
        <v>229569.77893036499</v>
      </c>
      <c r="K5810" s="711"/>
      <c r="M5810" s="62">
        <f t="shared" si="457"/>
        <v>5</v>
      </c>
    </row>
    <row r="5811" spans="1:13">
      <c r="A5811" s="88">
        <f t="shared" si="462"/>
        <v>13</v>
      </c>
      <c r="B5811" s="69" t="s">
        <v>2360</v>
      </c>
      <c r="C5811" s="167">
        <v>4</v>
      </c>
      <c r="D5811" s="155">
        <v>1</v>
      </c>
      <c r="E5811" s="155">
        <v>1</v>
      </c>
      <c r="F5811" s="155">
        <v>1</v>
      </c>
      <c r="G5811" s="155">
        <v>1</v>
      </c>
      <c r="H5811" s="155">
        <v>1</v>
      </c>
      <c r="I5811" s="155">
        <v>1</v>
      </c>
      <c r="J5811" s="710">
        <f>(VLOOKUP($C5811,[2]Sheet1!$A$2:$P$18,$M5811+1)/12)*12*D5811</f>
        <v>224542.978930365</v>
      </c>
      <c r="K5811" s="711"/>
      <c r="M5811" s="62">
        <f t="shared" si="457"/>
        <v>5</v>
      </c>
    </row>
    <row r="5812" spans="1:13">
      <c r="A5812" s="88">
        <f t="shared" si="462"/>
        <v>14</v>
      </c>
      <c r="B5812" s="69" t="s">
        <v>708</v>
      </c>
      <c r="C5812" s="167">
        <v>6</v>
      </c>
      <c r="D5812" s="155">
        <v>1</v>
      </c>
      <c r="E5812" s="155">
        <v>1</v>
      </c>
      <c r="F5812" s="155">
        <v>1</v>
      </c>
      <c r="G5812" s="155">
        <v>1</v>
      </c>
      <c r="H5812" s="155">
        <v>1</v>
      </c>
      <c r="I5812" s="155">
        <v>1</v>
      </c>
      <c r="J5812" s="710">
        <f>(VLOOKUP($C5812,[2]Sheet1!$A$2:$P$18,$M5812+1)/12)*12*D5812</f>
        <v>238099.37893036497</v>
      </c>
      <c r="K5812" s="711"/>
      <c r="M5812" s="62">
        <f t="shared" si="457"/>
        <v>5</v>
      </c>
    </row>
    <row r="5813" spans="1:13">
      <c r="A5813" s="88">
        <f t="shared" si="462"/>
        <v>15</v>
      </c>
      <c r="B5813" s="69" t="s">
        <v>2189</v>
      </c>
      <c r="C5813" s="167">
        <v>3</v>
      </c>
      <c r="D5813" s="155">
        <v>3</v>
      </c>
      <c r="E5813" s="155">
        <v>3</v>
      </c>
      <c r="F5813" s="155">
        <v>1</v>
      </c>
      <c r="G5813" s="155">
        <v>1</v>
      </c>
      <c r="H5813" s="155">
        <v>3</v>
      </c>
      <c r="I5813" s="155">
        <v>3</v>
      </c>
      <c r="J5813" s="710">
        <f>(VLOOKUP($C5813,[2]Sheet1!$A$2:$P$18,$M5813+1)/12)*12*D5813</f>
        <v>658008.53679109493</v>
      </c>
      <c r="K5813" s="711"/>
      <c r="M5813" s="62">
        <f t="shared" si="457"/>
        <v>5</v>
      </c>
    </row>
    <row r="5814" spans="1:13">
      <c r="A5814" s="88">
        <f t="shared" si="462"/>
        <v>16</v>
      </c>
      <c r="B5814" s="69" t="s">
        <v>2179</v>
      </c>
      <c r="C5814" s="167">
        <v>4</v>
      </c>
      <c r="D5814" s="155">
        <v>1</v>
      </c>
      <c r="E5814" s="155">
        <v>1</v>
      </c>
      <c r="F5814" s="155">
        <v>1</v>
      </c>
      <c r="G5814" s="155">
        <v>1</v>
      </c>
      <c r="H5814" s="155">
        <v>1</v>
      </c>
      <c r="I5814" s="155">
        <v>1</v>
      </c>
      <c r="J5814" s="710">
        <f>(VLOOKUP($C5814,[2]Sheet1!$A$2:$P$18,$M5814+1)/12)*12*D5814</f>
        <v>224542.978930365</v>
      </c>
      <c r="K5814" s="711"/>
      <c r="M5814" s="62">
        <f t="shared" si="457"/>
        <v>5</v>
      </c>
    </row>
    <row r="5815" spans="1:13">
      <c r="A5815" s="88">
        <f t="shared" si="462"/>
        <v>17</v>
      </c>
      <c r="B5815" s="69" t="s">
        <v>2112</v>
      </c>
      <c r="C5815" s="167">
        <v>3</v>
      </c>
      <c r="D5815" s="155">
        <v>2</v>
      </c>
      <c r="E5815" s="155">
        <v>2</v>
      </c>
      <c r="F5815" s="155">
        <v>2</v>
      </c>
      <c r="G5815" s="155">
        <v>2</v>
      </c>
      <c r="H5815" s="155">
        <v>2</v>
      </c>
      <c r="I5815" s="155">
        <v>2</v>
      </c>
      <c r="J5815" s="710">
        <f>(VLOOKUP($C5815,[2]Sheet1!$A$2:$P$18,$M5815+1)/12)*12*D5815</f>
        <v>438672.35786072997</v>
      </c>
      <c r="K5815" s="711"/>
      <c r="M5815" s="62">
        <f t="shared" si="457"/>
        <v>5</v>
      </c>
    </row>
    <row r="5816" spans="1:13">
      <c r="A5816" s="88">
        <f t="shared" si="462"/>
        <v>18</v>
      </c>
      <c r="B5816" s="69" t="s">
        <v>2364</v>
      </c>
      <c r="C5816" s="167">
        <v>2</v>
      </c>
      <c r="D5816" s="155">
        <v>2</v>
      </c>
      <c r="E5816" s="155">
        <v>2</v>
      </c>
      <c r="F5816" s="155">
        <v>2</v>
      </c>
      <c r="G5816" s="155">
        <v>2</v>
      </c>
      <c r="H5816" s="155">
        <v>2</v>
      </c>
      <c r="I5816" s="155">
        <v>2</v>
      </c>
      <c r="J5816" s="710">
        <f>(VLOOKUP($C5816,[2]Sheet1!$A$2:$P$18,$M5816+1)/12)*12*D5816</f>
        <v>429314.75786073005</v>
      </c>
      <c r="K5816" s="711"/>
      <c r="M5816" s="62">
        <f t="shared" si="457"/>
        <v>5</v>
      </c>
    </row>
    <row r="5817" spans="1:13">
      <c r="A5817" s="88">
        <f t="shared" si="462"/>
        <v>19</v>
      </c>
      <c r="B5817" s="69" t="s">
        <v>2172</v>
      </c>
      <c r="C5817" s="167">
        <v>2</v>
      </c>
      <c r="D5817" s="155">
        <v>2</v>
      </c>
      <c r="E5817" s="155">
        <v>2</v>
      </c>
      <c r="F5817" s="155">
        <v>2</v>
      </c>
      <c r="G5817" s="155">
        <v>2</v>
      </c>
      <c r="H5817" s="155">
        <v>2</v>
      </c>
      <c r="I5817" s="155">
        <v>2</v>
      </c>
      <c r="J5817" s="710">
        <f>(VLOOKUP($C5817,[2]Sheet1!$A$2:$P$18,$M5817+1)/12)*12*D5817</f>
        <v>429314.75786073005</v>
      </c>
      <c r="K5817" s="711"/>
      <c r="M5817" s="62">
        <f t="shared" si="457"/>
        <v>5</v>
      </c>
    </row>
    <row r="5818" spans="1:13">
      <c r="A5818" s="88"/>
      <c r="B5818" s="90" t="s">
        <v>970</v>
      </c>
      <c r="C5818" s="167"/>
      <c r="D5818" s="155"/>
      <c r="E5818" s="155"/>
      <c r="F5818" s="155"/>
      <c r="G5818" s="155"/>
      <c r="H5818" s="155"/>
      <c r="I5818" s="155"/>
      <c r="J5818" s="710"/>
      <c r="K5818" s="711"/>
      <c r="M5818" s="62">
        <f t="shared" si="457"/>
        <v>5</v>
      </c>
    </row>
    <row r="5819" spans="1:13">
      <c r="A5819" s="88">
        <f>+A5817+1</f>
        <v>20</v>
      </c>
      <c r="B5819" s="69" t="s">
        <v>2986</v>
      </c>
      <c r="C5819" s="167">
        <v>7</v>
      </c>
      <c r="D5819" s="155">
        <v>1</v>
      </c>
      <c r="E5819" s="155">
        <v>1</v>
      </c>
      <c r="F5819" s="155">
        <v>1</v>
      </c>
      <c r="G5819" s="155">
        <v>1</v>
      </c>
      <c r="H5819" s="155">
        <v>1</v>
      </c>
      <c r="I5819" s="155">
        <v>1</v>
      </c>
      <c r="J5819" s="710">
        <f>(VLOOKUP($C5819,[2]Sheet1!$A$2:$P$18,$M5819+1)/12)*12*D5819</f>
        <v>307706.70240000007</v>
      </c>
      <c r="K5819" s="711"/>
      <c r="M5819" s="62">
        <f t="shared" si="457"/>
        <v>3</v>
      </c>
    </row>
    <row r="5820" spans="1:13">
      <c r="A5820" s="88">
        <f t="shared" ref="A5820:A5825" si="463">+A5819+1</f>
        <v>21</v>
      </c>
      <c r="B5820" s="69" t="s">
        <v>3796</v>
      </c>
      <c r="C5820" s="167">
        <v>5</v>
      </c>
      <c r="D5820" s="155">
        <v>1</v>
      </c>
      <c r="E5820" s="155">
        <v>1</v>
      </c>
      <c r="F5820" s="155">
        <v>1</v>
      </c>
      <c r="G5820" s="155">
        <v>1</v>
      </c>
      <c r="H5820" s="155">
        <v>1</v>
      </c>
      <c r="I5820" s="155">
        <v>1</v>
      </c>
      <c r="J5820" s="710">
        <f>(VLOOKUP($C5820,[2]Sheet1!$A$2:$P$18,$M5820+1)/12)*12*D5820</f>
        <v>229569.77893036499</v>
      </c>
      <c r="K5820" s="711"/>
      <c r="M5820" s="62">
        <f t="shared" si="457"/>
        <v>5</v>
      </c>
    </row>
    <row r="5821" spans="1:13">
      <c r="A5821" s="88">
        <f t="shared" si="463"/>
        <v>22</v>
      </c>
      <c r="B5821" s="69" t="s">
        <v>2360</v>
      </c>
      <c r="C5821" s="167">
        <v>4</v>
      </c>
      <c r="D5821" s="155">
        <v>1</v>
      </c>
      <c r="E5821" s="155">
        <v>1</v>
      </c>
      <c r="F5821" s="155">
        <v>1</v>
      </c>
      <c r="G5821" s="155">
        <v>1</v>
      </c>
      <c r="H5821" s="155">
        <v>1</v>
      </c>
      <c r="I5821" s="155">
        <v>1</v>
      </c>
      <c r="J5821" s="710">
        <f>(VLOOKUP($C5821,[2]Sheet1!$A$2:$P$18,$M5821+1)/12)*12*D5821</f>
        <v>224542.978930365</v>
      </c>
      <c r="K5821" s="711"/>
      <c r="M5821" s="62">
        <f t="shared" ref="M5821:M5877" si="464">IF(C5821&gt;6,3,5)</f>
        <v>5</v>
      </c>
    </row>
    <row r="5822" spans="1:13">
      <c r="A5822" s="88">
        <f t="shared" si="463"/>
        <v>23</v>
      </c>
      <c r="B5822" s="69" t="s">
        <v>2189</v>
      </c>
      <c r="C5822" s="167">
        <v>5</v>
      </c>
      <c r="D5822" s="155">
        <v>1</v>
      </c>
      <c r="E5822" s="155">
        <v>1</v>
      </c>
      <c r="F5822" s="155">
        <v>1</v>
      </c>
      <c r="G5822" s="155">
        <v>1</v>
      </c>
      <c r="H5822" s="155">
        <v>1</v>
      </c>
      <c r="I5822" s="155">
        <v>1</v>
      </c>
      <c r="J5822" s="710">
        <f>(VLOOKUP($C5822,[2]Sheet1!$A$2:$P$18,$M5822+1)/12)*12*D5822</f>
        <v>229569.77893036499</v>
      </c>
      <c r="K5822" s="711"/>
      <c r="M5822" s="62">
        <f t="shared" si="464"/>
        <v>5</v>
      </c>
    </row>
    <row r="5823" spans="1:13">
      <c r="A5823" s="88">
        <f t="shared" si="463"/>
        <v>24</v>
      </c>
      <c r="B5823" s="69" t="s">
        <v>2112</v>
      </c>
      <c r="C5823" s="167">
        <v>3</v>
      </c>
      <c r="D5823" s="155">
        <v>2</v>
      </c>
      <c r="E5823" s="155">
        <v>2</v>
      </c>
      <c r="F5823" s="155">
        <v>2</v>
      </c>
      <c r="G5823" s="155">
        <v>2</v>
      </c>
      <c r="H5823" s="155">
        <v>2</v>
      </c>
      <c r="I5823" s="155">
        <v>2</v>
      </c>
      <c r="J5823" s="710">
        <f>(VLOOKUP($C5823,[2]Sheet1!$A$2:$P$18,$M5823+1)/12)*12*D5823</f>
        <v>438672.35786072997</v>
      </c>
      <c r="K5823" s="711"/>
      <c r="M5823" s="62">
        <f t="shared" si="464"/>
        <v>5</v>
      </c>
    </row>
    <row r="5824" spans="1:13">
      <c r="A5824" s="88">
        <f t="shared" si="463"/>
        <v>25</v>
      </c>
      <c r="B5824" s="69" t="s">
        <v>2361</v>
      </c>
      <c r="C5824" s="167">
        <v>3</v>
      </c>
      <c r="D5824" s="155">
        <v>1</v>
      </c>
      <c r="E5824" s="155">
        <v>1</v>
      </c>
      <c r="F5824" s="155">
        <v>1</v>
      </c>
      <c r="G5824" s="155">
        <v>1</v>
      </c>
      <c r="H5824" s="155">
        <v>1</v>
      </c>
      <c r="I5824" s="155">
        <v>1</v>
      </c>
      <c r="J5824" s="710">
        <f>(VLOOKUP($C5824,[2]Sheet1!$A$2:$P$18,$M5824+1)/12)*12*D5824</f>
        <v>219336.17893036499</v>
      </c>
      <c r="K5824" s="711"/>
      <c r="M5824" s="62">
        <f t="shared" si="464"/>
        <v>5</v>
      </c>
    </row>
    <row r="5825" spans="1:13">
      <c r="A5825" s="88">
        <f t="shared" si="463"/>
        <v>26</v>
      </c>
      <c r="B5825" s="69" t="s">
        <v>2172</v>
      </c>
      <c r="C5825" s="167">
        <v>2</v>
      </c>
      <c r="D5825" s="155">
        <v>1</v>
      </c>
      <c r="E5825" s="155">
        <v>2</v>
      </c>
      <c r="F5825" s="155">
        <v>1</v>
      </c>
      <c r="G5825" s="155">
        <v>1</v>
      </c>
      <c r="H5825" s="155">
        <v>2</v>
      </c>
      <c r="I5825" s="155">
        <v>1</v>
      </c>
      <c r="J5825" s="710">
        <f>(VLOOKUP($C5825,[2]Sheet1!$A$2:$P$18,$M5825+1)/12)*12*D5825</f>
        <v>214657.37893036503</v>
      </c>
      <c r="K5825" s="711"/>
      <c r="M5825" s="62">
        <f t="shared" si="464"/>
        <v>5</v>
      </c>
    </row>
    <row r="5826" spans="1:13">
      <c r="A5826" s="88"/>
      <c r="B5826" s="90" t="s">
        <v>1120</v>
      </c>
      <c r="C5826" s="167"/>
      <c r="D5826" s="155"/>
      <c r="E5826" s="155"/>
      <c r="F5826" s="155"/>
      <c r="G5826" s="155"/>
      <c r="H5826" s="155"/>
      <c r="I5826" s="155"/>
      <c r="J5826" s="710"/>
      <c r="K5826" s="711"/>
      <c r="M5826" s="62">
        <f t="shared" si="464"/>
        <v>5</v>
      </c>
    </row>
    <row r="5827" spans="1:13">
      <c r="A5827" s="88">
        <f>+A5825+1</f>
        <v>27</v>
      </c>
      <c r="B5827" s="69" t="s">
        <v>2986</v>
      </c>
      <c r="C5827" s="167">
        <v>7</v>
      </c>
      <c r="D5827" s="155">
        <v>1</v>
      </c>
      <c r="E5827" s="155">
        <v>1</v>
      </c>
      <c r="F5827" s="155">
        <v>1</v>
      </c>
      <c r="G5827" s="155">
        <v>1</v>
      </c>
      <c r="H5827" s="155">
        <v>1</v>
      </c>
      <c r="I5827" s="155">
        <v>1</v>
      </c>
      <c r="J5827" s="710">
        <f>(VLOOKUP($C5827,[2]Sheet1!$A$2:$P$18,$M5827+1)/12)*12*D5827</f>
        <v>307706.70240000007</v>
      </c>
      <c r="K5827" s="711"/>
      <c r="M5827" s="62">
        <f t="shared" si="464"/>
        <v>3</v>
      </c>
    </row>
    <row r="5828" spans="1:13">
      <c r="A5828" s="88">
        <f>+A5827+1</f>
        <v>28</v>
      </c>
      <c r="B5828" s="69" t="s">
        <v>3796</v>
      </c>
      <c r="C5828" s="167">
        <v>4</v>
      </c>
      <c r="D5828" s="155">
        <v>1</v>
      </c>
      <c r="E5828" s="155">
        <v>1</v>
      </c>
      <c r="F5828" s="155">
        <v>1</v>
      </c>
      <c r="G5828" s="155">
        <v>1</v>
      </c>
      <c r="H5828" s="155">
        <v>1</v>
      </c>
      <c r="I5828" s="155">
        <v>1</v>
      </c>
      <c r="J5828" s="710">
        <f>(VLOOKUP($C5828,[2]Sheet1!$A$2:$P$18,$M5828+1)/12)*12*D5828</f>
        <v>224542.978930365</v>
      </c>
      <c r="K5828" s="711"/>
      <c r="M5828" s="62">
        <f t="shared" si="464"/>
        <v>5</v>
      </c>
    </row>
    <row r="5829" spans="1:13">
      <c r="A5829" s="88">
        <f>+A5828+1</f>
        <v>29</v>
      </c>
      <c r="B5829" s="69" t="s">
        <v>2360</v>
      </c>
      <c r="C5829" s="167">
        <v>4</v>
      </c>
      <c r="D5829" s="155">
        <v>1</v>
      </c>
      <c r="E5829" s="155">
        <v>1</v>
      </c>
      <c r="F5829" s="155">
        <v>1</v>
      </c>
      <c r="G5829" s="155">
        <v>1</v>
      </c>
      <c r="H5829" s="155">
        <v>1</v>
      </c>
      <c r="I5829" s="155">
        <v>1</v>
      </c>
      <c r="J5829" s="710">
        <f>(VLOOKUP($C5829,[2]Sheet1!$A$2:$P$18,$M5829+1)/12)*12*D5829</f>
        <v>224542.978930365</v>
      </c>
      <c r="K5829" s="711"/>
      <c r="M5829" s="62">
        <f t="shared" si="464"/>
        <v>5</v>
      </c>
    </row>
    <row r="5830" spans="1:13">
      <c r="A5830" s="88">
        <f>+A5829+1</f>
        <v>30</v>
      </c>
      <c r="B5830" s="69" t="s">
        <v>2189</v>
      </c>
      <c r="C5830" s="167">
        <v>5</v>
      </c>
      <c r="D5830" s="155">
        <v>1</v>
      </c>
      <c r="E5830" s="155">
        <v>1</v>
      </c>
      <c r="F5830" s="155">
        <v>1</v>
      </c>
      <c r="G5830" s="155">
        <v>1</v>
      </c>
      <c r="H5830" s="155">
        <v>1</v>
      </c>
      <c r="I5830" s="155">
        <v>1</v>
      </c>
      <c r="J5830" s="710">
        <f>(VLOOKUP($C5830,[2]Sheet1!$A$2:$P$18,$M5830+1)/12)*12*D5830</f>
        <v>229569.77893036499</v>
      </c>
      <c r="K5830" s="711"/>
      <c r="M5830" s="62">
        <f t="shared" si="464"/>
        <v>5</v>
      </c>
    </row>
    <row r="5831" spans="1:13">
      <c r="A5831" s="88">
        <f>+A5830+1</f>
        <v>31</v>
      </c>
      <c r="B5831" s="69" t="s">
        <v>2361</v>
      </c>
      <c r="C5831" s="167">
        <v>3</v>
      </c>
      <c r="D5831" s="155">
        <v>1</v>
      </c>
      <c r="E5831" s="155">
        <v>1</v>
      </c>
      <c r="F5831" s="155">
        <v>1</v>
      </c>
      <c r="G5831" s="155">
        <v>1</v>
      </c>
      <c r="H5831" s="155">
        <v>1</v>
      </c>
      <c r="I5831" s="155">
        <v>1</v>
      </c>
      <c r="J5831" s="710">
        <f>(VLOOKUP($C5831,[2]Sheet1!$A$2:$P$18,$M5831+1)/12)*12*D5831</f>
        <v>219336.17893036499</v>
      </c>
      <c r="K5831" s="711"/>
      <c r="M5831" s="62">
        <f t="shared" si="464"/>
        <v>5</v>
      </c>
    </row>
    <row r="5832" spans="1:13">
      <c r="A5832" s="88"/>
      <c r="B5832" s="90" t="s">
        <v>1121</v>
      </c>
      <c r="C5832" s="167"/>
      <c r="D5832" s="155"/>
      <c r="E5832" s="155"/>
      <c r="F5832" s="155"/>
      <c r="G5832" s="155"/>
      <c r="H5832" s="155"/>
      <c r="I5832" s="155"/>
      <c r="J5832" s="710"/>
      <c r="K5832" s="711"/>
      <c r="M5832" s="62">
        <f t="shared" si="464"/>
        <v>5</v>
      </c>
    </row>
    <row r="5833" spans="1:13">
      <c r="A5833" s="88">
        <f>+A5831+1</f>
        <v>32</v>
      </c>
      <c r="B5833" s="69" t="s">
        <v>2986</v>
      </c>
      <c r="C5833" s="167">
        <v>6</v>
      </c>
      <c r="D5833" s="155">
        <v>1</v>
      </c>
      <c r="E5833" s="155">
        <v>1</v>
      </c>
      <c r="F5833" s="155">
        <v>1</v>
      </c>
      <c r="G5833" s="155">
        <v>1</v>
      </c>
      <c r="H5833" s="155">
        <v>1</v>
      </c>
      <c r="I5833" s="155">
        <v>1</v>
      </c>
      <c r="J5833" s="710">
        <f>(VLOOKUP($C5833,[2]Sheet1!$A$2:$P$18,$M5833+1)/12)*12*D5833</f>
        <v>238099.37893036497</v>
      </c>
      <c r="K5833" s="711"/>
      <c r="M5833" s="62">
        <f t="shared" si="464"/>
        <v>5</v>
      </c>
    </row>
    <row r="5834" spans="1:13" ht="13.5" thickBot="1">
      <c r="A5834" s="88">
        <f>+A5833+1</f>
        <v>33</v>
      </c>
      <c r="B5834" s="69" t="s">
        <v>3796</v>
      </c>
      <c r="C5834" s="167">
        <v>5</v>
      </c>
      <c r="D5834" s="155">
        <v>1</v>
      </c>
      <c r="E5834" s="155">
        <v>1</v>
      </c>
      <c r="F5834" s="155">
        <v>1</v>
      </c>
      <c r="G5834" s="155">
        <v>1</v>
      </c>
      <c r="H5834" s="155">
        <v>1</v>
      </c>
      <c r="I5834" s="155">
        <v>1</v>
      </c>
      <c r="J5834" s="710">
        <f>(VLOOKUP($C5834,[2]Sheet1!$A$2:$P$18,$M5834+1)/12)*12*D5834</f>
        <v>229569.77893036499</v>
      </c>
      <c r="K5834" s="711"/>
      <c r="M5834" s="62">
        <f t="shared" si="464"/>
        <v>5</v>
      </c>
    </row>
    <row r="5835" spans="1:13" ht="15.75" thickTop="1">
      <c r="A5835" s="1047" t="s">
        <v>2791</v>
      </c>
      <c r="B5835" s="1049" t="s">
        <v>4126</v>
      </c>
      <c r="C5835" s="1049" t="s">
        <v>854</v>
      </c>
      <c r="D5835" s="1040" t="s">
        <v>4127</v>
      </c>
      <c r="E5835" s="1041"/>
      <c r="F5835" s="1041"/>
      <c r="G5835" s="1040" t="s">
        <v>904</v>
      </c>
      <c r="H5835" s="1041"/>
      <c r="I5835" s="1042"/>
      <c r="J5835" s="1035" t="s">
        <v>855</v>
      </c>
      <c r="K5835" s="389"/>
    </row>
    <row r="5836" spans="1:13" ht="26.25" thickBot="1">
      <c r="A5836" s="1048"/>
      <c r="B5836" s="1050"/>
      <c r="C5836" s="1050"/>
      <c r="D5836" s="285" t="s">
        <v>5505</v>
      </c>
      <c r="E5836" s="285" t="s">
        <v>4485</v>
      </c>
      <c r="F5836" s="285" t="s">
        <v>4486</v>
      </c>
      <c r="G5836" s="287" t="s">
        <v>4487</v>
      </c>
      <c r="H5836" s="285" t="s">
        <v>4488</v>
      </c>
      <c r="I5836" s="287" t="s">
        <v>4489</v>
      </c>
      <c r="J5836" s="1036"/>
      <c r="K5836" s="712"/>
    </row>
    <row r="5837" spans="1:13" ht="13.5" thickTop="1">
      <c r="A5837" s="88">
        <f>+A5834+1</f>
        <v>34</v>
      </c>
      <c r="B5837" s="69" t="s">
        <v>2360</v>
      </c>
      <c r="C5837" s="167">
        <v>4</v>
      </c>
      <c r="D5837" s="155">
        <v>1</v>
      </c>
      <c r="E5837" s="155">
        <v>1</v>
      </c>
      <c r="F5837" s="155">
        <v>1</v>
      </c>
      <c r="G5837" s="155">
        <v>1</v>
      </c>
      <c r="H5837" s="155">
        <v>1</v>
      </c>
      <c r="I5837" s="155">
        <v>1</v>
      </c>
      <c r="J5837" s="710">
        <f>(VLOOKUP($C5837,[2]Sheet1!$A$2:$P$18,$M5837+1)/12)*12*D5837</f>
        <v>224542.978930365</v>
      </c>
      <c r="K5837" s="711"/>
      <c r="M5837" s="62">
        <f t="shared" si="464"/>
        <v>5</v>
      </c>
    </row>
    <row r="5838" spans="1:13">
      <c r="A5838" s="88">
        <f>+A5837+1</f>
        <v>35</v>
      </c>
      <c r="B5838" s="69" t="s">
        <v>2189</v>
      </c>
      <c r="C5838" s="167">
        <v>4</v>
      </c>
      <c r="D5838" s="155">
        <v>1</v>
      </c>
      <c r="E5838" s="155">
        <v>1</v>
      </c>
      <c r="F5838" s="155">
        <v>1</v>
      </c>
      <c r="G5838" s="155">
        <v>1</v>
      </c>
      <c r="H5838" s="155">
        <v>1</v>
      </c>
      <c r="I5838" s="155">
        <v>1</v>
      </c>
      <c r="J5838" s="710">
        <f>(VLOOKUP($C5838,[2]Sheet1!$A$2:$P$18,$M5838+1)/12)*12*D5838</f>
        <v>224542.978930365</v>
      </c>
      <c r="K5838" s="711"/>
      <c r="M5838" s="62">
        <f t="shared" si="464"/>
        <v>5</v>
      </c>
    </row>
    <row r="5839" spans="1:13">
      <c r="A5839" s="88">
        <f>+A5838+1</f>
        <v>36</v>
      </c>
      <c r="B5839" s="69" t="s">
        <v>2361</v>
      </c>
      <c r="C5839" s="167">
        <v>3</v>
      </c>
      <c r="D5839" s="155">
        <v>1</v>
      </c>
      <c r="E5839" s="155">
        <v>1</v>
      </c>
      <c r="F5839" s="155">
        <v>1</v>
      </c>
      <c r="G5839" s="155">
        <v>1</v>
      </c>
      <c r="H5839" s="155">
        <v>1</v>
      </c>
      <c r="I5839" s="155">
        <v>1</v>
      </c>
      <c r="J5839" s="710">
        <f>(VLOOKUP($C5839,[2]Sheet1!$A$2:$P$18,$M5839+1)/12)*12*D5839</f>
        <v>219336.17893036499</v>
      </c>
      <c r="K5839" s="711"/>
      <c r="M5839" s="62">
        <f t="shared" si="464"/>
        <v>5</v>
      </c>
    </row>
    <row r="5840" spans="1:13">
      <c r="A5840" s="88"/>
      <c r="B5840" s="90" t="s">
        <v>2982</v>
      </c>
      <c r="C5840" s="167"/>
      <c r="D5840" s="155"/>
      <c r="E5840" s="155"/>
      <c r="F5840" s="155"/>
      <c r="G5840" s="155"/>
      <c r="H5840" s="155"/>
      <c r="I5840" s="155"/>
      <c r="J5840" s="710"/>
      <c r="K5840" s="711"/>
      <c r="M5840" s="62">
        <f t="shared" si="464"/>
        <v>5</v>
      </c>
    </row>
    <row r="5841" spans="1:13">
      <c r="A5841" s="88">
        <f>+A5839+1</f>
        <v>37</v>
      </c>
      <c r="B5841" s="69" t="s">
        <v>1250</v>
      </c>
      <c r="C5841" s="167">
        <v>4</v>
      </c>
      <c r="D5841" s="155">
        <v>1</v>
      </c>
      <c r="E5841" s="155">
        <v>1</v>
      </c>
      <c r="F5841" s="155">
        <v>1</v>
      </c>
      <c r="G5841" s="155">
        <v>1</v>
      </c>
      <c r="H5841" s="155">
        <v>1</v>
      </c>
      <c r="I5841" s="155">
        <v>1</v>
      </c>
      <c r="J5841" s="710">
        <f>(VLOOKUP($C5841,[2]Sheet1!$A$2:$P$18,$M5841+1)/12)*12*D5841</f>
        <v>224542.978930365</v>
      </c>
      <c r="K5841" s="711"/>
      <c r="M5841" s="62">
        <f t="shared" si="464"/>
        <v>5</v>
      </c>
    </row>
    <row r="5842" spans="1:13">
      <c r="A5842" s="88">
        <f>+A5841+1</f>
        <v>38</v>
      </c>
      <c r="B5842" s="69" t="s">
        <v>3796</v>
      </c>
      <c r="C5842" s="167">
        <v>4</v>
      </c>
      <c r="D5842" s="155">
        <v>1</v>
      </c>
      <c r="E5842" s="155">
        <v>1</v>
      </c>
      <c r="F5842" s="155">
        <v>1</v>
      </c>
      <c r="G5842" s="155">
        <v>1</v>
      </c>
      <c r="H5842" s="155">
        <v>1</v>
      </c>
      <c r="I5842" s="155">
        <v>1</v>
      </c>
      <c r="J5842" s="710">
        <f>(VLOOKUP($C5842,[2]Sheet1!$A$2:$P$18,$M5842+1)/12)*12*D5842</f>
        <v>224542.978930365</v>
      </c>
      <c r="K5842" s="711"/>
      <c r="M5842" s="62">
        <f t="shared" si="464"/>
        <v>5</v>
      </c>
    </row>
    <row r="5843" spans="1:13">
      <c r="A5843" s="88">
        <f>+A5842+1</f>
        <v>39</v>
      </c>
      <c r="B5843" s="69" t="s">
        <v>2189</v>
      </c>
      <c r="C5843" s="167">
        <v>4</v>
      </c>
      <c r="D5843" s="155">
        <v>1</v>
      </c>
      <c r="E5843" s="155">
        <v>1</v>
      </c>
      <c r="F5843" s="155">
        <v>1</v>
      </c>
      <c r="G5843" s="155">
        <v>1</v>
      </c>
      <c r="H5843" s="155">
        <v>1</v>
      </c>
      <c r="I5843" s="155">
        <v>1</v>
      </c>
      <c r="J5843" s="710">
        <f>(VLOOKUP($C5843,[2]Sheet1!$A$2:$P$18,$M5843+1)/12)*12*D5843</f>
        <v>224542.978930365</v>
      </c>
      <c r="K5843" s="711"/>
      <c r="M5843" s="62">
        <f t="shared" si="464"/>
        <v>5</v>
      </c>
    </row>
    <row r="5844" spans="1:13">
      <c r="A5844" s="88">
        <f>+A5843+1</f>
        <v>40</v>
      </c>
      <c r="B5844" s="69" t="s">
        <v>2361</v>
      </c>
      <c r="C5844" s="167">
        <v>3</v>
      </c>
      <c r="D5844" s="155">
        <v>1</v>
      </c>
      <c r="E5844" s="155">
        <v>1</v>
      </c>
      <c r="F5844" s="155">
        <v>1</v>
      </c>
      <c r="G5844" s="155">
        <v>1</v>
      </c>
      <c r="H5844" s="155">
        <v>1</v>
      </c>
      <c r="I5844" s="155">
        <v>1</v>
      </c>
      <c r="J5844" s="710">
        <f>(VLOOKUP($C5844,[2]Sheet1!$A$2:$P$18,$M5844+1)/12)*12*D5844</f>
        <v>219336.17893036499</v>
      </c>
      <c r="K5844" s="711"/>
      <c r="M5844" s="62">
        <f t="shared" si="464"/>
        <v>5</v>
      </c>
    </row>
    <row r="5845" spans="1:13">
      <c r="A5845" s="88"/>
      <c r="B5845" s="90" t="s">
        <v>2983</v>
      </c>
      <c r="C5845" s="167"/>
      <c r="D5845" s="155"/>
      <c r="E5845" s="155"/>
      <c r="F5845" s="155"/>
      <c r="G5845" s="155"/>
      <c r="H5845" s="155"/>
      <c r="I5845" s="155"/>
      <c r="J5845" s="710"/>
      <c r="K5845" s="711"/>
      <c r="M5845" s="62">
        <f t="shared" si="464"/>
        <v>5</v>
      </c>
    </row>
    <row r="5846" spans="1:13">
      <c r="A5846" s="88">
        <f>+A5844+1</f>
        <v>41</v>
      </c>
      <c r="B5846" s="69" t="s">
        <v>1250</v>
      </c>
      <c r="C5846" s="167">
        <v>4</v>
      </c>
      <c r="D5846" s="155">
        <v>1</v>
      </c>
      <c r="E5846" s="155">
        <v>1</v>
      </c>
      <c r="F5846" s="155">
        <v>1</v>
      </c>
      <c r="G5846" s="155">
        <v>1</v>
      </c>
      <c r="H5846" s="155">
        <v>1</v>
      </c>
      <c r="I5846" s="155">
        <v>1</v>
      </c>
      <c r="J5846" s="710">
        <f>(VLOOKUP($C5846,[2]Sheet1!$A$2:$P$18,$M5846+1)/12)*12*D5846</f>
        <v>224542.978930365</v>
      </c>
      <c r="K5846" s="711"/>
      <c r="M5846" s="62">
        <f t="shared" si="464"/>
        <v>5</v>
      </c>
    </row>
    <row r="5847" spans="1:13">
      <c r="A5847" s="88">
        <f>+A5846+1</f>
        <v>42</v>
      </c>
      <c r="B5847" s="69" t="s">
        <v>3796</v>
      </c>
      <c r="C5847" s="167">
        <v>4</v>
      </c>
      <c r="D5847" s="155">
        <v>1</v>
      </c>
      <c r="E5847" s="155">
        <v>1</v>
      </c>
      <c r="F5847" s="155">
        <v>1</v>
      </c>
      <c r="G5847" s="155">
        <v>1</v>
      </c>
      <c r="H5847" s="155">
        <v>1</v>
      </c>
      <c r="I5847" s="155">
        <v>1</v>
      </c>
      <c r="J5847" s="710">
        <f>(VLOOKUP($C5847,[2]Sheet1!$A$2:$P$18,$M5847+1)/12)*12*D5847</f>
        <v>224542.978930365</v>
      </c>
      <c r="K5847" s="711"/>
      <c r="M5847" s="62">
        <f t="shared" si="464"/>
        <v>5</v>
      </c>
    </row>
    <row r="5848" spans="1:13">
      <c r="A5848" s="88">
        <f>+A5847+1</f>
        <v>43</v>
      </c>
      <c r="B5848" s="69" t="s">
        <v>2189</v>
      </c>
      <c r="C5848" s="167">
        <v>4</v>
      </c>
      <c r="D5848" s="155">
        <v>1</v>
      </c>
      <c r="E5848" s="155">
        <v>1</v>
      </c>
      <c r="F5848" s="155">
        <v>1</v>
      </c>
      <c r="G5848" s="155">
        <v>1</v>
      </c>
      <c r="H5848" s="155">
        <v>1</v>
      </c>
      <c r="I5848" s="155">
        <v>1</v>
      </c>
      <c r="J5848" s="710">
        <f>(VLOOKUP($C5848,[2]Sheet1!$A$2:$P$18,$M5848+1)/12)*12*D5848</f>
        <v>224542.978930365</v>
      </c>
      <c r="K5848" s="711"/>
      <c r="M5848" s="62">
        <f t="shared" si="464"/>
        <v>5</v>
      </c>
    </row>
    <row r="5849" spans="1:13">
      <c r="A5849" s="88">
        <f>+A5848+1</f>
        <v>44</v>
      </c>
      <c r="B5849" s="69" t="s">
        <v>2361</v>
      </c>
      <c r="C5849" s="167">
        <v>3</v>
      </c>
      <c r="D5849" s="155">
        <v>1</v>
      </c>
      <c r="E5849" s="155">
        <v>1</v>
      </c>
      <c r="F5849" s="155">
        <v>1</v>
      </c>
      <c r="G5849" s="155">
        <v>1</v>
      </c>
      <c r="H5849" s="155">
        <v>1</v>
      </c>
      <c r="I5849" s="155">
        <v>1</v>
      </c>
      <c r="J5849" s="710">
        <f>(VLOOKUP($C5849,[2]Sheet1!$A$2:$P$18,$M5849+1)/12)*12*D5849</f>
        <v>219336.17893036499</v>
      </c>
      <c r="K5849" s="711"/>
      <c r="M5849" s="62">
        <f t="shared" si="464"/>
        <v>5</v>
      </c>
    </row>
    <row r="5850" spans="1:13">
      <c r="A5850" s="88"/>
      <c r="B5850" s="90" t="s">
        <v>1122</v>
      </c>
      <c r="C5850" s="167"/>
      <c r="D5850" s="155"/>
      <c r="E5850" s="155"/>
      <c r="F5850" s="155"/>
      <c r="G5850" s="155"/>
      <c r="H5850" s="155"/>
      <c r="I5850" s="155"/>
      <c r="J5850" s="710"/>
      <c r="K5850" s="711"/>
      <c r="M5850" s="62">
        <f t="shared" si="464"/>
        <v>5</v>
      </c>
    </row>
    <row r="5851" spans="1:13">
      <c r="A5851" s="88">
        <f>+A5849+1</f>
        <v>45</v>
      </c>
      <c r="B5851" s="69" t="s">
        <v>2842</v>
      </c>
      <c r="C5851" s="167">
        <v>14</v>
      </c>
      <c r="D5851" s="155">
        <v>1</v>
      </c>
      <c r="E5851" s="155">
        <v>1</v>
      </c>
      <c r="F5851" s="155">
        <v>1</v>
      </c>
      <c r="G5851" s="155">
        <v>1</v>
      </c>
      <c r="H5851" s="155">
        <v>1</v>
      </c>
      <c r="I5851" s="155">
        <v>1</v>
      </c>
      <c r="J5851" s="710">
        <f>(VLOOKUP($C5851,[2]Sheet1!$A$2:$P$18,$M5851+1)/12)*12*D5851</f>
        <v>669099.40824000002</v>
      </c>
      <c r="K5851" s="711"/>
      <c r="M5851" s="62">
        <f t="shared" si="464"/>
        <v>3</v>
      </c>
    </row>
    <row r="5852" spans="1:13">
      <c r="A5852" s="88">
        <f t="shared" ref="A5852:A5858" si="465">+A5851+1</f>
        <v>46</v>
      </c>
      <c r="B5852" s="69" t="s">
        <v>2116</v>
      </c>
      <c r="C5852" s="167">
        <v>12</v>
      </c>
      <c r="D5852" s="155">
        <v>0</v>
      </c>
      <c r="E5852" s="155">
        <v>0</v>
      </c>
      <c r="F5852" s="155">
        <v>0</v>
      </c>
      <c r="G5852" s="155">
        <v>0</v>
      </c>
      <c r="H5852" s="155">
        <v>0</v>
      </c>
      <c r="I5852" s="155">
        <v>0</v>
      </c>
      <c r="J5852" s="710">
        <f>(VLOOKUP($C5852,[2]Sheet1!$A$2:$P$18,$M5852+1)/12)*12*D5852</f>
        <v>0</v>
      </c>
      <c r="K5852" s="711"/>
      <c r="M5852" s="62">
        <f t="shared" si="464"/>
        <v>3</v>
      </c>
    </row>
    <row r="5853" spans="1:13">
      <c r="A5853" s="88">
        <f t="shared" si="465"/>
        <v>47</v>
      </c>
      <c r="B5853" s="69" t="s">
        <v>2605</v>
      </c>
      <c r="C5853" s="167">
        <v>9</v>
      </c>
      <c r="D5853" s="155">
        <v>0</v>
      </c>
      <c r="E5853" s="155">
        <v>0</v>
      </c>
      <c r="F5853" s="155">
        <v>0</v>
      </c>
      <c r="G5853" s="155">
        <v>0</v>
      </c>
      <c r="H5853" s="155">
        <v>0</v>
      </c>
      <c r="I5853" s="155">
        <v>0</v>
      </c>
      <c r="J5853" s="710">
        <f>(VLOOKUP($C5853,[2]Sheet1!$A$2:$P$18,$M5853+1)/12)*12*D5853</f>
        <v>0</v>
      </c>
      <c r="K5853" s="711"/>
      <c r="M5853" s="62">
        <f t="shared" si="464"/>
        <v>3</v>
      </c>
    </row>
    <row r="5854" spans="1:13">
      <c r="A5854" s="88">
        <f t="shared" si="465"/>
        <v>48</v>
      </c>
      <c r="B5854" s="69" t="s">
        <v>2000</v>
      </c>
      <c r="C5854" s="167">
        <v>8</v>
      </c>
      <c r="D5854" s="155">
        <v>0</v>
      </c>
      <c r="E5854" s="155">
        <v>1</v>
      </c>
      <c r="F5854" s="155">
        <v>0</v>
      </c>
      <c r="G5854" s="155">
        <v>0</v>
      </c>
      <c r="H5854" s="155">
        <v>1</v>
      </c>
      <c r="I5854" s="155">
        <v>0</v>
      </c>
      <c r="J5854" s="710">
        <f>(VLOOKUP($C5854,[2]Sheet1!$A$2:$P$18,$M5854+1)/12)*12*D5854</f>
        <v>0</v>
      </c>
      <c r="K5854" s="711"/>
      <c r="M5854" s="62">
        <f t="shared" si="464"/>
        <v>3</v>
      </c>
    </row>
    <row r="5855" spans="1:13">
      <c r="A5855" s="88">
        <f t="shared" si="465"/>
        <v>49</v>
      </c>
      <c r="B5855" s="69" t="s">
        <v>2492</v>
      </c>
      <c r="C5855" s="167">
        <v>7</v>
      </c>
      <c r="D5855" s="155">
        <v>4</v>
      </c>
      <c r="E5855" s="155">
        <v>2</v>
      </c>
      <c r="F5855" s="155">
        <v>2</v>
      </c>
      <c r="G5855" s="155">
        <v>2</v>
      </c>
      <c r="H5855" s="155">
        <v>2</v>
      </c>
      <c r="I5855" s="155">
        <v>4</v>
      </c>
      <c r="J5855" s="710">
        <f>(VLOOKUP($C5855,[2]Sheet1!$A$2:$P$18,$M5855+1)/12)*12*D5855</f>
        <v>1230826.8096000003</v>
      </c>
      <c r="K5855" s="711"/>
      <c r="M5855" s="62">
        <f t="shared" si="464"/>
        <v>3</v>
      </c>
    </row>
    <row r="5856" spans="1:13">
      <c r="A5856" s="88">
        <f t="shared" si="465"/>
        <v>50</v>
      </c>
      <c r="B5856" s="69" t="s">
        <v>2117</v>
      </c>
      <c r="C5856" s="167">
        <v>6</v>
      </c>
      <c r="D5856" s="155">
        <v>1</v>
      </c>
      <c r="E5856" s="155">
        <v>1</v>
      </c>
      <c r="F5856" s="155">
        <v>1</v>
      </c>
      <c r="G5856" s="155">
        <v>1</v>
      </c>
      <c r="H5856" s="155">
        <v>1</v>
      </c>
      <c r="I5856" s="155">
        <v>1</v>
      </c>
      <c r="J5856" s="710">
        <f>(VLOOKUP($C5856,[2]Sheet1!$A$2:$P$18,$M5856+1)/12)*12*D5856</f>
        <v>238099.37893036497</v>
      </c>
      <c r="K5856" s="711"/>
      <c r="M5856" s="62">
        <f t="shared" si="464"/>
        <v>5</v>
      </c>
    </row>
    <row r="5857" spans="1:13">
      <c r="A5857" s="88">
        <f t="shared" si="465"/>
        <v>51</v>
      </c>
      <c r="B5857" s="69" t="s">
        <v>1749</v>
      </c>
      <c r="C5857" s="167">
        <v>6</v>
      </c>
      <c r="D5857" s="155">
        <v>1</v>
      </c>
      <c r="E5857" s="155">
        <v>1</v>
      </c>
      <c r="F5857" s="155">
        <v>1</v>
      </c>
      <c r="G5857" s="155">
        <v>1</v>
      </c>
      <c r="H5857" s="155">
        <v>1</v>
      </c>
      <c r="I5857" s="155">
        <v>1</v>
      </c>
      <c r="J5857" s="710">
        <f>(VLOOKUP($C5857,[2]Sheet1!$A$2:$P$18,$M5857+1)/12)*12*D5857</f>
        <v>238099.37893036497</v>
      </c>
      <c r="K5857" s="711"/>
      <c r="M5857" s="62">
        <f t="shared" si="464"/>
        <v>5</v>
      </c>
    </row>
    <row r="5858" spans="1:13">
      <c r="A5858" s="88">
        <f t="shared" si="465"/>
        <v>52</v>
      </c>
      <c r="B5858" s="69" t="s">
        <v>1250</v>
      </c>
      <c r="C5858" s="167">
        <v>5</v>
      </c>
      <c r="D5858" s="155">
        <v>1</v>
      </c>
      <c r="E5858" s="155">
        <v>1</v>
      </c>
      <c r="F5858" s="155">
        <v>1</v>
      </c>
      <c r="G5858" s="155">
        <v>1</v>
      </c>
      <c r="H5858" s="155">
        <v>1</v>
      </c>
      <c r="I5858" s="155">
        <v>1</v>
      </c>
      <c r="J5858" s="710">
        <f>(VLOOKUP($C5858,[2]Sheet1!$A$2:$P$18,$M5858+1)/12)*12*D5858</f>
        <v>229569.77893036499</v>
      </c>
      <c r="K5858" s="711"/>
      <c r="M5858" s="62">
        <f t="shared" si="464"/>
        <v>5</v>
      </c>
    </row>
    <row r="5859" spans="1:13">
      <c r="A5859" s="88"/>
      <c r="B5859" s="90" t="s">
        <v>2431</v>
      </c>
      <c r="C5859" s="167"/>
      <c r="D5859" s="155"/>
      <c r="E5859" s="155"/>
      <c r="F5859" s="155"/>
      <c r="G5859" s="155"/>
      <c r="H5859" s="155"/>
      <c r="I5859" s="155"/>
      <c r="J5859" s="710"/>
      <c r="K5859" s="711"/>
      <c r="M5859" s="62">
        <f t="shared" si="464"/>
        <v>5</v>
      </c>
    </row>
    <row r="5860" spans="1:13">
      <c r="A5860" s="88">
        <f>+A5858+1</f>
        <v>53</v>
      </c>
      <c r="B5860" s="69" t="s">
        <v>3932</v>
      </c>
      <c r="C5860" s="167">
        <v>15</v>
      </c>
      <c r="D5860" s="155">
        <v>1</v>
      </c>
      <c r="E5860" s="155">
        <v>1</v>
      </c>
      <c r="F5860" s="155">
        <v>1</v>
      </c>
      <c r="G5860" s="155">
        <v>1</v>
      </c>
      <c r="H5860" s="155">
        <v>1</v>
      </c>
      <c r="I5860" s="155">
        <v>1</v>
      </c>
      <c r="J5860" s="710">
        <f>(VLOOKUP($C5860,[2]Sheet1!$A$2:$P$18,$M5860+1)/12)*12*D5860</f>
        <v>658331.89992</v>
      </c>
      <c r="K5860" s="711"/>
      <c r="M5860" s="62">
        <f t="shared" si="464"/>
        <v>3</v>
      </c>
    </row>
    <row r="5861" spans="1:13">
      <c r="A5861" s="88">
        <f>+A5860+1</f>
        <v>54</v>
      </c>
      <c r="B5861" s="69" t="s">
        <v>1438</v>
      </c>
      <c r="C5861" s="167">
        <v>10</v>
      </c>
      <c r="D5861" s="155">
        <v>1</v>
      </c>
      <c r="E5861" s="155">
        <v>1</v>
      </c>
      <c r="F5861" s="155">
        <v>1</v>
      </c>
      <c r="G5861" s="155">
        <v>1</v>
      </c>
      <c r="H5861" s="155">
        <v>1</v>
      </c>
      <c r="I5861" s="155">
        <v>1</v>
      </c>
      <c r="J5861" s="710">
        <f>(VLOOKUP($C5861,[2]Sheet1!$A$2:$P$18,$M5861+1)/12)*12*D5861</f>
        <v>483974.5687200001</v>
      </c>
      <c r="K5861" s="711"/>
      <c r="M5861" s="62">
        <f t="shared" si="464"/>
        <v>3</v>
      </c>
    </row>
    <row r="5862" spans="1:13">
      <c r="A5862" s="88"/>
      <c r="B5862" s="90" t="s">
        <v>622</v>
      </c>
      <c r="C5862" s="167"/>
      <c r="D5862" s="155"/>
      <c r="E5862" s="155"/>
      <c r="F5862" s="155"/>
      <c r="G5862" s="155"/>
      <c r="H5862" s="155"/>
      <c r="I5862" s="155"/>
      <c r="J5862" s="710"/>
      <c r="K5862" s="711"/>
      <c r="M5862" s="62">
        <f t="shared" si="464"/>
        <v>5</v>
      </c>
    </row>
    <row r="5863" spans="1:13">
      <c r="A5863" s="88">
        <f>+A5861+1</f>
        <v>55</v>
      </c>
      <c r="B5863" s="69" t="s">
        <v>1440</v>
      </c>
      <c r="C5863" s="167">
        <v>15</v>
      </c>
      <c r="D5863" s="155">
        <v>1</v>
      </c>
      <c r="E5863" s="155">
        <v>1</v>
      </c>
      <c r="F5863" s="155">
        <v>1</v>
      </c>
      <c r="G5863" s="155">
        <v>1</v>
      </c>
      <c r="H5863" s="155">
        <v>1</v>
      </c>
      <c r="I5863" s="155">
        <v>1</v>
      </c>
      <c r="J5863" s="710">
        <f>(VLOOKUP($C5863,[2]Sheet1!$A$2:$P$18,$M5863+1)/12)*12*D5863</f>
        <v>658331.89992</v>
      </c>
      <c r="K5863" s="711"/>
      <c r="M5863" s="62">
        <f t="shared" si="464"/>
        <v>3</v>
      </c>
    </row>
    <row r="5864" spans="1:13">
      <c r="A5864" s="88">
        <f t="shared" ref="A5864:A5870" si="466">+A5863+1</f>
        <v>56</v>
      </c>
      <c r="B5864" s="69" t="s">
        <v>1936</v>
      </c>
      <c r="C5864" s="167">
        <v>14</v>
      </c>
      <c r="D5864" s="155">
        <v>1</v>
      </c>
      <c r="E5864" s="155">
        <v>1</v>
      </c>
      <c r="F5864" s="155">
        <v>1</v>
      </c>
      <c r="G5864" s="155">
        <v>1</v>
      </c>
      <c r="H5864" s="155">
        <v>1</v>
      </c>
      <c r="I5864" s="155">
        <v>1</v>
      </c>
      <c r="J5864" s="710">
        <f>(VLOOKUP($C5864,[2]Sheet1!$A$2:$P$18,$M5864+1)/12)*12*D5864</f>
        <v>669099.40824000002</v>
      </c>
      <c r="K5864" s="711"/>
      <c r="M5864" s="62">
        <f t="shared" si="464"/>
        <v>3</v>
      </c>
    </row>
    <row r="5865" spans="1:13">
      <c r="A5865" s="88">
        <f t="shared" si="466"/>
        <v>57</v>
      </c>
      <c r="B5865" s="69" t="s">
        <v>1937</v>
      </c>
      <c r="C5865" s="167">
        <v>12</v>
      </c>
      <c r="D5865" s="155">
        <v>0</v>
      </c>
      <c r="E5865" s="155">
        <v>1</v>
      </c>
      <c r="F5865" s="155">
        <v>0</v>
      </c>
      <c r="G5865" s="155">
        <v>0</v>
      </c>
      <c r="H5865" s="155">
        <v>1</v>
      </c>
      <c r="I5865" s="155">
        <v>0</v>
      </c>
      <c r="J5865" s="710">
        <f>(VLOOKUP($C5865,[2]Sheet1!$A$2:$P$18,$M5865+1)/12)*12*D5865</f>
        <v>0</v>
      </c>
      <c r="K5865" s="711"/>
      <c r="M5865" s="62">
        <f t="shared" si="464"/>
        <v>3</v>
      </c>
    </row>
    <row r="5866" spans="1:13">
      <c r="A5866" s="88">
        <f t="shared" si="466"/>
        <v>58</v>
      </c>
      <c r="B5866" s="69" t="s">
        <v>1706</v>
      </c>
      <c r="C5866" s="167">
        <v>10</v>
      </c>
      <c r="D5866" s="155">
        <v>1</v>
      </c>
      <c r="E5866" s="155">
        <v>1</v>
      </c>
      <c r="F5866" s="155">
        <v>1</v>
      </c>
      <c r="G5866" s="155">
        <v>1</v>
      </c>
      <c r="H5866" s="155">
        <v>1</v>
      </c>
      <c r="I5866" s="155">
        <v>1</v>
      </c>
      <c r="J5866" s="710">
        <f>(VLOOKUP($C5866,[2]Sheet1!$A$2:$P$18,$M5866+1)/12)*12*D5866</f>
        <v>483974.5687200001</v>
      </c>
      <c r="K5866" s="711"/>
      <c r="M5866" s="62">
        <f t="shared" si="464"/>
        <v>3</v>
      </c>
    </row>
    <row r="5867" spans="1:13">
      <c r="A5867" s="88">
        <f t="shared" si="466"/>
        <v>59</v>
      </c>
      <c r="B5867" s="69" t="s">
        <v>1707</v>
      </c>
      <c r="C5867" s="167">
        <v>9</v>
      </c>
      <c r="D5867" s="155">
        <v>0</v>
      </c>
      <c r="E5867" s="155">
        <v>1</v>
      </c>
      <c r="F5867" s="155">
        <v>0</v>
      </c>
      <c r="G5867" s="155">
        <v>0</v>
      </c>
      <c r="H5867" s="155">
        <v>1</v>
      </c>
      <c r="I5867" s="155">
        <v>0</v>
      </c>
      <c r="J5867" s="710">
        <f>(VLOOKUP($C5867,[2]Sheet1!$A$2:$P$18,$M5867+1)/12)*12*D5867</f>
        <v>0</v>
      </c>
      <c r="K5867" s="711"/>
      <c r="M5867" s="62">
        <f t="shared" si="464"/>
        <v>3</v>
      </c>
    </row>
    <row r="5868" spans="1:13">
      <c r="A5868" s="88">
        <f t="shared" si="466"/>
        <v>60</v>
      </c>
      <c r="B5868" s="69" t="s">
        <v>1042</v>
      </c>
      <c r="C5868" s="167">
        <v>8</v>
      </c>
      <c r="D5868" s="155">
        <v>1</v>
      </c>
      <c r="E5868" s="155">
        <v>2</v>
      </c>
      <c r="F5868" s="155">
        <v>1</v>
      </c>
      <c r="G5868" s="155">
        <v>1</v>
      </c>
      <c r="H5868" s="155">
        <v>2</v>
      </c>
      <c r="I5868" s="155">
        <v>1</v>
      </c>
      <c r="J5868" s="710">
        <f>(VLOOKUP($C5868,[2]Sheet1!$A$2:$P$18,$M5868+1)/12)*12*D5868</f>
        <v>342141.27408</v>
      </c>
      <c r="K5868" s="711"/>
      <c r="M5868" s="62">
        <f t="shared" si="464"/>
        <v>3</v>
      </c>
    </row>
    <row r="5869" spans="1:13">
      <c r="A5869" s="88">
        <f t="shared" si="466"/>
        <v>61</v>
      </c>
      <c r="B5869" s="69" t="s">
        <v>2018</v>
      </c>
      <c r="C5869" s="167">
        <v>4</v>
      </c>
      <c r="D5869" s="155">
        <v>1</v>
      </c>
      <c r="E5869" s="155">
        <v>2</v>
      </c>
      <c r="F5869" s="155">
        <v>1</v>
      </c>
      <c r="G5869" s="155">
        <v>1</v>
      </c>
      <c r="H5869" s="155">
        <v>2</v>
      </c>
      <c r="I5869" s="155">
        <v>1</v>
      </c>
      <c r="J5869" s="710">
        <f>(VLOOKUP($C5869,[2]Sheet1!$A$2:$P$18,$M5869+1)/12)*12*D5869</f>
        <v>224542.978930365</v>
      </c>
      <c r="K5869" s="711"/>
      <c r="M5869" s="62">
        <f t="shared" si="464"/>
        <v>5</v>
      </c>
    </row>
    <row r="5870" spans="1:13">
      <c r="A5870" s="88">
        <f t="shared" si="466"/>
        <v>62</v>
      </c>
      <c r="B5870" s="69" t="s">
        <v>2019</v>
      </c>
      <c r="C5870" s="167">
        <v>3</v>
      </c>
      <c r="D5870" s="155">
        <v>2</v>
      </c>
      <c r="E5870" s="155">
        <v>2</v>
      </c>
      <c r="F5870" s="155">
        <v>2</v>
      </c>
      <c r="G5870" s="155">
        <v>2</v>
      </c>
      <c r="H5870" s="155">
        <v>2</v>
      </c>
      <c r="I5870" s="155">
        <v>2</v>
      </c>
      <c r="J5870" s="710">
        <f>(VLOOKUP($C5870,[2]Sheet1!$A$2:$P$18,$M5870+1)/12)*12*D5870</f>
        <v>438672.35786072997</v>
      </c>
      <c r="K5870" s="711"/>
      <c r="M5870" s="62">
        <f t="shared" si="464"/>
        <v>5</v>
      </c>
    </row>
    <row r="5871" spans="1:13">
      <c r="A5871" s="88"/>
      <c r="B5871" s="90" t="s">
        <v>3730</v>
      </c>
      <c r="C5871" s="167"/>
      <c r="D5871" s="155"/>
      <c r="E5871" s="155"/>
      <c r="F5871" s="155"/>
      <c r="G5871" s="155"/>
      <c r="H5871" s="155"/>
      <c r="I5871" s="155"/>
      <c r="J5871" s="710"/>
      <c r="K5871" s="711"/>
      <c r="M5871" s="62">
        <f t="shared" si="464"/>
        <v>5</v>
      </c>
    </row>
    <row r="5872" spans="1:13">
      <c r="A5872" s="88">
        <f>+A5870+1</f>
        <v>63</v>
      </c>
      <c r="B5872" s="69" t="s">
        <v>1440</v>
      </c>
      <c r="C5872" s="167">
        <v>15</v>
      </c>
      <c r="D5872" s="155">
        <v>1</v>
      </c>
      <c r="E5872" s="155">
        <v>1</v>
      </c>
      <c r="F5872" s="155">
        <v>1</v>
      </c>
      <c r="G5872" s="155">
        <v>1</v>
      </c>
      <c r="H5872" s="155">
        <v>1</v>
      </c>
      <c r="I5872" s="155">
        <v>1</v>
      </c>
      <c r="J5872" s="710">
        <f>(VLOOKUP($C5872,[2]Sheet1!$A$2:$P$18,$M5872+1)/12)*12*D5872</f>
        <v>658331.89992</v>
      </c>
      <c r="K5872" s="711"/>
      <c r="M5872" s="62">
        <f t="shared" si="464"/>
        <v>3</v>
      </c>
    </row>
    <row r="5873" spans="1:13">
      <c r="A5873" s="88">
        <f>+A5872+1</f>
        <v>64</v>
      </c>
      <c r="B5873" s="69" t="s">
        <v>1936</v>
      </c>
      <c r="C5873" s="167">
        <v>14</v>
      </c>
      <c r="D5873" s="155">
        <v>0</v>
      </c>
      <c r="E5873" s="155">
        <v>0</v>
      </c>
      <c r="F5873" s="155">
        <v>0</v>
      </c>
      <c r="G5873" s="155">
        <v>0</v>
      </c>
      <c r="H5873" s="155">
        <v>0</v>
      </c>
      <c r="I5873" s="155">
        <v>0</v>
      </c>
      <c r="J5873" s="710">
        <f>(VLOOKUP($C5873,[2]Sheet1!$A$2:$P$18,$M5873+1)/12)*12*D5873</f>
        <v>0</v>
      </c>
      <c r="K5873" s="711"/>
      <c r="M5873" s="62">
        <f t="shared" si="464"/>
        <v>3</v>
      </c>
    </row>
    <row r="5874" spans="1:13">
      <c r="A5874" s="88">
        <f>+A5873+1</f>
        <v>65</v>
      </c>
      <c r="B5874" s="69" t="s">
        <v>1937</v>
      </c>
      <c r="C5874" s="167">
        <v>12</v>
      </c>
      <c r="D5874" s="155">
        <v>0</v>
      </c>
      <c r="E5874" s="155">
        <v>0</v>
      </c>
      <c r="F5874" s="155">
        <v>0</v>
      </c>
      <c r="G5874" s="155">
        <v>0</v>
      </c>
      <c r="H5874" s="155">
        <v>0</v>
      </c>
      <c r="I5874" s="155">
        <v>0</v>
      </c>
      <c r="J5874" s="710">
        <f>(VLOOKUP($C5874,[2]Sheet1!$A$2:$P$18,$M5874+1)/12)*12*D5874</f>
        <v>0</v>
      </c>
      <c r="K5874" s="711"/>
      <c r="M5874" s="62">
        <f t="shared" si="464"/>
        <v>3</v>
      </c>
    </row>
    <row r="5875" spans="1:13">
      <c r="A5875" s="88">
        <f>+A5874+1</f>
        <v>66</v>
      </c>
      <c r="B5875" s="69" t="s">
        <v>1706</v>
      </c>
      <c r="C5875" s="167">
        <v>10</v>
      </c>
      <c r="D5875" s="155">
        <v>1</v>
      </c>
      <c r="E5875" s="155">
        <v>1</v>
      </c>
      <c r="F5875" s="155">
        <v>1</v>
      </c>
      <c r="G5875" s="155">
        <v>1</v>
      </c>
      <c r="H5875" s="155">
        <v>1</v>
      </c>
      <c r="I5875" s="155">
        <v>1</v>
      </c>
      <c r="J5875" s="710">
        <f>(VLOOKUP($C5875,[2]Sheet1!$A$2:$P$18,$M5875+1)/12)*12*D5875</f>
        <v>483974.5687200001</v>
      </c>
      <c r="K5875" s="711"/>
      <c r="M5875" s="62">
        <f t="shared" si="464"/>
        <v>3</v>
      </c>
    </row>
    <row r="5876" spans="1:13">
      <c r="A5876" s="88">
        <f>+A5875+1</f>
        <v>67</v>
      </c>
      <c r="B5876" s="69" t="s">
        <v>1707</v>
      </c>
      <c r="C5876" s="167">
        <v>9</v>
      </c>
      <c r="D5876" s="155">
        <v>0</v>
      </c>
      <c r="E5876" s="155">
        <v>2</v>
      </c>
      <c r="F5876" s="155">
        <v>0</v>
      </c>
      <c r="G5876" s="155">
        <v>0</v>
      </c>
      <c r="H5876" s="155">
        <v>2</v>
      </c>
      <c r="I5876" s="155">
        <v>0</v>
      </c>
      <c r="J5876" s="710">
        <f>(VLOOKUP($C5876,[2]Sheet1!$A$2:$P$18,$M5876+1)/12)*12*D5876</f>
        <v>0</v>
      </c>
      <c r="K5876" s="711"/>
      <c r="M5876" s="62">
        <f t="shared" si="464"/>
        <v>3</v>
      </c>
    </row>
    <row r="5877" spans="1:13" ht="13.5" thickBot="1">
      <c r="A5877" s="88">
        <f>+A5876+1</f>
        <v>68</v>
      </c>
      <c r="B5877" s="69" t="s">
        <v>1042</v>
      </c>
      <c r="C5877" s="167">
        <v>8</v>
      </c>
      <c r="D5877" s="155">
        <v>1</v>
      </c>
      <c r="E5877" s="155">
        <v>1</v>
      </c>
      <c r="F5877" s="155">
        <v>1</v>
      </c>
      <c r="G5877" s="155">
        <v>1</v>
      </c>
      <c r="H5877" s="155">
        <v>1</v>
      </c>
      <c r="I5877" s="155">
        <v>1</v>
      </c>
      <c r="J5877" s="710">
        <f>(VLOOKUP($C5877,[2]Sheet1!$A$2:$P$18,$M5877+1)/12)*12*D5877</f>
        <v>342141.27408</v>
      </c>
      <c r="K5877" s="711"/>
      <c r="M5877" s="62">
        <f t="shared" si="464"/>
        <v>3</v>
      </c>
    </row>
    <row r="5878" spans="1:13" ht="15.75" thickTop="1">
      <c r="A5878" s="1047" t="s">
        <v>2791</v>
      </c>
      <c r="B5878" s="1049" t="s">
        <v>4126</v>
      </c>
      <c r="C5878" s="1049" t="s">
        <v>854</v>
      </c>
      <c r="D5878" s="1040" t="s">
        <v>4127</v>
      </c>
      <c r="E5878" s="1041"/>
      <c r="F5878" s="1041"/>
      <c r="G5878" s="1040" t="s">
        <v>904</v>
      </c>
      <c r="H5878" s="1041"/>
      <c r="I5878" s="1042"/>
      <c r="J5878" s="1035" t="s">
        <v>855</v>
      </c>
      <c r="K5878" s="389"/>
    </row>
    <row r="5879" spans="1:13" ht="26.25" thickBot="1">
      <c r="A5879" s="1048"/>
      <c r="B5879" s="1050"/>
      <c r="C5879" s="1050"/>
      <c r="D5879" s="285" t="s">
        <v>5505</v>
      </c>
      <c r="E5879" s="285" t="s">
        <v>4485</v>
      </c>
      <c r="F5879" s="285" t="s">
        <v>4486</v>
      </c>
      <c r="G5879" s="287" t="s">
        <v>4487</v>
      </c>
      <c r="H5879" s="285" t="s">
        <v>4488</v>
      </c>
      <c r="I5879" s="287" t="s">
        <v>4489</v>
      </c>
      <c r="J5879" s="1036"/>
      <c r="K5879" s="712"/>
    </row>
    <row r="5880" spans="1:13" ht="13.5" thickTop="1">
      <c r="A5880" s="88">
        <f>+A5877+1</f>
        <v>69</v>
      </c>
      <c r="B5880" s="69" t="s">
        <v>3050</v>
      </c>
      <c r="C5880" s="167">
        <v>6</v>
      </c>
      <c r="D5880" s="155">
        <v>1</v>
      </c>
      <c r="E5880" s="155">
        <v>5</v>
      </c>
      <c r="F5880" s="155">
        <v>1</v>
      </c>
      <c r="G5880" s="155">
        <v>1</v>
      </c>
      <c r="H5880" s="155">
        <v>5</v>
      </c>
      <c r="I5880" s="155">
        <v>1</v>
      </c>
      <c r="J5880" s="710">
        <f>(VLOOKUP($C5880,[2]Sheet1!$A$2:$P$18,$M5880+1)/12)*12*D5880</f>
        <v>238099.37893036497</v>
      </c>
      <c r="K5880" s="711"/>
      <c r="M5880" s="62">
        <f t="shared" ref="M5880:M5951" si="467">IF(C5880&gt;6,3,5)</f>
        <v>5</v>
      </c>
    </row>
    <row r="5881" spans="1:13">
      <c r="A5881" s="88"/>
      <c r="B5881" s="90" t="s">
        <v>3731</v>
      </c>
      <c r="C5881" s="167"/>
      <c r="D5881" s="155"/>
      <c r="E5881" s="155"/>
      <c r="F5881" s="155"/>
      <c r="G5881" s="155"/>
      <c r="H5881" s="155"/>
      <c r="I5881" s="155"/>
      <c r="J5881" s="713"/>
      <c r="K5881" s="711"/>
      <c r="M5881" s="62">
        <f t="shared" si="467"/>
        <v>5</v>
      </c>
    </row>
    <row r="5882" spans="1:13">
      <c r="A5882" s="88">
        <f>+A5880+1</f>
        <v>70</v>
      </c>
      <c r="B5882" s="69" t="s">
        <v>1440</v>
      </c>
      <c r="C5882" s="167">
        <v>15</v>
      </c>
      <c r="D5882" s="155">
        <v>1</v>
      </c>
      <c r="E5882" s="155">
        <v>1</v>
      </c>
      <c r="F5882" s="155">
        <v>1</v>
      </c>
      <c r="G5882" s="155">
        <v>1</v>
      </c>
      <c r="H5882" s="155">
        <v>1</v>
      </c>
      <c r="I5882" s="155">
        <v>1</v>
      </c>
      <c r="J5882" s="710">
        <f>(VLOOKUP($C5882,[2]Sheet1!$A$2:$P$18,$M5882+1)/12)*12*D5882</f>
        <v>658331.89992</v>
      </c>
      <c r="K5882" s="711"/>
      <c r="M5882" s="62">
        <f t="shared" si="467"/>
        <v>3</v>
      </c>
    </row>
    <row r="5883" spans="1:13">
      <c r="A5883" s="88">
        <f>+A5882+1</f>
        <v>71</v>
      </c>
      <c r="B5883" s="69" t="s">
        <v>1936</v>
      </c>
      <c r="C5883" s="167">
        <v>14</v>
      </c>
      <c r="D5883" s="155">
        <v>1</v>
      </c>
      <c r="E5883" s="155">
        <v>1</v>
      </c>
      <c r="F5883" s="155">
        <v>1</v>
      </c>
      <c r="G5883" s="155">
        <v>1</v>
      </c>
      <c r="H5883" s="155">
        <v>1</v>
      </c>
      <c r="I5883" s="155">
        <v>1</v>
      </c>
      <c r="J5883" s="710">
        <f>(VLOOKUP($C5883,[2]Sheet1!$A$2:$P$18,$M5883+1)/12)*12*D5883</f>
        <v>669099.40824000002</v>
      </c>
      <c r="K5883" s="711"/>
      <c r="M5883" s="62">
        <f t="shared" si="467"/>
        <v>3</v>
      </c>
    </row>
    <row r="5884" spans="1:13">
      <c r="A5884" s="88">
        <f>+A5883+1</f>
        <v>72</v>
      </c>
      <c r="B5884" s="69" t="s">
        <v>1706</v>
      </c>
      <c r="C5884" s="167">
        <v>10</v>
      </c>
      <c r="D5884" s="155">
        <v>0</v>
      </c>
      <c r="E5884" s="155">
        <v>0</v>
      </c>
      <c r="F5884" s="155">
        <v>0</v>
      </c>
      <c r="G5884" s="155">
        <v>0</v>
      </c>
      <c r="H5884" s="155">
        <v>0</v>
      </c>
      <c r="I5884" s="155">
        <v>0</v>
      </c>
      <c r="J5884" s="710">
        <f>(VLOOKUP($C5884,[2]Sheet1!$A$2:$P$18,$M5884+1)/12)*12*D5884</f>
        <v>0</v>
      </c>
      <c r="K5884" s="711"/>
      <c r="M5884" s="62">
        <f t="shared" si="467"/>
        <v>3</v>
      </c>
    </row>
    <row r="5885" spans="1:13">
      <c r="A5885" s="88">
        <f>+A5884+1</f>
        <v>73</v>
      </c>
      <c r="B5885" s="69" t="s">
        <v>1707</v>
      </c>
      <c r="C5885" s="167">
        <v>9</v>
      </c>
      <c r="D5885" s="155">
        <v>0</v>
      </c>
      <c r="E5885" s="155">
        <v>0</v>
      </c>
      <c r="F5885" s="155">
        <v>0</v>
      </c>
      <c r="G5885" s="155">
        <v>0</v>
      </c>
      <c r="H5885" s="155">
        <v>0</v>
      </c>
      <c r="I5885" s="155">
        <v>0</v>
      </c>
      <c r="J5885" s="710">
        <f>(VLOOKUP($C5885,[2]Sheet1!$A$2:$P$18,$M5885+1)/12)*12*D5885</f>
        <v>0</v>
      </c>
      <c r="K5885" s="711"/>
      <c r="M5885" s="62">
        <f t="shared" si="467"/>
        <v>3</v>
      </c>
    </row>
    <row r="5886" spans="1:13">
      <c r="A5886" s="88">
        <f>+A5885+1</f>
        <v>74</v>
      </c>
      <c r="B5886" s="69" t="s">
        <v>1042</v>
      </c>
      <c r="C5886" s="167">
        <v>8</v>
      </c>
      <c r="D5886" s="155">
        <v>0</v>
      </c>
      <c r="E5886" s="155">
        <v>5</v>
      </c>
      <c r="F5886" s="155">
        <v>0</v>
      </c>
      <c r="G5886" s="155">
        <v>0</v>
      </c>
      <c r="H5886" s="155">
        <v>5</v>
      </c>
      <c r="I5886" s="155">
        <v>0</v>
      </c>
      <c r="J5886" s="710">
        <f>(VLOOKUP($C5886,[2]Sheet1!$A$2:$P$18,$M5886+1)/12)*12*D5886</f>
        <v>0</v>
      </c>
      <c r="K5886" s="711"/>
      <c r="M5886" s="62">
        <f t="shared" si="467"/>
        <v>3</v>
      </c>
    </row>
    <row r="5887" spans="1:13">
      <c r="A5887" s="88"/>
      <c r="B5887" s="69"/>
      <c r="C5887" s="167"/>
      <c r="D5887" s="155"/>
      <c r="E5887" s="155"/>
      <c r="F5887" s="155"/>
      <c r="G5887" s="155"/>
      <c r="H5887" s="155"/>
      <c r="I5887" s="155"/>
      <c r="J5887" s="710"/>
      <c r="K5887" s="711"/>
      <c r="M5887" s="62">
        <f t="shared" si="467"/>
        <v>5</v>
      </c>
    </row>
    <row r="5888" spans="1:13">
      <c r="A5888" s="88"/>
      <c r="B5888" s="90" t="s">
        <v>3886</v>
      </c>
      <c r="C5888" s="167"/>
      <c r="D5888" s="155"/>
      <c r="E5888" s="155"/>
      <c r="F5888" s="155"/>
      <c r="G5888" s="155"/>
      <c r="H5888" s="155"/>
      <c r="I5888" s="155"/>
      <c r="J5888" s="710"/>
      <c r="K5888" s="711"/>
      <c r="M5888" s="62">
        <f t="shared" si="467"/>
        <v>5</v>
      </c>
    </row>
    <row r="5889" spans="1:13">
      <c r="A5889" s="88">
        <f>+A5886+1</f>
        <v>75</v>
      </c>
      <c r="B5889" s="69" t="s">
        <v>1440</v>
      </c>
      <c r="C5889" s="167">
        <v>15</v>
      </c>
      <c r="D5889" s="155">
        <v>0</v>
      </c>
      <c r="E5889" s="155">
        <v>0</v>
      </c>
      <c r="F5889" s="155">
        <v>0</v>
      </c>
      <c r="G5889" s="155">
        <v>0</v>
      </c>
      <c r="H5889" s="155">
        <v>0</v>
      </c>
      <c r="I5889" s="155">
        <v>0</v>
      </c>
      <c r="J5889" s="710">
        <f>(VLOOKUP($C5889,[2]Sheet1!$A$2:$P$18,$M5889+1)/12)*12*D5889</f>
        <v>0</v>
      </c>
      <c r="K5889" s="711"/>
      <c r="M5889" s="62">
        <f t="shared" si="467"/>
        <v>3</v>
      </c>
    </row>
    <row r="5890" spans="1:13">
      <c r="A5890" s="88">
        <f>+A5889+1</f>
        <v>76</v>
      </c>
      <c r="B5890" s="69" t="s">
        <v>1936</v>
      </c>
      <c r="C5890" s="167">
        <v>14</v>
      </c>
      <c r="D5890" s="155">
        <v>0</v>
      </c>
      <c r="E5890" s="155">
        <v>0</v>
      </c>
      <c r="F5890" s="155">
        <v>0</v>
      </c>
      <c r="G5890" s="155">
        <v>0</v>
      </c>
      <c r="H5890" s="155">
        <v>0</v>
      </c>
      <c r="I5890" s="155">
        <v>0</v>
      </c>
      <c r="J5890" s="710">
        <f>(VLOOKUP($C5890,[2]Sheet1!$A$2:$P$18,$M5890+1)/12)*12*D5890</f>
        <v>0</v>
      </c>
      <c r="K5890" s="711"/>
      <c r="M5890" s="62">
        <f t="shared" si="467"/>
        <v>3</v>
      </c>
    </row>
    <row r="5891" spans="1:13">
      <c r="A5891" s="88">
        <f>+A5890+1</f>
        <v>77</v>
      </c>
      <c r="B5891" s="69" t="s">
        <v>1706</v>
      </c>
      <c r="C5891" s="167">
        <v>10</v>
      </c>
      <c r="D5891" s="155">
        <v>1</v>
      </c>
      <c r="E5891" s="155">
        <v>1</v>
      </c>
      <c r="F5891" s="155">
        <v>1</v>
      </c>
      <c r="G5891" s="155">
        <v>1</v>
      </c>
      <c r="H5891" s="155">
        <v>1</v>
      </c>
      <c r="I5891" s="155">
        <v>1</v>
      </c>
      <c r="J5891" s="710">
        <f>(VLOOKUP($C5891,[2]Sheet1!$A$2:$P$18,$M5891+1)/12)*12*D5891</f>
        <v>483974.5687200001</v>
      </c>
      <c r="K5891" s="711"/>
      <c r="M5891" s="62">
        <f t="shared" si="467"/>
        <v>3</v>
      </c>
    </row>
    <row r="5892" spans="1:13">
      <c r="A5892" s="88">
        <f>+A5891+1</f>
        <v>78</v>
      </c>
      <c r="B5892" s="69" t="s">
        <v>1707</v>
      </c>
      <c r="C5892" s="167">
        <v>9</v>
      </c>
      <c r="D5892" s="155">
        <v>0</v>
      </c>
      <c r="E5892" s="155">
        <v>1</v>
      </c>
      <c r="F5892" s="155">
        <v>0</v>
      </c>
      <c r="G5892" s="155">
        <v>0</v>
      </c>
      <c r="H5892" s="155">
        <v>1</v>
      </c>
      <c r="I5892" s="155">
        <v>0</v>
      </c>
      <c r="J5892" s="710">
        <f>(VLOOKUP($C5892,[2]Sheet1!$A$2:$P$18,$M5892+1)/12)*12*D5892</f>
        <v>0</v>
      </c>
      <c r="K5892" s="711"/>
      <c r="M5892" s="62">
        <f t="shared" si="467"/>
        <v>3</v>
      </c>
    </row>
    <row r="5893" spans="1:13">
      <c r="A5893" s="88">
        <f>+A5892+1</f>
        <v>79</v>
      </c>
      <c r="B5893" s="69" t="s">
        <v>1042</v>
      </c>
      <c r="C5893" s="167">
        <v>8</v>
      </c>
      <c r="D5893" s="155">
        <v>1</v>
      </c>
      <c r="E5893" s="155">
        <v>1</v>
      </c>
      <c r="F5893" s="155">
        <v>1</v>
      </c>
      <c r="G5893" s="155">
        <v>1</v>
      </c>
      <c r="H5893" s="155">
        <v>1</v>
      </c>
      <c r="I5893" s="155">
        <v>1</v>
      </c>
      <c r="J5893" s="710">
        <f>(VLOOKUP($C5893,[2]Sheet1!$A$2:$P$18,$M5893+1)/12)*12*D5893</f>
        <v>342141.27408</v>
      </c>
      <c r="K5893" s="711"/>
      <c r="M5893" s="62">
        <f t="shared" si="467"/>
        <v>3</v>
      </c>
    </row>
    <row r="5894" spans="1:13">
      <c r="A5894" s="88"/>
      <c r="B5894" s="69"/>
      <c r="C5894" s="167"/>
      <c r="D5894" s="155"/>
      <c r="E5894" s="155"/>
      <c r="F5894" s="155"/>
      <c r="G5894" s="155"/>
      <c r="H5894" s="155"/>
      <c r="I5894" s="155"/>
      <c r="J5894" s="710"/>
      <c r="K5894" s="711"/>
      <c r="M5894" s="62">
        <f t="shared" si="467"/>
        <v>5</v>
      </c>
    </row>
    <row r="5895" spans="1:13">
      <c r="A5895" s="88"/>
      <c r="B5895" s="90" t="s">
        <v>3887</v>
      </c>
      <c r="C5895" s="167"/>
      <c r="D5895" s="155"/>
      <c r="E5895" s="155"/>
      <c r="F5895" s="155"/>
      <c r="G5895" s="155"/>
      <c r="H5895" s="155"/>
      <c r="I5895" s="155"/>
      <c r="J5895" s="710"/>
      <c r="K5895" s="711"/>
      <c r="M5895" s="62">
        <f t="shared" si="467"/>
        <v>5</v>
      </c>
    </row>
    <row r="5896" spans="1:13">
      <c r="A5896" s="88">
        <f>+A5893+1</f>
        <v>80</v>
      </c>
      <c r="B5896" s="69" t="s">
        <v>1190</v>
      </c>
      <c r="C5896" s="167">
        <v>9</v>
      </c>
      <c r="D5896" s="155">
        <v>0</v>
      </c>
      <c r="E5896" s="155">
        <v>1</v>
      </c>
      <c r="F5896" s="155">
        <v>0</v>
      </c>
      <c r="G5896" s="155">
        <v>0</v>
      </c>
      <c r="H5896" s="155">
        <v>1</v>
      </c>
      <c r="I5896" s="155">
        <v>0</v>
      </c>
      <c r="J5896" s="710">
        <f>(VLOOKUP($C5896,[2]Sheet1!$A$2:$P$18,$M5896+1)/12)*12*D5896</f>
        <v>0</v>
      </c>
      <c r="K5896" s="711"/>
      <c r="M5896" s="62">
        <f t="shared" si="467"/>
        <v>3</v>
      </c>
    </row>
    <row r="5897" spans="1:13">
      <c r="A5897" s="88">
        <f t="shared" ref="A5897:A5906" si="468">+A5896+1</f>
        <v>81</v>
      </c>
      <c r="B5897" s="69" t="s">
        <v>1035</v>
      </c>
      <c r="C5897" s="167">
        <v>8</v>
      </c>
      <c r="D5897" s="155">
        <v>1</v>
      </c>
      <c r="E5897" s="155">
        <v>2</v>
      </c>
      <c r="F5897" s="155">
        <v>1</v>
      </c>
      <c r="G5897" s="155">
        <v>1</v>
      </c>
      <c r="H5897" s="155">
        <v>2</v>
      </c>
      <c r="I5897" s="155">
        <v>1</v>
      </c>
      <c r="J5897" s="710">
        <f>(VLOOKUP($C5897,[2]Sheet1!$A$2:$P$18,$M5897+1)/12)*12*D5897</f>
        <v>342141.27408</v>
      </c>
      <c r="K5897" s="711"/>
      <c r="M5897" s="62">
        <f t="shared" si="467"/>
        <v>3</v>
      </c>
    </row>
    <row r="5898" spans="1:13">
      <c r="A5898" s="88">
        <f t="shared" si="468"/>
        <v>82</v>
      </c>
      <c r="B5898" s="69" t="s">
        <v>333</v>
      </c>
      <c r="C5898" s="167">
        <v>7</v>
      </c>
      <c r="D5898" s="155">
        <v>1</v>
      </c>
      <c r="E5898" s="155">
        <v>1</v>
      </c>
      <c r="F5898" s="155">
        <v>1</v>
      </c>
      <c r="G5898" s="155">
        <v>1</v>
      </c>
      <c r="H5898" s="155">
        <v>1</v>
      </c>
      <c r="I5898" s="155">
        <v>1</v>
      </c>
      <c r="J5898" s="710">
        <f>(VLOOKUP($C5898,[2]Sheet1!$A$2:$P$18,$M5898+1)/12)*12*D5898</f>
        <v>307706.70240000007</v>
      </c>
      <c r="K5898" s="711"/>
      <c r="M5898" s="62">
        <f t="shared" si="467"/>
        <v>3</v>
      </c>
    </row>
    <row r="5899" spans="1:13">
      <c r="A5899" s="88">
        <f t="shared" si="468"/>
        <v>83</v>
      </c>
      <c r="B5899" s="69" t="s">
        <v>1250</v>
      </c>
      <c r="C5899" s="167">
        <v>5</v>
      </c>
      <c r="D5899" s="155">
        <v>2</v>
      </c>
      <c r="E5899" s="155">
        <v>4</v>
      </c>
      <c r="F5899" s="155">
        <v>2</v>
      </c>
      <c r="G5899" s="155">
        <v>2</v>
      </c>
      <c r="H5899" s="155">
        <v>4</v>
      </c>
      <c r="I5899" s="155">
        <v>2</v>
      </c>
      <c r="J5899" s="710">
        <f>(VLOOKUP($C5899,[2]Sheet1!$A$2:$P$18,$M5899+1)/12)*12*D5899</f>
        <v>459139.55786072998</v>
      </c>
      <c r="K5899" s="711"/>
      <c r="M5899" s="62">
        <f t="shared" si="467"/>
        <v>5</v>
      </c>
    </row>
    <row r="5900" spans="1:13">
      <c r="A5900" s="88">
        <f t="shared" si="468"/>
        <v>84</v>
      </c>
      <c r="B5900" s="69" t="s">
        <v>3473</v>
      </c>
      <c r="C5900" s="167">
        <v>8</v>
      </c>
      <c r="D5900" s="155">
        <v>0</v>
      </c>
      <c r="E5900" s="155">
        <v>2</v>
      </c>
      <c r="F5900" s="155">
        <v>0</v>
      </c>
      <c r="G5900" s="155">
        <v>0</v>
      </c>
      <c r="H5900" s="155">
        <v>2</v>
      </c>
      <c r="I5900" s="155">
        <v>0</v>
      </c>
      <c r="J5900" s="710">
        <f>(VLOOKUP($C5900,[2]Sheet1!$A$2:$P$18,$M5900+1)/12)*12*D5900</f>
        <v>0</v>
      </c>
      <c r="K5900" s="711"/>
      <c r="M5900" s="62">
        <f t="shared" si="467"/>
        <v>3</v>
      </c>
    </row>
    <row r="5901" spans="1:13">
      <c r="A5901" s="88">
        <f t="shared" si="468"/>
        <v>85</v>
      </c>
      <c r="B5901" s="69" t="s">
        <v>866</v>
      </c>
      <c r="C5901" s="167">
        <v>7</v>
      </c>
      <c r="D5901" s="155">
        <v>0</v>
      </c>
      <c r="E5901" s="155">
        <v>2</v>
      </c>
      <c r="F5901" s="155">
        <v>0</v>
      </c>
      <c r="G5901" s="155">
        <v>0</v>
      </c>
      <c r="H5901" s="155">
        <v>2</v>
      </c>
      <c r="I5901" s="155">
        <v>0</v>
      </c>
      <c r="J5901" s="710">
        <f>(VLOOKUP($C5901,[2]Sheet1!$A$2:$P$18,$M5901+1)/12)*12*D5901</f>
        <v>0</v>
      </c>
      <c r="K5901" s="711"/>
      <c r="M5901" s="62">
        <f t="shared" si="467"/>
        <v>3</v>
      </c>
    </row>
    <row r="5902" spans="1:13">
      <c r="A5902" s="88">
        <f t="shared" si="468"/>
        <v>86</v>
      </c>
      <c r="B5902" s="69" t="s">
        <v>919</v>
      </c>
      <c r="C5902" s="167">
        <v>5</v>
      </c>
      <c r="D5902" s="155">
        <v>0</v>
      </c>
      <c r="E5902" s="155">
        <v>2</v>
      </c>
      <c r="F5902" s="155">
        <v>0</v>
      </c>
      <c r="G5902" s="155">
        <v>0</v>
      </c>
      <c r="H5902" s="155">
        <v>2</v>
      </c>
      <c r="I5902" s="155">
        <v>0</v>
      </c>
      <c r="J5902" s="710">
        <f>(VLOOKUP($C5902,[2]Sheet1!$A$2:$P$18,$M5902+1)/12)*12*D5902</f>
        <v>0</v>
      </c>
      <c r="K5902" s="711"/>
      <c r="M5902" s="62">
        <f t="shared" si="467"/>
        <v>5</v>
      </c>
    </row>
    <row r="5903" spans="1:13">
      <c r="A5903" s="88">
        <f t="shared" si="468"/>
        <v>87</v>
      </c>
      <c r="B5903" s="69" t="s">
        <v>3796</v>
      </c>
      <c r="C5903" s="167">
        <v>4</v>
      </c>
      <c r="D5903" s="155">
        <v>0</v>
      </c>
      <c r="E5903" s="155">
        <v>2</v>
      </c>
      <c r="F5903" s="155">
        <v>0</v>
      </c>
      <c r="G5903" s="155">
        <v>0</v>
      </c>
      <c r="H5903" s="155">
        <v>2</v>
      </c>
      <c r="I5903" s="155">
        <v>0</v>
      </c>
      <c r="J5903" s="710">
        <f>(VLOOKUP($C5903,[2]Sheet1!$A$2:$P$18,$M5903+1)/12)*12*D5903</f>
        <v>0</v>
      </c>
      <c r="K5903" s="711"/>
      <c r="M5903" s="62">
        <f t="shared" si="467"/>
        <v>5</v>
      </c>
    </row>
    <row r="5904" spans="1:13">
      <c r="A5904" s="88">
        <f t="shared" si="468"/>
        <v>88</v>
      </c>
      <c r="B5904" s="69" t="s">
        <v>3797</v>
      </c>
      <c r="C5904" s="167">
        <v>3</v>
      </c>
      <c r="D5904" s="155">
        <v>0</v>
      </c>
      <c r="E5904" s="155">
        <v>1</v>
      </c>
      <c r="F5904" s="155">
        <v>0</v>
      </c>
      <c r="G5904" s="155">
        <v>0</v>
      </c>
      <c r="H5904" s="155">
        <v>1</v>
      </c>
      <c r="I5904" s="155">
        <v>0</v>
      </c>
      <c r="J5904" s="710">
        <f>(VLOOKUP($C5904,[2]Sheet1!$A$2:$P$18,$M5904+1)/12)*12*D5904</f>
        <v>0</v>
      </c>
      <c r="K5904" s="711"/>
      <c r="M5904" s="62">
        <f t="shared" si="467"/>
        <v>5</v>
      </c>
    </row>
    <row r="5905" spans="1:13">
      <c r="A5905" s="88">
        <f t="shared" si="468"/>
        <v>89</v>
      </c>
      <c r="B5905" s="69" t="s">
        <v>4030</v>
      </c>
      <c r="C5905" s="167">
        <v>3</v>
      </c>
      <c r="D5905" s="155">
        <v>0</v>
      </c>
      <c r="E5905" s="155">
        <v>3</v>
      </c>
      <c r="F5905" s="155">
        <v>0</v>
      </c>
      <c r="G5905" s="155">
        <v>0</v>
      </c>
      <c r="H5905" s="155">
        <v>3</v>
      </c>
      <c r="I5905" s="155">
        <v>0</v>
      </c>
      <c r="J5905" s="710">
        <f>(VLOOKUP($C5905,[2]Sheet1!$A$2:$P$18,$M5905+1)/12)*12*D5905</f>
        <v>0</v>
      </c>
      <c r="K5905" s="711"/>
      <c r="M5905" s="62">
        <f t="shared" si="467"/>
        <v>5</v>
      </c>
    </row>
    <row r="5906" spans="1:13">
      <c r="A5906" s="88">
        <f t="shared" si="468"/>
        <v>90</v>
      </c>
      <c r="B5906" s="69" t="s">
        <v>2543</v>
      </c>
      <c r="C5906" s="167">
        <v>2</v>
      </c>
      <c r="D5906" s="155">
        <v>0</v>
      </c>
      <c r="E5906" s="155">
        <v>1</v>
      </c>
      <c r="F5906" s="155">
        <v>0</v>
      </c>
      <c r="G5906" s="155">
        <v>0</v>
      </c>
      <c r="H5906" s="155">
        <v>1</v>
      </c>
      <c r="I5906" s="155">
        <v>0</v>
      </c>
      <c r="J5906" s="710">
        <f>(VLOOKUP($C5906,[2]Sheet1!$A$2:$P$18,$M5906+1)/12)*12*D5906</f>
        <v>0</v>
      </c>
      <c r="K5906" s="711"/>
      <c r="M5906" s="62">
        <f t="shared" si="467"/>
        <v>5</v>
      </c>
    </row>
    <row r="5907" spans="1:13">
      <c r="A5907" s="88"/>
      <c r="B5907" s="69"/>
      <c r="C5907" s="167"/>
      <c r="D5907" s="155"/>
      <c r="E5907" s="155"/>
      <c r="F5907" s="155"/>
      <c r="G5907" s="155"/>
      <c r="H5907" s="155"/>
      <c r="I5907" s="155"/>
      <c r="J5907" s="710"/>
      <c r="K5907" s="711"/>
      <c r="M5907" s="62">
        <f t="shared" si="467"/>
        <v>5</v>
      </c>
    </row>
    <row r="5908" spans="1:13">
      <c r="A5908" s="88"/>
      <c r="B5908" s="90" t="s">
        <v>2023</v>
      </c>
      <c r="C5908" s="167"/>
      <c r="D5908" s="155"/>
      <c r="E5908" s="155"/>
      <c r="F5908" s="155"/>
      <c r="G5908" s="155"/>
      <c r="H5908" s="155"/>
      <c r="I5908" s="155"/>
      <c r="J5908" s="710"/>
      <c r="K5908" s="711"/>
      <c r="M5908" s="62">
        <f t="shared" si="467"/>
        <v>5</v>
      </c>
    </row>
    <row r="5909" spans="1:13">
      <c r="A5909" s="88">
        <f>+A5906+1</f>
        <v>91</v>
      </c>
      <c r="B5909" s="69" t="s">
        <v>2024</v>
      </c>
      <c r="C5909" s="167">
        <v>13</v>
      </c>
      <c r="D5909" s="155">
        <v>1</v>
      </c>
      <c r="E5909" s="155">
        <v>1</v>
      </c>
      <c r="F5909" s="155">
        <v>1</v>
      </c>
      <c r="G5909" s="155">
        <v>1</v>
      </c>
      <c r="H5909" s="155">
        <v>1</v>
      </c>
      <c r="I5909" s="155">
        <v>1</v>
      </c>
      <c r="J5909" s="710">
        <f>(VLOOKUP($C5909,[2]Sheet1!$A$2:$P$18,$M5909+1)/12)*12*D5909</f>
        <v>628759.53804000001</v>
      </c>
      <c r="K5909" s="711"/>
      <c r="M5909" s="62">
        <f t="shared" si="467"/>
        <v>3</v>
      </c>
    </row>
    <row r="5910" spans="1:13">
      <c r="A5910" s="88">
        <f>+A5909+1</f>
        <v>92</v>
      </c>
      <c r="B5910" s="69" t="s">
        <v>2025</v>
      </c>
      <c r="C5910" s="167">
        <v>12</v>
      </c>
      <c r="D5910" s="155">
        <v>1</v>
      </c>
      <c r="E5910" s="155">
        <v>1</v>
      </c>
      <c r="F5910" s="155">
        <v>1</v>
      </c>
      <c r="G5910" s="155">
        <v>1</v>
      </c>
      <c r="H5910" s="155">
        <v>1</v>
      </c>
      <c r="I5910" s="155">
        <v>1</v>
      </c>
      <c r="J5910" s="710">
        <f>(VLOOKUP($C5910,[2]Sheet1!$A$2:$P$18,$M5910+1)/12)*12*D5910</f>
        <v>552685.0537200002</v>
      </c>
      <c r="K5910" s="711"/>
      <c r="M5910" s="62">
        <f t="shared" si="467"/>
        <v>3</v>
      </c>
    </row>
    <row r="5911" spans="1:13">
      <c r="A5911" s="88">
        <f>+A5910+1</f>
        <v>93</v>
      </c>
      <c r="B5911" s="69" t="s">
        <v>2026</v>
      </c>
      <c r="C5911" s="167">
        <v>10</v>
      </c>
      <c r="D5911" s="155">
        <v>0</v>
      </c>
      <c r="E5911" s="155">
        <v>0</v>
      </c>
      <c r="F5911" s="155" t="s">
        <v>3007</v>
      </c>
      <c r="G5911" s="155" t="s">
        <v>3007</v>
      </c>
      <c r="H5911" s="155">
        <v>0</v>
      </c>
      <c r="I5911" s="155" t="s">
        <v>3007</v>
      </c>
      <c r="J5911" s="710">
        <f>(VLOOKUP($C5911,[2]Sheet1!$A$2:$P$18,$M5911+1)/12)*12*D5911</f>
        <v>0</v>
      </c>
      <c r="K5911" s="711"/>
      <c r="M5911" s="62">
        <f t="shared" si="467"/>
        <v>3</v>
      </c>
    </row>
    <row r="5912" spans="1:13">
      <c r="A5912" s="88"/>
      <c r="B5912" s="90" t="s">
        <v>2244</v>
      </c>
      <c r="C5912" s="167"/>
      <c r="D5912" s="155"/>
      <c r="E5912" s="155"/>
      <c r="F5912" s="155"/>
      <c r="G5912" s="155"/>
      <c r="H5912" s="155"/>
      <c r="I5912" s="155"/>
      <c r="J5912" s="710"/>
      <c r="K5912" s="711"/>
      <c r="M5912" s="62">
        <f t="shared" si="467"/>
        <v>5</v>
      </c>
    </row>
    <row r="5913" spans="1:13">
      <c r="A5913" s="88">
        <f>+A5911+1</f>
        <v>94</v>
      </c>
      <c r="B5913" s="69" t="s">
        <v>1835</v>
      </c>
      <c r="C5913" s="167">
        <v>7</v>
      </c>
      <c r="D5913" s="155">
        <v>1</v>
      </c>
      <c r="E5913" s="155">
        <v>1</v>
      </c>
      <c r="F5913" s="155">
        <v>1</v>
      </c>
      <c r="G5913" s="155">
        <v>1</v>
      </c>
      <c r="H5913" s="155">
        <v>1</v>
      </c>
      <c r="I5913" s="155">
        <v>1</v>
      </c>
      <c r="J5913" s="710">
        <f>(VLOOKUP($C5913,[2]Sheet1!$A$2:$P$18,$M5913+1)/12)*12*D5913</f>
        <v>307706.70240000007</v>
      </c>
      <c r="K5913" s="711"/>
      <c r="M5913" s="62">
        <f t="shared" si="467"/>
        <v>3</v>
      </c>
    </row>
    <row r="5914" spans="1:13">
      <c r="A5914" s="88">
        <f>+A5913+1</f>
        <v>95</v>
      </c>
      <c r="B5914" s="69" t="s">
        <v>2758</v>
      </c>
      <c r="C5914" s="167">
        <v>6</v>
      </c>
      <c r="D5914" s="155">
        <v>0</v>
      </c>
      <c r="E5914" s="155">
        <v>1</v>
      </c>
      <c r="F5914" s="155">
        <v>0</v>
      </c>
      <c r="G5914" s="155">
        <v>0</v>
      </c>
      <c r="H5914" s="155">
        <v>1</v>
      </c>
      <c r="I5914" s="155">
        <v>0</v>
      </c>
      <c r="J5914" s="710">
        <f>(VLOOKUP($C5914,[2]Sheet1!$A$2:$P$18,$M5914+1)/12)*12*D5914</f>
        <v>0</v>
      </c>
      <c r="K5914" s="711"/>
      <c r="M5914" s="62">
        <f t="shared" si="467"/>
        <v>5</v>
      </c>
    </row>
    <row r="5915" spans="1:13">
      <c r="A5915" s="88">
        <f>+A5914+1</f>
        <v>96</v>
      </c>
      <c r="B5915" s="69" t="s">
        <v>2759</v>
      </c>
      <c r="C5915" s="167">
        <v>4</v>
      </c>
      <c r="D5915" s="155">
        <v>5</v>
      </c>
      <c r="E5915" s="155">
        <v>5</v>
      </c>
      <c r="F5915" s="155">
        <v>5</v>
      </c>
      <c r="G5915" s="155">
        <v>5</v>
      </c>
      <c r="H5915" s="155">
        <v>5</v>
      </c>
      <c r="I5915" s="155">
        <v>5</v>
      </c>
      <c r="J5915" s="710">
        <f>(VLOOKUP($C5915,[2]Sheet1!$A$2:$P$18,$M5915+1)/12)*12*D5915</f>
        <v>1122714.8946518251</v>
      </c>
      <c r="K5915" s="711"/>
      <c r="M5915" s="62">
        <f t="shared" si="467"/>
        <v>5</v>
      </c>
    </row>
    <row r="5916" spans="1:13">
      <c r="A5916" s="88"/>
      <c r="B5916" s="90" t="s">
        <v>2760</v>
      </c>
      <c r="C5916" s="167"/>
      <c r="D5916" s="155"/>
      <c r="E5916" s="155"/>
      <c r="F5916" s="155"/>
      <c r="G5916" s="155"/>
      <c r="H5916" s="155"/>
      <c r="I5916" s="155"/>
      <c r="J5916" s="710"/>
      <c r="K5916" s="711"/>
      <c r="M5916" s="62">
        <f t="shared" si="467"/>
        <v>5</v>
      </c>
    </row>
    <row r="5917" spans="1:13">
      <c r="A5917" s="88">
        <f>+A5915+1</f>
        <v>97</v>
      </c>
      <c r="B5917" s="69" t="s">
        <v>2707</v>
      </c>
      <c r="C5917" s="167">
        <v>8</v>
      </c>
      <c r="D5917" s="155">
        <v>0</v>
      </c>
      <c r="E5917" s="155">
        <v>1</v>
      </c>
      <c r="F5917" s="155">
        <v>0</v>
      </c>
      <c r="G5917" s="155">
        <v>0</v>
      </c>
      <c r="H5917" s="155">
        <v>1</v>
      </c>
      <c r="I5917" s="155">
        <v>0</v>
      </c>
      <c r="J5917" s="710">
        <f>(VLOOKUP($C5917,[2]Sheet1!$A$2:$P$18,$M5917+1)/12)*12*D5917</f>
        <v>0</v>
      </c>
      <c r="K5917" s="711"/>
      <c r="M5917" s="62">
        <f t="shared" si="467"/>
        <v>3</v>
      </c>
    </row>
    <row r="5918" spans="1:13">
      <c r="A5918" s="88">
        <f>+A5917+1</f>
        <v>98</v>
      </c>
      <c r="B5918" s="69" t="s">
        <v>2761</v>
      </c>
      <c r="C5918" s="167">
        <v>7</v>
      </c>
      <c r="D5918" s="155">
        <v>18</v>
      </c>
      <c r="E5918" s="155">
        <v>18</v>
      </c>
      <c r="F5918" s="155">
        <v>18</v>
      </c>
      <c r="G5918" s="155">
        <v>18</v>
      </c>
      <c r="H5918" s="155">
        <v>18</v>
      </c>
      <c r="I5918" s="155">
        <v>18</v>
      </c>
      <c r="J5918" s="710">
        <f>(VLOOKUP($C5918,[2]Sheet1!$A$2:$P$18,$M5918+1)/12)*12*D5918</f>
        <v>5538720.6432000007</v>
      </c>
      <c r="K5918" s="711"/>
      <c r="M5918" s="62">
        <f t="shared" si="467"/>
        <v>3</v>
      </c>
    </row>
    <row r="5919" spans="1:13">
      <c r="A5919" s="88">
        <f>+A5918+1</f>
        <v>99</v>
      </c>
      <c r="B5919" s="69" t="s">
        <v>1989</v>
      </c>
      <c r="C5919" s="167">
        <v>5</v>
      </c>
      <c r="D5919" s="155">
        <v>2</v>
      </c>
      <c r="E5919" s="155">
        <v>2</v>
      </c>
      <c r="F5919" s="155">
        <v>2</v>
      </c>
      <c r="G5919" s="155">
        <v>2</v>
      </c>
      <c r="H5919" s="155">
        <v>2</v>
      </c>
      <c r="I5919" s="155">
        <v>2</v>
      </c>
      <c r="J5919" s="710">
        <f>(VLOOKUP($C5919,[2]Sheet1!$A$2:$P$18,$M5919+1)/12)*12*D5919</f>
        <v>459139.55786072998</v>
      </c>
      <c r="K5919" s="711"/>
      <c r="M5919" s="62">
        <f t="shared" si="467"/>
        <v>5</v>
      </c>
    </row>
    <row r="5920" spans="1:13" ht="13.5" thickBot="1">
      <c r="A5920" s="88">
        <f>+A5919+1</f>
        <v>100</v>
      </c>
      <c r="B5920" s="69" t="s">
        <v>1388</v>
      </c>
      <c r="C5920" s="167">
        <v>4</v>
      </c>
      <c r="D5920" s="155">
        <v>20</v>
      </c>
      <c r="E5920" s="155">
        <v>20</v>
      </c>
      <c r="F5920" s="155">
        <v>20</v>
      </c>
      <c r="G5920" s="155">
        <v>20</v>
      </c>
      <c r="H5920" s="155">
        <v>20</v>
      </c>
      <c r="I5920" s="155">
        <v>20</v>
      </c>
      <c r="J5920" s="710">
        <f>(VLOOKUP($C5920,[2]Sheet1!$A$2:$P$18,$M5920+1)/12)*12*D5920</f>
        <v>4490859.5786073003</v>
      </c>
      <c r="K5920" s="711"/>
      <c r="M5920" s="62">
        <f t="shared" si="467"/>
        <v>5</v>
      </c>
    </row>
    <row r="5921" spans="1:13" ht="15.75" thickTop="1">
      <c r="A5921" s="1047" t="s">
        <v>2791</v>
      </c>
      <c r="B5921" s="1049" t="s">
        <v>4126</v>
      </c>
      <c r="C5921" s="1049" t="s">
        <v>854</v>
      </c>
      <c r="D5921" s="1040" t="s">
        <v>4127</v>
      </c>
      <c r="E5921" s="1041"/>
      <c r="F5921" s="1041"/>
      <c r="G5921" s="1040" t="s">
        <v>904</v>
      </c>
      <c r="H5921" s="1041"/>
      <c r="I5921" s="1042"/>
      <c r="J5921" s="1035" t="s">
        <v>855</v>
      </c>
      <c r="K5921" s="389"/>
      <c r="M5921" s="62">
        <f t="shared" si="467"/>
        <v>3</v>
      </c>
    </row>
    <row r="5922" spans="1:13" ht="26.25" thickBot="1">
      <c r="A5922" s="1048"/>
      <c r="B5922" s="1050"/>
      <c r="C5922" s="1050"/>
      <c r="D5922" s="285" t="s">
        <v>5505</v>
      </c>
      <c r="E5922" s="285" t="s">
        <v>4485</v>
      </c>
      <c r="F5922" s="285" t="s">
        <v>4486</v>
      </c>
      <c r="G5922" s="287" t="s">
        <v>4487</v>
      </c>
      <c r="H5922" s="285" t="s">
        <v>4488</v>
      </c>
      <c r="I5922" s="287" t="s">
        <v>4489</v>
      </c>
      <c r="J5922" s="1036"/>
      <c r="K5922" s="712"/>
    </row>
    <row r="5923" spans="1:13" ht="13.5" thickTop="1">
      <c r="A5923" s="88"/>
      <c r="B5923" s="90" t="s">
        <v>3013</v>
      </c>
      <c r="C5923" s="167"/>
      <c r="D5923" s="155"/>
      <c r="E5923" s="155"/>
      <c r="F5923" s="155"/>
      <c r="G5923" s="155"/>
      <c r="H5923" s="155"/>
      <c r="I5923" s="155"/>
      <c r="J5923" s="713"/>
      <c r="K5923" s="711"/>
      <c r="M5923" s="62">
        <f t="shared" ref="M5923:M5934" si="469">IF(C5923&gt;6,3,5)</f>
        <v>5</v>
      </c>
    </row>
    <row r="5924" spans="1:13">
      <c r="A5924" s="88">
        <f>+A5920+1</f>
        <v>101</v>
      </c>
      <c r="B5924" s="69" t="s">
        <v>2961</v>
      </c>
      <c r="C5924" s="167">
        <v>13</v>
      </c>
      <c r="D5924" s="155">
        <v>1</v>
      </c>
      <c r="E5924" s="155">
        <v>1</v>
      </c>
      <c r="F5924" s="155">
        <v>1</v>
      </c>
      <c r="G5924" s="155">
        <v>1</v>
      </c>
      <c r="H5924" s="155">
        <v>1</v>
      </c>
      <c r="I5924" s="155">
        <v>1</v>
      </c>
      <c r="J5924" s="710">
        <f>(VLOOKUP($C5924,[2]Sheet1!$A$2:$P$18,$M5924+1)/12)*12*D5924</f>
        <v>628759.53804000001</v>
      </c>
      <c r="K5924" s="711"/>
      <c r="M5924" s="62">
        <f t="shared" si="469"/>
        <v>3</v>
      </c>
    </row>
    <row r="5925" spans="1:13">
      <c r="A5925" s="88">
        <f t="shared" ref="A5925:A5930" si="470">+A5924+1</f>
        <v>102</v>
      </c>
      <c r="B5925" s="69" t="s">
        <v>1676</v>
      </c>
      <c r="C5925" s="167">
        <v>10</v>
      </c>
      <c r="D5925" s="155">
        <v>1</v>
      </c>
      <c r="E5925" s="155">
        <v>1</v>
      </c>
      <c r="F5925" s="155">
        <v>1</v>
      </c>
      <c r="G5925" s="155">
        <v>1</v>
      </c>
      <c r="H5925" s="155">
        <v>1</v>
      </c>
      <c r="I5925" s="155">
        <v>1</v>
      </c>
      <c r="J5925" s="710">
        <f>(VLOOKUP($C5925,[2]Sheet1!$A$2:$P$18,$M5925+1)/12)*12*D5925</f>
        <v>483974.5687200001</v>
      </c>
      <c r="K5925" s="711"/>
      <c r="M5925" s="62">
        <f t="shared" si="469"/>
        <v>3</v>
      </c>
    </row>
    <row r="5926" spans="1:13">
      <c r="A5926" s="88">
        <f t="shared" si="470"/>
        <v>103</v>
      </c>
      <c r="B5926" s="69" t="s">
        <v>3619</v>
      </c>
      <c r="C5926" s="167">
        <v>9</v>
      </c>
      <c r="D5926" s="155">
        <v>1</v>
      </c>
      <c r="E5926" s="155">
        <v>1</v>
      </c>
      <c r="F5926" s="155">
        <v>1</v>
      </c>
      <c r="G5926" s="155">
        <v>1</v>
      </c>
      <c r="H5926" s="155">
        <v>1</v>
      </c>
      <c r="I5926" s="155">
        <v>1</v>
      </c>
      <c r="J5926" s="710">
        <f>(VLOOKUP($C5926,[2]Sheet1!$A$2:$P$18,$M5926+1)/12)*12*D5926</f>
        <v>409681.90619999997</v>
      </c>
      <c r="K5926" s="711"/>
      <c r="M5926" s="62">
        <f t="shared" si="469"/>
        <v>3</v>
      </c>
    </row>
    <row r="5927" spans="1:13">
      <c r="A5927" s="88">
        <f t="shared" si="470"/>
        <v>104</v>
      </c>
      <c r="B5927" s="69" t="s">
        <v>3330</v>
      </c>
      <c r="C5927" s="167">
        <v>8</v>
      </c>
      <c r="D5927" s="155">
        <v>0</v>
      </c>
      <c r="E5927" s="155">
        <v>1</v>
      </c>
      <c r="F5927" s="155">
        <v>0</v>
      </c>
      <c r="G5927" s="155">
        <v>0</v>
      </c>
      <c r="H5927" s="155">
        <v>1</v>
      </c>
      <c r="I5927" s="155">
        <v>0</v>
      </c>
      <c r="J5927" s="710">
        <f>(VLOOKUP($C5927,[2]Sheet1!$A$2:$P$18,$M5927+1)/12)*12*D5927</f>
        <v>0</v>
      </c>
      <c r="K5927" s="711"/>
      <c r="M5927" s="62">
        <f t="shared" si="469"/>
        <v>3</v>
      </c>
    </row>
    <row r="5928" spans="1:13">
      <c r="A5928" s="88">
        <f t="shared" si="470"/>
        <v>105</v>
      </c>
      <c r="B5928" s="69" t="s">
        <v>1714</v>
      </c>
      <c r="C5928" s="167">
        <v>10</v>
      </c>
      <c r="D5928" s="155">
        <v>1</v>
      </c>
      <c r="E5928" s="155">
        <v>1</v>
      </c>
      <c r="F5928" s="155">
        <v>1</v>
      </c>
      <c r="G5928" s="155">
        <v>1</v>
      </c>
      <c r="H5928" s="155">
        <v>1</v>
      </c>
      <c r="I5928" s="155">
        <v>1</v>
      </c>
      <c r="J5928" s="710">
        <f>(VLOOKUP($C5928,[2]Sheet1!$A$2:$P$18,$M5928+1)/12)*12*D5928</f>
        <v>483974.5687200001</v>
      </c>
      <c r="K5928" s="711"/>
      <c r="M5928" s="62">
        <f t="shared" si="469"/>
        <v>3</v>
      </c>
    </row>
    <row r="5929" spans="1:13">
      <c r="A5929" s="88">
        <f t="shared" si="470"/>
        <v>106</v>
      </c>
      <c r="B5929" s="69" t="s">
        <v>3658</v>
      </c>
      <c r="C5929" s="167">
        <v>8</v>
      </c>
      <c r="D5929" s="155">
        <v>5</v>
      </c>
      <c r="E5929" s="155">
        <v>5</v>
      </c>
      <c r="F5929" s="155">
        <v>5</v>
      </c>
      <c r="G5929" s="155">
        <v>5</v>
      </c>
      <c r="H5929" s="155">
        <v>5</v>
      </c>
      <c r="I5929" s="155">
        <v>5</v>
      </c>
      <c r="J5929" s="710">
        <f>(VLOOKUP($C5929,[2]Sheet1!$A$2:$P$18,$M5929+1)/12)*12*D5929</f>
        <v>1710706.3703999999</v>
      </c>
      <c r="K5929" s="711"/>
      <c r="M5929" s="62">
        <f t="shared" si="469"/>
        <v>3</v>
      </c>
    </row>
    <row r="5930" spans="1:13">
      <c r="A5930" s="88">
        <f t="shared" si="470"/>
        <v>107</v>
      </c>
      <c r="B5930" s="69" t="s">
        <v>137</v>
      </c>
      <c r="C5930" s="167">
        <v>7</v>
      </c>
      <c r="D5930" s="155">
        <v>5</v>
      </c>
      <c r="E5930" s="155">
        <v>5</v>
      </c>
      <c r="F5930" s="155">
        <v>5</v>
      </c>
      <c r="G5930" s="155">
        <v>5</v>
      </c>
      <c r="H5930" s="155">
        <v>5</v>
      </c>
      <c r="I5930" s="155">
        <v>5</v>
      </c>
      <c r="J5930" s="710">
        <f>(VLOOKUP($C5930,[2]Sheet1!$A$2:$P$18,$M5930+1)/12)*12*D5930</f>
        <v>1538533.5120000003</v>
      </c>
      <c r="K5930" s="711"/>
      <c r="M5930" s="62">
        <f t="shared" si="469"/>
        <v>3</v>
      </c>
    </row>
    <row r="5931" spans="1:13">
      <c r="A5931" s="88">
        <f>+A5929+1</f>
        <v>107</v>
      </c>
      <c r="B5931" s="69" t="s">
        <v>3506</v>
      </c>
      <c r="C5931" s="167">
        <v>4</v>
      </c>
      <c r="D5931" s="155">
        <v>2</v>
      </c>
      <c r="E5931" s="155">
        <v>2</v>
      </c>
      <c r="F5931" s="155">
        <v>2</v>
      </c>
      <c r="G5931" s="155">
        <v>2</v>
      </c>
      <c r="H5931" s="155">
        <v>2</v>
      </c>
      <c r="I5931" s="155">
        <v>2</v>
      </c>
      <c r="J5931" s="710">
        <f>(VLOOKUP($C5931,[2]Sheet1!$A$2:$P$18,$M5931+1)/12)*12*D5931</f>
        <v>449085.95786073001</v>
      </c>
      <c r="K5931" s="711"/>
      <c r="M5931" s="62">
        <f t="shared" si="469"/>
        <v>5</v>
      </c>
    </row>
    <row r="5932" spans="1:13">
      <c r="A5932" s="88">
        <f>+A5930+1</f>
        <v>108</v>
      </c>
      <c r="B5932" s="69" t="s">
        <v>3859</v>
      </c>
      <c r="C5932" s="167">
        <v>7</v>
      </c>
      <c r="D5932" s="155">
        <v>2</v>
      </c>
      <c r="E5932" s="155">
        <v>2</v>
      </c>
      <c r="F5932" s="155">
        <v>2</v>
      </c>
      <c r="G5932" s="155">
        <v>2</v>
      </c>
      <c r="H5932" s="155">
        <v>2</v>
      </c>
      <c r="I5932" s="155">
        <v>2</v>
      </c>
      <c r="J5932" s="710">
        <f>(VLOOKUP($C5932,[2]Sheet1!$A$2:$P$18,$M5932+1)/12)*12*D5932</f>
        <v>615413.40480000013</v>
      </c>
      <c r="K5932" s="711"/>
      <c r="M5932" s="62">
        <f t="shared" si="469"/>
        <v>3</v>
      </c>
    </row>
    <row r="5933" spans="1:13">
      <c r="A5933" s="88">
        <f>+A5931+1</f>
        <v>108</v>
      </c>
      <c r="B5933" s="69" t="s">
        <v>1458</v>
      </c>
      <c r="C5933" s="167">
        <v>4</v>
      </c>
      <c r="D5933" s="155">
        <v>2</v>
      </c>
      <c r="E5933" s="155">
        <v>2</v>
      </c>
      <c r="F5933" s="155">
        <v>2</v>
      </c>
      <c r="G5933" s="155">
        <v>2</v>
      </c>
      <c r="H5933" s="155">
        <v>2</v>
      </c>
      <c r="I5933" s="155">
        <v>2</v>
      </c>
      <c r="J5933" s="710">
        <f>(VLOOKUP($C5933,[2]Sheet1!$A$2:$P$18,$M5933+1)/12)*12*D5933</f>
        <v>449085.95786073001</v>
      </c>
      <c r="K5933" s="711"/>
      <c r="M5933" s="62">
        <f t="shared" si="469"/>
        <v>5</v>
      </c>
    </row>
    <row r="5934" spans="1:13">
      <c r="A5934" s="88">
        <f>+A5931+1</f>
        <v>108</v>
      </c>
      <c r="B5934" s="69" t="s">
        <v>3109</v>
      </c>
      <c r="C5934" s="167">
        <v>4</v>
      </c>
      <c r="D5934" s="155">
        <v>2</v>
      </c>
      <c r="E5934" s="155">
        <v>2</v>
      </c>
      <c r="F5934" s="155">
        <v>2</v>
      </c>
      <c r="G5934" s="155">
        <v>2</v>
      </c>
      <c r="H5934" s="155">
        <v>2</v>
      </c>
      <c r="I5934" s="155">
        <v>2</v>
      </c>
      <c r="J5934" s="710">
        <f>(VLOOKUP($C5934,[2]Sheet1!$A$2:$P$18,$M5934+1)/12)*12*D5934</f>
        <v>449085.95786073001</v>
      </c>
      <c r="K5934" s="711"/>
      <c r="M5934" s="62">
        <f t="shared" si="469"/>
        <v>5</v>
      </c>
    </row>
    <row r="5935" spans="1:13">
      <c r="A5935" s="88"/>
      <c r="B5935" s="90" t="s">
        <v>1990</v>
      </c>
      <c r="C5935" s="167"/>
      <c r="D5935" s="155"/>
      <c r="E5935" s="155"/>
      <c r="F5935" s="155"/>
      <c r="G5935" s="155"/>
      <c r="H5935" s="155"/>
      <c r="I5935" s="155"/>
      <c r="J5935" s="710"/>
      <c r="K5935" s="711"/>
      <c r="M5935" s="62">
        <f t="shared" si="467"/>
        <v>5</v>
      </c>
    </row>
    <row r="5936" spans="1:13">
      <c r="A5936" s="88">
        <f>+A5934+1</f>
        <v>109</v>
      </c>
      <c r="B5936" s="69" t="s">
        <v>1991</v>
      </c>
      <c r="C5936" s="167">
        <v>7</v>
      </c>
      <c r="D5936" s="155">
        <v>0</v>
      </c>
      <c r="E5936" s="155">
        <v>0</v>
      </c>
      <c r="F5936" s="155">
        <v>0</v>
      </c>
      <c r="G5936" s="155">
        <v>0</v>
      </c>
      <c r="H5936" s="155">
        <v>0</v>
      </c>
      <c r="I5936" s="155">
        <v>0</v>
      </c>
      <c r="J5936" s="710">
        <f>(VLOOKUP($C5936,[2]Sheet1!$A$2:$P$18,$M5936+1)/12)*12*D5936</f>
        <v>0</v>
      </c>
      <c r="K5936" s="711"/>
      <c r="M5936" s="62">
        <f t="shared" si="467"/>
        <v>3</v>
      </c>
    </row>
    <row r="5937" spans="1:13">
      <c r="A5937" s="88">
        <f>+A5936+1</f>
        <v>110</v>
      </c>
      <c r="B5937" s="69" t="s">
        <v>1552</v>
      </c>
      <c r="C5937" s="167">
        <v>6</v>
      </c>
      <c r="D5937" s="155">
        <v>0</v>
      </c>
      <c r="E5937" s="155">
        <v>2</v>
      </c>
      <c r="F5937" s="155">
        <v>0</v>
      </c>
      <c r="G5937" s="155">
        <v>0</v>
      </c>
      <c r="H5937" s="155">
        <v>2</v>
      </c>
      <c r="I5937" s="155">
        <v>0</v>
      </c>
      <c r="J5937" s="710">
        <f>(VLOOKUP($C5937,[2]Sheet1!$A$2:$P$18,$M5937+1)/12)*12*D5937</f>
        <v>0</v>
      </c>
      <c r="K5937" s="711"/>
      <c r="M5937" s="62">
        <f t="shared" si="467"/>
        <v>5</v>
      </c>
    </row>
    <row r="5938" spans="1:13">
      <c r="A5938" s="88">
        <f>+A5937+1</f>
        <v>111</v>
      </c>
      <c r="B5938" s="69" t="s">
        <v>1553</v>
      </c>
      <c r="C5938" s="167">
        <v>4</v>
      </c>
      <c r="D5938" s="155">
        <v>2</v>
      </c>
      <c r="E5938" s="155">
        <v>2</v>
      </c>
      <c r="F5938" s="155">
        <v>2</v>
      </c>
      <c r="G5938" s="155">
        <v>2</v>
      </c>
      <c r="H5938" s="155">
        <v>2</v>
      </c>
      <c r="I5938" s="155">
        <v>2</v>
      </c>
      <c r="J5938" s="710">
        <f>(VLOOKUP($C5938,[2]Sheet1!$A$2:$P$18,$M5938+1)/12)*12*D5938</f>
        <v>449085.95786073001</v>
      </c>
      <c r="K5938" s="711"/>
      <c r="M5938" s="62">
        <f t="shared" si="467"/>
        <v>5</v>
      </c>
    </row>
    <row r="5939" spans="1:13">
      <c r="A5939" s="88"/>
      <c r="B5939" s="90" t="s">
        <v>1554</v>
      </c>
      <c r="C5939" s="167"/>
      <c r="D5939" s="155"/>
      <c r="E5939" s="155"/>
      <c r="F5939" s="155"/>
      <c r="G5939" s="155"/>
      <c r="H5939" s="155"/>
      <c r="I5939" s="155"/>
      <c r="J5939" s="710"/>
      <c r="K5939" s="711"/>
      <c r="M5939" s="62">
        <f t="shared" si="467"/>
        <v>5</v>
      </c>
    </row>
    <row r="5940" spans="1:13">
      <c r="A5940" s="88">
        <f>+A5938+1</f>
        <v>112</v>
      </c>
      <c r="B5940" s="69" t="s">
        <v>2253</v>
      </c>
      <c r="C5940" s="167">
        <v>13</v>
      </c>
      <c r="D5940" s="155">
        <v>1</v>
      </c>
      <c r="E5940" s="155">
        <v>1</v>
      </c>
      <c r="F5940" s="155">
        <v>1</v>
      </c>
      <c r="G5940" s="155">
        <v>1</v>
      </c>
      <c r="H5940" s="155">
        <v>1</v>
      </c>
      <c r="I5940" s="155">
        <v>1</v>
      </c>
      <c r="J5940" s="710">
        <f>(VLOOKUP($C5940,[2]Sheet1!$A$2:$P$18,$M5940+1)/12)*12*D5940</f>
        <v>628759.53804000001</v>
      </c>
      <c r="K5940" s="711"/>
      <c r="M5940" s="62">
        <f t="shared" si="467"/>
        <v>3</v>
      </c>
    </row>
    <row r="5941" spans="1:13">
      <c r="A5941" s="88">
        <f t="shared" ref="A5941:A5953" si="471">+A5940+1</f>
        <v>113</v>
      </c>
      <c r="B5941" s="69" t="s">
        <v>2254</v>
      </c>
      <c r="C5941" s="167">
        <v>12</v>
      </c>
      <c r="D5941" s="155">
        <v>1</v>
      </c>
      <c r="E5941" s="155">
        <v>1</v>
      </c>
      <c r="F5941" s="155">
        <v>1</v>
      </c>
      <c r="G5941" s="155">
        <v>1</v>
      </c>
      <c r="H5941" s="155">
        <v>1</v>
      </c>
      <c r="I5941" s="155">
        <v>1</v>
      </c>
      <c r="J5941" s="710">
        <f>(VLOOKUP($C5941,[2]Sheet1!$A$2:$P$18,$M5941+1)/12)*12*D5941</f>
        <v>552685.0537200002</v>
      </c>
      <c r="K5941" s="711"/>
      <c r="M5941" s="62">
        <f t="shared" si="467"/>
        <v>3</v>
      </c>
    </row>
    <row r="5942" spans="1:13">
      <c r="A5942" s="88">
        <f t="shared" si="471"/>
        <v>114</v>
      </c>
      <c r="B5942" s="69" t="s">
        <v>419</v>
      </c>
      <c r="C5942" s="167">
        <v>10</v>
      </c>
      <c r="D5942" s="155">
        <v>1</v>
      </c>
      <c r="E5942" s="155">
        <v>1</v>
      </c>
      <c r="F5942" s="155">
        <v>1</v>
      </c>
      <c r="G5942" s="155">
        <v>1</v>
      </c>
      <c r="H5942" s="155">
        <v>1</v>
      </c>
      <c r="I5942" s="155">
        <v>1</v>
      </c>
      <c r="J5942" s="710">
        <f>(VLOOKUP($C5942,[2]Sheet1!$A$2:$P$18,$M5942+1)/12)*12*D5942</f>
        <v>483974.5687200001</v>
      </c>
      <c r="K5942" s="711"/>
      <c r="M5942" s="62">
        <f t="shared" si="467"/>
        <v>3</v>
      </c>
    </row>
    <row r="5943" spans="1:13">
      <c r="A5943" s="88">
        <f t="shared" si="471"/>
        <v>115</v>
      </c>
      <c r="B5943" s="69" t="s">
        <v>725</v>
      </c>
      <c r="C5943" s="167">
        <v>10</v>
      </c>
      <c r="D5943" s="155">
        <v>1</v>
      </c>
      <c r="E5943" s="155">
        <v>1</v>
      </c>
      <c r="F5943" s="155">
        <v>1</v>
      </c>
      <c r="G5943" s="155">
        <v>1</v>
      </c>
      <c r="H5943" s="155">
        <v>1</v>
      </c>
      <c r="I5943" s="155">
        <v>1</v>
      </c>
      <c r="J5943" s="710">
        <f>(VLOOKUP($C5943,[2]Sheet1!$A$2:$P$18,$M5943+1)/12)*12*D5943</f>
        <v>483974.5687200001</v>
      </c>
      <c r="K5943" s="711"/>
      <c r="M5943" s="62">
        <f t="shared" si="467"/>
        <v>3</v>
      </c>
    </row>
    <row r="5944" spans="1:13">
      <c r="A5944" s="88">
        <f t="shared" si="471"/>
        <v>116</v>
      </c>
      <c r="B5944" s="69" t="s">
        <v>1559</v>
      </c>
      <c r="C5944" s="167">
        <v>9</v>
      </c>
      <c r="D5944" s="155">
        <v>0</v>
      </c>
      <c r="E5944" s="155">
        <v>0</v>
      </c>
      <c r="F5944" s="155">
        <v>0</v>
      </c>
      <c r="G5944" s="155">
        <v>0</v>
      </c>
      <c r="H5944" s="155">
        <v>0</v>
      </c>
      <c r="I5944" s="155">
        <v>0</v>
      </c>
      <c r="J5944" s="710">
        <f>(VLOOKUP($C5944,[2]Sheet1!$A$2:$P$18,$M5944+1)/12)*12*D5944</f>
        <v>0</v>
      </c>
      <c r="K5944" s="711"/>
      <c r="M5944" s="62">
        <f t="shared" si="467"/>
        <v>3</v>
      </c>
    </row>
    <row r="5945" spans="1:13">
      <c r="A5945" s="88">
        <f t="shared" si="471"/>
        <v>117</v>
      </c>
      <c r="B5945" s="69" t="s">
        <v>2258</v>
      </c>
      <c r="C5945" s="167">
        <v>9</v>
      </c>
      <c r="D5945" s="155">
        <v>0</v>
      </c>
      <c r="E5945" s="155">
        <v>0</v>
      </c>
      <c r="F5945" s="155">
        <v>0</v>
      </c>
      <c r="G5945" s="155">
        <v>0</v>
      </c>
      <c r="H5945" s="155">
        <v>0</v>
      </c>
      <c r="I5945" s="155">
        <v>0</v>
      </c>
      <c r="J5945" s="710">
        <f>(VLOOKUP($C5945,[2]Sheet1!$A$2:$P$18,$M5945+1)/12)*12*D5945</f>
        <v>0</v>
      </c>
      <c r="K5945" s="711"/>
      <c r="M5945" s="62">
        <f t="shared" si="467"/>
        <v>3</v>
      </c>
    </row>
    <row r="5946" spans="1:13">
      <c r="A5946" s="88">
        <f t="shared" si="471"/>
        <v>118</v>
      </c>
      <c r="B5946" s="69" t="s">
        <v>2259</v>
      </c>
      <c r="C5946" s="167">
        <v>13</v>
      </c>
      <c r="D5946" s="155">
        <v>0</v>
      </c>
      <c r="E5946" s="155">
        <v>0</v>
      </c>
      <c r="F5946" s="155">
        <v>0</v>
      </c>
      <c r="G5946" s="155">
        <v>0</v>
      </c>
      <c r="H5946" s="155">
        <v>0</v>
      </c>
      <c r="I5946" s="155">
        <v>0</v>
      </c>
      <c r="J5946" s="710">
        <f>(VLOOKUP($C5946,[2]Sheet1!$A$2:$P$18,$M5946+1)/12)*12*D5946</f>
        <v>0</v>
      </c>
      <c r="K5946" s="711"/>
      <c r="M5946" s="62">
        <f t="shared" si="467"/>
        <v>3</v>
      </c>
    </row>
    <row r="5947" spans="1:13">
      <c r="A5947" s="88">
        <f t="shared" si="471"/>
        <v>119</v>
      </c>
      <c r="B5947" s="69" t="s">
        <v>3939</v>
      </c>
      <c r="C5947" s="167">
        <v>8</v>
      </c>
      <c r="D5947" s="155">
        <v>0</v>
      </c>
      <c r="E5947" s="155">
        <v>0</v>
      </c>
      <c r="F5947" s="155">
        <v>0</v>
      </c>
      <c r="G5947" s="155">
        <v>0</v>
      </c>
      <c r="H5947" s="155">
        <v>0</v>
      </c>
      <c r="I5947" s="155">
        <v>0</v>
      </c>
      <c r="J5947" s="710">
        <f>(VLOOKUP($C5947,[2]Sheet1!$A$2:$P$18,$M5947+1)/12)*12*D5947</f>
        <v>0</v>
      </c>
      <c r="K5947" s="711"/>
      <c r="M5947" s="62">
        <f t="shared" si="467"/>
        <v>3</v>
      </c>
    </row>
    <row r="5948" spans="1:13">
      <c r="A5948" s="88">
        <f t="shared" si="471"/>
        <v>120</v>
      </c>
      <c r="B5948" s="69" t="s">
        <v>3940</v>
      </c>
      <c r="C5948" s="167">
        <v>7</v>
      </c>
      <c r="D5948" s="155">
        <v>0</v>
      </c>
      <c r="E5948" s="155">
        <v>0</v>
      </c>
      <c r="F5948" s="155">
        <v>0</v>
      </c>
      <c r="G5948" s="155">
        <v>0</v>
      </c>
      <c r="H5948" s="155">
        <v>0</v>
      </c>
      <c r="I5948" s="155">
        <v>0</v>
      </c>
      <c r="J5948" s="710">
        <f>(VLOOKUP($C5948,[2]Sheet1!$A$2:$P$18,$M5948+1)/12)*12*D5948</f>
        <v>0</v>
      </c>
      <c r="K5948" s="711"/>
      <c r="M5948" s="62">
        <f t="shared" si="467"/>
        <v>3</v>
      </c>
    </row>
    <row r="5949" spans="1:13">
      <c r="A5949" s="88">
        <f t="shared" si="471"/>
        <v>121</v>
      </c>
      <c r="B5949" s="69" t="s">
        <v>1427</v>
      </c>
      <c r="C5949" s="167">
        <v>8</v>
      </c>
      <c r="D5949" s="155">
        <v>0</v>
      </c>
      <c r="E5949" s="155">
        <v>0</v>
      </c>
      <c r="F5949" s="155">
        <v>0</v>
      </c>
      <c r="G5949" s="155">
        <v>0</v>
      </c>
      <c r="H5949" s="155">
        <v>0</v>
      </c>
      <c r="I5949" s="155">
        <v>0</v>
      </c>
      <c r="J5949" s="710">
        <f>(VLOOKUP($C5949,[2]Sheet1!$A$2:$P$18,$M5949+1)/12)*12*D5949</f>
        <v>0</v>
      </c>
      <c r="K5949" s="711"/>
      <c r="M5949" s="62">
        <f t="shared" si="467"/>
        <v>3</v>
      </c>
    </row>
    <row r="5950" spans="1:13">
      <c r="A5950" s="88">
        <f t="shared" si="471"/>
        <v>122</v>
      </c>
      <c r="B5950" s="69" t="s">
        <v>2341</v>
      </c>
      <c r="C5950" s="167">
        <v>4</v>
      </c>
      <c r="D5950" s="155">
        <v>0</v>
      </c>
      <c r="E5950" s="155">
        <v>0</v>
      </c>
      <c r="F5950" s="155">
        <v>0</v>
      </c>
      <c r="G5950" s="155">
        <v>0</v>
      </c>
      <c r="H5950" s="155">
        <v>0</v>
      </c>
      <c r="I5950" s="155">
        <v>0</v>
      </c>
      <c r="J5950" s="710">
        <f>(VLOOKUP($C5950,[2]Sheet1!$A$2:$P$18,$M5950+1)/12)*12*D5950</f>
        <v>0</v>
      </c>
      <c r="K5950" s="711"/>
      <c r="M5950" s="62">
        <f t="shared" si="467"/>
        <v>5</v>
      </c>
    </row>
    <row r="5951" spans="1:13">
      <c r="A5951" s="88">
        <f t="shared" si="471"/>
        <v>123</v>
      </c>
      <c r="B5951" s="69" t="s">
        <v>2342</v>
      </c>
      <c r="C5951" s="167">
        <v>6</v>
      </c>
      <c r="D5951" s="155">
        <v>0</v>
      </c>
      <c r="E5951" s="155">
        <v>0</v>
      </c>
      <c r="F5951" s="155">
        <v>0</v>
      </c>
      <c r="G5951" s="155">
        <v>0</v>
      </c>
      <c r="H5951" s="155">
        <v>0</v>
      </c>
      <c r="I5951" s="155">
        <v>0</v>
      </c>
      <c r="J5951" s="710">
        <f>(VLOOKUP($C5951,[2]Sheet1!$A$2:$P$18,$M5951+1)/12)*12*D5951</f>
        <v>0</v>
      </c>
      <c r="K5951" s="711"/>
      <c r="M5951" s="62">
        <f t="shared" si="467"/>
        <v>5</v>
      </c>
    </row>
    <row r="5952" spans="1:13">
      <c r="A5952" s="88">
        <f t="shared" si="471"/>
        <v>124</v>
      </c>
      <c r="B5952" s="69" t="s">
        <v>3955</v>
      </c>
      <c r="C5952" s="167">
        <v>4</v>
      </c>
      <c r="D5952" s="155">
        <v>0</v>
      </c>
      <c r="E5952" s="155">
        <v>0</v>
      </c>
      <c r="F5952" s="155">
        <v>0</v>
      </c>
      <c r="G5952" s="155">
        <v>0</v>
      </c>
      <c r="H5952" s="155">
        <v>0</v>
      </c>
      <c r="I5952" s="155">
        <v>0</v>
      </c>
      <c r="J5952" s="710">
        <f>(VLOOKUP($C5952,[2]Sheet1!$A$2:$P$18,$M5952+1)/12)*12*D5952</f>
        <v>0</v>
      </c>
      <c r="K5952" s="711"/>
      <c r="M5952" s="62">
        <f t="shared" ref="M5952:M6014" si="472">IF(C5952&gt;6,3,5)</f>
        <v>5</v>
      </c>
    </row>
    <row r="5953" spans="1:13">
      <c r="A5953" s="88">
        <f t="shared" si="471"/>
        <v>125</v>
      </c>
      <c r="B5953" s="69" t="s">
        <v>3956</v>
      </c>
      <c r="C5953" s="167">
        <v>2</v>
      </c>
      <c r="D5953" s="155">
        <v>0</v>
      </c>
      <c r="E5953" s="155">
        <v>0</v>
      </c>
      <c r="F5953" s="155">
        <v>0</v>
      </c>
      <c r="G5953" s="155">
        <v>0</v>
      </c>
      <c r="H5953" s="155">
        <v>0</v>
      </c>
      <c r="I5953" s="155">
        <v>0</v>
      </c>
      <c r="J5953" s="710">
        <f>(VLOOKUP($C5953,[2]Sheet1!$A$2:$P$18,$M5953+1)/12)*12*D5953</f>
        <v>0</v>
      </c>
      <c r="K5953" s="711"/>
      <c r="M5953" s="62">
        <f t="shared" si="472"/>
        <v>5</v>
      </c>
    </row>
    <row r="5954" spans="1:13">
      <c r="A5954" s="88"/>
      <c r="B5954" s="90" t="s">
        <v>3676</v>
      </c>
      <c r="C5954" s="167"/>
      <c r="D5954" s="155"/>
      <c r="E5954" s="155"/>
      <c r="F5954" s="155"/>
      <c r="G5954" s="155"/>
      <c r="H5954" s="155"/>
      <c r="I5954" s="155"/>
      <c r="J5954" s="710"/>
      <c r="K5954" s="711"/>
      <c r="M5954" s="62">
        <f t="shared" si="472"/>
        <v>5</v>
      </c>
    </row>
    <row r="5955" spans="1:13">
      <c r="A5955" s="88">
        <f>+A5953+1</f>
        <v>126</v>
      </c>
      <c r="B5955" s="69" t="s">
        <v>3532</v>
      </c>
      <c r="C5955" s="167">
        <v>16</v>
      </c>
      <c r="D5955" s="155">
        <v>1</v>
      </c>
      <c r="E5955" s="155">
        <v>1</v>
      </c>
      <c r="F5955" s="155">
        <v>1</v>
      </c>
      <c r="G5955" s="155">
        <v>1</v>
      </c>
      <c r="H5955" s="155">
        <v>1</v>
      </c>
      <c r="I5955" s="155">
        <v>1</v>
      </c>
      <c r="J5955" s="710">
        <f>(VLOOKUP($C5955,[2]Sheet1!$A$2:$P$18,$M5955+1)/12)*12*D5955</f>
        <v>677281.26084</v>
      </c>
      <c r="K5955" s="711"/>
      <c r="M5955" s="62">
        <f t="shared" si="472"/>
        <v>3</v>
      </c>
    </row>
    <row r="5956" spans="1:13">
      <c r="A5956" s="88">
        <f t="shared" ref="A5956:A6001" si="473">+A5955+1</f>
        <v>127</v>
      </c>
      <c r="B5956" s="69" t="s">
        <v>1256</v>
      </c>
      <c r="C5956" s="167">
        <v>15</v>
      </c>
      <c r="D5956" s="155">
        <v>1</v>
      </c>
      <c r="E5956" s="155">
        <v>1</v>
      </c>
      <c r="F5956" s="155">
        <v>1</v>
      </c>
      <c r="G5956" s="155">
        <v>1</v>
      </c>
      <c r="H5956" s="155">
        <v>1</v>
      </c>
      <c r="I5956" s="155">
        <v>1</v>
      </c>
      <c r="J5956" s="710">
        <f>(VLOOKUP($C5956,[2]Sheet1!$A$2:$P$18,$M5956+1)/12)*12*D5956</f>
        <v>658331.89992</v>
      </c>
      <c r="K5956" s="711"/>
      <c r="M5956" s="62">
        <f t="shared" si="472"/>
        <v>3</v>
      </c>
    </row>
    <row r="5957" spans="1:13">
      <c r="A5957" s="88">
        <f t="shared" si="473"/>
        <v>128</v>
      </c>
      <c r="B5957" s="69" t="s">
        <v>3677</v>
      </c>
      <c r="C5957" s="167">
        <v>14</v>
      </c>
      <c r="D5957" s="155">
        <v>0</v>
      </c>
      <c r="E5957" s="155">
        <v>0</v>
      </c>
      <c r="F5957" s="155">
        <v>0</v>
      </c>
      <c r="G5957" s="155">
        <v>0</v>
      </c>
      <c r="H5957" s="155">
        <v>0</v>
      </c>
      <c r="I5957" s="155">
        <v>0</v>
      </c>
      <c r="J5957" s="710">
        <f>(VLOOKUP($C5957,[2]Sheet1!$A$2:$P$18,$M5957+1)/12)*12*D5957</f>
        <v>0</v>
      </c>
      <c r="K5957" s="711"/>
      <c r="M5957" s="62">
        <f t="shared" si="472"/>
        <v>3</v>
      </c>
    </row>
    <row r="5958" spans="1:13">
      <c r="A5958" s="88">
        <f t="shared" si="473"/>
        <v>129</v>
      </c>
      <c r="B5958" s="69" t="s">
        <v>3678</v>
      </c>
      <c r="C5958" s="167">
        <v>14</v>
      </c>
      <c r="D5958" s="155">
        <v>0</v>
      </c>
      <c r="E5958" s="155">
        <v>0</v>
      </c>
      <c r="F5958" s="155">
        <v>0</v>
      </c>
      <c r="G5958" s="155">
        <v>0</v>
      </c>
      <c r="H5958" s="155">
        <v>0</v>
      </c>
      <c r="I5958" s="155">
        <v>0</v>
      </c>
      <c r="J5958" s="710">
        <f>(VLOOKUP($C5958,[2]Sheet1!$A$2:$P$18,$M5958+1)/12)*12*D5958</f>
        <v>0</v>
      </c>
      <c r="K5958" s="711"/>
      <c r="M5958" s="62">
        <f t="shared" si="472"/>
        <v>3</v>
      </c>
    </row>
    <row r="5959" spans="1:13">
      <c r="A5959" s="88">
        <f t="shared" si="473"/>
        <v>130</v>
      </c>
      <c r="B5959" s="69" t="s">
        <v>1254</v>
      </c>
      <c r="C5959" s="167">
        <v>13</v>
      </c>
      <c r="D5959" s="155">
        <v>0</v>
      </c>
      <c r="E5959" s="155">
        <v>0</v>
      </c>
      <c r="F5959" s="155">
        <v>0</v>
      </c>
      <c r="G5959" s="155">
        <v>0</v>
      </c>
      <c r="H5959" s="155">
        <v>0</v>
      </c>
      <c r="I5959" s="155">
        <v>0</v>
      </c>
      <c r="J5959" s="710">
        <f>(VLOOKUP($C5959,[2]Sheet1!$A$2:$P$18,$M5959+1)/12)*12*D5959</f>
        <v>0</v>
      </c>
      <c r="K5959" s="711"/>
      <c r="M5959" s="62">
        <f t="shared" si="472"/>
        <v>3</v>
      </c>
    </row>
    <row r="5960" spans="1:13">
      <c r="A5960" s="88">
        <f t="shared" si="473"/>
        <v>131</v>
      </c>
      <c r="B5960" s="69" t="s">
        <v>1255</v>
      </c>
      <c r="C5960" s="167">
        <v>12</v>
      </c>
      <c r="D5960" s="155">
        <v>0</v>
      </c>
      <c r="E5960" s="155">
        <v>0</v>
      </c>
      <c r="F5960" s="155">
        <v>0</v>
      </c>
      <c r="G5960" s="155">
        <v>0</v>
      </c>
      <c r="H5960" s="155">
        <v>0</v>
      </c>
      <c r="I5960" s="155">
        <v>0</v>
      </c>
      <c r="J5960" s="710">
        <f>(VLOOKUP($C5960,[2]Sheet1!$A$2:$P$18,$M5960+1)/12)*12*D5960</f>
        <v>0</v>
      </c>
      <c r="K5960" s="711"/>
      <c r="M5960" s="62">
        <f t="shared" si="472"/>
        <v>3</v>
      </c>
    </row>
    <row r="5961" spans="1:13">
      <c r="A5961" s="88">
        <f t="shared" si="473"/>
        <v>132</v>
      </c>
      <c r="B5961" s="69" t="s">
        <v>3681</v>
      </c>
      <c r="C5961" s="167">
        <v>10</v>
      </c>
      <c r="D5961" s="155">
        <v>0</v>
      </c>
      <c r="E5961" s="155">
        <v>0</v>
      </c>
      <c r="F5961" s="155">
        <v>0</v>
      </c>
      <c r="G5961" s="155">
        <v>0</v>
      </c>
      <c r="H5961" s="155">
        <v>0</v>
      </c>
      <c r="I5961" s="155">
        <v>0</v>
      </c>
      <c r="J5961" s="710">
        <f>(VLOOKUP($C5961,[2]Sheet1!$A$2:$P$18,$M5961+1)/12)*12*D5961</f>
        <v>0</v>
      </c>
      <c r="K5961" s="711"/>
      <c r="M5961" s="62">
        <f t="shared" si="472"/>
        <v>3</v>
      </c>
    </row>
    <row r="5962" spans="1:13">
      <c r="A5962" s="88">
        <f t="shared" si="473"/>
        <v>133</v>
      </c>
      <c r="B5962" s="69" t="s">
        <v>2326</v>
      </c>
      <c r="C5962" s="167">
        <v>9</v>
      </c>
      <c r="D5962" s="155">
        <v>1</v>
      </c>
      <c r="E5962" s="155">
        <v>1</v>
      </c>
      <c r="F5962" s="155">
        <v>1</v>
      </c>
      <c r="G5962" s="155">
        <v>1</v>
      </c>
      <c r="H5962" s="155">
        <v>1</v>
      </c>
      <c r="I5962" s="155">
        <v>1</v>
      </c>
      <c r="J5962" s="710">
        <f>(VLOOKUP($C5962,[2]Sheet1!$A$2:$P$18,$M5962+1)/12)*12*D5962</f>
        <v>409681.90619999997</v>
      </c>
      <c r="K5962" s="711"/>
      <c r="M5962" s="62">
        <f t="shared" si="472"/>
        <v>3</v>
      </c>
    </row>
    <row r="5963" spans="1:13" ht="13.5" thickBot="1">
      <c r="A5963" s="88">
        <f t="shared" si="473"/>
        <v>134</v>
      </c>
      <c r="B5963" s="69" t="s">
        <v>408</v>
      </c>
      <c r="C5963" s="167">
        <v>8</v>
      </c>
      <c r="D5963" s="155">
        <v>1</v>
      </c>
      <c r="E5963" s="155">
        <v>10</v>
      </c>
      <c r="F5963" s="155">
        <v>1</v>
      </c>
      <c r="G5963" s="155">
        <v>1</v>
      </c>
      <c r="H5963" s="155">
        <v>10</v>
      </c>
      <c r="I5963" s="155">
        <v>1</v>
      </c>
      <c r="J5963" s="710">
        <f>(VLOOKUP($C5963,[2]Sheet1!$A$2:$P$18,$M5963+1)/12)*12*D5963</f>
        <v>342141.27408</v>
      </c>
      <c r="K5963" s="711"/>
      <c r="M5963" s="62">
        <f t="shared" si="472"/>
        <v>3</v>
      </c>
    </row>
    <row r="5964" spans="1:13" ht="15.75" thickTop="1">
      <c r="A5964" s="1047" t="s">
        <v>2791</v>
      </c>
      <c r="B5964" s="1049" t="s">
        <v>4126</v>
      </c>
      <c r="C5964" s="1049" t="s">
        <v>854</v>
      </c>
      <c r="D5964" s="1040" t="s">
        <v>4127</v>
      </c>
      <c r="E5964" s="1041"/>
      <c r="F5964" s="1041"/>
      <c r="G5964" s="1040" t="s">
        <v>904</v>
      </c>
      <c r="H5964" s="1041"/>
      <c r="I5964" s="1042"/>
      <c r="J5964" s="1035" t="s">
        <v>855</v>
      </c>
      <c r="K5964" s="389"/>
    </row>
    <row r="5965" spans="1:13" ht="26.25" thickBot="1">
      <c r="A5965" s="1048"/>
      <c r="B5965" s="1050"/>
      <c r="C5965" s="1050"/>
      <c r="D5965" s="285" t="s">
        <v>5505</v>
      </c>
      <c r="E5965" s="285" t="s">
        <v>4485</v>
      </c>
      <c r="F5965" s="285" t="s">
        <v>4486</v>
      </c>
      <c r="G5965" s="287" t="s">
        <v>4487</v>
      </c>
      <c r="H5965" s="285" t="s">
        <v>4488</v>
      </c>
      <c r="I5965" s="287" t="s">
        <v>4489</v>
      </c>
      <c r="J5965" s="1036"/>
      <c r="K5965" s="712"/>
    </row>
    <row r="5966" spans="1:13" ht="13.5" thickTop="1">
      <c r="A5966" s="88">
        <f>+A5963+1</f>
        <v>135</v>
      </c>
      <c r="B5966" s="69" t="s">
        <v>149</v>
      </c>
      <c r="C5966" s="167">
        <v>12</v>
      </c>
      <c r="D5966" s="155">
        <v>0</v>
      </c>
      <c r="E5966" s="155">
        <v>0</v>
      </c>
      <c r="F5966" s="155">
        <v>0</v>
      </c>
      <c r="G5966" s="155">
        <v>0</v>
      </c>
      <c r="H5966" s="155">
        <v>0</v>
      </c>
      <c r="I5966" s="155">
        <v>0</v>
      </c>
      <c r="J5966" s="710">
        <f>(VLOOKUP($C5966,[2]Sheet1!$A$2:$P$18,$M5966+1)/12)*12*D5966</f>
        <v>0</v>
      </c>
      <c r="K5966" s="711"/>
      <c r="M5966" s="62">
        <f t="shared" si="472"/>
        <v>3</v>
      </c>
    </row>
    <row r="5967" spans="1:13">
      <c r="A5967" s="88">
        <f t="shared" si="473"/>
        <v>136</v>
      </c>
      <c r="B5967" s="69" t="s">
        <v>150</v>
      </c>
      <c r="C5967" s="167">
        <v>10</v>
      </c>
      <c r="D5967" s="155">
        <v>0</v>
      </c>
      <c r="E5967" s="155">
        <v>0</v>
      </c>
      <c r="F5967" s="155">
        <v>0</v>
      </c>
      <c r="G5967" s="155">
        <v>0</v>
      </c>
      <c r="H5967" s="155">
        <v>0</v>
      </c>
      <c r="I5967" s="155">
        <v>0</v>
      </c>
      <c r="J5967" s="710">
        <f>(VLOOKUP($C5967,[2]Sheet1!$A$2:$P$18,$M5967+1)/12)*12*D5967</f>
        <v>0</v>
      </c>
      <c r="K5967" s="711"/>
      <c r="M5967" s="62">
        <f t="shared" si="472"/>
        <v>3</v>
      </c>
    </row>
    <row r="5968" spans="1:13">
      <c r="A5968" s="88">
        <f t="shared" si="473"/>
        <v>137</v>
      </c>
      <c r="B5968" s="69" t="s">
        <v>248</v>
      </c>
      <c r="C5968" s="167">
        <v>9</v>
      </c>
      <c r="D5968" s="155">
        <v>0</v>
      </c>
      <c r="E5968" s="155">
        <v>0</v>
      </c>
      <c r="F5968" s="155">
        <v>0</v>
      </c>
      <c r="G5968" s="155">
        <v>0</v>
      </c>
      <c r="H5968" s="155">
        <v>0</v>
      </c>
      <c r="I5968" s="155">
        <v>0</v>
      </c>
      <c r="J5968" s="710">
        <f>(VLOOKUP($C5968,[2]Sheet1!$A$2:$P$18,$M5968+1)/12)*12*D5968</f>
        <v>0</v>
      </c>
      <c r="K5968" s="711"/>
      <c r="M5968" s="62">
        <f t="shared" si="472"/>
        <v>3</v>
      </c>
    </row>
    <row r="5969" spans="1:13">
      <c r="A5969" s="88">
        <f t="shared" si="473"/>
        <v>138</v>
      </c>
      <c r="B5969" s="69" t="s">
        <v>249</v>
      </c>
      <c r="C5969" s="167">
        <v>8</v>
      </c>
      <c r="D5969" s="155">
        <v>0</v>
      </c>
      <c r="E5969" s="155">
        <v>8</v>
      </c>
      <c r="F5969" s="155">
        <v>0</v>
      </c>
      <c r="G5969" s="155">
        <v>0</v>
      </c>
      <c r="H5969" s="155">
        <v>8</v>
      </c>
      <c r="I5969" s="155">
        <v>0</v>
      </c>
      <c r="J5969" s="710">
        <f>(VLOOKUP($C5969,[2]Sheet1!$A$2:$P$18,$M5969+1)/12)*12*D5969</f>
        <v>0</v>
      </c>
      <c r="K5969" s="711"/>
      <c r="M5969" s="62">
        <f t="shared" si="472"/>
        <v>3</v>
      </c>
    </row>
    <row r="5970" spans="1:13">
      <c r="A5970" s="88">
        <f t="shared" si="473"/>
        <v>139</v>
      </c>
      <c r="B5970" s="69" t="s">
        <v>250</v>
      </c>
      <c r="C5970" s="167">
        <v>7</v>
      </c>
      <c r="D5970" s="155">
        <v>0</v>
      </c>
      <c r="E5970" s="155">
        <v>0</v>
      </c>
      <c r="F5970" s="155">
        <v>0</v>
      </c>
      <c r="G5970" s="155">
        <v>0</v>
      </c>
      <c r="H5970" s="155">
        <v>0</v>
      </c>
      <c r="I5970" s="155">
        <v>0</v>
      </c>
      <c r="J5970" s="710">
        <f>(VLOOKUP($C5970,[2]Sheet1!$A$2:$P$18,$M5970+1)/12)*12*D5970</f>
        <v>0</v>
      </c>
      <c r="K5970" s="711"/>
      <c r="M5970" s="62">
        <f t="shared" si="472"/>
        <v>3</v>
      </c>
    </row>
    <row r="5971" spans="1:13">
      <c r="A5971" s="88">
        <f t="shared" si="473"/>
        <v>140</v>
      </c>
      <c r="B5971" s="69" t="s">
        <v>319</v>
      </c>
      <c r="C5971" s="167">
        <v>8</v>
      </c>
      <c r="D5971" s="155">
        <v>0</v>
      </c>
      <c r="E5971" s="155">
        <v>0</v>
      </c>
      <c r="F5971" s="155">
        <v>0</v>
      </c>
      <c r="G5971" s="155">
        <v>0</v>
      </c>
      <c r="H5971" s="155">
        <v>0</v>
      </c>
      <c r="I5971" s="155">
        <v>0</v>
      </c>
      <c r="J5971" s="710">
        <f>(VLOOKUP($C5971,[2]Sheet1!$A$2:$P$18,$M5971+1)/12)*12*D5971</f>
        <v>0</v>
      </c>
      <c r="K5971" s="711"/>
      <c r="M5971" s="62">
        <f t="shared" si="472"/>
        <v>3</v>
      </c>
    </row>
    <row r="5972" spans="1:13">
      <c r="A5972" s="88">
        <f t="shared" si="473"/>
        <v>141</v>
      </c>
      <c r="B5972" s="69" t="s">
        <v>2572</v>
      </c>
      <c r="C5972" s="167">
        <v>7</v>
      </c>
      <c r="D5972" s="155">
        <v>0</v>
      </c>
      <c r="E5972" s="155">
        <v>0</v>
      </c>
      <c r="F5972" s="155">
        <v>0</v>
      </c>
      <c r="G5972" s="155">
        <v>0</v>
      </c>
      <c r="H5972" s="155">
        <v>0</v>
      </c>
      <c r="I5972" s="155">
        <v>0</v>
      </c>
      <c r="J5972" s="710">
        <f>(VLOOKUP($C5972,[2]Sheet1!$A$2:$P$18,$M5972+1)/12)*12*D5972</f>
        <v>0</v>
      </c>
      <c r="K5972" s="711"/>
      <c r="M5972" s="62">
        <f t="shared" si="472"/>
        <v>3</v>
      </c>
    </row>
    <row r="5973" spans="1:13">
      <c r="A5973" s="88">
        <f t="shared" si="473"/>
        <v>142</v>
      </c>
      <c r="B5973" s="69" t="s">
        <v>337</v>
      </c>
      <c r="C5973" s="167">
        <v>10</v>
      </c>
      <c r="D5973" s="155">
        <v>0</v>
      </c>
      <c r="E5973" s="155">
        <v>1</v>
      </c>
      <c r="F5973" s="155">
        <v>0</v>
      </c>
      <c r="G5973" s="155">
        <v>0</v>
      </c>
      <c r="H5973" s="155">
        <v>1</v>
      </c>
      <c r="I5973" s="155">
        <v>0</v>
      </c>
      <c r="J5973" s="710">
        <f>(VLOOKUP($C5973,[2]Sheet1!$A$2:$P$18,$M5973+1)/12)*12*D5973</f>
        <v>0</v>
      </c>
      <c r="K5973" s="711"/>
      <c r="M5973" s="62">
        <f t="shared" si="472"/>
        <v>3</v>
      </c>
    </row>
    <row r="5974" spans="1:13">
      <c r="A5974" s="88">
        <f>+A5973+1</f>
        <v>143</v>
      </c>
      <c r="B5974" s="69" t="s">
        <v>155</v>
      </c>
      <c r="C5974" s="167">
        <v>9</v>
      </c>
      <c r="D5974" s="155">
        <v>1</v>
      </c>
      <c r="E5974" s="155">
        <v>1</v>
      </c>
      <c r="F5974" s="155">
        <v>1</v>
      </c>
      <c r="G5974" s="155">
        <v>1</v>
      </c>
      <c r="H5974" s="155">
        <v>1</v>
      </c>
      <c r="I5974" s="155">
        <v>1</v>
      </c>
      <c r="J5974" s="710">
        <f>(VLOOKUP($C5974,[2]Sheet1!$A$2:$P$18,$M5974+1)/12)*12*D5974</f>
        <v>409681.90619999997</v>
      </c>
      <c r="K5974" s="711"/>
      <c r="M5974" s="62">
        <f t="shared" si="472"/>
        <v>3</v>
      </c>
    </row>
    <row r="5975" spans="1:13">
      <c r="A5975" s="88">
        <f t="shared" si="473"/>
        <v>144</v>
      </c>
      <c r="B5975" s="69" t="s">
        <v>156</v>
      </c>
      <c r="C5975" s="167">
        <v>9</v>
      </c>
      <c r="D5975" s="155">
        <v>0</v>
      </c>
      <c r="E5975" s="155">
        <v>1</v>
      </c>
      <c r="F5975" s="155">
        <v>0</v>
      </c>
      <c r="G5975" s="155">
        <v>0</v>
      </c>
      <c r="H5975" s="155">
        <v>1</v>
      </c>
      <c r="I5975" s="155">
        <v>0</v>
      </c>
      <c r="J5975" s="710">
        <f>(VLOOKUP($C5975,[2]Sheet1!$A$2:$P$18,$M5975+1)/12)*12*D5975</f>
        <v>0</v>
      </c>
      <c r="K5975" s="711"/>
      <c r="M5975" s="62">
        <f t="shared" si="472"/>
        <v>3</v>
      </c>
    </row>
    <row r="5976" spans="1:13">
      <c r="A5976" s="88">
        <f t="shared" si="473"/>
        <v>145</v>
      </c>
      <c r="B5976" s="69" t="s">
        <v>2745</v>
      </c>
      <c r="C5976" s="167">
        <v>8</v>
      </c>
      <c r="D5976" s="155">
        <v>1</v>
      </c>
      <c r="E5976" s="155">
        <v>1</v>
      </c>
      <c r="F5976" s="155">
        <v>1</v>
      </c>
      <c r="G5976" s="155">
        <v>1</v>
      </c>
      <c r="H5976" s="155">
        <v>1</v>
      </c>
      <c r="I5976" s="155">
        <v>1</v>
      </c>
      <c r="J5976" s="710">
        <f>(VLOOKUP($C5976,[2]Sheet1!$A$2:$P$18,$M5976+1)/12)*12*D5976</f>
        <v>342141.27408</v>
      </c>
      <c r="K5976" s="711"/>
      <c r="M5976" s="62">
        <f t="shared" si="472"/>
        <v>3</v>
      </c>
    </row>
    <row r="5977" spans="1:13">
      <c r="A5977" s="88">
        <f t="shared" si="473"/>
        <v>146</v>
      </c>
      <c r="B5977" s="69" t="s">
        <v>72</v>
      </c>
      <c r="C5977" s="167">
        <v>7</v>
      </c>
      <c r="D5977" s="155">
        <v>1</v>
      </c>
      <c r="E5977" s="155">
        <v>1</v>
      </c>
      <c r="F5977" s="155">
        <v>1</v>
      </c>
      <c r="G5977" s="155">
        <v>1</v>
      </c>
      <c r="H5977" s="155">
        <v>1</v>
      </c>
      <c r="I5977" s="155">
        <v>1</v>
      </c>
      <c r="J5977" s="710">
        <f>(VLOOKUP($C5977,[2]Sheet1!$A$2:$P$18,$M5977+1)/12)*12*D5977</f>
        <v>307706.70240000007</v>
      </c>
      <c r="K5977" s="711"/>
      <c r="M5977" s="62">
        <f t="shared" si="472"/>
        <v>3</v>
      </c>
    </row>
    <row r="5978" spans="1:13">
      <c r="A5978" s="88">
        <f t="shared" si="473"/>
        <v>147</v>
      </c>
      <c r="B5978" s="69" t="s">
        <v>2746</v>
      </c>
      <c r="C5978" s="167">
        <v>10</v>
      </c>
      <c r="D5978" s="155">
        <v>0</v>
      </c>
      <c r="E5978" s="155">
        <v>0</v>
      </c>
      <c r="F5978" s="155">
        <v>0</v>
      </c>
      <c r="G5978" s="155">
        <v>0</v>
      </c>
      <c r="H5978" s="155">
        <v>0</v>
      </c>
      <c r="I5978" s="155">
        <v>0</v>
      </c>
      <c r="J5978" s="710">
        <f>(VLOOKUP($C5978,[2]Sheet1!$A$2:$P$18,$M5978+1)/12)*12*D5978</f>
        <v>0</v>
      </c>
      <c r="K5978" s="711"/>
      <c r="M5978" s="62">
        <f t="shared" si="472"/>
        <v>3</v>
      </c>
    </row>
    <row r="5979" spans="1:13">
      <c r="A5979" s="88">
        <f t="shared" si="473"/>
        <v>148</v>
      </c>
      <c r="B5979" s="69" t="s">
        <v>940</v>
      </c>
      <c r="C5979" s="167">
        <v>7</v>
      </c>
      <c r="D5979" s="155">
        <v>0</v>
      </c>
      <c r="E5979" s="155">
        <v>0</v>
      </c>
      <c r="F5979" s="155">
        <v>0</v>
      </c>
      <c r="G5979" s="155">
        <v>0</v>
      </c>
      <c r="H5979" s="155">
        <v>0</v>
      </c>
      <c r="I5979" s="155">
        <v>0</v>
      </c>
      <c r="J5979" s="710">
        <f>(VLOOKUP($C5979,[2]Sheet1!$A$2:$P$18,$M5979+1)/12)*12*D5979</f>
        <v>0</v>
      </c>
      <c r="K5979" s="711"/>
      <c r="M5979" s="62">
        <f t="shared" si="472"/>
        <v>3</v>
      </c>
    </row>
    <row r="5980" spans="1:13">
      <c r="A5980" s="88">
        <f t="shared" si="473"/>
        <v>149</v>
      </c>
      <c r="B5980" s="69" t="s">
        <v>3860</v>
      </c>
      <c r="C5980" s="167">
        <v>6</v>
      </c>
      <c r="D5980" s="155">
        <v>1</v>
      </c>
      <c r="E5980" s="155">
        <v>3</v>
      </c>
      <c r="F5980" s="155">
        <v>1</v>
      </c>
      <c r="G5980" s="155">
        <v>1</v>
      </c>
      <c r="H5980" s="155">
        <v>3</v>
      </c>
      <c r="I5980" s="155">
        <v>1</v>
      </c>
      <c r="J5980" s="710">
        <f>(VLOOKUP($C5980,[2]Sheet1!$A$2:$P$18,$M5980+1)/12)*12*D5980</f>
        <v>238099.37893036497</v>
      </c>
      <c r="K5980" s="711"/>
      <c r="M5980" s="62">
        <f t="shared" si="472"/>
        <v>5</v>
      </c>
    </row>
    <row r="5981" spans="1:13">
      <c r="A5981" s="88">
        <f>+A5980+1</f>
        <v>150</v>
      </c>
      <c r="B5981" s="69" t="s">
        <v>2744</v>
      </c>
      <c r="C5981" s="167">
        <v>9</v>
      </c>
      <c r="D5981" s="155">
        <v>1</v>
      </c>
      <c r="E5981" s="155">
        <v>1</v>
      </c>
      <c r="F5981" s="155">
        <v>1</v>
      </c>
      <c r="G5981" s="155">
        <v>1</v>
      </c>
      <c r="H5981" s="155">
        <v>1</v>
      </c>
      <c r="I5981" s="155">
        <v>1</v>
      </c>
      <c r="J5981" s="710">
        <f>(VLOOKUP($C5981,[2]Sheet1!$A$2:$P$18,$M5981+1)/12)*12*D5981</f>
        <v>409681.90619999997</v>
      </c>
      <c r="K5981" s="711"/>
      <c r="M5981" s="62">
        <f t="shared" si="472"/>
        <v>3</v>
      </c>
    </row>
    <row r="5982" spans="1:13">
      <c r="A5982" s="88">
        <f t="shared" si="473"/>
        <v>151</v>
      </c>
      <c r="B5982" s="69" t="s">
        <v>1836</v>
      </c>
      <c r="C5982" s="167">
        <v>8</v>
      </c>
      <c r="D5982" s="155">
        <v>1</v>
      </c>
      <c r="E5982" s="155">
        <v>1</v>
      </c>
      <c r="F5982" s="155">
        <v>1</v>
      </c>
      <c r="G5982" s="155">
        <v>1</v>
      </c>
      <c r="H5982" s="155">
        <v>1</v>
      </c>
      <c r="I5982" s="155">
        <v>1</v>
      </c>
      <c r="J5982" s="710">
        <f>(VLOOKUP($C5982,[2]Sheet1!$A$2:$P$18,$M5982+1)/12)*12*D5982</f>
        <v>342141.27408</v>
      </c>
      <c r="K5982" s="711"/>
      <c r="M5982" s="62">
        <f t="shared" si="472"/>
        <v>3</v>
      </c>
    </row>
    <row r="5983" spans="1:13">
      <c r="A5983" s="88">
        <f t="shared" si="473"/>
        <v>152</v>
      </c>
      <c r="B5983" s="69" t="s">
        <v>556</v>
      </c>
      <c r="C5983" s="167">
        <v>6</v>
      </c>
      <c r="D5983" s="155">
        <v>0</v>
      </c>
      <c r="E5983" s="155">
        <v>0</v>
      </c>
      <c r="F5983" s="155">
        <v>0</v>
      </c>
      <c r="G5983" s="155">
        <v>0</v>
      </c>
      <c r="H5983" s="155">
        <v>0</v>
      </c>
      <c r="I5983" s="155">
        <v>0</v>
      </c>
      <c r="J5983" s="710">
        <f>(VLOOKUP($C5983,[2]Sheet1!$A$2:$P$18,$M5983+1)/12)*12*D5983</f>
        <v>0</v>
      </c>
      <c r="K5983" s="711"/>
      <c r="M5983" s="62">
        <f t="shared" si="472"/>
        <v>5</v>
      </c>
    </row>
    <row r="5984" spans="1:13">
      <c r="A5984" s="88">
        <f t="shared" si="473"/>
        <v>153</v>
      </c>
      <c r="B5984" s="69" t="s">
        <v>1761</v>
      </c>
      <c r="C5984" s="167">
        <v>15</v>
      </c>
      <c r="D5984" s="155">
        <v>0</v>
      </c>
      <c r="E5984" s="155">
        <v>0</v>
      </c>
      <c r="F5984" s="155">
        <v>0</v>
      </c>
      <c r="G5984" s="155">
        <v>0</v>
      </c>
      <c r="H5984" s="155">
        <v>0</v>
      </c>
      <c r="I5984" s="155">
        <v>0</v>
      </c>
      <c r="J5984" s="710">
        <f>(VLOOKUP($C5984,[2]Sheet1!$A$2:$P$18,$M5984+1)/12)*12*D5984</f>
        <v>0</v>
      </c>
      <c r="K5984" s="711"/>
      <c r="M5984" s="62">
        <f t="shared" si="472"/>
        <v>3</v>
      </c>
    </row>
    <row r="5985" spans="1:13">
      <c r="A5985" s="88">
        <f t="shared" si="473"/>
        <v>154</v>
      </c>
      <c r="B5985" s="69" t="s">
        <v>1762</v>
      </c>
      <c r="C5985" s="167">
        <v>14</v>
      </c>
      <c r="D5985" s="155">
        <v>0</v>
      </c>
      <c r="E5985" s="155">
        <v>0</v>
      </c>
      <c r="F5985" s="155">
        <v>0</v>
      </c>
      <c r="G5985" s="155">
        <v>0</v>
      </c>
      <c r="H5985" s="155">
        <v>0</v>
      </c>
      <c r="I5985" s="155">
        <v>0</v>
      </c>
      <c r="J5985" s="710">
        <f>(VLOOKUP($C5985,[2]Sheet1!$A$2:$P$18,$M5985+1)/12)*12*D5985</f>
        <v>0</v>
      </c>
      <c r="K5985" s="711"/>
      <c r="M5985" s="62">
        <f t="shared" si="472"/>
        <v>3</v>
      </c>
    </row>
    <row r="5986" spans="1:13">
      <c r="A5986" s="88">
        <f t="shared" si="473"/>
        <v>155</v>
      </c>
      <c r="B5986" s="69" t="s">
        <v>795</v>
      </c>
      <c r="C5986" s="167">
        <v>13</v>
      </c>
      <c r="D5986" s="155">
        <v>0</v>
      </c>
      <c r="E5986" s="155">
        <v>0</v>
      </c>
      <c r="F5986" s="155">
        <v>0</v>
      </c>
      <c r="G5986" s="155">
        <v>0</v>
      </c>
      <c r="H5986" s="155">
        <v>0</v>
      </c>
      <c r="I5986" s="155">
        <v>0</v>
      </c>
      <c r="J5986" s="710">
        <f>(VLOOKUP($C5986,[2]Sheet1!$A$2:$P$18,$M5986+1)/12)*12*D5986</f>
        <v>0</v>
      </c>
      <c r="K5986" s="711"/>
      <c r="M5986" s="62">
        <f t="shared" si="472"/>
        <v>3</v>
      </c>
    </row>
    <row r="5987" spans="1:13">
      <c r="A5987" s="88">
        <f t="shared" si="473"/>
        <v>156</v>
      </c>
      <c r="B5987" s="69" t="s">
        <v>1610</v>
      </c>
      <c r="C5987" s="167">
        <v>12</v>
      </c>
      <c r="D5987" s="155">
        <v>0</v>
      </c>
      <c r="E5987" s="155">
        <v>0</v>
      </c>
      <c r="F5987" s="155">
        <v>0</v>
      </c>
      <c r="G5987" s="155">
        <v>0</v>
      </c>
      <c r="H5987" s="155">
        <v>0</v>
      </c>
      <c r="I5987" s="155">
        <v>0</v>
      </c>
      <c r="J5987" s="710">
        <f>(VLOOKUP($C5987,[2]Sheet1!$A$2:$P$18,$M5987+1)/12)*12*D5987</f>
        <v>0</v>
      </c>
      <c r="K5987" s="711"/>
      <c r="M5987" s="62">
        <f t="shared" si="472"/>
        <v>3</v>
      </c>
    </row>
    <row r="5988" spans="1:13">
      <c r="A5988" s="88">
        <f t="shared" si="473"/>
        <v>157</v>
      </c>
      <c r="B5988" s="69" t="s">
        <v>541</v>
      </c>
      <c r="C5988" s="167">
        <v>10</v>
      </c>
      <c r="D5988" s="155">
        <v>0</v>
      </c>
      <c r="E5988" s="155">
        <v>0</v>
      </c>
      <c r="F5988" s="155">
        <v>0</v>
      </c>
      <c r="G5988" s="155">
        <v>0</v>
      </c>
      <c r="H5988" s="155">
        <v>0</v>
      </c>
      <c r="I5988" s="155">
        <v>0</v>
      </c>
      <c r="J5988" s="710">
        <f>(VLOOKUP($C5988,[2]Sheet1!$A$2:$P$18,$M5988+1)/12)*12*D5988</f>
        <v>0</v>
      </c>
      <c r="K5988" s="711"/>
      <c r="M5988" s="62">
        <f t="shared" si="472"/>
        <v>3</v>
      </c>
    </row>
    <row r="5989" spans="1:13">
      <c r="A5989" s="88">
        <f t="shared" si="473"/>
        <v>158</v>
      </c>
      <c r="B5989" s="69" t="s">
        <v>1611</v>
      </c>
      <c r="C5989" s="167">
        <v>9</v>
      </c>
      <c r="D5989" s="155">
        <v>0</v>
      </c>
      <c r="E5989" s="155">
        <v>0</v>
      </c>
      <c r="F5989" s="155">
        <v>0</v>
      </c>
      <c r="G5989" s="155">
        <v>0</v>
      </c>
      <c r="H5989" s="155">
        <v>0</v>
      </c>
      <c r="I5989" s="155">
        <v>0</v>
      </c>
      <c r="J5989" s="710">
        <f>(VLOOKUP($C5989,[2]Sheet1!$A$2:$P$18,$M5989+1)/12)*12*D5989</f>
        <v>0</v>
      </c>
      <c r="K5989" s="711"/>
      <c r="M5989" s="62">
        <f t="shared" si="472"/>
        <v>3</v>
      </c>
    </row>
    <row r="5990" spans="1:13">
      <c r="A5990" s="88">
        <f t="shared" si="473"/>
        <v>159</v>
      </c>
      <c r="B5990" s="69" t="s">
        <v>1612</v>
      </c>
      <c r="C5990" s="167">
        <v>8</v>
      </c>
      <c r="D5990" s="155">
        <v>0</v>
      </c>
      <c r="E5990" s="155">
        <v>1</v>
      </c>
      <c r="F5990" s="155">
        <v>0</v>
      </c>
      <c r="G5990" s="155">
        <v>0</v>
      </c>
      <c r="H5990" s="155">
        <v>1</v>
      </c>
      <c r="I5990" s="155">
        <v>0</v>
      </c>
      <c r="J5990" s="710">
        <f>(VLOOKUP($C5990,[2]Sheet1!$A$2:$P$18,$M5990+1)/12)*12*D5990</f>
        <v>0</v>
      </c>
      <c r="K5990" s="711"/>
      <c r="M5990" s="62">
        <f t="shared" si="472"/>
        <v>3</v>
      </c>
    </row>
    <row r="5991" spans="1:13">
      <c r="A5991" s="88">
        <f t="shared" si="473"/>
        <v>160</v>
      </c>
      <c r="B5991" s="69" t="s">
        <v>3996</v>
      </c>
      <c r="C5991" s="167">
        <v>8</v>
      </c>
      <c r="D5991" s="155">
        <v>1</v>
      </c>
      <c r="E5991" s="155">
        <v>1</v>
      </c>
      <c r="F5991" s="155">
        <v>1</v>
      </c>
      <c r="G5991" s="155">
        <v>1</v>
      </c>
      <c r="H5991" s="155">
        <v>1</v>
      </c>
      <c r="I5991" s="155">
        <v>1</v>
      </c>
      <c r="J5991" s="710">
        <f>(VLOOKUP($C5991,[2]Sheet1!$A$2:$P$18,$M5991+1)/12)*12*D5991</f>
        <v>342141.27408</v>
      </c>
      <c r="K5991" s="711"/>
      <c r="M5991" s="62">
        <f t="shared" si="472"/>
        <v>3</v>
      </c>
    </row>
    <row r="5992" spans="1:13">
      <c r="A5992" s="88">
        <f t="shared" si="473"/>
        <v>161</v>
      </c>
      <c r="B5992" s="69" t="s">
        <v>3997</v>
      </c>
      <c r="C5992" s="167">
        <v>7</v>
      </c>
      <c r="D5992" s="155">
        <v>0</v>
      </c>
      <c r="E5992" s="155">
        <v>0</v>
      </c>
      <c r="F5992" s="155">
        <v>0</v>
      </c>
      <c r="G5992" s="155">
        <v>0</v>
      </c>
      <c r="H5992" s="155">
        <v>0</v>
      </c>
      <c r="I5992" s="155">
        <v>0</v>
      </c>
      <c r="J5992" s="710">
        <f>(VLOOKUP($C5992,[2]Sheet1!$A$2:$P$18,$M5992+1)/12)*12*D5992</f>
        <v>0</v>
      </c>
      <c r="K5992" s="711"/>
      <c r="M5992" s="62">
        <f t="shared" si="472"/>
        <v>3</v>
      </c>
    </row>
    <row r="5993" spans="1:13">
      <c r="A5993" s="88">
        <f t="shared" si="473"/>
        <v>162</v>
      </c>
      <c r="B5993" s="69" t="s">
        <v>4088</v>
      </c>
      <c r="C5993" s="167">
        <v>6</v>
      </c>
      <c r="D5993" s="155">
        <v>0</v>
      </c>
      <c r="E5993" s="155">
        <v>0</v>
      </c>
      <c r="F5993" s="155">
        <v>0</v>
      </c>
      <c r="G5993" s="155">
        <v>0</v>
      </c>
      <c r="H5993" s="155">
        <v>0</v>
      </c>
      <c r="I5993" s="155">
        <v>0</v>
      </c>
      <c r="J5993" s="710">
        <f>(VLOOKUP($C5993,[2]Sheet1!$A$2:$P$18,$M5993+1)/12)*12*D5993</f>
        <v>0</v>
      </c>
      <c r="K5993" s="711"/>
      <c r="M5993" s="62">
        <f t="shared" si="472"/>
        <v>5</v>
      </c>
    </row>
    <row r="5994" spans="1:13">
      <c r="A5994" s="88">
        <f t="shared" si="473"/>
        <v>163</v>
      </c>
      <c r="B5994" s="69" t="s">
        <v>4089</v>
      </c>
      <c r="C5994" s="167">
        <v>6</v>
      </c>
      <c r="D5994" s="155">
        <v>0</v>
      </c>
      <c r="E5994" s="155">
        <v>0</v>
      </c>
      <c r="F5994" s="155">
        <v>0</v>
      </c>
      <c r="G5994" s="155">
        <v>0</v>
      </c>
      <c r="H5994" s="155">
        <v>0</v>
      </c>
      <c r="I5994" s="155">
        <v>0</v>
      </c>
      <c r="J5994" s="710">
        <f>(VLOOKUP($C5994,[2]Sheet1!$A$2:$P$18,$M5994+1)/12)*12*D5994</f>
        <v>0</v>
      </c>
      <c r="K5994" s="711"/>
      <c r="M5994" s="62">
        <f t="shared" si="472"/>
        <v>5</v>
      </c>
    </row>
    <row r="5995" spans="1:13">
      <c r="A5995" s="88">
        <f t="shared" si="473"/>
        <v>164</v>
      </c>
      <c r="B5995" s="69" t="s">
        <v>4090</v>
      </c>
      <c r="C5995" s="167">
        <v>5</v>
      </c>
      <c r="D5995" s="155">
        <v>0</v>
      </c>
      <c r="E5995" s="155">
        <v>0</v>
      </c>
      <c r="F5995" s="155">
        <v>0</v>
      </c>
      <c r="G5995" s="155">
        <v>0</v>
      </c>
      <c r="H5995" s="155">
        <v>0</v>
      </c>
      <c r="I5995" s="155">
        <v>0</v>
      </c>
      <c r="J5995" s="710">
        <f>(VLOOKUP($C5995,[2]Sheet1!$A$2:$P$18,$M5995+1)/12)*12*D5995</f>
        <v>0</v>
      </c>
      <c r="K5995" s="711"/>
      <c r="M5995" s="62">
        <f t="shared" si="472"/>
        <v>5</v>
      </c>
    </row>
    <row r="5996" spans="1:13">
      <c r="A5996" s="88">
        <f t="shared" si="473"/>
        <v>165</v>
      </c>
      <c r="B5996" s="69" t="s">
        <v>4091</v>
      </c>
      <c r="C5996" s="167">
        <v>4</v>
      </c>
      <c r="D5996" s="155">
        <v>0</v>
      </c>
      <c r="E5996" s="155">
        <v>0</v>
      </c>
      <c r="F5996" s="155">
        <v>0</v>
      </c>
      <c r="G5996" s="155">
        <v>0</v>
      </c>
      <c r="H5996" s="155">
        <v>0</v>
      </c>
      <c r="I5996" s="155">
        <v>0</v>
      </c>
      <c r="J5996" s="710">
        <f>(VLOOKUP($C5996,[2]Sheet1!$A$2:$P$18,$M5996+1)/12)*12*D5996</f>
        <v>0</v>
      </c>
      <c r="K5996" s="711"/>
      <c r="M5996" s="62">
        <f t="shared" si="472"/>
        <v>5</v>
      </c>
    </row>
    <row r="5997" spans="1:13">
      <c r="A5997" s="88">
        <f t="shared" si="473"/>
        <v>166</v>
      </c>
      <c r="B5997" s="69" t="s">
        <v>578</v>
      </c>
      <c r="C5997" s="167">
        <v>3</v>
      </c>
      <c r="D5997" s="155">
        <v>0</v>
      </c>
      <c r="E5997" s="155">
        <v>0</v>
      </c>
      <c r="F5997" s="155">
        <v>0</v>
      </c>
      <c r="G5997" s="155">
        <v>0</v>
      </c>
      <c r="H5997" s="155">
        <v>0</v>
      </c>
      <c r="I5997" s="155">
        <v>0</v>
      </c>
      <c r="J5997" s="710">
        <f>(VLOOKUP($C5997,[2]Sheet1!$A$2:$P$18,$M5997+1)/12)*12*D5997</f>
        <v>0</v>
      </c>
      <c r="K5997" s="711"/>
      <c r="M5997" s="62">
        <f t="shared" si="472"/>
        <v>5</v>
      </c>
    </row>
    <row r="5998" spans="1:13">
      <c r="A5998" s="88">
        <f t="shared" si="473"/>
        <v>167</v>
      </c>
      <c r="B5998" s="69" t="s">
        <v>4079</v>
      </c>
      <c r="C5998" s="167">
        <v>10</v>
      </c>
      <c r="D5998" s="155">
        <v>1</v>
      </c>
      <c r="E5998" s="155">
        <v>2</v>
      </c>
      <c r="F5998" s="155">
        <v>1</v>
      </c>
      <c r="G5998" s="155">
        <v>1</v>
      </c>
      <c r="H5998" s="155">
        <v>2</v>
      </c>
      <c r="I5998" s="155">
        <v>1</v>
      </c>
      <c r="J5998" s="710">
        <f>(VLOOKUP($C5998,[2]Sheet1!$A$2:$P$18,$M5998+1)/12)*12*D5998</f>
        <v>483974.5687200001</v>
      </c>
      <c r="K5998" s="711"/>
      <c r="M5998" s="62">
        <f t="shared" si="472"/>
        <v>3</v>
      </c>
    </row>
    <row r="5999" spans="1:13">
      <c r="A5999" s="88">
        <f>+A5998+1</f>
        <v>168</v>
      </c>
      <c r="B5999" s="69" t="s">
        <v>4060</v>
      </c>
      <c r="C5999" s="167">
        <v>8</v>
      </c>
      <c r="D5999" s="155">
        <v>2</v>
      </c>
      <c r="E5999" s="155">
        <v>2</v>
      </c>
      <c r="F5999" s="155">
        <v>2</v>
      </c>
      <c r="G5999" s="155">
        <v>2</v>
      </c>
      <c r="H5999" s="155">
        <v>2</v>
      </c>
      <c r="I5999" s="155">
        <v>2</v>
      </c>
      <c r="J5999" s="710">
        <f>(VLOOKUP($C5999,[2]Sheet1!$A$2:$P$18,$M5999+1)/12)*12*D5999</f>
        <v>684282.54816000001</v>
      </c>
      <c r="K5999" s="711"/>
      <c r="M5999" s="62">
        <f t="shared" si="472"/>
        <v>3</v>
      </c>
    </row>
    <row r="6000" spans="1:13">
      <c r="A6000" s="88">
        <f t="shared" si="473"/>
        <v>169</v>
      </c>
      <c r="B6000" s="69" t="s">
        <v>4061</v>
      </c>
      <c r="C6000" s="167">
        <v>9</v>
      </c>
      <c r="D6000" s="155">
        <v>1</v>
      </c>
      <c r="E6000" s="155">
        <v>1</v>
      </c>
      <c r="F6000" s="155">
        <v>1</v>
      </c>
      <c r="G6000" s="155">
        <v>1</v>
      </c>
      <c r="H6000" s="155">
        <v>1</v>
      </c>
      <c r="I6000" s="155">
        <v>1</v>
      </c>
      <c r="J6000" s="710">
        <f>(VLOOKUP($C6000,[2]Sheet1!$A$2:$P$18,$M6000+1)/12)*12*D6000</f>
        <v>409681.90619999997</v>
      </c>
      <c r="K6000" s="711"/>
      <c r="M6000" s="62">
        <f t="shared" si="472"/>
        <v>3</v>
      </c>
    </row>
    <row r="6001" spans="1:13">
      <c r="A6001" s="88">
        <f t="shared" si="473"/>
        <v>170</v>
      </c>
      <c r="B6001" s="69" t="s">
        <v>919</v>
      </c>
      <c r="C6001" s="167">
        <v>7</v>
      </c>
      <c r="D6001" s="155">
        <v>1</v>
      </c>
      <c r="E6001" s="155">
        <v>1</v>
      </c>
      <c r="F6001" s="155">
        <v>1</v>
      </c>
      <c r="G6001" s="155">
        <v>1</v>
      </c>
      <c r="H6001" s="155">
        <v>1</v>
      </c>
      <c r="I6001" s="155">
        <v>1</v>
      </c>
      <c r="J6001" s="710">
        <f>(VLOOKUP($C6001,[2]Sheet1!$A$2:$P$18,$M6001+1)/12)*12*D6001</f>
        <v>307706.70240000007</v>
      </c>
      <c r="K6001" s="711"/>
      <c r="M6001" s="62">
        <f t="shared" si="472"/>
        <v>3</v>
      </c>
    </row>
    <row r="6002" spans="1:13">
      <c r="A6002" s="88">
        <f>+A6001+1</f>
        <v>171</v>
      </c>
      <c r="B6002" s="69" t="s">
        <v>5375</v>
      </c>
      <c r="C6002" s="167">
        <v>14</v>
      </c>
      <c r="D6002" s="155">
        <v>1</v>
      </c>
      <c r="E6002" s="155">
        <v>1</v>
      </c>
      <c r="F6002" s="155">
        <v>1</v>
      </c>
      <c r="G6002" s="155">
        <v>1</v>
      </c>
      <c r="H6002" s="155">
        <v>1</v>
      </c>
      <c r="I6002" s="155">
        <v>1</v>
      </c>
      <c r="J6002" s="710">
        <f>(VLOOKUP($C6002,[2]Sheet1!$A$2:$P$18,$M6002+1)/12)*12*D6002</f>
        <v>669099.40824000002</v>
      </c>
      <c r="K6002" s="711"/>
      <c r="M6002" s="62">
        <f t="shared" si="472"/>
        <v>3</v>
      </c>
    </row>
    <row r="6003" spans="1:13">
      <c r="A6003" s="88">
        <f t="shared" ref="A6003:A6022" si="474">+A6002+1</f>
        <v>172</v>
      </c>
      <c r="B6003" s="69" t="s">
        <v>154</v>
      </c>
      <c r="C6003" s="167">
        <v>12</v>
      </c>
      <c r="D6003" s="155">
        <v>0</v>
      </c>
      <c r="E6003" s="155">
        <v>0</v>
      </c>
      <c r="F6003" s="155">
        <v>0</v>
      </c>
      <c r="G6003" s="155">
        <v>0</v>
      </c>
      <c r="H6003" s="155">
        <v>0</v>
      </c>
      <c r="I6003" s="155">
        <v>0</v>
      </c>
      <c r="J6003" s="710">
        <f>(VLOOKUP($C6003,[2]Sheet1!$A$2:$P$18,$M6003+1)/12)*12*D6003</f>
        <v>0</v>
      </c>
      <c r="K6003" s="711"/>
      <c r="M6003" s="62">
        <f t="shared" si="472"/>
        <v>3</v>
      </c>
    </row>
    <row r="6004" spans="1:13">
      <c r="A6004" s="88">
        <f t="shared" si="474"/>
        <v>173</v>
      </c>
      <c r="B6004" s="69" t="s">
        <v>3984</v>
      </c>
      <c r="C6004" s="167">
        <v>10</v>
      </c>
      <c r="D6004" s="155">
        <v>1</v>
      </c>
      <c r="E6004" s="155">
        <v>1</v>
      </c>
      <c r="F6004" s="155">
        <v>1</v>
      </c>
      <c r="G6004" s="155">
        <v>1</v>
      </c>
      <c r="H6004" s="155">
        <v>1</v>
      </c>
      <c r="I6004" s="155">
        <v>1</v>
      </c>
      <c r="J6004" s="710">
        <f>(VLOOKUP($C6004,[2]Sheet1!$A$2:$P$18,$M6004+1)/12)*12*D6004</f>
        <v>483974.5687200001</v>
      </c>
      <c r="K6004" s="711"/>
      <c r="M6004" s="62">
        <f t="shared" si="472"/>
        <v>3</v>
      </c>
    </row>
    <row r="6005" spans="1:13">
      <c r="A6005" s="88">
        <f t="shared" si="474"/>
        <v>174</v>
      </c>
      <c r="B6005" s="69" t="s">
        <v>337</v>
      </c>
      <c r="C6005" s="167">
        <v>9</v>
      </c>
      <c r="D6005" s="155">
        <v>1</v>
      </c>
      <c r="E6005" s="155">
        <v>1</v>
      </c>
      <c r="F6005" s="155">
        <v>1</v>
      </c>
      <c r="G6005" s="155">
        <v>1</v>
      </c>
      <c r="H6005" s="155">
        <v>1</v>
      </c>
      <c r="I6005" s="155">
        <v>1</v>
      </c>
      <c r="J6005" s="710">
        <f>(VLOOKUP($C6005,[2]Sheet1!$A$2:$P$18,$M6005+1)/12)*12*D6005</f>
        <v>409681.90619999997</v>
      </c>
      <c r="K6005" s="711"/>
      <c r="M6005" s="62">
        <f t="shared" si="472"/>
        <v>3</v>
      </c>
    </row>
    <row r="6006" spans="1:13" ht="13.5" thickBot="1">
      <c r="A6006" s="88">
        <f t="shared" si="474"/>
        <v>175</v>
      </c>
      <c r="B6006" s="69" t="s">
        <v>3946</v>
      </c>
      <c r="C6006" s="167">
        <v>7</v>
      </c>
      <c r="D6006" s="155">
        <v>1</v>
      </c>
      <c r="E6006" s="155">
        <v>1</v>
      </c>
      <c r="F6006" s="155">
        <v>1</v>
      </c>
      <c r="G6006" s="155">
        <v>1</v>
      </c>
      <c r="H6006" s="155">
        <v>1</v>
      </c>
      <c r="I6006" s="155">
        <v>1</v>
      </c>
      <c r="J6006" s="710">
        <f>(VLOOKUP($C6006,[2]Sheet1!$A$2:$P$18,$M6006+1)/12)*12*D6006</f>
        <v>307706.70240000007</v>
      </c>
      <c r="K6006" s="711"/>
      <c r="M6006" s="62">
        <f t="shared" si="472"/>
        <v>3</v>
      </c>
    </row>
    <row r="6007" spans="1:13" ht="15.75" thickTop="1">
      <c r="A6007" s="1047" t="s">
        <v>2791</v>
      </c>
      <c r="B6007" s="1049" t="s">
        <v>4126</v>
      </c>
      <c r="C6007" s="1049" t="s">
        <v>854</v>
      </c>
      <c r="D6007" s="1040" t="s">
        <v>4127</v>
      </c>
      <c r="E6007" s="1041"/>
      <c r="F6007" s="1041"/>
      <c r="G6007" s="1040" t="s">
        <v>904</v>
      </c>
      <c r="H6007" s="1041"/>
      <c r="I6007" s="1042"/>
      <c r="J6007" s="1035" t="s">
        <v>855</v>
      </c>
      <c r="K6007" s="389"/>
    </row>
    <row r="6008" spans="1:13" ht="26.25" thickBot="1">
      <c r="A6008" s="1048"/>
      <c r="B6008" s="1050"/>
      <c r="C6008" s="1050"/>
      <c r="D6008" s="285" t="s">
        <v>5505</v>
      </c>
      <c r="E6008" s="285" t="s">
        <v>4485</v>
      </c>
      <c r="F6008" s="285" t="s">
        <v>4486</v>
      </c>
      <c r="G6008" s="287" t="s">
        <v>4487</v>
      </c>
      <c r="H6008" s="285" t="s">
        <v>4488</v>
      </c>
      <c r="I6008" s="287" t="s">
        <v>4489</v>
      </c>
      <c r="J6008" s="1036"/>
      <c r="K6008" s="712"/>
    </row>
    <row r="6009" spans="1:13" ht="13.5" thickTop="1">
      <c r="A6009" s="88">
        <f>+A6006+1</f>
        <v>176</v>
      </c>
      <c r="B6009" s="69" t="s">
        <v>3947</v>
      </c>
      <c r="C6009" s="167">
        <v>6</v>
      </c>
      <c r="D6009" s="155">
        <v>1</v>
      </c>
      <c r="E6009" s="155">
        <v>1</v>
      </c>
      <c r="F6009" s="155">
        <v>1</v>
      </c>
      <c r="G6009" s="155">
        <v>1</v>
      </c>
      <c r="H6009" s="155">
        <v>1</v>
      </c>
      <c r="I6009" s="155">
        <v>1</v>
      </c>
      <c r="J6009" s="710">
        <f>(VLOOKUP($C6009,[2]Sheet1!$A$2:$P$18,$M6009+1)/12)*12*D6009</f>
        <v>238099.37893036497</v>
      </c>
      <c r="K6009" s="711"/>
      <c r="M6009" s="62">
        <f t="shared" si="472"/>
        <v>5</v>
      </c>
    </row>
    <row r="6010" spans="1:13">
      <c r="A6010" s="88">
        <f>+A6009+1</f>
        <v>177</v>
      </c>
      <c r="B6010" s="69" t="s">
        <v>3948</v>
      </c>
      <c r="C6010" s="167">
        <v>3</v>
      </c>
      <c r="D6010" s="155">
        <v>1</v>
      </c>
      <c r="E6010" s="155">
        <v>3</v>
      </c>
      <c r="F6010" s="155">
        <v>1</v>
      </c>
      <c r="G6010" s="155">
        <v>1</v>
      </c>
      <c r="H6010" s="155">
        <v>3</v>
      </c>
      <c r="I6010" s="155">
        <v>1</v>
      </c>
      <c r="J6010" s="710">
        <f>(VLOOKUP($C6010,[2]Sheet1!$A$2:$P$18,$M6010+1)/12)*12*D6010</f>
        <v>219336.17893036499</v>
      </c>
      <c r="K6010" s="711"/>
      <c r="M6010" s="62">
        <f t="shared" si="472"/>
        <v>5</v>
      </c>
    </row>
    <row r="6011" spans="1:13">
      <c r="A6011" s="88">
        <f>+A6010+1</f>
        <v>178</v>
      </c>
      <c r="B6011" s="69" t="s">
        <v>1098</v>
      </c>
      <c r="C6011" s="167">
        <v>8</v>
      </c>
      <c r="D6011" s="155">
        <v>3</v>
      </c>
      <c r="E6011" s="155">
        <v>3</v>
      </c>
      <c r="F6011" s="155">
        <v>3</v>
      </c>
      <c r="G6011" s="155">
        <v>3</v>
      </c>
      <c r="H6011" s="155">
        <v>3</v>
      </c>
      <c r="I6011" s="155">
        <v>3</v>
      </c>
      <c r="J6011" s="710">
        <f>(VLOOKUP($C6011,[2]Sheet1!$A$2:$P$18,$M6011+1)/12)*12*D6011</f>
        <v>1026423.82224</v>
      </c>
      <c r="K6011" s="711"/>
      <c r="M6011" s="62">
        <f t="shared" si="472"/>
        <v>3</v>
      </c>
    </row>
    <row r="6012" spans="1:13">
      <c r="A6012" s="88">
        <f t="shared" si="474"/>
        <v>179</v>
      </c>
      <c r="B6012" s="69" t="s">
        <v>3949</v>
      </c>
      <c r="C6012" s="167">
        <v>6</v>
      </c>
      <c r="D6012" s="155">
        <v>0</v>
      </c>
      <c r="E6012" s="155">
        <v>0</v>
      </c>
      <c r="F6012" s="155">
        <v>0</v>
      </c>
      <c r="G6012" s="155">
        <v>0</v>
      </c>
      <c r="H6012" s="155">
        <v>0</v>
      </c>
      <c r="I6012" s="155">
        <v>0</v>
      </c>
      <c r="J6012" s="710">
        <f>(VLOOKUP($C6012,[2]Sheet1!$A$2:$P$18,$M6012+1)/12)*12*D6012</f>
        <v>0</v>
      </c>
      <c r="K6012" s="711"/>
      <c r="M6012" s="62">
        <f t="shared" si="472"/>
        <v>5</v>
      </c>
    </row>
    <row r="6013" spans="1:13">
      <c r="A6013" s="88">
        <f t="shared" si="474"/>
        <v>180</v>
      </c>
      <c r="B6013" s="69" t="s">
        <v>4042</v>
      </c>
      <c r="C6013" s="167">
        <v>8</v>
      </c>
      <c r="D6013" s="155">
        <v>0</v>
      </c>
      <c r="E6013" s="155">
        <v>1</v>
      </c>
      <c r="F6013" s="155">
        <v>0</v>
      </c>
      <c r="G6013" s="155">
        <v>0</v>
      </c>
      <c r="H6013" s="155">
        <v>1</v>
      </c>
      <c r="I6013" s="155">
        <v>0</v>
      </c>
      <c r="J6013" s="710">
        <f>(VLOOKUP($C6013,[2]Sheet1!$A$2:$P$18,$M6013+1)/12)*12*D6013</f>
        <v>0</v>
      </c>
      <c r="K6013" s="711"/>
      <c r="M6013" s="62">
        <f t="shared" si="472"/>
        <v>3</v>
      </c>
    </row>
    <row r="6014" spans="1:13">
      <c r="A6014" s="88">
        <f t="shared" si="474"/>
        <v>181</v>
      </c>
      <c r="B6014" s="69" t="s">
        <v>2596</v>
      </c>
      <c r="C6014" s="167">
        <v>6</v>
      </c>
      <c r="D6014" s="155">
        <v>1</v>
      </c>
      <c r="E6014" s="155">
        <v>1</v>
      </c>
      <c r="F6014" s="155">
        <v>1</v>
      </c>
      <c r="G6014" s="155">
        <v>1</v>
      </c>
      <c r="H6014" s="155">
        <v>1</v>
      </c>
      <c r="I6014" s="155">
        <v>1</v>
      </c>
      <c r="J6014" s="710">
        <f>(VLOOKUP($C6014,[2]Sheet1!$A$2:$P$18,$M6014+1)/12)*12*D6014</f>
        <v>238099.37893036497</v>
      </c>
      <c r="K6014" s="711"/>
      <c r="M6014" s="62">
        <f t="shared" si="472"/>
        <v>5</v>
      </c>
    </row>
    <row r="6015" spans="1:13">
      <c r="A6015" s="88">
        <f t="shared" si="474"/>
        <v>182</v>
      </c>
      <c r="B6015" s="69" t="s">
        <v>3950</v>
      </c>
      <c r="C6015" s="167">
        <v>5</v>
      </c>
      <c r="D6015" s="155">
        <v>1</v>
      </c>
      <c r="E6015" s="155">
        <v>1</v>
      </c>
      <c r="F6015" s="155">
        <v>1</v>
      </c>
      <c r="G6015" s="155">
        <v>1</v>
      </c>
      <c r="H6015" s="155">
        <v>1</v>
      </c>
      <c r="I6015" s="155">
        <v>1</v>
      </c>
      <c r="J6015" s="710">
        <f>(VLOOKUP($C6015,[2]Sheet1!$A$2:$P$18,$M6015+1)/12)*12*D6015</f>
        <v>229569.77893036499</v>
      </c>
      <c r="K6015" s="711"/>
      <c r="M6015" s="62">
        <f t="shared" ref="M6015:M6080" si="475">IF(C6015&gt;6,3,5)</f>
        <v>5</v>
      </c>
    </row>
    <row r="6016" spans="1:13">
      <c r="A6016" s="88">
        <f t="shared" si="474"/>
        <v>183</v>
      </c>
      <c r="B6016" s="69" t="s">
        <v>3951</v>
      </c>
      <c r="C6016" s="167">
        <v>4</v>
      </c>
      <c r="D6016" s="155">
        <v>1</v>
      </c>
      <c r="E6016" s="155">
        <v>1</v>
      </c>
      <c r="F6016" s="155">
        <v>1</v>
      </c>
      <c r="G6016" s="155">
        <v>1</v>
      </c>
      <c r="H6016" s="155">
        <v>1</v>
      </c>
      <c r="I6016" s="155">
        <v>1</v>
      </c>
      <c r="J6016" s="710">
        <f>(VLOOKUP($C6016,[2]Sheet1!$A$2:$P$18,$M6016+1)/12)*12*D6016</f>
        <v>224542.978930365</v>
      </c>
      <c r="K6016" s="711"/>
      <c r="M6016" s="62">
        <f t="shared" si="475"/>
        <v>5</v>
      </c>
    </row>
    <row r="6017" spans="1:13">
      <c r="A6017" s="88">
        <f t="shared" si="474"/>
        <v>184</v>
      </c>
      <c r="B6017" s="69" t="s">
        <v>3952</v>
      </c>
      <c r="C6017" s="167">
        <v>4</v>
      </c>
      <c r="D6017" s="155">
        <v>1</v>
      </c>
      <c r="E6017" s="155">
        <v>1</v>
      </c>
      <c r="F6017" s="155">
        <v>1</v>
      </c>
      <c r="G6017" s="155">
        <v>1</v>
      </c>
      <c r="H6017" s="155">
        <v>1</v>
      </c>
      <c r="I6017" s="155">
        <v>1</v>
      </c>
      <c r="J6017" s="710">
        <f>(VLOOKUP($C6017,[2]Sheet1!$A$2:$P$18,$M6017+1)/12)*12*D6017</f>
        <v>224542.978930365</v>
      </c>
      <c r="K6017" s="711"/>
      <c r="M6017" s="62">
        <f t="shared" si="475"/>
        <v>5</v>
      </c>
    </row>
    <row r="6018" spans="1:13">
      <c r="A6018" s="88">
        <f t="shared" si="474"/>
        <v>185</v>
      </c>
      <c r="B6018" s="69" t="s">
        <v>1320</v>
      </c>
      <c r="C6018" s="167">
        <v>3</v>
      </c>
      <c r="D6018" s="155">
        <v>1</v>
      </c>
      <c r="E6018" s="155">
        <v>3</v>
      </c>
      <c r="F6018" s="155">
        <v>1</v>
      </c>
      <c r="G6018" s="155">
        <v>1</v>
      </c>
      <c r="H6018" s="155">
        <v>3</v>
      </c>
      <c r="I6018" s="155">
        <v>1</v>
      </c>
      <c r="J6018" s="710">
        <f>(VLOOKUP($C6018,[2]Sheet1!$A$2:$P$18,$M6018+1)/12)*12*D6018</f>
        <v>219336.17893036499</v>
      </c>
      <c r="K6018" s="711"/>
      <c r="M6018" s="62">
        <f t="shared" si="475"/>
        <v>5</v>
      </c>
    </row>
    <row r="6019" spans="1:13">
      <c r="A6019" s="88">
        <f t="shared" si="474"/>
        <v>186</v>
      </c>
      <c r="B6019" s="69" t="s">
        <v>1321</v>
      </c>
      <c r="C6019" s="167">
        <v>3</v>
      </c>
      <c r="D6019" s="155">
        <v>3</v>
      </c>
      <c r="E6019" s="155">
        <v>3</v>
      </c>
      <c r="F6019" s="155">
        <v>3</v>
      </c>
      <c r="G6019" s="155">
        <v>3</v>
      </c>
      <c r="H6019" s="155">
        <v>3</v>
      </c>
      <c r="I6019" s="155">
        <v>3</v>
      </c>
      <c r="J6019" s="710">
        <f>(VLOOKUP($C6019,[2]Sheet1!$A$2:$P$18,$M6019+1)/12)*12*D6019</f>
        <v>658008.53679109493</v>
      </c>
      <c r="K6019" s="711"/>
      <c r="M6019" s="62">
        <f t="shared" si="475"/>
        <v>5</v>
      </c>
    </row>
    <row r="6020" spans="1:13">
      <c r="A6020" s="88">
        <f t="shared" si="474"/>
        <v>187</v>
      </c>
      <c r="B6020" s="69" t="s">
        <v>1356</v>
      </c>
      <c r="C6020" s="167">
        <v>5</v>
      </c>
      <c r="D6020" s="155">
        <v>3</v>
      </c>
      <c r="E6020" s="155">
        <v>3</v>
      </c>
      <c r="F6020" s="155">
        <v>3</v>
      </c>
      <c r="G6020" s="155">
        <v>3</v>
      </c>
      <c r="H6020" s="155">
        <v>3</v>
      </c>
      <c r="I6020" s="155">
        <v>3</v>
      </c>
      <c r="J6020" s="710">
        <f>(VLOOKUP($C6020,[2]Sheet1!$A$2:$P$18,$M6020+1)/12)*12*D6020</f>
        <v>688709.33679109497</v>
      </c>
      <c r="K6020" s="711"/>
      <c r="M6020" s="62">
        <f t="shared" si="475"/>
        <v>5</v>
      </c>
    </row>
    <row r="6021" spans="1:13">
      <c r="A6021" s="88">
        <f t="shared" si="474"/>
        <v>188</v>
      </c>
      <c r="B6021" s="69" t="s">
        <v>1131</v>
      </c>
      <c r="C6021" s="167">
        <v>4</v>
      </c>
      <c r="D6021" s="155">
        <v>3</v>
      </c>
      <c r="E6021" s="155">
        <v>3</v>
      </c>
      <c r="F6021" s="155">
        <v>3</v>
      </c>
      <c r="G6021" s="155">
        <v>3</v>
      </c>
      <c r="H6021" s="155">
        <v>3</v>
      </c>
      <c r="I6021" s="155">
        <v>3</v>
      </c>
      <c r="J6021" s="710">
        <f>(VLOOKUP($C6021,[2]Sheet1!$A$2:$P$18,$M6021+1)/12)*12*D6021</f>
        <v>673628.93679109495</v>
      </c>
      <c r="K6021" s="711"/>
      <c r="M6021" s="62">
        <f t="shared" si="475"/>
        <v>5</v>
      </c>
    </row>
    <row r="6022" spans="1:13">
      <c r="A6022" s="88">
        <f t="shared" si="474"/>
        <v>189</v>
      </c>
      <c r="B6022" s="69" t="s">
        <v>1322</v>
      </c>
      <c r="C6022" s="167">
        <v>5</v>
      </c>
      <c r="D6022" s="155">
        <v>3</v>
      </c>
      <c r="E6022" s="155">
        <v>3</v>
      </c>
      <c r="F6022" s="155">
        <v>3</v>
      </c>
      <c r="G6022" s="155">
        <v>3</v>
      </c>
      <c r="H6022" s="155">
        <v>3</v>
      </c>
      <c r="I6022" s="155">
        <v>3</v>
      </c>
      <c r="J6022" s="710">
        <f>(VLOOKUP($C6022,[2]Sheet1!$A$2:$P$18,$M6022+1)/12)*12*D6022</f>
        <v>688709.33679109497</v>
      </c>
      <c r="K6022" s="711"/>
      <c r="M6022" s="62">
        <f t="shared" si="475"/>
        <v>5</v>
      </c>
    </row>
    <row r="6023" spans="1:13">
      <c r="A6023" s="88"/>
      <c r="B6023" s="90" t="s">
        <v>3047</v>
      </c>
      <c r="C6023" s="167"/>
      <c r="D6023" s="155"/>
      <c r="E6023" s="155"/>
      <c r="F6023" s="155"/>
      <c r="G6023" s="155"/>
      <c r="H6023" s="155"/>
      <c r="I6023" s="155"/>
      <c r="J6023" s="710"/>
      <c r="K6023" s="711"/>
      <c r="M6023" s="62">
        <f t="shared" si="475"/>
        <v>5</v>
      </c>
    </row>
    <row r="6024" spans="1:13">
      <c r="A6024" s="88">
        <v>180</v>
      </c>
      <c r="B6024" s="69" t="s">
        <v>333</v>
      </c>
      <c r="C6024" s="167">
        <v>7</v>
      </c>
      <c r="D6024" s="155">
        <v>1</v>
      </c>
      <c r="E6024" s="155">
        <v>1</v>
      </c>
      <c r="F6024" s="155">
        <v>1</v>
      </c>
      <c r="G6024" s="155">
        <v>1</v>
      </c>
      <c r="H6024" s="155">
        <v>1</v>
      </c>
      <c r="I6024" s="155">
        <v>1</v>
      </c>
      <c r="J6024" s="710">
        <f>(VLOOKUP($C6024,[2]Sheet1!$A$2:$P$18,$M6024+1)/12)*12*D6024</f>
        <v>307706.70240000007</v>
      </c>
      <c r="K6024" s="711"/>
      <c r="M6024" s="62">
        <f t="shared" si="475"/>
        <v>3</v>
      </c>
    </row>
    <row r="6025" spans="1:13">
      <c r="A6025" s="88">
        <f t="shared" ref="A6025:A6030" si="476">+A6024+1</f>
        <v>181</v>
      </c>
      <c r="B6025" s="69" t="s">
        <v>3796</v>
      </c>
      <c r="C6025" s="167">
        <v>5</v>
      </c>
      <c r="D6025" s="155">
        <v>1</v>
      </c>
      <c r="E6025" s="155">
        <v>1</v>
      </c>
      <c r="F6025" s="155">
        <v>1</v>
      </c>
      <c r="G6025" s="155">
        <v>1</v>
      </c>
      <c r="H6025" s="155">
        <v>1</v>
      </c>
      <c r="I6025" s="155">
        <v>1</v>
      </c>
      <c r="J6025" s="710">
        <f>(VLOOKUP($C6025,[2]Sheet1!$A$2:$P$18,$M6025+1)/12)*12*D6025</f>
        <v>229569.77893036499</v>
      </c>
      <c r="K6025" s="711"/>
      <c r="M6025" s="62">
        <f t="shared" si="475"/>
        <v>5</v>
      </c>
    </row>
    <row r="6026" spans="1:13">
      <c r="A6026" s="88">
        <f t="shared" si="476"/>
        <v>182</v>
      </c>
      <c r="B6026" s="69" t="s">
        <v>2189</v>
      </c>
      <c r="C6026" s="167">
        <v>4</v>
      </c>
      <c r="D6026" s="155">
        <v>1</v>
      </c>
      <c r="E6026" s="155">
        <v>1</v>
      </c>
      <c r="F6026" s="155">
        <v>1</v>
      </c>
      <c r="G6026" s="155">
        <v>1</v>
      </c>
      <c r="H6026" s="155">
        <v>1</v>
      </c>
      <c r="I6026" s="155">
        <v>1</v>
      </c>
      <c r="J6026" s="710">
        <f>(VLOOKUP($C6026,[2]Sheet1!$A$2:$P$18,$M6026+1)/12)*12*D6026</f>
        <v>224542.978930365</v>
      </c>
      <c r="K6026" s="711"/>
      <c r="M6026" s="62">
        <f t="shared" si="475"/>
        <v>5</v>
      </c>
    </row>
    <row r="6027" spans="1:13">
      <c r="A6027" s="88">
        <f t="shared" si="476"/>
        <v>183</v>
      </c>
      <c r="B6027" s="69" t="s">
        <v>2112</v>
      </c>
      <c r="C6027" s="167">
        <v>3</v>
      </c>
      <c r="D6027" s="155">
        <v>1</v>
      </c>
      <c r="E6027" s="155">
        <v>1</v>
      </c>
      <c r="F6027" s="155">
        <v>1</v>
      </c>
      <c r="G6027" s="155">
        <v>1</v>
      </c>
      <c r="H6027" s="155">
        <v>1</v>
      </c>
      <c r="I6027" s="155">
        <v>1</v>
      </c>
      <c r="J6027" s="710">
        <f>(VLOOKUP($C6027,[2]Sheet1!$A$2:$P$18,$M6027+1)/12)*12*D6027</f>
        <v>219336.17893036499</v>
      </c>
      <c r="K6027" s="711"/>
      <c r="M6027" s="62">
        <f t="shared" si="475"/>
        <v>5</v>
      </c>
    </row>
    <row r="6028" spans="1:13">
      <c r="A6028" s="88">
        <f t="shared" si="476"/>
        <v>184</v>
      </c>
      <c r="B6028" s="69" t="s">
        <v>3858</v>
      </c>
      <c r="C6028" s="167">
        <v>2</v>
      </c>
      <c r="D6028" s="155">
        <v>1</v>
      </c>
      <c r="E6028" s="155">
        <v>1</v>
      </c>
      <c r="F6028" s="155">
        <v>1</v>
      </c>
      <c r="G6028" s="155">
        <v>1</v>
      </c>
      <c r="H6028" s="155">
        <v>1</v>
      </c>
      <c r="I6028" s="155">
        <v>1</v>
      </c>
      <c r="J6028" s="710">
        <f>(VLOOKUP($C6028,[2]Sheet1!$A$2:$P$18,$M6028+1)/12)*12*D6028</f>
        <v>214657.37893036503</v>
      </c>
      <c r="K6028" s="711"/>
      <c r="M6028" s="62">
        <f t="shared" si="475"/>
        <v>5</v>
      </c>
    </row>
    <row r="6029" spans="1:13">
      <c r="A6029" s="88">
        <f t="shared" si="476"/>
        <v>185</v>
      </c>
      <c r="B6029" s="69" t="s">
        <v>2364</v>
      </c>
      <c r="C6029" s="167">
        <v>2</v>
      </c>
      <c r="D6029" s="155">
        <v>1</v>
      </c>
      <c r="E6029" s="155">
        <v>1</v>
      </c>
      <c r="F6029" s="155">
        <v>1</v>
      </c>
      <c r="G6029" s="155">
        <v>1</v>
      </c>
      <c r="H6029" s="155">
        <v>1</v>
      </c>
      <c r="I6029" s="155">
        <v>1</v>
      </c>
      <c r="J6029" s="710">
        <f>(VLOOKUP($C6029,[2]Sheet1!$A$2:$P$18,$M6029+1)/12)*12*D6029</f>
        <v>214657.37893036503</v>
      </c>
      <c r="K6029" s="711"/>
      <c r="M6029" s="62">
        <f t="shared" si="475"/>
        <v>5</v>
      </c>
    </row>
    <row r="6030" spans="1:13">
      <c r="A6030" s="88">
        <f t="shared" si="476"/>
        <v>186</v>
      </c>
      <c r="B6030" s="69" t="s">
        <v>2543</v>
      </c>
      <c r="C6030" s="167">
        <v>2</v>
      </c>
      <c r="D6030" s="155">
        <v>1</v>
      </c>
      <c r="E6030" s="155">
        <v>1</v>
      </c>
      <c r="F6030" s="155">
        <v>1</v>
      </c>
      <c r="G6030" s="155">
        <v>1</v>
      </c>
      <c r="H6030" s="155">
        <v>1</v>
      </c>
      <c r="I6030" s="155">
        <v>1</v>
      </c>
      <c r="J6030" s="710">
        <f>(VLOOKUP($C6030,[2]Sheet1!$A$2:$P$18,$M6030+1)/12)*12*D6030</f>
        <v>214657.37893036503</v>
      </c>
      <c r="K6030" s="711"/>
      <c r="M6030" s="62">
        <f t="shared" si="475"/>
        <v>5</v>
      </c>
    </row>
    <row r="6031" spans="1:13">
      <c r="A6031" s="88"/>
      <c r="B6031" s="90" t="s">
        <v>3048</v>
      </c>
      <c r="C6031" s="167"/>
      <c r="D6031" s="155"/>
      <c r="E6031" s="155"/>
      <c r="F6031" s="155"/>
      <c r="G6031" s="155"/>
      <c r="H6031" s="155"/>
      <c r="I6031" s="155"/>
      <c r="J6031" s="710"/>
      <c r="K6031" s="711"/>
      <c r="M6031" s="62">
        <f t="shared" si="475"/>
        <v>5</v>
      </c>
    </row>
    <row r="6032" spans="1:13">
      <c r="A6032" s="88">
        <f>+A6030+1</f>
        <v>187</v>
      </c>
      <c r="B6032" s="69" t="s">
        <v>333</v>
      </c>
      <c r="C6032" s="167">
        <v>7</v>
      </c>
      <c r="D6032" s="155">
        <v>1</v>
      </c>
      <c r="E6032" s="155">
        <v>1</v>
      </c>
      <c r="F6032" s="155">
        <v>1</v>
      </c>
      <c r="G6032" s="155">
        <v>1</v>
      </c>
      <c r="H6032" s="155">
        <v>1</v>
      </c>
      <c r="I6032" s="155">
        <v>1</v>
      </c>
      <c r="J6032" s="710">
        <f>(VLOOKUP($C6032,[2]Sheet1!$A$2:$P$18,$M6032+1)/12)*12*D6032</f>
        <v>307706.70240000007</v>
      </c>
      <c r="K6032" s="711"/>
      <c r="M6032" s="62">
        <f t="shared" si="475"/>
        <v>3</v>
      </c>
    </row>
    <row r="6033" spans="1:13">
      <c r="A6033" s="88">
        <f>+A6032+1</f>
        <v>188</v>
      </c>
      <c r="B6033" s="69" t="s">
        <v>3049</v>
      </c>
      <c r="C6033" s="167">
        <v>5</v>
      </c>
      <c r="D6033" s="155">
        <v>1</v>
      </c>
      <c r="E6033" s="155">
        <v>1</v>
      </c>
      <c r="F6033" s="155">
        <v>1</v>
      </c>
      <c r="G6033" s="155">
        <v>1</v>
      </c>
      <c r="H6033" s="155">
        <v>1</v>
      </c>
      <c r="I6033" s="155">
        <v>1</v>
      </c>
      <c r="J6033" s="710">
        <f>(VLOOKUP($C6033,[2]Sheet1!$A$2:$P$18,$M6033+1)/12)*12*D6033</f>
        <v>229569.77893036499</v>
      </c>
      <c r="K6033" s="711"/>
      <c r="M6033" s="62">
        <f t="shared" si="475"/>
        <v>5</v>
      </c>
    </row>
    <row r="6034" spans="1:13">
      <c r="A6034" s="88">
        <f>+A6033+1</f>
        <v>189</v>
      </c>
      <c r="B6034" s="69" t="s">
        <v>2189</v>
      </c>
      <c r="C6034" s="167">
        <v>4</v>
      </c>
      <c r="D6034" s="155">
        <v>1</v>
      </c>
      <c r="E6034" s="155">
        <v>1</v>
      </c>
      <c r="F6034" s="155">
        <v>1</v>
      </c>
      <c r="G6034" s="155">
        <v>1</v>
      </c>
      <c r="H6034" s="155">
        <v>1</v>
      </c>
      <c r="I6034" s="155">
        <v>1</v>
      </c>
      <c r="J6034" s="710">
        <f>(VLOOKUP($C6034,[2]Sheet1!$A$2:$P$18,$M6034+1)/12)*12*D6034</f>
        <v>224542.978930365</v>
      </c>
      <c r="K6034" s="711"/>
      <c r="M6034" s="62">
        <f t="shared" si="475"/>
        <v>5</v>
      </c>
    </row>
    <row r="6035" spans="1:13">
      <c r="A6035" s="88">
        <f>+A6034+1</f>
        <v>190</v>
      </c>
      <c r="B6035" s="69" t="s">
        <v>3858</v>
      </c>
      <c r="C6035" s="167">
        <v>2</v>
      </c>
      <c r="D6035" s="155">
        <v>1</v>
      </c>
      <c r="E6035" s="155">
        <v>1</v>
      </c>
      <c r="F6035" s="155">
        <v>1</v>
      </c>
      <c r="G6035" s="155">
        <v>1</v>
      </c>
      <c r="H6035" s="155">
        <v>1</v>
      </c>
      <c r="I6035" s="155">
        <v>1</v>
      </c>
      <c r="J6035" s="710">
        <f>(VLOOKUP($C6035,[2]Sheet1!$A$2:$P$18,$M6035+1)/12)*12*D6035</f>
        <v>214657.37893036503</v>
      </c>
      <c r="K6035" s="711"/>
      <c r="M6035" s="62">
        <f t="shared" si="475"/>
        <v>5</v>
      </c>
    </row>
    <row r="6036" spans="1:13">
      <c r="A6036" s="88">
        <f>+A6035+1</f>
        <v>191</v>
      </c>
      <c r="B6036" s="69" t="s">
        <v>2543</v>
      </c>
      <c r="C6036" s="167">
        <v>2</v>
      </c>
      <c r="D6036" s="155">
        <v>1</v>
      </c>
      <c r="E6036" s="155">
        <v>1</v>
      </c>
      <c r="F6036" s="155">
        <v>1</v>
      </c>
      <c r="G6036" s="155">
        <v>1</v>
      </c>
      <c r="H6036" s="155">
        <v>1</v>
      </c>
      <c r="I6036" s="155">
        <v>1</v>
      </c>
      <c r="J6036" s="710">
        <f>(VLOOKUP($C6036,[2]Sheet1!$A$2:$P$18,$M6036+1)/12)*12*D6036</f>
        <v>214657.37893036503</v>
      </c>
      <c r="K6036" s="711"/>
      <c r="M6036" s="62">
        <f t="shared" si="475"/>
        <v>5</v>
      </c>
    </row>
    <row r="6037" spans="1:13">
      <c r="A6037" s="88"/>
      <c r="B6037" s="90" t="s">
        <v>3178</v>
      </c>
      <c r="C6037" s="167"/>
      <c r="D6037" s="155"/>
      <c r="E6037" s="155"/>
      <c r="F6037" s="155"/>
      <c r="G6037" s="155"/>
      <c r="H6037" s="155"/>
      <c r="I6037" s="155"/>
      <c r="J6037" s="710"/>
      <c r="K6037" s="711"/>
      <c r="M6037" s="62">
        <f t="shared" si="475"/>
        <v>5</v>
      </c>
    </row>
    <row r="6038" spans="1:13">
      <c r="A6038" s="88">
        <f>+A6036+1</f>
        <v>192</v>
      </c>
      <c r="B6038" s="69" t="s">
        <v>3179</v>
      </c>
      <c r="C6038" s="167">
        <v>8</v>
      </c>
      <c r="D6038" s="155">
        <v>1</v>
      </c>
      <c r="E6038" s="155">
        <v>1</v>
      </c>
      <c r="F6038" s="155">
        <v>1</v>
      </c>
      <c r="G6038" s="155">
        <v>1</v>
      </c>
      <c r="H6038" s="155">
        <v>1</v>
      </c>
      <c r="I6038" s="155">
        <v>1</v>
      </c>
      <c r="J6038" s="710">
        <f>(VLOOKUP($C6038,[2]Sheet1!$A$2:$P$18,$M6038+1)/12)*12*D6038</f>
        <v>342141.27408</v>
      </c>
      <c r="K6038" s="711"/>
      <c r="M6038" s="62">
        <f t="shared" si="475"/>
        <v>3</v>
      </c>
    </row>
    <row r="6039" spans="1:13">
      <c r="A6039" s="88">
        <f t="shared" ref="A6039:A6072" si="477">+A6038+1</f>
        <v>193</v>
      </c>
      <c r="B6039" s="69" t="s">
        <v>4007</v>
      </c>
      <c r="C6039" s="167">
        <v>7</v>
      </c>
      <c r="D6039" s="155">
        <v>3</v>
      </c>
      <c r="E6039" s="155">
        <v>3</v>
      </c>
      <c r="F6039" s="155">
        <v>3</v>
      </c>
      <c r="G6039" s="155">
        <v>3</v>
      </c>
      <c r="H6039" s="155">
        <v>3</v>
      </c>
      <c r="I6039" s="155">
        <v>3</v>
      </c>
      <c r="J6039" s="710">
        <f>(VLOOKUP($C6039,[2]Sheet1!$A$2:$P$18,$M6039+1)/12)*12*D6039</f>
        <v>923120.1072000002</v>
      </c>
      <c r="K6039" s="711"/>
      <c r="M6039" s="62">
        <f t="shared" si="475"/>
        <v>3</v>
      </c>
    </row>
    <row r="6040" spans="1:13">
      <c r="A6040" s="88">
        <f t="shared" si="477"/>
        <v>194</v>
      </c>
      <c r="B6040" s="69" t="s">
        <v>4008</v>
      </c>
      <c r="C6040" s="167">
        <v>6</v>
      </c>
      <c r="D6040" s="155">
        <v>1</v>
      </c>
      <c r="E6040" s="155">
        <v>1</v>
      </c>
      <c r="F6040" s="155">
        <v>1</v>
      </c>
      <c r="G6040" s="155">
        <v>1</v>
      </c>
      <c r="H6040" s="155">
        <v>1</v>
      </c>
      <c r="I6040" s="155">
        <v>1</v>
      </c>
      <c r="J6040" s="710">
        <f>(VLOOKUP($C6040,[2]Sheet1!$A$2:$P$18,$M6040+1)/12)*12*D6040</f>
        <v>238099.37893036497</v>
      </c>
      <c r="K6040" s="711"/>
      <c r="M6040" s="62">
        <f t="shared" si="475"/>
        <v>5</v>
      </c>
    </row>
    <row r="6041" spans="1:13">
      <c r="A6041" s="88">
        <f t="shared" si="477"/>
        <v>195</v>
      </c>
      <c r="B6041" s="69" t="s">
        <v>4009</v>
      </c>
      <c r="C6041" s="167">
        <v>8</v>
      </c>
      <c r="D6041" s="155">
        <v>1</v>
      </c>
      <c r="E6041" s="155">
        <v>1</v>
      </c>
      <c r="F6041" s="155">
        <v>1</v>
      </c>
      <c r="G6041" s="155">
        <v>1</v>
      </c>
      <c r="H6041" s="155">
        <v>1</v>
      </c>
      <c r="I6041" s="155">
        <v>1</v>
      </c>
      <c r="J6041" s="710">
        <f>(VLOOKUP($C6041,[2]Sheet1!$A$2:$P$18,$M6041+1)/12)*12*D6041</f>
        <v>342141.27408</v>
      </c>
      <c r="K6041" s="711"/>
      <c r="M6041" s="62">
        <f t="shared" si="475"/>
        <v>3</v>
      </c>
    </row>
    <row r="6042" spans="1:13">
      <c r="A6042" s="88">
        <f t="shared" si="477"/>
        <v>196</v>
      </c>
      <c r="B6042" s="69" t="s">
        <v>2288</v>
      </c>
      <c r="C6042" s="167">
        <v>7</v>
      </c>
      <c r="D6042" s="155">
        <v>2</v>
      </c>
      <c r="E6042" s="155">
        <v>2</v>
      </c>
      <c r="F6042" s="155">
        <v>2</v>
      </c>
      <c r="G6042" s="155">
        <v>2</v>
      </c>
      <c r="H6042" s="155">
        <v>2</v>
      </c>
      <c r="I6042" s="155">
        <v>2</v>
      </c>
      <c r="J6042" s="710">
        <f>(VLOOKUP($C6042,[2]Sheet1!$A$2:$P$18,$M6042+1)/12)*12*D6042</f>
        <v>615413.40480000013</v>
      </c>
      <c r="K6042" s="711"/>
      <c r="M6042" s="62">
        <f t="shared" si="475"/>
        <v>3</v>
      </c>
    </row>
    <row r="6043" spans="1:13">
      <c r="A6043" s="88">
        <f t="shared" si="477"/>
        <v>197</v>
      </c>
      <c r="B6043" s="69" t="s">
        <v>918</v>
      </c>
      <c r="C6043" s="167">
        <v>6</v>
      </c>
      <c r="D6043" s="155">
        <v>4</v>
      </c>
      <c r="E6043" s="155">
        <v>4</v>
      </c>
      <c r="F6043" s="155">
        <v>4</v>
      </c>
      <c r="G6043" s="155">
        <v>4</v>
      </c>
      <c r="H6043" s="155">
        <v>4</v>
      </c>
      <c r="I6043" s="155">
        <v>4</v>
      </c>
      <c r="J6043" s="710">
        <f>(VLOOKUP($C6043,[2]Sheet1!$A$2:$P$18,$M6043+1)/12)*12*D6043</f>
        <v>952397.51572145987</v>
      </c>
      <c r="K6043" s="711"/>
      <c r="M6043" s="62">
        <f t="shared" si="475"/>
        <v>5</v>
      </c>
    </row>
    <row r="6044" spans="1:13">
      <c r="A6044" s="88">
        <f t="shared" si="477"/>
        <v>198</v>
      </c>
      <c r="B6044" s="69" t="s">
        <v>1250</v>
      </c>
      <c r="C6044" s="167">
        <v>5</v>
      </c>
      <c r="D6044" s="155">
        <v>6</v>
      </c>
      <c r="E6044" s="155">
        <v>6</v>
      </c>
      <c r="F6044" s="155">
        <v>6</v>
      </c>
      <c r="G6044" s="155">
        <v>6</v>
      </c>
      <c r="H6044" s="155">
        <v>6</v>
      </c>
      <c r="I6044" s="155">
        <v>6</v>
      </c>
      <c r="J6044" s="710">
        <f>(VLOOKUP($C6044,[2]Sheet1!$A$2:$P$18,$M6044+1)/12)*12*D6044</f>
        <v>1377418.6735821899</v>
      </c>
      <c r="K6044" s="711"/>
      <c r="M6044" s="62">
        <f t="shared" si="475"/>
        <v>5</v>
      </c>
    </row>
    <row r="6045" spans="1:13">
      <c r="A6045" s="88">
        <f t="shared" si="477"/>
        <v>199</v>
      </c>
      <c r="B6045" s="69" t="s">
        <v>2360</v>
      </c>
      <c r="C6045" s="167">
        <v>4</v>
      </c>
      <c r="D6045" s="155">
        <v>1</v>
      </c>
      <c r="E6045" s="155">
        <v>1</v>
      </c>
      <c r="F6045" s="155">
        <v>1</v>
      </c>
      <c r="G6045" s="155">
        <v>1</v>
      </c>
      <c r="H6045" s="155">
        <v>1</v>
      </c>
      <c r="I6045" s="155">
        <v>1</v>
      </c>
      <c r="J6045" s="710">
        <f>(VLOOKUP($C6045,[2]Sheet1!$A$2:$P$18,$M6045+1)/12)*12*D6045</f>
        <v>224542.978930365</v>
      </c>
      <c r="K6045" s="711"/>
      <c r="M6045" s="62">
        <f t="shared" si="475"/>
        <v>5</v>
      </c>
    </row>
    <row r="6046" spans="1:13">
      <c r="A6046" s="88">
        <f t="shared" si="477"/>
        <v>200</v>
      </c>
      <c r="B6046" s="69" t="s">
        <v>4010</v>
      </c>
      <c r="C6046" s="167">
        <v>3</v>
      </c>
      <c r="D6046" s="155">
        <v>35</v>
      </c>
      <c r="E6046" s="155">
        <v>35</v>
      </c>
      <c r="F6046" s="155">
        <v>35</v>
      </c>
      <c r="G6046" s="155">
        <v>35</v>
      </c>
      <c r="H6046" s="155">
        <v>35</v>
      </c>
      <c r="I6046" s="155">
        <v>35</v>
      </c>
      <c r="J6046" s="710">
        <f>(VLOOKUP($C6046,[2]Sheet1!$A$2:$P$18,$M6046+1)/12)*12*D6046</f>
        <v>7676766.2625627741</v>
      </c>
      <c r="K6046" s="711"/>
      <c r="M6046" s="62">
        <f t="shared" si="475"/>
        <v>5</v>
      </c>
    </row>
    <row r="6047" spans="1:13">
      <c r="A6047" s="88">
        <f t="shared" si="477"/>
        <v>201</v>
      </c>
      <c r="B6047" s="69" t="s">
        <v>3014</v>
      </c>
      <c r="C6047" s="167">
        <v>8</v>
      </c>
      <c r="D6047" s="155">
        <v>1</v>
      </c>
      <c r="E6047" s="155">
        <v>1</v>
      </c>
      <c r="F6047" s="155">
        <v>1</v>
      </c>
      <c r="G6047" s="155">
        <v>1</v>
      </c>
      <c r="H6047" s="155">
        <v>1</v>
      </c>
      <c r="I6047" s="155">
        <v>1</v>
      </c>
      <c r="J6047" s="710">
        <f>(VLOOKUP($C6047,[2]Sheet1!$A$2:$P$18,$M6047+1)/12)*12*D6047</f>
        <v>342141.27408</v>
      </c>
      <c r="K6047" s="711"/>
      <c r="M6047" s="62">
        <f t="shared" si="475"/>
        <v>3</v>
      </c>
    </row>
    <row r="6048" spans="1:13">
      <c r="A6048" s="88">
        <f t="shared" si="477"/>
        <v>202</v>
      </c>
      <c r="B6048" s="69" t="s">
        <v>3250</v>
      </c>
      <c r="C6048" s="167">
        <v>7</v>
      </c>
      <c r="D6048" s="155">
        <v>1</v>
      </c>
      <c r="E6048" s="155">
        <v>1</v>
      </c>
      <c r="F6048" s="155">
        <v>1</v>
      </c>
      <c r="G6048" s="155">
        <v>1</v>
      </c>
      <c r="H6048" s="155">
        <v>1</v>
      </c>
      <c r="I6048" s="155">
        <v>1</v>
      </c>
      <c r="J6048" s="710">
        <f>(VLOOKUP($C6048,[2]Sheet1!$A$2:$P$18,$M6048+1)/12)*12*D6048</f>
        <v>307706.70240000007</v>
      </c>
      <c r="K6048" s="711"/>
      <c r="M6048" s="62">
        <f t="shared" si="475"/>
        <v>3</v>
      </c>
    </row>
    <row r="6049" spans="1:13" ht="13.5" thickBot="1">
      <c r="A6049" s="88">
        <f t="shared" si="477"/>
        <v>203</v>
      </c>
      <c r="B6049" s="69" t="s">
        <v>2442</v>
      </c>
      <c r="C6049" s="167">
        <v>6</v>
      </c>
      <c r="D6049" s="155">
        <v>1</v>
      </c>
      <c r="E6049" s="155">
        <v>1</v>
      </c>
      <c r="F6049" s="155">
        <v>1</v>
      </c>
      <c r="G6049" s="155">
        <v>1</v>
      </c>
      <c r="H6049" s="155">
        <v>1</v>
      </c>
      <c r="I6049" s="155">
        <v>1</v>
      </c>
      <c r="J6049" s="710">
        <f>(VLOOKUP($C6049,[2]Sheet1!$A$2:$P$18,$M6049+1)/12)*12*D6049</f>
        <v>238099.37893036497</v>
      </c>
      <c r="K6049" s="711"/>
      <c r="M6049" s="62">
        <f t="shared" si="475"/>
        <v>5</v>
      </c>
    </row>
    <row r="6050" spans="1:13" ht="15.75" thickTop="1">
      <c r="A6050" s="1047" t="s">
        <v>2791</v>
      </c>
      <c r="B6050" s="1049" t="s">
        <v>4126</v>
      </c>
      <c r="C6050" s="1049" t="s">
        <v>854</v>
      </c>
      <c r="D6050" s="1040" t="s">
        <v>4127</v>
      </c>
      <c r="E6050" s="1041"/>
      <c r="F6050" s="1041"/>
      <c r="G6050" s="1040" t="s">
        <v>904</v>
      </c>
      <c r="H6050" s="1041"/>
      <c r="I6050" s="1042"/>
      <c r="J6050" s="1035" t="s">
        <v>855</v>
      </c>
      <c r="K6050" s="389"/>
    </row>
    <row r="6051" spans="1:13" ht="26.25" thickBot="1">
      <c r="A6051" s="1048"/>
      <c r="B6051" s="1050"/>
      <c r="C6051" s="1050"/>
      <c r="D6051" s="285" t="s">
        <v>5505</v>
      </c>
      <c r="E6051" s="285" t="s">
        <v>4485</v>
      </c>
      <c r="F6051" s="285" t="s">
        <v>4486</v>
      </c>
      <c r="G6051" s="287" t="s">
        <v>4487</v>
      </c>
      <c r="H6051" s="285" t="s">
        <v>4488</v>
      </c>
      <c r="I6051" s="287" t="s">
        <v>4489</v>
      </c>
      <c r="J6051" s="1036"/>
      <c r="K6051" s="712"/>
    </row>
    <row r="6052" spans="1:13" ht="13.5" thickTop="1">
      <c r="A6052" s="88">
        <f>+A6049+1</f>
        <v>204</v>
      </c>
      <c r="B6052" s="69" t="s">
        <v>2540</v>
      </c>
      <c r="C6052" s="167">
        <v>5</v>
      </c>
      <c r="D6052" s="155">
        <v>2</v>
      </c>
      <c r="E6052" s="155">
        <v>2</v>
      </c>
      <c r="F6052" s="155">
        <v>2</v>
      </c>
      <c r="G6052" s="155">
        <v>2</v>
      </c>
      <c r="H6052" s="155">
        <v>2</v>
      </c>
      <c r="I6052" s="155">
        <v>2</v>
      </c>
      <c r="J6052" s="710">
        <f>(VLOOKUP($C6052,[2]Sheet1!$A$2:$P$18,$M6052+1)/12)*12*D6052</f>
        <v>459139.55786072998</v>
      </c>
      <c r="K6052" s="711"/>
      <c r="M6052" s="62">
        <f t="shared" si="475"/>
        <v>5</v>
      </c>
    </row>
    <row r="6053" spans="1:13">
      <c r="A6053" s="88">
        <f>+A6052+1</f>
        <v>205</v>
      </c>
      <c r="B6053" s="69" t="s">
        <v>2189</v>
      </c>
      <c r="C6053" s="167">
        <v>4</v>
      </c>
      <c r="D6053" s="155">
        <v>3</v>
      </c>
      <c r="E6053" s="155">
        <v>3</v>
      </c>
      <c r="F6053" s="155">
        <v>3</v>
      </c>
      <c r="G6053" s="155">
        <v>3</v>
      </c>
      <c r="H6053" s="155">
        <v>3</v>
      </c>
      <c r="I6053" s="155">
        <v>3</v>
      </c>
      <c r="J6053" s="710">
        <f>(VLOOKUP($C6053,[2]Sheet1!$A$2:$P$18,$M6053+1)/12)*12*D6053</f>
        <v>673628.93679109495</v>
      </c>
      <c r="K6053" s="711"/>
      <c r="M6053" s="62">
        <f t="shared" si="475"/>
        <v>5</v>
      </c>
    </row>
    <row r="6054" spans="1:13">
      <c r="A6054" s="88">
        <f>+A6053+1</f>
        <v>206</v>
      </c>
      <c r="B6054" s="69" t="s">
        <v>3015</v>
      </c>
      <c r="C6054" s="167">
        <v>5</v>
      </c>
      <c r="D6054" s="155">
        <v>1</v>
      </c>
      <c r="E6054" s="155">
        <v>1</v>
      </c>
      <c r="F6054" s="155">
        <v>1</v>
      </c>
      <c r="G6054" s="155">
        <v>1</v>
      </c>
      <c r="H6054" s="155">
        <v>1</v>
      </c>
      <c r="I6054" s="155">
        <v>1</v>
      </c>
      <c r="J6054" s="710">
        <f>(VLOOKUP($C6054,[2]Sheet1!$A$2:$P$18,$M6054+1)/12)*12*D6054</f>
        <v>229569.77893036499</v>
      </c>
      <c r="K6054" s="711"/>
      <c r="M6054" s="62">
        <f t="shared" si="475"/>
        <v>5</v>
      </c>
    </row>
    <row r="6055" spans="1:13">
      <c r="A6055" s="88">
        <f t="shared" si="477"/>
        <v>207</v>
      </c>
      <c r="B6055" s="69" t="s">
        <v>3455</v>
      </c>
      <c r="C6055" s="167">
        <v>3</v>
      </c>
      <c r="D6055" s="155">
        <v>1</v>
      </c>
      <c r="E6055" s="155">
        <v>1</v>
      </c>
      <c r="F6055" s="155">
        <v>1</v>
      </c>
      <c r="G6055" s="155">
        <v>1</v>
      </c>
      <c r="H6055" s="155">
        <v>1</v>
      </c>
      <c r="I6055" s="155">
        <v>1</v>
      </c>
      <c r="J6055" s="710">
        <f>(VLOOKUP($C6055,[2]Sheet1!$A$2:$P$18,$M6055+1)/12)*12*D6055</f>
        <v>219336.17893036499</v>
      </c>
      <c r="K6055" s="711"/>
      <c r="M6055" s="62">
        <f t="shared" si="475"/>
        <v>5</v>
      </c>
    </row>
    <row r="6056" spans="1:13">
      <c r="A6056" s="88">
        <f>+A6055+1</f>
        <v>208</v>
      </c>
      <c r="B6056" s="69" t="s">
        <v>1749</v>
      </c>
      <c r="C6056" s="167">
        <v>6</v>
      </c>
      <c r="D6056" s="155">
        <v>1</v>
      </c>
      <c r="E6056" s="155">
        <v>1</v>
      </c>
      <c r="F6056" s="155">
        <v>1</v>
      </c>
      <c r="G6056" s="155">
        <v>1</v>
      </c>
      <c r="H6056" s="155">
        <v>1</v>
      </c>
      <c r="I6056" s="155">
        <v>1</v>
      </c>
      <c r="J6056" s="710">
        <f>(VLOOKUP($C6056,[2]Sheet1!$A$2:$P$18,$M6056+1)/12)*12*D6056</f>
        <v>238099.37893036497</v>
      </c>
      <c r="K6056" s="711"/>
      <c r="M6056" s="62">
        <f t="shared" si="475"/>
        <v>5</v>
      </c>
    </row>
    <row r="6057" spans="1:13">
      <c r="A6057" s="88">
        <f t="shared" si="477"/>
        <v>209</v>
      </c>
      <c r="B6057" s="69" t="s">
        <v>3796</v>
      </c>
      <c r="C6057" s="167">
        <v>5</v>
      </c>
      <c r="D6057" s="155">
        <v>1</v>
      </c>
      <c r="E6057" s="155">
        <v>1</v>
      </c>
      <c r="F6057" s="155">
        <v>1</v>
      </c>
      <c r="G6057" s="155">
        <v>1</v>
      </c>
      <c r="H6057" s="155">
        <v>1</v>
      </c>
      <c r="I6057" s="155">
        <v>1</v>
      </c>
      <c r="J6057" s="710">
        <f>(VLOOKUP($C6057,[2]Sheet1!$A$2:$P$18,$M6057+1)/12)*12*D6057</f>
        <v>229569.77893036499</v>
      </c>
      <c r="K6057" s="711"/>
      <c r="M6057" s="62">
        <f t="shared" si="475"/>
        <v>5</v>
      </c>
    </row>
    <row r="6058" spans="1:13">
      <c r="A6058" s="88">
        <f t="shared" si="477"/>
        <v>210</v>
      </c>
      <c r="B6058" s="69" t="s">
        <v>3797</v>
      </c>
      <c r="C6058" s="167">
        <v>4</v>
      </c>
      <c r="D6058" s="155">
        <v>1</v>
      </c>
      <c r="E6058" s="155">
        <v>1</v>
      </c>
      <c r="F6058" s="155">
        <v>1</v>
      </c>
      <c r="G6058" s="155">
        <v>1</v>
      </c>
      <c r="H6058" s="155">
        <v>1</v>
      </c>
      <c r="I6058" s="155">
        <v>1</v>
      </c>
      <c r="J6058" s="710">
        <f>(VLOOKUP($C6058,[2]Sheet1!$A$2:$P$18,$M6058+1)/12)*12*D6058</f>
        <v>224542.978930365</v>
      </c>
      <c r="K6058" s="711"/>
      <c r="M6058" s="62">
        <f t="shared" si="475"/>
        <v>5</v>
      </c>
    </row>
    <row r="6059" spans="1:13">
      <c r="A6059" s="88">
        <f t="shared" si="477"/>
        <v>211</v>
      </c>
      <c r="B6059" s="69" t="s">
        <v>2694</v>
      </c>
      <c r="C6059" s="167">
        <v>4</v>
      </c>
      <c r="D6059" s="155">
        <v>1</v>
      </c>
      <c r="E6059" s="155">
        <v>1</v>
      </c>
      <c r="F6059" s="155">
        <v>1</v>
      </c>
      <c r="G6059" s="155">
        <v>1</v>
      </c>
      <c r="H6059" s="155">
        <v>1</v>
      </c>
      <c r="I6059" s="155">
        <v>1</v>
      </c>
      <c r="J6059" s="710">
        <f>(VLOOKUP($C6059,[2]Sheet1!$A$2:$P$18,$M6059+1)/12)*12*D6059</f>
        <v>224542.978930365</v>
      </c>
      <c r="K6059" s="711"/>
      <c r="M6059" s="62">
        <f t="shared" si="475"/>
        <v>5</v>
      </c>
    </row>
    <row r="6060" spans="1:13">
      <c r="A6060" s="88">
        <f t="shared" si="477"/>
        <v>212</v>
      </c>
      <c r="B6060" s="69" t="s">
        <v>3257</v>
      </c>
      <c r="C6060" s="167">
        <v>4</v>
      </c>
      <c r="D6060" s="155">
        <v>1</v>
      </c>
      <c r="E6060" s="155">
        <v>1</v>
      </c>
      <c r="F6060" s="155">
        <v>1</v>
      </c>
      <c r="G6060" s="155">
        <v>1</v>
      </c>
      <c r="H6060" s="155">
        <v>1</v>
      </c>
      <c r="I6060" s="155">
        <v>1</v>
      </c>
      <c r="J6060" s="710">
        <f>(VLOOKUP($C6060,[2]Sheet1!$A$2:$P$18,$M6060+1)/12)*12*D6060</f>
        <v>224542.978930365</v>
      </c>
      <c r="K6060" s="711"/>
      <c r="M6060" s="62">
        <f t="shared" si="475"/>
        <v>5</v>
      </c>
    </row>
    <row r="6061" spans="1:13">
      <c r="A6061" s="88">
        <f t="shared" si="477"/>
        <v>213</v>
      </c>
      <c r="B6061" s="69" t="s">
        <v>2179</v>
      </c>
      <c r="C6061" s="167">
        <v>4</v>
      </c>
      <c r="D6061" s="155">
        <v>3</v>
      </c>
      <c r="E6061" s="155">
        <v>4</v>
      </c>
      <c r="F6061" s="155">
        <v>3</v>
      </c>
      <c r="G6061" s="155">
        <v>3</v>
      </c>
      <c r="H6061" s="155">
        <v>4</v>
      </c>
      <c r="I6061" s="155">
        <v>3</v>
      </c>
      <c r="J6061" s="710">
        <f>(VLOOKUP($C6061,[2]Sheet1!$A$2:$P$18,$M6061+1)/12)*12*D6061</f>
        <v>673628.93679109495</v>
      </c>
      <c r="K6061" s="711"/>
      <c r="M6061" s="62">
        <f t="shared" si="475"/>
        <v>5</v>
      </c>
    </row>
    <row r="6062" spans="1:13">
      <c r="A6062" s="88">
        <f t="shared" si="477"/>
        <v>214</v>
      </c>
      <c r="B6062" s="69" t="s">
        <v>2542</v>
      </c>
      <c r="C6062" s="167">
        <v>3</v>
      </c>
      <c r="D6062" s="155">
        <v>1</v>
      </c>
      <c r="E6062" s="155">
        <v>2</v>
      </c>
      <c r="F6062" s="155">
        <v>1</v>
      </c>
      <c r="G6062" s="155">
        <v>1</v>
      </c>
      <c r="H6062" s="155">
        <v>2</v>
      </c>
      <c r="I6062" s="155">
        <v>1</v>
      </c>
      <c r="J6062" s="710">
        <f>(VLOOKUP($C6062,[2]Sheet1!$A$2:$P$18,$M6062+1)/12)*12*D6062</f>
        <v>219336.17893036499</v>
      </c>
      <c r="K6062" s="711"/>
      <c r="M6062" s="62">
        <f t="shared" si="475"/>
        <v>5</v>
      </c>
    </row>
    <row r="6063" spans="1:13">
      <c r="A6063" s="88">
        <f t="shared" si="477"/>
        <v>215</v>
      </c>
      <c r="B6063" s="69" t="s">
        <v>2439</v>
      </c>
      <c r="C6063" s="167">
        <v>2</v>
      </c>
      <c r="D6063" s="155">
        <v>6</v>
      </c>
      <c r="E6063" s="155">
        <v>6</v>
      </c>
      <c r="F6063" s="155">
        <v>6</v>
      </c>
      <c r="G6063" s="155">
        <v>6</v>
      </c>
      <c r="H6063" s="155">
        <v>6</v>
      </c>
      <c r="I6063" s="155">
        <v>6</v>
      </c>
      <c r="J6063" s="710">
        <f>(VLOOKUP($C6063,[2]Sheet1!$A$2:$P$18,$M6063+1)/12)*12*D6063</f>
        <v>1287944.2735821903</v>
      </c>
      <c r="K6063" s="711"/>
      <c r="M6063" s="62">
        <f t="shared" si="475"/>
        <v>5</v>
      </c>
    </row>
    <row r="6064" spans="1:13">
      <c r="A6064" s="88">
        <f t="shared" si="477"/>
        <v>216</v>
      </c>
      <c r="B6064" s="69" t="s">
        <v>1316</v>
      </c>
      <c r="C6064" s="167">
        <v>4</v>
      </c>
      <c r="D6064" s="155">
        <v>1</v>
      </c>
      <c r="E6064" s="155">
        <v>1</v>
      </c>
      <c r="F6064" s="155">
        <v>1</v>
      </c>
      <c r="G6064" s="155">
        <v>1</v>
      </c>
      <c r="H6064" s="155">
        <v>1</v>
      </c>
      <c r="I6064" s="155">
        <v>1</v>
      </c>
      <c r="J6064" s="710">
        <f>(VLOOKUP($C6064,[2]Sheet1!$A$2:$P$18,$M6064+1)/12)*12*D6064</f>
        <v>224542.978930365</v>
      </c>
      <c r="K6064" s="711"/>
      <c r="M6064" s="62">
        <f t="shared" si="475"/>
        <v>5</v>
      </c>
    </row>
    <row r="6065" spans="1:13">
      <c r="A6065" s="88">
        <f t="shared" si="477"/>
        <v>217</v>
      </c>
      <c r="B6065" s="69" t="s">
        <v>3861</v>
      </c>
      <c r="C6065" s="167">
        <v>3</v>
      </c>
      <c r="D6065" s="155">
        <v>1</v>
      </c>
      <c r="E6065" s="155">
        <v>6</v>
      </c>
      <c r="F6065" s="155">
        <v>1</v>
      </c>
      <c r="G6065" s="155">
        <v>1</v>
      </c>
      <c r="H6065" s="155">
        <v>6</v>
      </c>
      <c r="I6065" s="155">
        <v>1</v>
      </c>
      <c r="J6065" s="710">
        <f>(VLOOKUP($C6065,[2]Sheet1!$A$2:$P$18,$M6065+1)/12)*12*D6065</f>
        <v>219336.17893036499</v>
      </c>
      <c r="K6065" s="711"/>
      <c r="M6065" s="62">
        <f t="shared" si="475"/>
        <v>5</v>
      </c>
    </row>
    <row r="6066" spans="1:13">
      <c r="A6066" s="88">
        <f t="shared" si="477"/>
        <v>218</v>
      </c>
      <c r="B6066" s="69" t="s">
        <v>3675</v>
      </c>
      <c r="C6066" s="167">
        <v>2</v>
      </c>
      <c r="D6066" s="155">
        <v>12</v>
      </c>
      <c r="E6066" s="155">
        <v>12</v>
      </c>
      <c r="F6066" s="155">
        <v>12</v>
      </c>
      <c r="G6066" s="155">
        <v>12</v>
      </c>
      <c r="H6066" s="155">
        <v>12</v>
      </c>
      <c r="I6066" s="155">
        <v>12</v>
      </c>
      <c r="J6066" s="710">
        <f>(VLOOKUP($C6066,[2]Sheet1!$A$2:$P$18,$M6066+1)/12)*12*D6066</f>
        <v>2575888.5471643806</v>
      </c>
      <c r="K6066" s="711"/>
      <c r="M6066" s="62">
        <f t="shared" si="475"/>
        <v>5</v>
      </c>
    </row>
    <row r="6067" spans="1:13">
      <c r="A6067" s="88">
        <f t="shared" si="477"/>
        <v>219</v>
      </c>
      <c r="B6067" s="69" t="s">
        <v>1484</v>
      </c>
      <c r="C6067" s="167">
        <v>7</v>
      </c>
      <c r="D6067" s="155">
        <v>1</v>
      </c>
      <c r="E6067" s="155">
        <v>1</v>
      </c>
      <c r="F6067" s="155">
        <v>1</v>
      </c>
      <c r="G6067" s="155">
        <v>1</v>
      </c>
      <c r="H6067" s="155">
        <v>1</v>
      </c>
      <c r="I6067" s="155">
        <v>1</v>
      </c>
      <c r="J6067" s="710">
        <f>(VLOOKUP($C6067,[2]Sheet1!$A$2:$P$18,$M6067+1)/12)*12*D6067</f>
        <v>307706.70240000007</v>
      </c>
      <c r="K6067" s="711"/>
      <c r="M6067" s="62">
        <f t="shared" si="475"/>
        <v>3</v>
      </c>
    </row>
    <row r="6068" spans="1:13">
      <c r="A6068" s="88">
        <f t="shared" si="477"/>
        <v>220</v>
      </c>
      <c r="B6068" s="69" t="s">
        <v>3016</v>
      </c>
      <c r="C6068" s="167">
        <v>4</v>
      </c>
      <c r="D6068" s="155">
        <v>0</v>
      </c>
      <c r="E6068" s="155">
        <v>0</v>
      </c>
      <c r="F6068" s="155">
        <v>0</v>
      </c>
      <c r="G6068" s="155">
        <v>0</v>
      </c>
      <c r="H6068" s="155">
        <v>0</v>
      </c>
      <c r="I6068" s="155">
        <v>0</v>
      </c>
      <c r="J6068" s="710">
        <f>(VLOOKUP($C6068,[2]Sheet1!$A$2:$P$18,$M6068+1)/12)*12*D6068</f>
        <v>0</v>
      </c>
      <c r="K6068" s="711"/>
      <c r="M6068" s="62">
        <f t="shared" si="475"/>
        <v>5</v>
      </c>
    </row>
    <row r="6069" spans="1:13">
      <c r="A6069" s="88">
        <f t="shared" si="477"/>
        <v>221</v>
      </c>
      <c r="B6069" s="69" t="s">
        <v>2204</v>
      </c>
      <c r="C6069" s="167">
        <v>3</v>
      </c>
      <c r="D6069" s="155">
        <v>1</v>
      </c>
      <c r="E6069" s="155">
        <v>1</v>
      </c>
      <c r="F6069" s="155">
        <v>1</v>
      </c>
      <c r="G6069" s="155">
        <v>1</v>
      </c>
      <c r="H6069" s="155">
        <v>1</v>
      </c>
      <c r="I6069" s="155">
        <v>1</v>
      </c>
      <c r="J6069" s="710">
        <f>(VLOOKUP($C6069,[2]Sheet1!$A$2:$P$18,$M6069+1)/12)*12*D6069</f>
        <v>219336.17893036499</v>
      </c>
      <c r="K6069" s="711"/>
      <c r="M6069" s="62">
        <f t="shared" si="475"/>
        <v>5</v>
      </c>
    </row>
    <row r="6070" spans="1:13">
      <c r="A6070" s="88">
        <f t="shared" si="477"/>
        <v>222</v>
      </c>
      <c r="B6070" s="69" t="s">
        <v>2205</v>
      </c>
      <c r="C6070" s="167">
        <v>3</v>
      </c>
      <c r="D6070" s="155">
        <v>1</v>
      </c>
      <c r="E6070" s="155">
        <v>1</v>
      </c>
      <c r="F6070" s="155">
        <v>1</v>
      </c>
      <c r="G6070" s="155">
        <v>1</v>
      </c>
      <c r="H6070" s="155">
        <v>1</v>
      </c>
      <c r="I6070" s="155">
        <v>1</v>
      </c>
      <c r="J6070" s="710">
        <f>(VLOOKUP($C6070,[2]Sheet1!$A$2:$P$18,$M6070+1)/12)*12*D6070</f>
        <v>219336.17893036499</v>
      </c>
      <c r="K6070" s="711"/>
      <c r="M6070" s="62">
        <f t="shared" si="475"/>
        <v>5</v>
      </c>
    </row>
    <row r="6071" spans="1:13">
      <c r="A6071" s="88">
        <f t="shared" si="477"/>
        <v>223</v>
      </c>
      <c r="B6071" s="69" t="s">
        <v>1268</v>
      </c>
      <c r="C6071" s="167">
        <v>2</v>
      </c>
      <c r="D6071" s="155">
        <v>1</v>
      </c>
      <c r="E6071" s="155">
        <v>1</v>
      </c>
      <c r="F6071" s="155">
        <v>1</v>
      </c>
      <c r="G6071" s="155">
        <v>1</v>
      </c>
      <c r="H6071" s="155">
        <v>1</v>
      </c>
      <c r="I6071" s="155">
        <v>1</v>
      </c>
      <c r="J6071" s="710">
        <f>(VLOOKUP($C6071,[2]Sheet1!$A$2:$P$18,$M6071+1)/12)*12*D6071</f>
        <v>214657.37893036503</v>
      </c>
      <c r="K6071" s="711"/>
      <c r="M6071" s="62">
        <f>IF(C6071&gt;6,3,5)</f>
        <v>5</v>
      </c>
    </row>
    <row r="6072" spans="1:13">
      <c r="A6072" s="88">
        <f t="shared" si="477"/>
        <v>224</v>
      </c>
      <c r="B6072" s="69" t="s">
        <v>3858</v>
      </c>
      <c r="C6072" s="167">
        <v>2</v>
      </c>
      <c r="D6072" s="155">
        <v>9</v>
      </c>
      <c r="E6072" s="155">
        <v>9</v>
      </c>
      <c r="F6072" s="155">
        <v>9</v>
      </c>
      <c r="G6072" s="155">
        <v>9</v>
      </c>
      <c r="H6072" s="155">
        <v>9</v>
      </c>
      <c r="I6072" s="155">
        <v>9</v>
      </c>
      <c r="J6072" s="710">
        <f>(VLOOKUP($C6072,[2]Sheet1!$A$2:$P$18,$M6072+1)/12)*12*D6072</f>
        <v>1931916.4103732852</v>
      </c>
      <c r="K6072" s="711"/>
      <c r="M6072" s="62">
        <f t="shared" si="475"/>
        <v>5</v>
      </c>
    </row>
    <row r="6073" spans="1:13">
      <c r="A6073" s="88"/>
      <c r="B6073" s="90" t="s">
        <v>2206</v>
      </c>
      <c r="C6073" s="167"/>
      <c r="D6073" s="155"/>
      <c r="E6073" s="155"/>
      <c r="F6073" s="155"/>
      <c r="G6073" s="155"/>
      <c r="H6073" s="155"/>
      <c r="I6073" s="155"/>
      <c r="J6073" s="710"/>
      <c r="K6073" s="711"/>
      <c r="M6073" s="62">
        <f t="shared" si="475"/>
        <v>5</v>
      </c>
    </row>
    <row r="6074" spans="1:13">
      <c r="A6074" s="88">
        <f>+A6072+1</f>
        <v>225</v>
      </c>
      <c r="B6074" s="69" t="s">
        <v>2958</v>
      </c>
      <c r="C6074" s="167">
        <v>13</v>
      </c>
      <c r="D6074" s="155">
        <v>1</v>
      </c>
      <c r="E6074" s="155">
        <v>1</v>
      </c>
      <c r="F6074" s="155">
        <v>1</v>
      </c>
      <c r="G6074" s="155">
        <v>1</v>
      </c>
      <c r="H6074" s="155">
        <v>1</v>
      </c>
      <c r="I6074" s="155">
        <v>1</v>
      </c>
      <c r="J6074" s="710">
        <f>(VLOOKUP($C6074,[2]Sheet1!$A$2:$P$18,$M6074+1)/12)*12*D6074</f>
        <v>628759.53804000001</v>
      </c>
      <c r="K6074" s="711"/>
      <c r="M6074" s="62">
        <f t="shared" si="475"/>
        <v>3</v>
      </c>
    </row>
    <row r="6075" spans="1:13">
      <c r="A6075" s="88">
        <f t="shared" ref="A6075:A6080" si="478">+A6074+1</f>
        <v>226</v>
      </c>
      <c r="B6075" s="69" t="s">
        <v>3180</v>
      </c>
      <c r="C6075" s="167">
        <v>12</v>
      </c>
      <c r="D6075" s="155">
        <v>1</v>
      </c>
      <c r="E6075" s="155">
        <v>1</v>
      </c>
      <c r="F6075" s="155">
        <v>1</v>
      </c>
      <c r="G6075" s="155">
        <v>1</v>
      </c>
      <c r="H6075" s="155">
        <v>1</v>
      </c>
      <c r="I6075" s="155">
        <v>1</v>
      </c>
      <c r="J6075" s="710">
        <f>(VLOOKUP($C6075,[2]Sheet1!$A$2:$P$18,$M6075+1)/12)*12*D6075</f>
        <v>552685.0537200002</v>
      </c>
      <c r="K6075" s="711"/>
      <c r="M6075" s="62">
        <f t="shared" si="475"/>
        <v>3</v>
      </c>
    </row>
    <row r="6076" spans="1:13">
      <c r="A6076" s="88">
        <f t="shared" si="478"/>
        <v>227</v>
      </c>
      <c r="B6076" s="69" t="s">
        <v>1310</v>
      </c>
      <c r="C6076" s="167">
        <v>7</v>
      </c>
      <c r="D6076" s="155">
        <v>1</v>
      </c>
      <c r="E6076" s="155">
        <v>1</v>
      </c>
      <c r="F6076" s="155">
        <v>1</v>
      </c>
      <c r="G6076" s="155">
        <v>1</v>
      </c>
      <c r="H6076" s="155">
        <v>1</v>
      </c>
      <c r="I6076" s="155">
        <v>1</v>
      </c>
      <c r="J6076" s="710">
        <f>(VLOOKUP($C6076,[2]Sheet1!$A$2:$P$18,$M6076+1)/12)*12*D6076</f>
        <v>307706.70240000007</v>
      </c>
      <c r="K6076" s="711"/>
      <c r="M6076" s="62">
        <f t="shared" si="475"/>
        <v>3</v>
      </c>
    </row>
    <row r="6077" spans="1:13">
      <c r="A6077" s="88">
        <f t="shared" si="478"/>
        <v>228</v>
      </c>
      <c r="B6077" s="69" t="s">
        <v>3019</v>
      </c>
      <c r="C6077" s="167">
        <v>5</v>
      </c>
      <c r="D6077" s="155">
        <v>1</v>
      </c>
      <c r="E6077" s="155">
        <v>1</v>
      </c>
      <c r="F6077" s="155">
        <v>1</v>
      </c>
      <c r="G6077" s="155">
        <v>1</v>
      </c>
      <c r="H6077" s="155">
        <v>1</v>
      </c>
      <c r="I6077" s="155">
        <v>1</v>
      </c>
      <c r="J6077" s="710">
        <f>(VLOOKUP($C6077,[2]Sheet1!$A$2:$P$18,$M6077+1)/12)*12*D6077</f>
        <v>229569.77893036499</v>
      </c>
      <c r="K6077" s="711"/>
      <c r="M6077" s="62">
        <f t="shared" si="475"/>
        <v>5</v>
      </c>
    </row>
    <row r="6078" spans="1:13">
      <c r="A6078" s="88">
        <f t="shared" si="478"/>
        <v>229</v>
      </c>
      <c r="B6078" s="69" t="s">
        <v>3187</v>
      </c>
      <c r="C6078" s="167">
        <v>2</v>
      </c>
      <c r="D6078" s="155">
        <v>3</v>
      </c>
      <c r="E6078" s="155">
        <v>3</v>
      </c>
      <c r="F6078" s="155">
        <v>3</v>
      </c>
      <c r="G6078" s="155">
        <v>3</v>
      </c>
      <c r="H6078" s="155">
        <v>3</v>
      </c>
      <c r="I6078" s="155">
        <v>3</v>
      </c>
      <c r="J6078" s="710">
        <f>(VLOOKUP($C6078,[2]Sheet1!$A$2:$P$18,$M6078+1)/12)*12*D6078</f>
        <v>643972.13679109514</v>
      </c>
      <c r="K6078" s="711"/>
      <c r="M6078" s="62">
        <f t="shared" si="475"/>
        <v>5</v>
      </c>
    </row>
    <row r="6079" spans="1:13">
      <c r="A6079" s="88">
        <f>+A6078+1</f>
        <v>230</v>
      </c>
      <c r="B6079" s="69" t="s">
        <v>3189</v>
      </c>
      <c r="C6079" s="167">
        <v>4</v>
      </c>
      <c r="D6079" s="155">
        <v>1</v>
      </c>
      <c r="E6079" s="155">
        <v>1</v>
      </c>
      <c r="F6079" s="155">
        <v>1</v>
      </c>
      <c r="G6079" s="155">
        <v>1</v>
      </c>
      <c r="H6079" s="155">
        <v>1</v>
      </c>
      <c r="I6079" s="155">
        <v>1</v>
      </c>
      <c r="J6079" s="710">
        <f>(VLOOKUP($C6079,[2]Sheet1!$A$2:$P$18,$M6079+1)/12)*12*D6079</f>
        <v>224542.978930365</v>
      </c>
      <c r="K6079" s="711"/>
      <c r="M6079" s="62">
        <f t="shared" si="475"/>
        <v>5</v>
      </c>
    </row>
    <row r="6080" spans="1:13">
      <c r="A6080" s="88">
        <f t="shared" si="478"/>
        <v>231</v>
      </c>
      <c r="B6080" s="69" t="s">
        <v>3256</v>
      </c>
      <c r="C6080" s="167">
        <v>2</v>
      </c>
      <c r="D6080" s="155">
        <v>3</v>
      </c>
      <c r="E6080" s="155">
        <v>3</v>
      </c>
      <c r="F6080" s="155">
        <v>3</v>
      </c>
      <c r="G6080" s="155">
        <v>3</v>
      </c>
      <c r="H6080" s="155">
        <v>3</v>
      </c>
      <c r="I6080" s="155">
        <v>3</v>
      </c>
      <c r="J6080" s="710">
        <f>(VLOOKUP($C6080,[2]Sheet1!$A$2:$P$18,$M6080+1)/12)*12*D6080</f>
        <v>643972.13679109514</v>
      </c>
      <c r="K6080" s="711"/>
      <c r="M6080" s="62">
        <f t="shared" si="475"/>
        <v>5</v>
      </c>
    </row>
    <row r="6081" spans="1:13">
      <c r="A6081" s="88"/>
      <c r="B6081" s="90" t="s">
        <v>829</v>
      </c>
      <c r="C6081" s="167"/>
      <c r="D6081" s="155"/>
      <c r="E6081" s="155"/>
      <c r="F6081" s="155"/>
      <c r="G6081" s="155"/>
      <c r="H6081" s="155"/>
      <c r="I6081" s="155"/>
      <c r="J6081" s="710"/>
      <c r="K6081" s="711"/>
      <c r="M6081" s="62">
        <f t="shared" ref="M6081:M6127" si="479">IF(C6081&gt;6,3,5)</f>
        <v>5</v>
      </c>
    </row>
    <row r="6082" spans="1:13">
      <c r="A6082" s="88"/>
      <c r="B6082" s="97" t="s">
        <v>3110</v>
      </c>
      <c r="C6082" s="167"/>
      <c r="D6082" s="155"/>
      <c r="E6082" s="155"/>
      <c r="F6082" s="155"/>
      <c r="G6082" s="155"/>
      <c r="H6082" s="155"/>
      <c r="I6082" s="155"/>
      <c r="J6082" s="710"/>
      <c r="K6082" s="711"/>
      <c r="M6082" s="62">
        <f t="shared" si="479"/>
        <v>5</v>
      </c>
    </row>
    <row r="6083" spans="1:13">
      <c r="A6083" s="88">
        <f>+A5934+1</f>
        <v>109</v>
      </c>
      <c r="B6083" s="69" t="s">
        <v>3532</v>
      </c>
      <c r="C6083" s="167">
        <v>16</v>
      </c>
      <c r="D6083" s="155">
        <v>0</v>
      </c>
      <c r="E6083" s="155">
        <v>1</v>
      </c>
      <c r="F6083" s="155">
        <v>1</v>
      </c>
      <c r="G6083" s="155">
        <v>1</v>
      </c>
      <c r="H6083" s="155">
        <v>1</v>
      </c>
      <c r="I6083" s="155" t="s">
        <v>1386</v>
      </c>
      <c r="J6083" s="710">
        <f>(VLOOKUP($C6083,[2]Sheet1!$A$2:$P$18,$M6083+1)/12)*12*D6083</f>
        <v>0</v>
      </c>
      <c r="K6083" s="711"/>
      <c r="M6083" s="62">
        <f t="shared" si="479"/>
        <v>3</v>
      </c>
    </row>
    <row r="6084" spans="1:13">
      <c r="A6084" s="88">
        <f>+A6083+1</f>
        <v>110</v>
      </c>
      <c r="B6084" s="69" t="s">
        <v>1256</v>
      </c>
      <c r="C6084" s="167">
        <v>15</v>
      </c>
      <c r="D6084" s="155">
        <v>0</v>
      </c>
      <c r="E6084" s="155">
        <v>1</v>
      </c>
      <c r="F6084" s="155">
        <v>1</v>
      </c>
      <c r="G6084" s="155">
        <v>1</v>
      </c>
      <c r="H6084" s="155">
        <v>1</v>
      </c>
      <c r="I6084" s="155" t="s">
        <v>1386</v>
      </c>
      <c r="J6084" s="710">
        <f>(VLOOKUP($C6084,[2]Sheet1!$A$2:$P$18,$M6084+1)/12)*12*D6084</f>
        <v>0</v>
      </c>
      <c r="K6084" s="711"/>
      <c r="M6084" s="62">
        <f t="shared" si="479"/>
        <v>3</v>
      </c>
    </row>
    <row r="6085" spans="1:13">
      <c r="A6085" s="88"/>
      <c r="B6085" s="90" t="s">
        <v>3111</v>
      </c>
      <c r="C6085" s="167"/>
      <c r="D6085" s="155"/>
      <c r="E6085" s="155"/>
      <c r="F6085" s="155"/>
      <c r="G6085" s="155"/>
      <c r="H6085" s="155"/>
      <c r="I6085" s="155"/>
      <c r="J6085" s="710"/>
      <c r="K6085" s="711"/>
      <c r="M6085" s="62">
        <f t="shared" si="479"/>
        <v>5</v>
      </c>
    </row>
    <row r="6086" spans="1:13">
      <c r="A6086" s="88">
        <f>+A6084+1</f>
        <v>111</v>
      </c>
      <c r="B6086" s="69" t="s">
        <v>996</v>
      </c>
      <c r="C6086" s="167">
        <v>14</v>
      </c>
      <c r="D6086" s="155">
        <v>0</v>
      </c>
      <c r="E6086" s="155">
        <v>1</v>
      </c>
      <c r="F6086" s="155">
        <v>0</v>
      </c>
      <c r="G6086" s="155">
        <v>0</v>
      </c>
      <c r="H6086" s="155">
        <v>1</v>
      </c>
      <c r="I6086" s="155">
        <v>0</v>
      </c>
      <c r="J6086" s="710">
        <f>(VLOOKUP($C6086,[2]Sheet1!$A$2:$P$18,$M6086+1)/12)*12*D6086</f>
        <v>0</v>
      </c>
      <c r="K6086" s="711"/>
      <c r="M6086" s="62">
        <f t="shared" si="479"/>
        <v>3</v>
      </c>
    </row>
    <row r="6087" spans="1:13">
      <c r="A6087" s="88">
        <f t="shared" ref="A6087:A6092" si="480">+A6086+1</f>
        <v>112</v>
      </c>
      <c r="B6087" s="69" t="s">
        <v>997</v>
      </c>
      <c r="C6087" s="167">
        <v>12</v>
      </c>
      <c r="D6087" s="155">
        <v>0</v>
      </c>
      <c r="E6087" s="155">
        <v>1</v>
      </c>
      <c r="F6087" s="155">
        <v>0</v>
      </c>
      <c r="G6087" s="155">
        <v>0</v>
      </c>
      <c r="H6087" s="155">
        <v>1</v>
      </c>
      <c r="I6087" s="155">
        <v>0</v>
      </c>
      <c r="J6087" s="710">
        <f>(VLOOKUP($C6087,[2]Sheet1!$A$2:$P$18,$M6087+1)/12)*12*D6087</f>
        <v>0</v>
      </c>
      <c r="K6087" s="711"/>
      <c r="M6087" s="62">
        <f t="shared" si="479"/>
        <v>3</v>
      </c>
    </row>
    <row r="6088" spans="1:13">
      <c r="A6088" s="88">
        <f t="shared" si="480"/>
        <v>113</v>
      </c>
      <c r="B6088" s="69" t="s">
        <v>848</v>
      </c>
      <c r="C6088" s="167">
        <v>10</v>
      </c>
      <c r="D6088" s="155">
        <v>0</v>
      </c>
      <c r="E6088" s="155">
        <v>1</v>
      </c>
      <c r="F6088" s="155">
        <v>0</v>
      </c>
      <c r="G6088" s="155">
        <v>0</v>
      </c>
      <c r="H6088" s="155">
        <v>1</v>
      </c>
      <c r="I6088" s="155">
        <v>0</v>
      </c>
      <c r="J6088" s="710">
        <f>(VLOOKUP($C6088,[2]Sheet1!$A$2:$P$18,$M6088+1)/12)*12*D6088</f>
        <v>0</v>
      </c>
      <c r="K6088" s="711"/>
      <c r="M6088" s="62">
        <f t="shared" si="479"/>
        <v>3</v>
      </c>
    </row>
    <row r="6089" spans="1:13">
      <c r="A6089" s="88">
        <f t="shared" si="480"/>
        <v>114</v>
      </c>
      <c r="B6089" s="69" t="s">
        <v>3792</v>
      </c>
      <c r="C6089" s="167">
        <v>9</v>
      </c>
      <c r="D6089" s="155">
        <v>0</v>
      </c>
      <c r="E6089" s="155">
        <v>1</v>
      </c>
      <c r="F6089" s="155">
        <v>0</v>
      </c>
      <c r="G6089" s="155">
        <v>0</v>
      </c>
      <c r="H6089" s="155">
        <v>1</v>
      </c>
      <c r="I6089" s="155">
        <v>0</v>
      </c>
      <c r="J6089" s="710">
        <f>(VLOOKUP($C6089,[2]Sheet1!$A$2:$P$18,$M6089+1)/12)*12*D6089</f>
        <v>0</v>
      </c>
      <c r="K6089" s="711"/>
      <c r="M6089" s="62">
        <f t="shared" si="479"/>
        <v>3</v>
      </c>
    </row>
    <row r="6090" spans="1:13">
      <c r="A6090" s="88">
        <f t="shared" si="480"/>
        <v>115</v>
      </c>
      <c r="B6090" s="69" t="s">
        <v>3793</v>
      </c>
      <c r="C6090" s="167">
        <v>8</v>
      </c>
      <c r="D6090" s="155">
        <v>0</v>
      </c>
      <c r="E6090" s="155">
        <v>1</v>
      </c>
      <c r="F6090" s="155">
        <v>0</v>
      </c>
      <c r="G6090" s="155">
        <v>0</v>
      </c>
      <c r="H6090" s="155">
        <v>1</v>
      </c>
      <c r="I6090" s="155">
        <v>0</v>
      </c>
      <c r="J6090" s="710">
        <f>(VLOOKUP($C6090,[2]Sheet1!$A$2:$P$18,$M6090+1)/12)*12*D6090</f>
        <v>0</v>
      </c>
      <c r="K6090" s="711"/>
      <c r="M6090" s="62">
        <f t="shared" si="479"/>
        <v>3</v>
      </c>
    </row>
    <row r="6091" spans="1:13">
      <c r="A6091" s="88">
        <f t="shared" si="480"/>
        <v>116</v>
      </c>
      <c r="B6091" s="69" t="s">
        <v>4085</v>
      </c>
      <c r="C6091" s="167">
        <v>4</v>
      </c>
      <c r="D6091" s="155">
        <v>0</v>
      </c>
      <c r="E6091" s="155">
        <v>14</v>
      </c>
      <c r="F6091" s="155">
        <v>0</v>
      </c>
      <c r="G6091" s="155">
        <v>0</v>
      </c>
      <c r="H6091" s="155">
        <v>14</v>
      </c>
      <c r="I6091" s="155">
        <v>0</v>
      </c>
      <c r="J6091" s="710">
        <f>(VLOOKUP($C6091,[2]Sheet1!$A$2:$P$18,$M6091+1)/12)*12*D6091</f>
        <v>0</v>
      </c>
      <c r="K6091" s="711"/>
      <c r="M6091" s="62">
        <f t="shared" si="479"/>
        <v>5</v>
      </c>
    </row>
    <row r="6092" spans="1:13" ht="13.5" thickBot="1">
      <c r="A6092" s="88">
        <f t="shared" si="480"/>
        <v>117</v>
      </c>
      <c r="B6092" s="69" t="s">
        <v>2543</v>
      </c>
      <c r="C6092" s="167">
        <v>2</v>
      </c>
      <c r="D6092" s="155">
        <v>0</v>
      </c>
      <c r="E6092" s="155">
        <v>1</v>
      </c>
      <c r="F6092" s="155">
        <v>0</v>
      </c>
      <c r="G6092" s="155">
        <v>0</v>
      </c>
      <c r="H6092" s="155">
        <v>1</v>
      </c>
      <c r="I6092" s="155">
        <v>0</v>
      </c>
      <c r="J6092" s="710">
        <f>(VLOOKUP($C6092,[2]Sheet1!$A$2:$P$18,$M6092+1)/12)*12*D6092</f>
        <v>0</v>
      </c>
      <c r="K6092" s="711"/>
      <c r="M6092" s="62">
        <f t="shared" si="479"/>
        <v>5</v>
      </c>
    </row>
    <row r="6093" spans="1:13" ht="15.75" thickTop="1">
      <c r="A6093" s="1047" t="s">
        <v>2791</v>
      </c>
      <c r="B6093" s="1049" t="s">
        <v>4126</v>
      </c>
      <c r="C6093" s="1049" t="s">
        <v>854</v>
      </c>
      <c r="D6093" s="1040" t="s">
        <v>4127</v>
      </c>
      <c r="E6093" s="1041"/>
      <c r="F6093" s="1041"/>
      <c r="G6093" s="1040" t="s">
        <v>904</v>
      </c>
      <c r="H6093" s="1041"/>
      <c r="I6093" s="1042"/>
      <c r="J6093" s="1035" t="s">
        <v>855</v>
      </c>
      <c r="K6093" s="389"/>
    </row>
    <row r="6094" spans="1:13" ht="26.25" thickBot="1">
      <c r="A6094" s="1048"/>
      <c r="B6094" s="1050"/>
      <c r="C6094" s="1050"/>
      <c r="D6094" s="285" t="s">
        <v>5505</v>
      </c>
      <c r="E6094" s="285" t="s">
        <v>4485</v>
      </c>
      <c r="F6094" s="285" t="s">
        <v>4486</v>
      </c>
      <c r="G6094" s="287" t="s">
        <v>4487</v>
      </c>
      <c r="H6094" s="285" t="s">
        <v>4488</v>
      </c>
      <c r="I6094" s="287" t="s">
        <v>4489</v>
      </c>
      <c r="J6094" s="1036"/>
      <c r="K6094" s="712"/>
    </row>
    <row r="6095" spans="1:13" ht="13.5" thickTop="1">
      <c r="A6095" s="88"/>
      <c r="B6095" s="90" t="s">
        <v>4086</v>
      </c>
      <c r="C6095" s="167"/>
      <c r="D6095" s="155"/>
      <c r="E6095" s="155"/>
      <c r="F6095" s="155"/>
      <c r="G6095" s="155"/>
      <c r="H6095" s="155"/>
      <c r="I6095" s="155"/>
      <c r="J6095" s="710"/>
      <c r="K6095" s="711"/>
      <c r="M6095" s="62">
        <f t="shared" si="479"/>
        <v>5</v>
      </c>
    </row>
    <row r="6096" spans="1:13">
      <c r="A6096" s="88">
        <f>+A6092+1</f>
        <v>118</v>
      </c>
      <c r="B6096" s="69" t="s">
        <v>560</v>
      </c>
      <c r="C6096" s="167">
        <v>14</v>
      </c>
      <c r="D6096" s="155">
        <v>0</v>
      </c>
      <c r="E6096" s="155">
        <v>1</v>
      </c>
      <c r="F6096" s="155">
        <v>0</v>
      </c>
      <c r="G6096" s="155">
        <v>0</v>
      </c>
      <c r="H6096" s="155">
        <v>1</v>
      </c>
      <c r="I6096" s="155">
        <v>0</v>
      </c>
      <c r="J6096" s="710">
        <f>(VLOOKUP($C6096,[2]Sheet1!$A$2:$P$18,$M6096+1)/12)*12*D6096</f>
        <v>0</v>
      </c>
      <c r="K6096" s="711"/>
      <c r="M6096" s="62">
        <f t="shared" si="479"/>
        <v>3</v>
      </c>
    </row>
    <row r="6097" spans="1:13">
      <c r="A6097" s="88">
        <f t="shared" ref="A6097:A6103" si="481">+A6096+1</f>
        <v>119</v>
      </c>
      <c r="B6097" s="69" t="s">
        <v>561</v>
      </c>
      <c r="C6097" s="167">
        <v>12</v>
      </c>
      <c r="D6097" s="155">
        <v>0</v>
      </c>
      <c r="E6097" s="155">
        <v>1</v>
      </c>
      <c r="F6097" s="155">
        <v>0</v>
      </c>
      <c r="G6097" s="155">
        <v>0</v>
      </c>
      <c r="H6097" s="155">
        <v>1</v>
      </c>
      <c r="I6097" s="155">
        <v>0</v>
      </c>
      <c r="J6097" s="710">
        <f>(VLOOKUP($C6097,[2]Sheet1!$A$2:$P$18,$M6097+1)/12)*12*D6097</f>
        <v>0</v>
      </c>
      <c r="K6097" s="711"/>
      <c r="M6097" s="62">
        <f t="shared" si="479"/>
        <v>3</v>
      </c>
    </row>
    <row r="6098" spans="1:13">
      <c r="A6098" s="88">
        <f>+A6097+1</f>
        <v>120</v>
      </c>
      <c r="B6098" s="69" t="s">
        <v>562</v>
      </c>
      <c r="C6098" s="167">
        <v>10</v>
      </c>
      <c r="D6098" s="155">
        <v>0</v>
      </c>
      <c r="E6098" s="155">
        <v>1</v>
      </c>
      <c r="F6098" s="155">
        <v>0</v>
      </c>
      <c r="G6098" s="155">
        <v>0</v>
      </c>
      <c r="H6098" s="155">
        <v>1</v>
      </c>
      <c r="I6098" s="155">
        <v>0</v>
      </c>
      <c r="J6098" s="710">
        <f>(VLOOKUP($C6098,[2]Sheet1!$A$2:$P$18,$M6098+1)/12)*12*D6098</f>
        <v>0</v>
      </c>
      <c r="K6098" s="711"/>
      <c r="M6098" s="62">
        <f t="shared" si="479"/>
        <v>3</v>
      </c>
    </row>
    <row r="6099" spans="1:13">
      <c r="A6099" s="88">
        <f>+A6098+1</f>
        <v>121</v>
      </c>
      <c r="B6099" s="69" t="s">
        <v>2331</v>
      </c>
      <c r="C6099" s="167">
        <v>9</v>
      </c>
      <c r="D6099" s="155">
        <v>0</v>
      </c>
      <c r="E6099" s="155">
        <v>1</v>
      </c>
      <c r="F6099" s="155">
        <v>0</v>
      </c>
      <c r="G6099" s="155">
        <v>0</v>
      </c>
      <c r="H6099" s="155">
        <v>1</v>
      </c>
      <c r="I6099" s="155">
        <v>0</v>
      </c>
      <c r="J6099" s="710">
        <f>(VLOOKUP($C6099,[2]Sheet1!$A$2:$P$18,$M6099+1)/12)*12*D6099</f>
        <v>0</v>
      </c>
      <c r="K6099" s="711"/>
      <c r="M6099" s="62">
        <f t="shared" si="479"/>
        <v>3</v>
      </c>
    </row>
    <row r="6100" spans="1:13">
      <c r="A6100" s="88">
        <f t="shared" si="481"/>
        <v>122</v>
      </c>
      <c r="B6100" s="69" t="s">
        <v>389</v>
      </c>
      <c r="C6100" s="167">
        <v>8</v>
      </c>
      <c r="D6100" s="155">
        <v>0</v>
      </c>
      <c r="E6100" s="155">
        <v>2</v>
      </c>
      <c r="F6100" s="155">
        <v>0</v>
      </c>
      <c r="G6100" s="155">
        <v>0</v>
      </c>
      <c r="H6100" s="155">
        <v>2</v>
      </c>
      <c r="I6100" s="155">
        <v>0</v>
      </c>
      <c r="J6100" s="710">
        <f>(VLOOKUP($C6100,[2]Sheet1!$A$2:$P$18,$M6100+1)/12)*12*D6100</f>
        <v>0</v>
      </c>
      <c r="K6100" s="711"/>
      <c r="M6100" s="62">
        <f t="shared" si="479"/>
        <v>3</v>
      </c>
    </row>
    <row r="6101" spans="1:13">
      <c r="A6101" s="88">
        <f t="shared" si="481"/>
        <v>123</v>
      </c>
      <c r="B6101" s="69" t="s">
        <v>230</v>
      </c>
      <c r="C6101" s="167">
        <v>7</v>
      </c>
      <c r="D6101" s="155">
        <v>0</v>
      </c>
      <c r="E6101" s="155">
        <v>1</v>
      </c>
      <c r="F6101" s="155">
        <v>0</v>
      </c>
      <c r="G6101" s="155">
        <v>0</v>
      </c>
      <c r="H6101" s="155">
        <v>1</v>
      </c>
      <c r="I6101" s="155">
        <v>0</v>
      </c>
      <c r="J6101" s="710">
        <f>(VLOOKUP($C6101,[2]Sheet1!$A$2:$P$18,$M6101+1)/12)*12*D6101</f>
        <v>0</v>
      </c>
      <c r="K6101" s="711"/>
      <c r="M6101" s="62">
        <f t="shared" si="479"/>
        <v>3</v>
      </c>
    </row>
    <row r="6102" spans="1:13">
      <c r="A6102" s="88">
        <f t="shared" si="481"/>
        <v>124</v>
      </c>
      <c r="B6102" s="69" t="s">
        <v>231</v>
      </c>
      <c r="C6102" s="167">
        <v>6</v>
      </c>
      <c r="D6102" s="155">
        <v>0</v>
      </c>
      <c r="E6102" s="155">
        <v>5</v>
      </c>
      <c r="F6102" s="155">
        <v>0</v>
      </c>
      <c r="G6102" s="155">
        <v>0</v>
      </c>
      <c r="H6102" s="155">
        <v>5</v>
      </c>
      <c r="I6102" s="155">
        <v>0</v>
      </c>
      <c r="J6102" s="710">
        <f>(VLOOKUP($C6102,[2]Sheet1!$A$2:$P$18,$M6102+1)/12)*12*D6102</f>
        <v>0</v>
      </c>
      <c r="K6102" s="711"/>
      <c r="M6102" s="62">
        <f t="shared" si="479"/>
        <v>5</v>
      </c>
    </row>
    <row r="6103" spans="1:13">
      <c r="A6103" s="88">
        <f t="shared" si="481"/>
        <v>125</v>
      </c>
      <c r="B6103" s="69" t="s">
        <v>2543</v>
      </c>
      <c r="C6103" s="167">
        <v>2</v>
      </c>
      <c r="D6103" s="155">
        <v>0</v>
      </c>
      <c r="E6103" s="155">
        <v>1</v>
      </c>
      <c r="F6103" s="155">
        <v>0</v>
      </c>
      <c r="G6103" s="155">
        <v>0</v>
      </c>
      <c r="H6103" s="155">
        <v>1</v>
      </c>
      <c r="I6103" s="155">
        <v>0</v>
      </c>
      <c r="J6103" s="710">
        <f>(VLOOKUP($C6103,[2]Sheet1!$A$2:$P$18,$M6103+1)/12)*12*D6103</f>
        <v>0</v>
      </c>
      <c r="K6103" s="711"/>
      <c r="M6103" s="62">
        <f t="shared" si="479"/>
        <v>5</v>
      </c>
    </row>
    <row r="6104" spans="1:13">
      <c r="A6104" s="88"/>
      <c r="B6104" s="90" t="s">
        <v>2955</v>
      </c>
      <c r="C6104" s="167"/>
      <c r="D6104" s="155"/>
      <c r="E6104" s="155"/>
      <c r="F6104" s="155"/>
      <c r="G6104" s="155"/>
      <c r="H6104" s="155"/>
      <c r="I6104" s="155"/>
      <c r="J6104" s="713"/>
      <c r="K6104" s="711"/>
      <c r="M6104" s="62">
        <f t="shared" si="479"/>
        <v>5</v>
      </c>
    </row>
    <row r="6105" spans="1:13">
      <c r="A6105" s="88">
        <f>+A6103+1</f>
        <v>126</v>
      </c>
      <c r="B6105" s="69" t="s">
        <v>922</v>
      </c>
      <c r="C6105" s="167">
        <v>14</v>
      </c>
      <c r="D6105" s="155">
        <v>1</v>
      </c>
      <c r="E6105" s="155">
        <v>1</v>
      </c>
      <c r="F6105" s="155">
        <v>1</v>
      </c>
      <c r="G6105" s="155">
        <v>1</v>
      </c>
      <c r="H6105" s="155">
        <v>1</v>
      </c>
      <c r="I6105" s="155">
        <v>1</v>
      </c>
      <c r="J6105" s="710">
        <f>(VLOOKUP($C6105,[2]Sheet1!$A$2:$P$18,$M6105+1)/12)*12*D6105</f>
        <v>669099.40824000002</v>
      </c>
      <c r="K6105" s="711"/>
      <c r="M6105" s="62">
        <f t="shared" si="479"/>
        <v>3</v>
      </c>
    </row>
    <row r="6106" spans="1:13">
      <c r="A6106" s="88">
        <f t="shared" ref="A6106:A6118" si="482">+A6105+1</f>
        <v>127</v>
      </c>
      <c r="B6106" s="69" t="s">
        <v>849</v>
      </c>
      <c r="C6106" s="167">
        <v>12</v>
      </c>
      <c r="D6106" s="155">
        <v>1</v>
      </c>
      <c r="E6106" s="155">
        <v>1</v>
      </c>
      <c r="F6106" s="155">
        <v>1</v>
      </c>
      <c r="G6106" s="155">
        <v>1</v>
      </c>
      <c r="H6106" s="155">
        <v>1</v>
      </c>
      <c r="I6106" s="155">
        <v>1</v>
      </c>
      <c r="J6106" s="710">
        <f>(VLOOKUP($C6106,[2]Sheet1!$A$2:$P$18,$M6106+1)/12)*12*D6106</f>
        <v>552685.0537200002</v>
      </c>
      <c r="K6106" s="711"/>
      <c r="M6106" s="62">
        <f t="shared" si="479"/>
        <v>3</v>
      </c>
    </row>
    <row r="6107" spans="1:13">
      <c r="A6107" s="88">
        <f t="shared" si="482"/>
        <v>128</v>
      </c>
      <c r="B6107" s="69" t="s">
        <v>1998</v>
      </c>
      <c r="C6107" s="167">
        <v>10</v>
      </c>
      <c r="D6107" s="155">
        <v>1</v>
      </c>
      <c r="E6107" s="155">
        <v>1</v>
      </c>
      <c r="F6107" s="155">
        <v>1</v>
      </c>
      <c r="G6107" s="155">
        <v>1</v>
      </c>
      <c r="H6107" s="155">
        <v>1</v>
      </c>
      <c r="I6107" s="155">
        <v>1</v>
      </c>
      <c r="J6107" s="710">
        <f>(VLOOKUP($C6107,[2]Sheet1!$A$2:$P$18,$M6107+1)/12)*12*D6107</f>
        <v>483974.5687200001</v>
      </c>
      <c r="K6107" s="711"/>
      <c r="M6107" s="62">
        <f t="shared" si="479"/>
        <v>3</v>
      </c>
    </row>
    <row r="6108" spans="1:13">
      <c r="A6108" s="88">
        <f t="shared" si="482"/>
        <v>129</v>
      </c>
      <c r="B6108" s="69" t="s">
        <v>850</v>
      </c>
      <c r="C6108" s="167">
        <v>9</v>
      </c>
      <c r="D6108" s="155">
        <v>0</v>
      </c>
      <c r="E6108" s="155">
        <v>1</v>
      </c>
      <c r="F6108" s="155">
        <v>0</v>
      </c>
      <c r="G6108" s="155">
        <v>0</v>
      </c>
      <c r="H6108" s="155">
        <v>1</v>
      </c>
      <c r="I6108" s="155">
        <v>0</v>
      </c>
      <c r="J6108" s="710">
        <f>(VLOOKUP($C6108,[2]Sheet1!$A$2:$P$18,$M6108+1)/12)*12*D6108</f>
        <v>0</v>
      </c>
      <c r="K6108" s="711"/>
      <c r="M6108" s="62">
        <f t="shared" si="479"/>
        <v>3</v>
      </c>
    </row>
    <row r="6109" spans="1:13">
      <c r="A6109" s="88">
        <f t="shared" si="482"/>
        <v>130</v>
      </c>
      <c r="B6109" s="69" t="s">
        <v>2585</v>
      </c>
      <c r="C6109" s="167">
        <v>8</v>
      </c>
      <c r="D6109" s="155">
        <v>0</v>
      </c>
      <c r="E6109" s="155">
        <v>1</v>
      </c>
      <c r="F6109" s="155">
        <v>0</v>
      </c>
      <c r="G6109" s="155">
        <v>0</v>
      </c>
      <c r="H6109" s="155">
        <v>1</v>
      </c>
      <c r="I6109" s="155">
        <v>0</v>
      </c>
      <c r="J6109" s="710">
        <f>(VLOOKUP($C6109,[2]Sheet1!$A$2:$P$18,$M6109+1)/12)*12*D6109</f>
        <v>0</v>
      </c>
      <c r="K6109" s="711"/>
      <c r="M6109" s="62">
        <f t="shared" si="479"/>
        <v>3</v>
      </c>
    </row>
    <row r="6110" spans="1:13">
      <c r="A6110" s="88">
        <f t="shared" si="482"/>
        <v>131</v>
      </c>
      <c r="B6110" s="69" t="s">
        <v>2586</v>
      </c>
      <c r="C6110" s="167">
        <v>8</v>
      </c>
      <c r="D6110" s="155">
        <v>0</v>
      </c>
      <c r="E6110" s="155">
        <v>1</v>
      </c>
      <c r="F6110" s="155">
        <v>0</v>
      </c>
      <c r="G6110" s="155">
        <v>0</v>
      </c>
      <c r="H6110" s="155">
        <v>1</v>
      </c>
      <c r="I6110" s="155">
        <v>0</v>
      </c>
      <c r="J6110" s="710">
        <f>(VLOOKUP($C6110,[2]Sheet1!$A$2:$P$18,$M6110+1)/12)*12*D6110</f>
        <v>0</v>
      </c>
      <c r="K6110" s="711"/>
      <c r="M6110" s="62">
        <f t="shared" si="479"/>
        <v>3</v>
      </c>
    </row>
    <row r="6111" spans="1:13">
      <c r="A6111" s="88">
        <f t="shared" si="482"/>
        <v>132</v>
      </c>
      <c r="B6111" s="69" t="s">
        <v>1599</v>
      </c>
      <c r="C6111" s="167">
        <v>7</v>
      </c>
      <c r="D6111" s="155">
        <v>1</v>
      </c>
      <c r="E6111" s="155">
        <v>1</v>
      </c>
      <c r="F6111" s="155">
        <v>1</v>
      </c>
      <c r="G6111" s="155">
        <v>1</v>
      </c>
      <c r="H6111" s="155">
        <v>1</v>
      </c>
      <c r="I6111" s="155">
        <v>1</v>
      </c>
      <c r="J6111" s="710">
        <f>(VLOOKUP($C6111,[2]Sheet1!$A$2:$P$18,$M6111+1)/12)*12*D6111</f>
        <v>307706.70240000007</v>
      </c>
      <c r="K6111" s="711"/>
      <c r="M6111" s="62">
        <f t="shared" si="479"/>
        <v>3</v>
      </c>
    </row>
    <row r="6112" spans="1:13">
      <c r="A6112" s="88">
        <f t="shared" si="482"/>
        <v>133</v>
      </c>
      <c r="B6112" s="69" t="s">
        <v>1418</v>
      </c>
      <c r="C6112" s="167">
        <v>6</v>
      </c>
      <c r="D6112" s="155">
        <v>0</v>
      </c>
      <c r="E6112" s="155">
        <v>2</v>
      </c>
      <c r="F6112" s="155">
        <v>0</v>
      </c>
      <c r="G6112" s="155">
        <v>0</v>
      </c>
      <c r="H6112" s="155">
        <v>2</v>
      </c>
      <c r="I6112" s="155">
        <v>0</v>
      </c>
      <c r="J6112" s="710">
        <f>(VLOOKUP($C6112,[2]Sheet1!$A$2:$P$18,$M6112+1)/12)*12*D6112</f>
        <v>0</v>
      </c>
      <c r="K6112" s="711"/>
      <c r="M6112" s="62">
        <f t="shared" si="479"/>
        <v>5</v>
      </c>
    </row>
    <row r="6113" spans="1:13">
      <c r="A6113" s="88">
        <f>+A6112+1</f>
        <v>134</v>
      </c>
      <c r="B6113" s="69" t="s">
        <v>1600</v>
      </c>
      <c r="C6113" s="167">
        <v>3</v>
      </c>
      <c r="D6113" s="155">
        <v>4</v>
      </c>
      <c r="E6113" s="155">
        <v>8</v>
      </c>
      <c r="F6113" s="155">
        <v>4</v>
      </c>
      <c r="G6113" s="155">
        <v>4</v>
      </c>
      <c r="H6113" s="155">
        <v>8</v>
      </c>
      <c r="I6113" s="155">
        <v>4</v>
      </c>
      <c r="J6113" s="710">
        <f>(VLOOKUP($C6113,[2]Sheet1!$A$2:$P$18,$M6113+1)/12)*12*D6113</f>
        <v>877344.71572145994</v>
      </c>
      <c r="K6113" s="711"/>
      <c r="M6113" s="62">
        <f t="shared" si="479"/>
        <v>5</v>
      </c>
    </row>
    <row r="6114" spans="1:13">
      <c r="A6114" s="88">
        <f t="shared" si="482"/>
        <v>135</v>
      </c>
      <c r="B6114" s="69" t="s">
        <v>1737</v>
      </c>
      <c r="C6114" s="167">
        <v>4</v>
      </c>
      <c r="D6114" s="155">
        <v>4</v>
      </c>
      <c r="E6114" s="155">
        <v>8</v>
      </c>
      <c r="F6114" s="155">
        <v>4</v>
      </c>
      <c r="G6114" s="155">
        <v>4</v>
      </c>
      <c r="H6114" s="155">
        <v>8</v>
      </c>
      <c r="I6114" s="155">
        <v>4</v>
      </c>
      <c r="J6114" s="710">
        <f>(VLOOKUP($C6114,[2]Sheet1!$A$2:$P$18,$M6114+1)/12)*12*D6114</f>
        <v>898171.91572146001</v>
      </c>
      <c r="K6114" s="711"/>
      <c r="M6114" s="62">
        <f t="shared" si="479"/>
        <v>5</v>
      </c>
    </row>
    <row r="6115" spans="1:13">
      <c r="A6115" s="88">
        <f t="shared" si="482"/>
        <v>136</v>
      </c>
      <c r="B6115" s="69" t="s">
        <v>3796</v>
      </c>
      <c r="C6115" s="167">
        <v>5</v>
      </c>
      <c r="D6115" s="155">
        <v>0</v>
      </c>
      <c r="E6115" s="155">
        <v>1</v>
      </c>
      <c r="F6115" s="155">
        <v>0</v>
      </c>
      <c r="G6115" s="155">
        <v>0</v>
      </c>
      <c r="H6115" s="155">
        <v>1</v>
      </c>
      <c r="I6115" s="155">
        <v>0</v>
      </c>
      <c r="J6115" s="710">
        <f>(VLOOKUP($C6115,[2]Sheet1!$A$2:$P$18,$M6115+1)/12)*12*D6115</f>
        <v>0</v>
      </c>
      <c r="K6115" s="711"/>
      <c r="M6115" s="62">
        <f t="shared" si="479"/>
        <v>5</v>
      </c>
    </row>
    <row r="6116" spans="1:13">
      <c r="A6116" s="88">
        <f t="shared" si="482"/>
        <v>137</v>
      </c>
      <c r="B6116" s="69" t="s">
        <v>2041</v>
      </c>
      <c r="C6116" s="167">
        <v>3</v>
      </c>
      <c r="D6116" s="155">
        <v>0</v>
      </c>
      <c r="E6116" s="155">
        <v>1</v>
      </c>
      <c r="F6116" s="155">
        <v>0</v>
      </c>
      <c r="G6116" s="155">
        <v>0</v>
      </c>
      <c r="H6116" s="155">
        <v>1</v>
      </c>
      <c r="I6116" s="155">
        <v>0</v>
      </c>
      <c r="J6116" s="710">
        <f>(VLOOKUP($C6116,[2]Sheet1!$A$2:$P$18,$M6116+1)/12)*12*D6116</f>
        <v>0</v>
      </c>
      <c r="K6116" s="711"/>
      <c r="M6116" s="62">
        <f t="shared" si="479"/>
        <v>5</v>
      </c>
    </row>
    <row r="6117" spans="1:13">
      <c r="A6117" s="88">
        <f t="shared" si="482"/>
        <v>138</v>
      </c>
      <c r="B6117" s="69" t="s">
        <v>2543</v>
      </c>
      <c r="C6117" s="167">
        <v>2</v>
      </c>
      <c r="D6117" s="155">
        <v>1</v>
      </c>
      <c r="E6117" s="155">
        <v>1</v>
      </c>
      <c r="F6117" s="155">
        <v>1</v>
      </c>
      <c r="G6117" s="155">
        <v>1</v>
      </c>
      <c r="H6117" s="155">
        <v>1</v>
      </c>
      <c r="I6117" s="155">
        <v>1</v>
      </c>
      <c r="J6117" s="710">
        <f>(VLOOKUP($C6117,[2]Sheet1!$A$2:$P$18,$M6117+1)/12)*12*D6117</f>
        <v>214657.37893036503</v>
      </c>
      <c r="K6117" s="711"/>
      <c r="M6117" s="62">
        <f t="shared" si="479"/>
        <v>5</v>
      </c>
    </row>
    <row r="6118" spans="1:13">
      <c r="A6118" s="88">
        <f t="shared" si="482"/>
        <v>139</v>
      </c>
      <c r="B6118" s="69" t="s">
        <v>3943</v>
      </c>
      <c r="C6118" s="167">
        <v>2</v>
      </c>
      <c r="D6118" s="155">
        <v>2</v>
      </c>
      <c r="E6118" s="155">
        <v>2</v>
      </c>
      <c r="F6118" s="155">
        <v>2</v>
      </c>
      <c r="G6118" s="155">
        <v>2</v>
      </c>
      <c r="H6118" s="155">
        <v>2</v>
      </c>
      <c r="I6118" s="155">
        <v>2</v>
      </c>
      <c r="J6118" s="710">
        <f>(VLOOKUP($C6118,[2]Sheet1!$A$2:$P$18,$M6118+1)/12)*12*D6118</f>
        <v>429314.75786073005</v>
      </c>
      <c r="K6118" s="711"/>
      <c r="M6118" s="62">
        <f t="shared" si="479"/>
        <v>5</v>
      </c>
    </row>
    <row r="6119" spans="1:13">
      <c r="A6119" s="88"/>
      <c r="B6119" s="90" t="s">
        <v>2042</v>
      </c>
      <c r="C6119" s="167"/>
      <c r="D6119" s="155"/>
      <c r="E6119" s="155"/>
      <c r="F6119" s="155"/>
      <c r="G6119" s="155"/>
      <c r="H6119" s="155"/>
      <c r="I6119" s="155"/>
      <c r="J6119" s="713"/>
      <c r="K6119" s="711"/>
      <c r="M6119" s="62">
        <f t="shared" si="479"/>
        <v>5</v>
      </c>
    </row>
    <row r="6120" spans="1:13">
      <c r="A6120" s="88">
        <f>+A6118+1</f>
        <v>140</v>
      </c>
      <c r="B6120" s="69" t="s">
        <v>1256</v>
      </c>
      <c r="C6120" s="167">
        <v>15</v>
      </c>
      <c r="D6120" s="155">
        <v>0</v>
      </c>
      <c r="E6120" s="155">
        <v>1</v>
      </c>
      <c r="F6120" s="155">
        <v>0</v>
      </c>
      <c r="G6120" s="155">
        <v>0</v>
      </c>
      <c r="H6120" s="155">
        <v>1</v>
      </c>
      <c r="I6120" s="155">
        <v>0</v>
      </c>
      <c r="J6120" s="710">
        <f>(VLOOKUP($C6120,[2]Sheet1!$A$2:$P$18,$M6120+1)/12)*12*D6120</f>
        <v>0</v>
      </c>
      <c r="K6120" s="711"/>
      <c r="M6120" s="62">
        <f t="shared" si="479"/>
        <v>3</v>
      </c>
    </row>
    <row r="6121" spans="1:13">
      <c r="A6121" s="88">
        <f t="shared" ref="A6121:A6129" si="483">+A6120+1</f>
        <v>141</v>
      </c>
      <c r="B6121" s="69" t="s">
        <v>537</v>
      </c>
      <c r="C6121" s="167">
        <v>14</v>
      </c>
      <c r="D6121" s="155">
        <v>0</v>
      </c>
      <c r="E6121" s="155">
        <v>1</v>
      </c>
      <c r="F6121" s="155">
        <v>0</v>
      </c>
      <c r="G6121" s="155">
        <v>0</v>
      </c>
      <c r="H6121" s="155">
        <v>1</v>
      </c>
      <c r="I6121" s="155">
        <v>0</v>
      </c>
      <c r="J6121" s="710">
        <f>(VLOOKUP($C6121,[2]Sheet1!$A$2:$P$18,$M6121+1)/12)*12*D6121</f>
        <v>0</v>
      </c>
      <c r="K6121" s="711"/>
      <c r="M6121" s="62">
        <f t="shared" si="479"/>
        <v>3</v>
      </c>
    </row>
    <row r="6122" spans="1:13">
      <c r="A6122" s="88">
        <f t="shared" si="483"/>
        <v>142</v>
      </c>
      <c r="B6122" s="69" t="s">
        <v>1447</v>
      </c>
      <c r="C6122" s="167">
        <v>12</v>
      </c>
      <c r="D6122" s="155">
        <v>0</v>
      </c>
      <c r="E6122" s="155">
        <v>1</v>
      </c>
      <c r="F6122" s="155">
        <v>0</v>
      </c>
      <c r="G6122" s="155">
        <v>0</v>
      </c>
      <c r="H6122" s="155">
        <v>1</v>
      </c>
      <c r="I6122" s="155">
        <v>0</v>
      </c>
      <c r="J6122" s="710">
        <f>(VLOOKUP($C6122,[2]Sheet1!$A$2:$P$18,$M6122+1)/12)*12*D6122</f>
        <v>0</v>
      </c>
      <c r="K6122" s="711"/>
      <c r="M6122" s="62">
        <f t="shared" si="479"/>
        <v>3</v>
      </c>
    </row>
    <row r="6123" spans="1:13">
      <c r="A6123" s="88">
        <f t="shared" si="483"/>
        <v>143</v>
      </c>
      <c r="B6123" s="69" t="s">
        <v>139</v>
      </c>
      <c r="C6123" s="167">
        <v>10</v>
      </c>
      <c r="D6123" s="155">
        <v>0</v>
      </c>
      <c r="E6123" s="155">
        <v>1</v>
      </c>
      <c r="F6123" s="155">
        <v>0</v>
      </c>
      <c r="G6123" s="155">
        <v>0</v>
      </c>
      <c r="H6123" s="155">
        <v>1</v>
      </c>
      <c r="I6123" s="155">
        <v>0</v>
      </c>
      <c r="J6123" s="710">
        <f>(VLOOKUP($C6123,[2]Sheet1!$A$2:$P$18,$M6123+1)/12)*12*D6123</f>
        <v>0</v>
      </c>
      <c r="K6123" s="711"/>
      <c r="M6123" s="62">
        <f t="shared" si="479"/>
        <v>3</v>
      </c>
    </row>
    <row r="6124" spans="1:13">
      <c r="A6124" s="88">
        <f t="shared" si="483"/>
        <v>144</v>
      </c>
      <c r="B6124" s="69" t="s">
        <v>229</v>
      </c>
      <c r="C6124" s="167">
        <v>9</v>
      </c>
      <c r="D6124" s="155">
        <v>0</v>
      </c>
      <c r="E6124" s="155">
        <v>2</v>
      </c>
      <c r="F6124" s="155">
        <v>0</v>
      </c>
      <c r="G6124" s="155">
        <v>0</v>
      </c>
      <c r="H6124" s="155">
        <v>2</v>
      </c>
      <c r="I6124" s="155">
        <v>0</v>
      </c>
      <c r="J6124" s="710">
        <f>(VLOOKUP($C6124,[2]Sheet1!$A$2:$P$18,$M6124+1)/12)*12*D6124</f>
        <v>0</v>
      </c>
      <c r="K6124" s="711"/>
      <c r="M6124" s="62">
        <f t="shared" si="479"/>
        <v>3</v>
      </c>
    </row>
    <row r="6125" spans="1:13">
      <c r="A6125" s="88">
        <f t="shared" si="483"/>
        <v>145</v>
      </c>
      <c r="B6125" s="69" t="s">
        <v>2561</v>
      </c>
      <c r="C6125" s="167">
        <v>8</v>
      </c>
      <c r="D6125" s="155">
        <v>0</v>
      </c>
      <c r="E6125" s="155">
        <v>4</v>
      </c>
      <c r="F6125" s="155">
        <v>0</v>
      </c>
      <c r="G6125" s="155">
        <v>0</v>
      </c>
      <c r="H6125" s="155">
        <v>4</v>
      </c>
      <c r="I6125" s="155">
        <v>0</v>
      </c>
      <c r="J6125" s="710">
        <f>(VLOOKUP($C6125,[2]Sheet1!$A$2:$P$18,$M6125+1)/12)*12*D6125</f>
        <v>0</v>
      </c>
      <c r="K6125" s="711"/>
      <c r="M6125" s="62">
        <f t="shared" si="479"/>
        <v>3</v>
      </c>
    </row>
    <row r="6126" spans="1:13">
      <c r="A6126" s="88">
        <f t="shared" si="483"/>
        <v>146</v>
      </c>
      <c r="B6126" s="69" t="s">
        <v>405</v>
      </c>
      <c r="C6126" s="167">
        <v>5</v>
      </c>
      <c r="D6126" s="155">
        <v>0</v>
      </c>
      <c r="E6126" s="155">
        <v>3</v>
      </c>
      <c r="F6126" s="155">
        <v>0</v>
      </c>
      <c r="G6126" s="155">
        <v>0</v>
      </c>
      <c r="H6126" s="155">
        <v>3</v>
      </c>
      <c r="I6126" s="155">
        <v>0</v>
      </c>
      <c r="J6126" s="710">
        <f>(VLOOKUP($C6126,[2]Sheet1!$A$2:$P$18,$M6126+1)/12)*12*D6126</f>
        <v>0</v>
      </c>
      <c r="K6126" s="711"/>
      <c r="M6126" s="62">
        <f t="shared" si="479"/>
        <v>5</v>
      </c>
    </row>
    <row r="6127" spans="1:13">
      <c r="A6127" s="88">
        <f>+A6126+1</f>
        <v>147</v>
      </c>
      <c r="B6127" s="69" t="s">
        <v>3770</v>
      </c>
      <c r="C6127" s="167">
        <v>4</v>
      </c>
      <c r="D6127" s="155">
        <v>0</v>
      </c>
      <c r="E6127" s="155">
        <v>3</v>
      </c>
      <c r="F6127" s="155">
        <v>0</v>
      </c>
      <c r="G6127" s="155">
        <v>0</v>
      </c>
      <c r="H6127" s="155">
        <v>3</v>
      </c>
      <c r="I6127" s="155">
        <v>0</v>
      </c>
      <c r="J6127" s="710">
        <f>(VLOOKUP($C6127,[2]Sheet1!$A$2:$P$18,$M6127+1)/12)*12*D6127</f>
        <v>0</v>
      </c>
      <c r="K6127" s="711"/>
      <c r="M6127" s="62">
        <f t="shared" si="479"/>
        <v>5</v>
      </c>
    </row>
    <row r="6128" spans="1:13">
      <c r="A6128" s="88">
        <f t="shared" si="483"/>
        <v>148</v>
      </c>
      <c r="B6128" s="69" t="s">
        <v>3796</v>
      </c>
      <c r="C6128" s="167">
        <v>5</v>
      </c>
      <c r="D6128" s="155">
        <v>0</v>
      </c>
      <c r="E6128" s="155">
        <v>2</v>
      </c>
      <c r="F6128" s="155">
        <v>0</v>
      </c>
      <c r="G6128" s="155">
        <v>0</v>
      </c>
      <c r="H6128" s="155">
        <v>2</v>
      </c>
      <c r="I6128" s="155">
        <v>0</v>
      </c>
      <c r="J6128" s="710">
        <f>(VLOOKUP($C6128,[2]Sheet1!$A$2:$P$18,$M6128+1)/12)*12*D6128</f>
        <v>0</v>
      </c>
      <c r="K6128" s="711"/>
      <c r="M6128" s="62">
        <f t="shared" ref="M6128:M6180" si="484">IF(C6128&gt;6,3,5)</f>
        <v>5</v>
      </c>
    </row>
    <row r="6129" spans="1:13">
      <c r="A6129" s="88">
        <f t="shared" si="483"/>
        <v>149</v>
      </c>
      <c r="B6129" s="69" t="s">
        <v>2543</v>
      </c>
      <c r="C6129" s="167">
        <v>3</v>
      </c>
      <c r="D6129" s="155">
        <v>0</v>
      </c>
      <c r="E6129" s="155">
        <v>5</v>
      </c>
      <c r="F6129" s="155">
        <v>0</v>
      </c>
      <c r="G6129" s="155">
        <v>0</v>
      </c>
      <c r="H6129" s="155">
        <v>5</v>
      </c>
      <c r="I6129" s="155">
        <v>0</v>
      </c>
      <c r="J6129" s="710">
        <f>(VLOOKUP($C6129,[2]Sheet1!$A$2:$P$18,$M6129+1)/12)*12*D6129</f>
        <v>0</v>
      </c>
      <c r="K6129" s="711"/>
      <c r="M6129" s="62">
        <f t="shared" si="484"/>
        <v>5</v>
      </c>
    </row>
    <row r="6130" spans="1:13">
      <c r="A6130" s="88"/>
      <c r="B6130" s="90" t="s">
        <v>2043</v>
      </c>
      <c r="C6130" s="167"/>
      <c r="D6130" s="155"/>
      <c r="E6130" s="155"/>
      <c r="F6130" s="155"/>
      <c r="G6130" s="155"/>
      <c r="H6130" s="155"/>
      <c r="I6130" s="155"/>
      <c r="J6130" s="713"/>
      <c r="K6130" s="711"/>
      <c r="M6130" s="62">
        <f t="shared" si="484"/>
        <v>5</v>
      </c>
    </row>
    <row r="6131" spans="1:13">
      <c r="A6131" s="88">
        <f>+A6129+1</f>
        <v>150</v>
      </c>
      <c r="B6131" s="69" t="s">
        <v>3532</v>
      </c>
      <c r="C6131" s="167">
        <v>16</v>
      </c>
      <c r="D6131" s="155">
        <v>0</v>
      </c>
      <c r="E6131" s="155">
        <v>1</v>
      </c>
      <c r="F6131" s="155">
        <v>0</v>
      </c>
      <c r="G6131" s="155">
        <v>0</v>
      </c>
      <c r="H6131" s="155">
        <v>1</v>
      </c>
      <c r="I6131" s="155">
        <v>0</v>
      </c>
      <c r="J6131" s="710">
        <f>(VLOOKUP($C6131,[2]Sheet1!$A$2:$P$18,$M6131+1)/12)*12*D6131</f>
        <v>0</v>
      </c>
      <c r="K6131" s="711"/>
      <c r="M6131" s="62">
        <f t="shared" si="484"/>
        <v>3</v>
      </c>
    </row>
    <row r="6132" spans="1:13">
      <c r="A6132" s="88">
        <f t="shared" ref="A6132:A6144" si="485">+A6131+1</f>
        <v>151</v>
      </c>
      <c r="B6132" s="69" t="s">
        <v>1256</v>
      </c>
      <c r="C6132" s="167">
        <v>15</v>
      </c>
      <c r="D6132" s="155">
        <v>0</v>
      </c>
      <c r="E6132" s="155">
        <v>1</v>
      </c>
      <c r="F6132" s="155">
        <v>0</v>
      </c>
      <c r="G6132" s="155">
        <v>0</v>
      </c>
      <c r="H6132" s="155">
        <v>1</v>
      </c>
      <c r="I6132" s="155">
        <v>0</v>
      </c>
      <c r="J6132" s="710">
        <f>(VLOOKUP($C6132,[2]Sheet1!$A$2:$P$18,$M6132+1)/12)*12*D6132</f>
        <v>0</v>
      </c>
      <c r="K6132" s="711"/>
      <c r="M6132" s="62">
        <f t="shared" si="484"/>
        <v>3</v>
      </c>
    </row>
    <row r="6133" spans="1:13">
      <c r="A6133" s="88">
        <f t="shared" si="485"/>
        <v>152</v>
      </c>
      <c r="B6133" s="69" t="s">
        <v>3533</v>
      </c>
      <c r="C6133" s="167">
        <v>14</v>
      </c>
      <c r="D6133" s="155">
        <v>0</v>
      </c>
      <c r="E6133" s="155">
        <v>1</v>
      </c>
      <c r="F6133" s="155">
        <v>0</v>
      </c>
      <c r="G6133" s="155">
        <v>0</v>
      </c>
      <c r="H6133" s="155">
        <v>1</v>
      </c>
      <c r="I6133" s="155">
        <v>0</v>
      </c>
      <c r="J6133" s="710">
        <f>(VLOOKUP($C6133,[2]Sheet1!$A$2:$P$18,$M6133+1)/12)*12*D6133</f>
        <v>0</v>
      </c>
      <c r="K6133" s="711"/>
      <c r="M6133" s="62">
        <f t="shared" si="484"/>
        <v>3</v>
      </c>
    </row>
    <row r="6134" spans="1:13" ht="13.5" thickBot="1">
      <c r="A6134" s="88">
        <f t="shared" si="485"/>
        <v>153</v>
      </c>
      <c r="B6134" s="69" t="s">
        <v>1157</v>
      </c>
      <c r="C6134" s="167">
        <v>12</v>
      </c>
      <c r="D6134" s="155">
        <v>0</v>
      </c>
      <c r="E6134" s="155">
        <v>1</v>
      </c>
      <c r="F6134" s="155">
        <v>0</v>
      </c>
      <c r="G6134" s="155">
        <v>0</v>
      </c>
      <c r="H6134" s="155">
        <v>1</v>
      </c>
      <c r="I6134" s="155">
        <v>0</v>
      </c>
      <c r="J6134" s="710">
        <f>(VLOOKUP($C6134,[2]Sheet1!$A$2:$P$18,$M6134+1)/12)*12*D6134</f>
        <v>0</v>
      </c>
      <c r="K6134" s="711"/>
      <c r="M6134" s="62">
        <f t="shared" si="484"/>
        <v>3</v>
      </c>
    </row>
    <row r="6135" spans="1:13" ht="15.75" thickTop="1">
      <c r="A6135" s="1047" t="s">
        <v>2791</v>
      </c>
      <c r="B6135" s="1049" t="s">
        <v>4126</v>
      </c>
      <c r="C6135" s="1049" t="s">
        <v>854</v>
      </c>
      <c r="D6135" s="1040" t="s">
        <v>4127</v>
      </c>
      <c r="E6135" s="1041"/>
      <c r="F6135" s="1041"/>
      <c r="G6135" s="1040" t="s">
        <v>904</v>
      </c>
      <c r="H6135" s="1041"/>
      <c r="I6135" s="1042"/>
      <c r="J6135" s="1035" t="s">
        <v>855</v>
      </c>
      <c r="K6135" s="389"/>
    </row>
    <row r="6136" spans="1:13" ht="26.25" thickBot="1">
      <c r="A6136" s="1048"/>
      <c r="B6136" s="1050"/>
      <c r="C6136" s="1050"/>
      <c r="D6136" s="285" t="s">
        <v>5505</v>
      </c>
      <c r="E6136" s="285" t="s">
        <v>4485</v>
      </c>
      <c r="F6136" s="285" t="s">
        <v>4486</v>
      </c>
      <c r="G6136" s="287" t="s">
        <v>4487</v>
      </c>
      <c r="H6136" s="285" t="s">
        <v>4488</v>
      </c>
      <c r="I6136" s="287" t="s">
        <v>4489</v>
      </c>
      <c r="J6136" s="1036"/>
      <c r="K6136" s="712"/>
    </row>
    <row r="6137" spans="1:13" ht="13.5" thickTop="1">
      <c r="A6137" s="88">
        <f>+A6134+1</f>
        <v>154</v>
      </c>
      <c r="B6137" s="69" t="s">
        <v>2044</v>
      </c>
      <c r="C6137" s="167">
        <v>9</v>
      </c>
      <c r="D6137" s="155">
        <v>0</v>
      </c>
      <c r="E6137" s="155">
        <v>1</v>
      </c>
      <c r="F6137" s="155">
        <v>0</v>
      </c>
      <c r="G6137" s="155">
        <v>0</v>
      </c>
      <c r="H6137" s="155">
        <v>1</v>
      </c>
      <c r="I6137" s="155">
        <v>0</v>
      </c>
      <c r="J6137" s="710">
        <f>(VLOOKUP($C6137,[2]Sheet1!$A$2:$P$18,$M6137+1)/12)*12*D6137</f>
        <v>0</v>
      </c>
      <c r="K6137" s="711"/>
      <c r="M6137" s="62">
        <f t="shared" si="484"/>
        <v>3</v>
      </c>
    </row>
    <row r="6138" spans="1:13">
      <c r="A6138" s="88">
        <f t="shared" si="485"/>
        <v>155</v>
      </c>
      <c r="B6138" s="69" t="s">
        <v>1137</v>
      </c>
      <c r="C6138" s="167">
        <v>8</v>
      </c>
      <c r="D6138" s="155">
        <v>0</v>
      </c>
      <c r="E6138" s="155">
        <v>1</v>
      </c>
      <c r="F6138" s="155">
        <v>0</v>
      </c>
      <c r="G6138" s="155">
        <v>0</v>
      </c>
      <c r="H6138" s="155">
        <v>1</v>
      </c>
      <c r="I6138" s="155">
        <v>0</v>
      </c>
      <c r="J6138" s="710">
        <f>(VLOOKUP($C6138,[2]Sheet1!$A$2:$P$18,$M6138+1)/12)*12*D6138</f>
        <v>0</v>
      </c>
      <c r="K6138" s="711"/>
      <c r="M6138" s="62">
        <f t="shared" si="484"/>
        <v>3</v>
      </c>
    </row>
    <row r="6139" spans="1:13">
      <c r="A6139" s="88">
        <f>+A6138+1</f>
        <v>156</v>
      </c>
      <c r="B6139" s="69" t="s">
        <v>987</v>
      </c>
      <c r="C6139" s="167">
        <v>7</v>
      </c>
      <c r="D6139" s="155">
        <v>0</v>
      </c>
      <c r="E6139" s="155">
        <v>1</v>
      </c>
      <c r="F6139" s="155">
        <v>0</v>
      </c>
      <c r="G6139" s="155">
        <v>0</v>
      </c>
      <c r="H6139" s="155">
        <v>1</v>
      </c>
      <c r="I6139" s="155">
        <v>0</v>
      </c>
      <c r="J6139" s="710">
        <f>(VLOOKUP($C6139,[2]Sheet1!$A$2:$P$18,$M6139+1)/12)*12*D6139</f>
        <v>0</v>
      </c>
      <c r="K6139" s="711"/>
      <c r="M6139" s="62">
        <f t="shared" si="484"/>
        <v>3</v>
      </c>
    </row>
    <row r="6140" spans="1:13">
      <c r="A6140" s="88">
        <f t="shared" si="485"/>
        <v>157</v>
      </c>
      <c r="B6140" s="69" t="s">
        <v>988</v>
      </c>
      <c r="C6140" s="167">
        <v>6</v>
      </c>
      <c r="D6140" s="155">
        <v>0</v>
      </c>
      <c r="E6140" s="155">
        <v>1</v>
      </c>
      <c r="F6140" s="155">
        <v>0</v>
      </c>
      <c r="G6140" s="155">
        <v>0</v>
      </c>
      <c r="H6140" s="155">
        <v>1</v>
      </c>
      <c r="I6140" s="155">
        <v>0</v>
      </c>
      <c r="J6140" s="710">
        <f>(VLOOKUP($C6140,[2]Sheet1!$A$2:$P$18,$M6140+1)/12)*12*D6140</f>
        <v>0</v>
      </c>
      <c r="K6140" s="711"/>
      <c r="M6140" s="62">
        <f t="shared" si="484"/>
        <v>5</v>
      </c>
    </row>
    <row r="6141" spans="1:13">
      <c r="A6141" s="88">
        <f t="shared" si="485"/>
        <v>158</v>
      </c>
      <c r="B6141" s="69" t="s">
        <v>2572</v>
      </c>
      <c r="C6141" s="167">
        <v>7</v>
      </c>
      <c r="D6141" s="155">
        <v>0</v>
      </c>
      <c r="E6141" s="155">
        <v>1</v>
      </c>
      <c r="F6141" s="155">
        <v>0</v>
      </c>
      <c r="G6141" s="155">
        <v>0</v>
      </c>
      <c r="H6141" s="155">
        <v>1</v>
      </c>
      <c r="I6141" s="155">
        <v>0</v>
      </c>
      <c r="J6141" s="710">
        <f>(VLOOKUP($C6141,[2]Sheet1!$A$2:$P$18,$M6141+1)/12)*12*D6141</f>
        <v>0</v>
      </c>
      <c r="K6141" s="711"/>
      <c r="M6141" s="62">
        <f t="shared" si="484"/>
        <v>3</v>
      </c>
    </row>
    <row r="6142" spans="1:13">
      <c r="A6142" s="88">
        <f>+A6141+1</f>
        <v>159</v>
      </c>
      <c r="B6142" s="69" t="s">
        <v>1749</v>
      </c>
      <c r="C6142" s="167">
        <v>6</v>
      </c>
      <c r="D6142" s="155">
        <v>0</v>
      </c>
      <c r="E6142" s="155">
        <v>1</v>
      </c>
      <c r="F6142" s="155">
        <v>0</v>
      </c>
      <c r="G6142" s="155">
        <v>0</v>
      </c>
      <c r="H6142" s="155">
        <v>1</v>
      </c>
      <c r="I6142" s="155">
        <v>0</v>
      </c>
      <c r="J6142" s="710">
        <f>(VLOOKUP($C6142,[2]Sheet1!$A$2:$P$18,$M6142+1)/12)*12*D6142</f>
        <v>0</v>
      </c>
      <c r="K6142" s="711"/>
      <c r="M6142" s="62">
        <f t="shared" si="484"/>
        <v>5</v>
      </c>
    </row>
    <row r="6143" spans="1:13">
      <c r="A6143" s="88">
        <f>+A6142+1</f>
        <v>160</v>
      </c>
      <c r="B6143" s="69" t="s">
        <v>2360</v>
      </c>
      <c r="C6143" s="167">
        <v>4</v>
      </c>
      <c r="D6143" s="155">
        <v>0</v>
      </c>
      <c r="E6143" s="155">
        <v>1</v>
      </c>
      <c r="F6143" s="155">
        <v>0</v>
      </c>
      <c r="G6143" s="155">
        <v>0</v>
      </c>
      <c r="H6143" s="155">
        <v>1</v>
      </c>
      <c r="I6143" s="155">
        <v>0</v>
      </c>
      <c r="J6143" s="710">
        <f>(VLOOKUP($C6143,[2]Sheet1!$A$2:$P$18,$M6143+1)/12)*12*D6143</f>
        <v>0</v>
      </c>
      <c r="K6143" s="711"/>
      <c r="M6143" s="62">
        <f t="shared" si="484"/>
        <v>5</v>
      </c>
    </row>
    <row r="6144" spans="1:13">
      <c r="A6144" s="88">
        <f t="shared" si="485"/>
        <v>161</v>
      </c>
      <c r="B6144" s="69" t="s">
        <v>2543</v>
      </c>
      <c r="C6144" s="167">
        <v>2</v>
      </c>
      <c r="D6144" s="155">
        <v>0</v>
      </c>
      <c r="E6144" s="155">
        <v>1</v>
      </c>
      <c r="F6144" s="155">
        <v>0</v>
      </c>
      <c r="G6144" s="155">
        <v>0</v>
      </c>
      <c r="H6144" s="155">
        <v>1</v>
      </c>
      <c r="I6144" s="155">
        <v>0</v>
      </c>
      <c r="J6144" s="710">
        <f>(VLOOKUP($C6144,[2]Sheet1!$A$2:$P$18,$M6144+1)/12)*12*D6144</f>
        <v>0</v>
      </c>
      <c r="K6144" s="711"/>
      <c r="M6144" s="62">
        <f t="shared" si="484"/>
        <v>5</v>
      </c>
    </row>
    <row r="6145" spans="1:13">
      <c r="A6145" s="88"/>
      <c r="B6145" s="90" t="s">
        <v>989</v>
      </c>
      <c r="C6145" s="167"/>
      <c r="D6145" s="155"/>
      <c r="E6145" s="155"/>
      <c r="F6145" s="155"/>
      <c r="G6145" s="155"/>
      <c r="H6145" s="155"/>
      <c r="I6145" s="155"/>
      <c r="J6145" s="713"/>
      <c r="K6145" s="711"/>
      <c r="M6145" s="62">
        <f t="shared" si="484"/>
        <v>5</v>
      </c>
    </row>
    <row r="6146" spans="1:13">
      <c r="A6146" s="88">
        <f>+A6144+1</f>
        <v>162</v>
      </c>
      <c r="B6146" s="69" t="s">
        <v>3532</v>
      </c>
      <c r="C6146" s="167">
        <v>16</v>
      </c>
      <c r="D6146" s="155">
        <v>0</v>
      </c>
      <c r="E6146" s="155">
        <v>1</v>
      </c>
      <c r="F6146" s="155">
        <v>1</v>
      </c>
      <c r="G6146" s="155">
        <v>1</v>
      </c>
      <c r="H6146" s="155">
        <v>1</v>
      </c>
      <c r="I6146" s="155" t="s">
        <v>1386</v>
      </c>
      <c r="J6146" s="710">
        <f>(VLOOKUP($C6146,[2]Sheet1!$A$2:$P$18,$M6146+1)/12)*12*D6146</f>
        <v>0</v>
      </c>
      <c r="K6146" s="711"/>
      <c r="M6146" s="62">
        <f t="shared" si="484"/>
        <v>3</v>
      </c>
    </row>
    <row r="6147" spans="1:13">
      <c r="A6147" s="88">
        <f>+A6146+1</f>
        <v>163</v>
      </c>
      <c r="B6147" s="69" t="s">
        <v>1256</v>
      </c>
      <c r="C6147" s="167">
        <v>15</v>
      </c>
      <c r="D6147" s="155">
        <v>0</v>
      </c>
      <c r="E6147" s="155">
        <v>1</v>
      </c>
      <c r="F6147" s="155">
        <v>1</v>
      </c>
      <c r="G6147" s="155">
        <v>1</v>
      </c>
      <c r="H6147" s="155">
        <v>1</v>
      </c>
      <c r="I6147" s="155" t="s">
        <v>1386</v>
      </c>
      <c r="J6147" s="710">
        <f>(VLOOKUP($C6147,[2]Sheet1!$A$2:$P$18,$M6147+1)/12)*12*D6147</f>
        <v>0</v>
      </c>
      <c r="K6147" s="711"/>
      <c r="M6147" s="62">
        <f>IF(C6147&gt;6,3,5)</f>
        <v>3</v>
      </c>
    </row>
    <row r="6148" spans="1:13">
      <c r="A6148" s="88">
        <f t="shared" ref="A6148:A6156" si="486">+A6147+1</f>
        <v>164</v>
      </c>
      <c r="B6148" s="69" t="s">
        <v>3533</v>
      </c>
      <c r="C6148" s="167">
        <v>14</v>
      </c>
      <c r="D6148" s="155">
        <v>0</v>
      </c>
      <c r="E6148" s="155">
        <v>1</v>
      </c>
      <c r="F6148" s="155">
        <v>1</v>
      </c>
      <c r="G6148" s="155">
        <v>1</v>
      </c>
      <c r="H6148" s="155">
        <v>1</v>
      </c>
      <c r="I6148" s="155" t="s">
        <v>1386</v>
      </c>
      <c r="J6148" s="710">
        <f>(VLOOKUP($C6148,[2]Sheet1!$A$2:$P$18,$M6148+1)/12)*12*D6148</f>
        <v>0</v>
      </c>
      <c r="K6148" s="711"/>
      <c r="M6148" s="62">
        <f>IF(C6148&gt;6,3,5)</f>
        <v>3</v>
      </c>
    </row>
    <row r="6149" spans="1:13">
      <c r="A6149" s="88">
        <f t="shared" si="486"/>
        <v>165</v>
      </c>
      <c r="B6149" s="69" t="s">
        <v>3051</v>
      </c>
      <c r="C6149" s="167">
        <v>8</v>
      </c>
      <c r="D6149" s="155">
        <v>0</v>
      </c>
      <c r="E6149" s="155">
        <v>2</v>
      </c>
      <c r="F6149" s="155">
        <v>1</v>
      </c>
      <c r="G6149" s="155">
        <v>1</v>
      </c>
      <c r="H6149" s="155">
        <v>2</v>
      </c>
      <c r="I6149" s="155" t="s">
        <v>1386</v>
      </c>
      <c r="J6149" s="710">
        <f>(VLOOKUP($C6149,[2]Sheet1!$A$2:$P$18,$M6149+1)/12)*12*D6149</f>
        <v>0</v>
      </c>
      <c r="K6149" s="711"/>
      <c r="M6149" s="62">
        <f>IF(C6149&gt;6,3,5)</f>
        <v>3</v>
      </c>
    </row>
    <row r="6150" spans="1:13">
      <c r="A6150" s="88">
        <f t="shared" si="486"/>
        <v>166</v>
      </c>
      <c r="B6150" s="69" t="s">
        <v>3052</v>
      </c>
      <c r="C6150" s="167">
        <v>7</v>
      </c>
      <c r="D6150" s="155">
        <v>0</v>
      </c>
      <c r="E6150" s="155">
        <v>1</v>
      </c>
      <c r="F6150" s="155">
        <v>0</v>
      </c>
      <c r="G6150" s="155">
        <v>0</v>
      </c>
      <c r="H6150" s="155">
        <v>1</v>
      </c>
      <c r="I6150" s="155">
        <v>0</v>
      </c>
      <c r="J6150" s="710">
        <f>(VLOOKUP($C6150,[2]Sheet1!$A$2:$P$18,$M6150+1)/12)*12*D6150</f>
        <v>0</v>
      </c>
      <c r="K6150" s="711"/>
      <c r="M6150" s="62">
        <f>IF(C6150&gt;6,3,5)</f>
        <v>3</v>
      </c>
    </row>
    <row r="6151" spans="1:13">
      <c r="A6151" s="88">
        <f t="shared" si="486"/>
        <v>167</v>
      </c>
      <c r="B6151" s="69" t="s">
        <v>2098</v>
      </c>
      <c r="C6151" s="167">
        <v>6</v>
      </c>
      <c r="D6151" s="155">
        <v>1</v>
      </c>
      <c r="E6151" s="155">
        <v>2</v>
      </c>
      <c r="F6151" s="155">
        <v>1</v>
      </c>
      <c r="G6151" s="155">
        <v>1</v>
      </c>
      <c r="H6151" s="155">
        <v>2</v>
      </c>
      <c r="I6151" s="155">
        <v>1</v>
      </c>
      <c r="J6151" s="710">
        <f>(VLOOKUP($C6151,[2]Sheet1!$A$2:$P$18,$M6151+1)/12)*12*D6151</f>
        <v>238099.37893036497</v>
      </c>
      <c r="K6151" s="711"/>
      <c r="M6151" s="62">
        <f>IF(C6151&gt;6,3,5)</f>
        <v>5</v>
      </c>
    </row>
    <row r="6152" spans="1:13">
      <c r="A6152" s="88">
        <f t="shared" si="486"/>
        <v>168</v>
      </c>
      <c r="B6152" s="69" t="s">
        <v>990</v>
      </c>
      <c r="C6152" s="167">
        <v>5</v>
      </c>
      <c r="D6152" s="155">
        <v>1</v>
      </c>
      <c r="E6152" s="155">
        <v>2</v>
      </c>
      <c r="F6152" s="155">
        <v>1</v>
      </c>
      <c r="G6152" s="155">
        <v>1</v>
      </c>
      <c r="H6152" s="155">
        <v>2</v>
      </c>
      <c r="I6152" s="155">
        <v>1</v>
      </c>
      <c r="J6152" s="710">
        <f>(VLOOKUP($C6152,[2]Sheet1!$A$2:$P$18,$M6152+1)/12)*12*D6152</f>
        <v>229569.77893036499</v>
      </c>
      <c r="K6152" s="711"/>
      <c r="M6152" s="62">
        <f t="shared" si="484"/>
        <v>5</v>
      </c>
    </row>
    <row r="6153" spans="1:13">
      <c r="A6153" s="88">
        <f t="shared" si="486"/>
        <v>169</v>
      </c>
      <c r="B6153" s="69" t="s">
        <v>682</v>
      </c>
      <c r="C6153" s="167">
        <v>4</v>
      </c>
      <c r="D6153" s="155">
        <v>0</v>
      </c>
      <c r="E6153" s="155">
        <v>2</v>
      </c>
      <c r="F6153" s="155">
        <v>0</v>
      </c>
      <c r="G6153" s="155">
        <v>0</v>
      </c>
      <c r="H6153" s="155">
        <v>2</v>
      </c>
      <c r="I6153" s="155">
        <v>0</v>
      </c>
      <c r="J6153" s="710">
        <f>(VLOOKUP($C6153,[2]Sheet1!$A$2:$P$18,$M6153+1)/12)*12*D6153</f>
        <v>0</v>
      </c>
      <c r="K6153" s="711"/>
      <c r="M6153" s="62">
        <f t="shared" si="484"/>
        <v>5</v>
      </c>
    </row>
    <row r="6154" spans="1:13">
      <c r="A6154" s="88">
        <f t="shared" si="486"/>
        <v>170</v>
      </c>
      <c r="B6154" s="69" t="s">
        <v>991</v>
      </c>
      <c r="C6154" s="167">
        <v>3</v>
      </c>
      <c r="D6154" s="155">
        <v>1</v>
      </c>
      <c r="E6154" s="155">
        <v>4</v>
      </c>
      <c r="F6154" s="155">
        <v>1</v>
      </c>
      <c r="G6154" s="155">
        <v>1</v>
      </c>
      <c r="H6154" s="155">
        <v>4</v>
      </c>
      <c r="I6154" s="155">
        <v>1</v>
      </c>
      <c r="J6154" s="710">
        <f>(VLOOKUP($C6154,[2]Sheet1!$A$2:$P$18,$M6154+1)/12)*12*D6154</f>
        <v>219336.17893036499</v>
      </c>
      <c r="K6154" s="711"/>
      <c r="M6154" s="62">
        <f t="shared" si="484"/>
        <v>5</v>
      </c>
    </row>
    <row r="6155" spans="1:13">
      <c r="A6155" s="88">
        <f t="shared" si="486"/>
        <v>171</v>
      </c>
      <c r="B6155" s="69" t="s">
        <v>3796</v>
      </c>
      <c r="C6155" s="167">
        <v>5</v>
      </c>
      <c r="D6155" s="155">
        <v>1</v>
      </c>
      <c r="E6155" s="155">
        <v>2</v>
      </c>
      <c r="F6155" s="155">
        <v>1</v>
      </c>
      <c r="G6155" s="155">
        <v>1</v>
      </c>
      <c r="H6155" s="155">
        <v>2</v>
      </c>
      <c r="I6155" s="155">
        <v>1</v>
      </c>
      <c r="J6155" s="710">
        <f>(VLOOKUP($C6155,[2]Sheet1!$A$2:$P$18,$M6155+1)/12)*12*D6155</f>
        <v>229569.77893036499</v>
      </c>
      <c r="K6155" s="711"/>
      <c r="M6155" s="62">
        <f t="shared" si="484"/>
        <v>5</v>
      </c>
    </row>
    <row r="6156" spans="1:13">
      <c r="A6156" s="88">
        <f t="shared" si="486"/>
        <v>172</v>
      </c>
      <c r="B6156" s="69" t="s">
        <v>2543</v>
      </c>
      <c r="C6156" s="167">
        <v>2</v>
      </c>
      <c r="D6156" s="155">
        <v>1</v>
      </c>
      <c r="E6156" s="155">
        <v>2</v>
      </c>
      <c r="F6156" s="155">
        <v>1</v>
      </c>
      <c r="G6156" s="155">
        <v>1</v>
      </c>
      <c r="H6156" s="155">
        <v>2</v>
      </c>
      <c r="I6156" s="155">
        <v>1</v>
      </c>
      <c r="J6156" s="710">
        <f>(VLOOKUP($C6156,[2]Sheet1!$A$2:$P$18,$M6156+1)/12)*12*D6156</f>
        <v>214657.37893036503</v>
      </c>
      <c r="K6156" s="711"/>
      <c r="M6156" s="62">
        <f t="shared" si="484"/>
        <v>5</v>
      </c>
    </row>
    <row r="6157" spans="1:13">
      <c r="A6157" s="88"/>
      <c r="B6157" s="90" t="s">
        <v>3857</v>
      </c>
      <c r="C6157" s="167"/>
      <c r="D6157" s="155"/>
      <c r="E6157" s="155"/>
      <c r="F6157" s="155"/>
      <c r="G6157" s="155"/>
      <c r="H6157" s="155"/>
      <c r="I6157" s="155"/>
      <c r="J6157" s="713"/>
      <c r="K6157" s="711"/>
      <c r="M6157" s="62">
        <f t="shared" si="484"/>
        <v>5</v>
      </c>
    </row>
    <row r="6158" spans="1:13">
      <c r="A6158" s="88">
        <f>+A6155+1</f>
        <v>172</v>
      </c>
      <c r="B6158" s="69" t="s">
        <v>3466</v>
      </c>
      <c r="C6158" s="167">
        <v>12</v>
      </c>
      <c r="D6158" s="155">
        <v>0</v>
      </c>
      <c r="E6158" s="155">
        <v>1</v>
      </c>
      <c r="F6158" s="155">
        <v>1</v>
      </c>
      <c r="G6158" s="155">
        <v>1</v>
      </c>
      <c r="H6158" s="155">
        <v>1</v>
      </c>
      <c r="I6158" s="155" t="s">
        <v>1386</v>
      </c>
      <c r="J6158" s="710">
        <f>(VLOOKUP($C6158,[2]Sheet1!$A$2:$P$18,$M6158+1)/12)*12*D6158</f>
        <v>0</v>
      </c>
      <c r="K6158" s="711"/>
      <c r="M6158" s="62">
        <f t="shared" si="484"/>
        <v>3</v>
      </c>
    </row>
    <row r="6159" spans="1:13">
      <c r="A6159" s="88">
        <f t="shared" ref="A6159:A6166" si="487">+A6158+1</f>
        <v>173</v>
      </c>
      <c r="B6159" s="69" t="s">
        <v>263</v>
      </c>
      <c r="C6159" s="167">
        <v>10</v>
      </c>
      <c r="D6159" s="155">
        <v>0</v>
      </c>
      <c r="E6159" s="155">
        <v>1</v>
      </c>
      <c r="F6159" s="155">
        <v>1</v>
      </c>
      <c r="G6159" s="155">
        <v>1</v>
      </c>
      <c r="H6159" s="155">
        <v>1</v>
      </c>
      <c r="I6159" s="155" t="s">
        <v>1386</v>
      </c>
      <c r="J6159" s="710">
        <f>(VLOOKUP($C6159,[2]Sheet1!$A$2:$P$18,$M6159+1)/12)*12*D6159</f>
        <v>0</v>
      </c>
      <c r="K6159" s="711"/>
      <c r="M6159" s="62">
        <f t="shared" si="484"/>
        <v>3</v>
      </c>
    </row>
    <row r="6160" spans="1:13">
      <c r="A6160" s="88">
        <f t="shared" si="487"/>
        <v>174</v>
      </c>
      <c r="B6160" s="69" t="s">
        <v>1777</v>
      </c>
      <c r="C6160" s="167">
        <v>7</v>
      </c>
      <c r="D6160" s="155">
        <v>0</v>
      </c>
      <c r="E6160" s="155">
        <v>1</v>
      </c>
      <c r="F6160" s="155">
        <v>1</v>
      </c>
      <c r="G6160" s="155">
        <v>1</v>
      </c>
      <c r="H6160" s="155">
        <v>1</v>
      </c>
      <c r="I6160" s="155" t="s">
        <v>1386</v>
      </c>
      <c r="J6160" s="710">
        <f>(VLOOKUP($C6160,[2]Sheet1!$A$2:$P$18,$M6160+1)/12)*12*D6160</f>
        <v>0</v>
      </c>
      <c r="K6160" s="711"/>
      <c r="M6160" s="62">
        <f t="shared" si="484"/>
        <v>3</v>
      </c>
    </row>
    <row r="6161" spans="1:13">
      <c r="A6161" s="88">
        <f t="shared" si="487"/>
        <v>175</v>
      </c>
      <c r="B6161" s="69" t="s">
        <v>2785</v>
      </c>
      <c r="C6161" s="167">
        <v>6</v>
      </c>
      <c r="D6161" s="155">
        <v>1</v>
      </c>
      <c r="E6161" s="155">
        <v>2</v>
      </c>
      <c r="F6161" s="155">
        <v>1</v>
      </c>
      <c r="G6161" s="155">
        <v>1</v>
      </c>
      <c r="H6161" s="155">
        <v>2</v>
      </c>
      <c r="I6161" s="155">
        <v>1</v>
      </c>
      <c r="J6161" s="710">
        <f>(VLOOKUP($C6161,[2]Sheet1!$A$2:$P$18,$M6161+1)/12)*12*D6161</f>
        <v>238099.37893036497</v>
      </c>
      <c r="K6161" s="711"/>
      <c r="M6161" s="62">
        <f t="shared" si="484"/>
        <v>5</v>
      </c>
    </row>
    <row r="6162" spans="1:13">
      <c r="A6162" s="88">
        <f t="shared" si="487"/>
        <v>176</v>
      </c>
      <c r="B6162" s="69" t="s">
        <v>583</v>
      </c>
      <c r="C6162" s="167">
        <v>5</v>
      </c>
      <c r="D6162" s="155">
        <v>1</v>
      </c>
      <c r="E6162" s="155">
        <v>2</v>
      </c>
      <c r="F6162" s="155">
        <v>1</v>
      </c>
      <c r="G6162" s="155">
        <v>1</v>
      </c>
      <c r="H6162" s="155">
        <v>2</v>
      </c>
      <c r="I6162" s="155">
        <v>1</v>
      </c>
      <c r="J6162" s="710">
        <f>(VLOOKUP($C6162,[2]Sheet1!$A$2:$P$18,$M6162+1)/12)*12*D6162</f>
        <v>229569.77893036499</v>
      </c>
      <c r="K6162" s="711"/>
      <c r="M6162" s="62">
        <f t="shared" si="484"/>
        <v>5</v>
      </c>
    </row>
    <row r="6163" spans="1:13">
      <c r="A6163" s="88">
        <f t="shared" si="487"/>
        <v>177</v>
      </c>
      <c r="B6163" s="69" t="s">
        <v>741</v>
      </c>
      <c r="C6163" s="167">
        <v>4</v>
      </c>
      <c r="D6163" s="155">
        <v>1</v>
      </c>
      <c r="E6163" s="155">
        <v>2</v>
      </c>
      <c r="F6163" s="155">
        <v>1</v>
      </c>
      <c r="G6163" s="155">
        <v>1</v>
      </c>
      <c r="H6163" s="155">
        <v>2</v>
      </c>
      <c r="I6163" s="155">
        <v>1</v>
      </c>
      <c r="J6163" s="710">
        <f>(VLOOKUP($C6163,[2]Sheet1!$A$2:$P$18,$M6163+1)/12)*12*D6163</f>
        <v>224542.978930365</v>
      </c>
      <c r="K6163" s="711"/>
      <c r="M6163" s="62">
        <f t="shared" si="484"/>
        <v>5</v>
      </c>
    </row>
    <row r="6164" spans="1:13">
      <c r="A6164" s="88">
        <f>+A6163+1</f>
        <v>178</v>
      </c>
      <c r="B6164" s="69" t="s">
        <v>2416</v>
      </c>
      <c r="C6164" s="167">
        <v>3</v>
      </c>
      <c r="D6164" s="155">
        <v>1</v>
      </c>
      <c r="E6164" s="155">
        <v>1</v>
      </c>
      <c r="F6164" s="155">
        <v>1</v>
      </c>
      <c r="G6164" s="155">
        <v>1</v>
      </c>
      <c r="H6164" s="155">
        <v>1</v>
      </c>
      <c r="I6164" s="155">
        <v>1</v>
      </c>
      <c r="J6164" s="710">
        <f>(VLOOKUP($C6164,[2]Sheet1!$A$2:$P$18,$M6164+1)/12)*12*D6164</f>
        <v>219336.17893036499</v>
      </c>
      <c r="K6164" s="711"/>
      <c r="M6164" s="62">
        <f t="shared" si="484"/>
        <v>5</v>
      </c>
    </row>
    <row r="6165" spans="1:13">
      <c r="A6165" s="88">
        <f t="shared" si="487"/>
        <v>179</v>
      </c>
      <c r="B6165" s="69" t="s">
        <v>499</v>
      </c>
      <c r="C6165" s="167">
        <v>2</v>
      </c>
      <c r="D6165" s="155">
        <v>0</v>
      </c>
      <c r="E6165" s="155">
        <v>1</v>
      </c>
      <c r="F6165" s="155">
        <v>0</v>
      </c>
      <c r="G6165" s="155">
        <v>0</v>
      </c>
      <c r="H6165" s="155">
        <v>1</v>
      </c>
      <c r="I6165" s="155">
        <v>0</v>
      </c>
      <c r="J6165" s="710">
        <f>(VLOOKUP($C6165,[2]Sheet1!$A$2:$P$18,$M6165+1)/12)*12*D6165</f>
        <v>0</v>
      </c>
      <c r="K6165" s="711"/>
      <c r="M6165" s="62">
        <f t="shared" si="484"/>
        <v>5</v>
      </c>
    </row>
    <row r="6166" spans="1:13">
      <c r="A6166" s="88">
        <f t="shared" si="487"/>
        <v>180</v>
      </c>
      <c r="B6166" s="69" t="s">
        <v>2543</v>
      </c>
      <c r="C6166" s="167">
        <v>2</v>
      </c>
      <c r="D6166" s="155">
        <v>0</v>
      </c>
      <c r="E6166" s="155">
        <v>1</v>
      </c>
      <c r="F6166" s="155">
        <v>0</v>
      </c>
      <c r="G6166" s="155">
        <v>0</v>
      </c>
      <c r="H6166" s="155">
        <v>1</v>
      </c>
      <c r="I6166" s="155">
        <v>0</v>
      </c>
      <c r="J6166" s="710">
        <f>(VLOOKUP($C6166,[2]Sheet1!$A$2:$P$18,$M6166+1)/12)*12*D6166</f>
        <v>0</v>
      </c>
      <c r="K6166" s="711"/>
      <c r="M6166" s="62">
        <f t="shared" si="484"/>
        <v>5</v>
      </c>
    </row>
    <row r="6167" spans="1:13">
      <c r="A6167" s="92"/>
      <c r="B6167" s="93" t="s">
        <v>1684</v>
      </c>
      <c r="C6167" s="168"/>
      <c r="D6167" s="169">
        <f t="shared" ref="D6167:J6167" si="488">SUM(D5798:D6166)</f>
        <v>367</v>
      </c>
      <c r="E6167" s="169">
        <f t="shared" si="488"/>
        <v>548</v>
      </c>
      <c r="F6167" s="169">
        <f t="shared" si="488"/>
        <v>372</v>
      </c>
      <c r="G6167" s="169">
        <f t="shared" si="488"/>
        <v>372</v>
      </c>
      <c r="H6167" s="169">
        <f t="shared" si="488"/>
        <v>548</v>
      </c>
      <c r="I6167" s="169">
        <f t="shared" si="488"/>
        <v>367</v>
      </c>
      <c r="J6167" s="169">
        <f t="shared" si="488"/>
        <v>94939391.385646164</v>
      </c>
      <c r="K6167" s="385"/>
      <c r="M6167" s="62">
        <f t="shared" si="484"/>
        <v>5</v>
      </c>
    </row>
    <row r="6168" spans="1:13">
      <c r="A6168" s="88"/>
      <c r="B6168" s="97" t="s">
        <v>1199</v>
      </c>
      <c r="C6168" s="167"/>
      <c r="D6168" s="155"/>
      <c r="E6168" s="155"/>
      <c r="F6168" s="99"/>
      <c r="G6168" s="240" t="s">
        <v>243</v>
      </c>
      <c r="H6168" s="240" t="s">
        <v>4130</v>
      </c>
      <c r="I6168" s="240" t="s">
        <v>4202</v>
      </c>
      <c r="J6168" s="241" t="s">
        <v>4200</v>
      </c>
      <c r="K6168" s="375"/>
      <c r="M6168" s="62">
        <f t="shared" si="484"/>
        <v>5</v>
      </c>
    </row>
    <row r="6169" spans="1:13">
      <c r="A6169" s="88">
        <v>1</v>
      </c>
      <c r="B6169" s="69" t="s">
        <v>763</v>
      </c>
      <c r="C6169" s="167"/>
      <c r="D6169" s="155"/>
      <c r="E6169" s="155"/>
      <c r="F6169" s="89"/>
      <c r="G6169" s="100">
        <f>J6167*0.2</f>
        <v>18987878.277129233</v>
      </c>
      <c r="H6169" s="100">
        <f t="shared" ref="H6169:H6177" si="489">G6169*1.02</f>
        <v>19367635.842671819</v>
      </c>
      <c r="I6169" s="100">
        <f t="shared" ref="I6169:I6177" si="490">H6169*1.02</f>
        <v>19754988.559525255</v>
      </c>
      <c r="J6169" s="100">
        <f t="shared" ref="J6169:J6177" si="491">SUM(G6169:I6169)</f>
        <v>58110502.679326311</v>
      </c>
      <c r="K6169" s="114"/>
      <c r="M6169" s="62">
        <f t="shared" si="484"/>
        <v>5</v>
      </c>
    </row>
    <row r="6170" spans="1:13">
      <c r="A6170" s="88">
        <v>2</v>
      </c>
      <c r="B6170" s="69" t="s">
        <v>569</v>
      </c>
      <c r="C6170" s="167"/>
      <c r="D6170" s="155"/>
      <c r="E6170" s="155"/>
      <c r="F6170" s="89"/>
      <c r="G6170" s="100">
        <v>3573840.8575999988</v>
      </c>
      <c r="H6170" s="100">
        <f t="shared" si="489"/>
        <v>3645317.6747519989</v>
      </c>
      <c r="I6170" s="100">
        <f t="shared" si="490"/>
        <v>3718224.0282470388</v>
      </c>
      <c r="J6170" s="100">
        <f t="shared" si="491"/>
        <v>10937382.560599037</v>
      </c>
      <c r="K6170" s="114"/>
      <c r="M6170" s="62">
        <f t="shared" si="484"/>
        <v>5</v>
      </c>
    </row>
    <row r="6171" spans="1:13">
      <c r="A6171" s="88">
        <v>3</v>
      </c>
      <c r="B6171" s="69" t="s">
        <v>1040</v>
      </c>
      <c r="C6171" s="167"/>
      <c r="D6171" s="155"/>
      <c r="E6171" s="155"/>
      <c r="F6171" s="91"/>
      <c r="G6171" s="100">
        <v>3573840.8575999988</v>
      </c>
      <c r="H6171" s="100">
        <f t="shared" si="489"/>
        <v>3645317.6747519989</v>
      </c>
      <c r="I6171" s="100">
        <f t="shared" si="490"/>
        <v>3718224.0282470388</v>
      </c>
      <c r="J6171" s="100">
        <f t="shared" si="491"/>
        <v>10937382.560599037</v>
      </c>
      <c r="K6171" s="114"/>
      <c r="M6171" s="62">
        <f t="shared" si="484"/>
        <v>5</v>
      </c>
    </row>
    <row r="6172" spans="1:13">
      <c r="A6172" s="88">
        <v>4</v>
      </c>
      <c r="B6172" s="69" t="s">
        <v>2527</v>
      </c>
      <c r="C6172" s="167"/>
      <c r="D6172" s="155"/>
      <c r="E6172" s="155"/>
      <c r="F6172" s="91"/>
      <c r="G6172" s="100">
        <f>G6171/3</f>
        <v>1191280.2858666664</v>
      </c>
      <c r="H6172" s="100">
        <f t="shared" si="489"/>
        <v>1215105.8915839996</v>
      </c>
      <c r="I6172" s="100">
        <f t="shared" si="490"/>
        <v>1239408.0094156796</v>
      </c>
      <c r="J6172" s="100">
        <f t="shared" si="491"/>
        <v>3645794.1868663458</v>
      </c>
      <c r="K6172" s="114"/>
      <c r="M6172" s="62">
        <f t="shared" si="484"/>
        <v>5</v>
      </c>
    </row>
    <row r="6173" spans="1:13">
      <c r="A6173" s="88">
        <f>A6172+1</f>
        <v>5</v>
      </c>
      <c r="B6173" s="69" t="s">
        <v>3827</v>
      </c>
      <c r="C6173" s="167"/>
      <c r="D6173" s="155"/>
      <c r="E6173" s="155"/>
      <c r="F6173" s="91"/>
      <c r="G6173" s="100">
        <f>G6171/2</f>
        <v>1786920.4287999994</v>
      </c>
      <c r="H6173" s="100">
        <f t="shared" si="489"/>
        <v>1822658.8373759994</v>
      </c>
      <c r="I6173" s="100">
        <f t="shared" si="490"/>
        <v>1859112.0141235194</v>
      </c>
      <c r="J6173" s="100">
        <f t="shared" si="491"/>
        <v>5468691.2802995183</v>
      </c>
      <c r="K6173" s="114"/>
      <c r="M6173" s="62">
        <f t="shared" si="484"/>
        <v>5</v>
      </c>
    </row>
    <row r="6174" spans="1:13">
      <c r="A6174" s="88">
        <f t="shared" ref="A6174:A6175" si="492">A6173+1</f>
        <v>6</v>
      </c>
      <c r="B6174" s="69" t="s">
        <v>5720</v>
      </c>
      <c r="C6174" s="167"/>
      <c r="D6174" s="155"/>
      <c r="E6174" s="155"/>
      <c r="F6174" s="91"/>
      <c r="G6174" s="100">
        <v>0</v>
      </c>
      <c r="H6174" s="100">
        <v>0</v>
      </c>
      <c r="I6174" s="100">
        <v>0</v>
      </c>
      <c r="J6174" s="100">
        <f t="shared" si="491"/>
        <v>0</v>
      </c>
      <c r="K6174" s="114"/>
    </row>
    <row r="6175" spans="1:13">
      <c r="A6175" s="88">
        <f t="shared" si="492"/>
        <v>7</v>
      </c>
      <c r="B6175" s="69" t="s">
        <v>334</v>
      </c>
      <c r="C6175" s="167"/>
      <c r="D6175" s="155"/>
      <c r="E6175" s="155"/>
      <c r="F6175" s="91"/>
      <c r="G6175" s="100">
        <v>3640000</v>
      </c>
      <c r="H6175" s="100">
        <f t="shared" si="489"/>
        <v>3712800</v>
      </c>
      <c r="I6175" s="100">
        <f t="shared" si="490"/>
        <v>3787056</v>
      </c>
      <c r="J6175" s="100">
        <f t="shared" si="491"/>
        <v>11139856</v>
      </c>
      <c r="K6175" s="114"/>
      <c r="M6175" s="62">
        <f t="shared" si="484"/>
        <v>5</v>
      </c>
    </row>
    <row r="6176" spans="1:13">
      <c r="A6176" s="88">
        <f>A6175+1</f>
        <v>8</v>
      </c>
      <c r="B6176" s="69" t="s">
        <v>1142</v>
      </c>
      <c r="C6176" s="167"/>
      <c r="D6176" s="155"/>
      <c r="E6176" s="155"/>
      <c r="F6176" s="91"/>
      <c r="G6176" s="100">
        <f>G6171</f>
        <v>3573840.8575999988</v>
      </c>
      <c r="H6176" s="100">
        <f t="shared" si="489"/>
        <v>3645317.6747519989</v>
      </c>
      <c r="I6176" s="100">
        <f t="shared" si="490"/>
        <v>3718224.0282470388</v>
      </c>
      <c r="J6176" s="100">
        <f t="shared" si="491"/>
        <v>10937382.560599037</v>
      </c>
      <c r="K6176" s="114"/>
      <c r="M6176" s="62">
        <f t="shared" si="484"/>
        <v>5</v>
      </c>
    </row>
    <row r="6177" spans="1:16">
      <c r="A6177" s="88">
        <f>A6176+1</f>
        <v>9</v>
      </c>
      <c r="B6177" s="69" t="s">
        <v>4082</v>
      </c>
      <c r="C6177" s="167"/>
      <c r="D6177" s="155"/>
      <c r="E6177" s="155"/>
      <c r="F6177" s="91"/>
      <c r="G6177" s="100">
        <v>1701669.0079999999</v>
      </c>
      <c r="H6177" s="100">
        <f t="shared" si="489"/>
        <v>1735702.3881599999</v>
      </c>
      <c r="I6177" s="100">
        <f t="shared" si="490"/>
        <v>1770416.4359231999</v>
      </c>
      <c r="J6177" s="100">
        <f t="shared" si="491"/>
        <v>5207787.8320832001</v>
      </c>
      <c r="K6177" s="114"/>
      <c r="M6177" s="62">
        <f t="shared" si="484"/>
        <v>5</v>
      </c>
    </row>
    <row r="6178" spans="1:16">
      <c r="A6178" s="92"/>
      <c r="B6178" s="93" t="s">
        <v>2531</v>
      </c>
      <c r="C6178" s="168"/>
      <c r="D6178" s="171"/>
      <c r="E6178" s="171"/>
      <c r="F6178" s="180"/>
      <c r="G6178" s="180">
        <f>SUM(G6169:G6177)</f>
        <v>38029270.572595894</v>
      </c>
      <c r="H6178" s="180">
        <f>SUM(H6169:H6177)</f>
        <v>38789855.984047808</v>
      </c>
      <c r="I6178" s="180">
        <f>SUM(I6169:I6177)</f>
        <v>39565653.103728764</v>
      </c>
      <c r="J6178" s="180">
        <f>SUM(J6169:J6177)</f>
        <v>116384779.66037247</v>
      </c>
      <c r="K6178" s="387"/>
      <c r="M6178" s="62">
        <f t="shared" si="484"/>
        <v>5</v>
      </c>
    </row>
    <row r="6179" spans="1:16">
      <c r="A6179" s="88">
        <v>1</v>
      </c>
      <c r="B6179" s="69" t="s">
        <v>926</v>
      </c>
      <c r="C6179" s="167"/>
      <c r="D6179" s="155"/>
      <c r="E6179" s="155"/>
      <c r="F6179" s="91"/>
      <c r="G6179" s="100">
        <f>G6178+J6167</f>
        <v>132968661.95824206</v>
      </c>
      <c r="H6179" s="100">
        <f>G6179*1.02</f>
        <v>135628035.19740689</v>
      </c>
      <c r="I6179" s="100">
        <f>H6179*1.02</f>
        <v>138340595.90135503</v>
      </c>
      <c r="J6179" s="100">
        <f>SUM(G6179:I6179)</f>
        <v>406937293.05700397</v>
      </c>
      <c r="K6179" s="114"/>
      <c r="L6179" s="112"/>
      <c r="M6179" s="62">
        <f t="shared" si="484"/>
        <v>5</v>
      </c>
    </row>
    <row r="6180" spans="1:16">
      <c r="A6180" s="88">
        <f>A6179+1</f>
        <v>2</v>
      </c>
      <c r="B6180" s="69" t="s">
        <v>2121</v>
      </c>
      <c r="C6180" s="167"/>
      <c r="D6180" s="155"/>
      <c r="E6180" s="155"/>
      <c r="F6180" s="91"/>
      <c r="G6180" s="91">
        <f>C6215</f>
        <v>1044600000</v>
      </c>
      <c r="H6180" s="91">
        <f>D6215</f>
        <v>786500000</v>
      </c>
      <c r="I6180" s="91">
        <f>E6215</f>
        <v>786500000</v>
      </c>
      <c r="J6180" s="100">
        <f>SUM(G6180:I6180)</f>
        <v>2617600000</v>
      </c>
      <c r="K6180" s="114"/>
      <c r="M6180" s="62">
        <f t="shared" si="484"/>
        <v>5</v>
      </c>
    </row>
    <row r="6181" spans="1:16" ht="13.5" thickBot="1">
      <c r="A6181" s="102"/>
      <c r="B6181" s="103" t="s">
        <v>2241</v>
      </c>
      <c r="C6181" s="172"/>
      <c r="D6181" s="173"/>
      <c r="E6181" s="173"/>
      <c r="F6181" s="174"/>
      <c r="G6181" s="174">
        <f>SUM(G6179:G6180)</f>
        <v>1177568661.9582419</v>
      </c>
      <c r="H6181" s="174">
        <f>SUM(H6179:H6180)</f>
        <v>922128035.19740689</v>
      </c>
      <c r="I6181" s="174">
        <f>SUM(I6179:I6180)</f>
        <v>924840595.90135503</v>
      </c>
      <c r="J6181" s="174">
        <f>SUM(J6179:J6180)</f>
        <v>3024537293.057004</v>
      </c>
      <c r="K6181" s="385"/>
      <c r="M6181" s="62">
        <f>IF(C6181&gt;6,3,5)</f>
        <v>5</v>
      </c>
    </row>
    <row r="6182" spans="1:16" ht="15.75" thickTop="1">
      <c r="C6182" s="163"/>
      <c r="D6182" s="164" t="s">
        <v>5434</v>
      </c>
      <c r="E6182" s="165"/>
      <c r="F6182" s="165"/>
      <c r="G6182" s="165"/>
      <c r="H6182" s="165"/>
      <c r="I6182" s="165"/>
      <c r="J6182" s="584"/>
      <c r="K6182" s="584"/>
      <c r="M6182" s="62">
        <f>IF(C6182&gt;6,3,5)</f>
        <v>5</v>
      </c>
    </row>
    <row r="6183" spans="1:16" ht="15">
      <c r="C6183" s="163"/>
      <c r="D6183" s="164" t="s">
        <v>716</v>
      </c>
      <c r="E6183" s="165"/>
      <c r="F6183" s="165"/>
      <c r="G6183" s="165"/>
      <c r="H6183" s="165"/>
      <c r="I6183" s="165"/>
      <c r="J6183" s="584"/>
      <c r="K6183" s="584"/>
      <c r="M6183" s="62">
        <f>IF(C6183&gt;6,3,5)</f>
        <v>5</v>
      </c>
    </row>
    <row r="6184" spans="1:16" ht="15">
      <c r="C6184" s="79" t="s">
        <v>1811</v>
      </c>
      <c r="D6184" s="164" t="s">
        <v>1653</v>
      </c>
      <c r="E6184" s="165"/>
      <c r="F6184" s="165"/>
      <c r="G6184" s="165"/>
      <c r="H6184" s="165"/>
      <c r="I6184" s="165"/>
      <c r="J6184" s="584"/>
      <c r="K6184" s="584"/>
      <c r="M6184" s="62">
        <f>IF(C6184&gt;6,3,5)</f>
        <v>3</v>
      </c>
    </row>
    <row r="6185" spans="1:16" ht="15">
      <c r="C6185" s="79" t="s">
        <v>718</v>
      </c>
      <c r="D6185" s="164" t="s">
        <v>1654</v>
      </c>
      <c r="E6185" s="165"/>
      <c r="F6185" s="165"/>
      <c r="G6185" s="165"/>
      <c r="H6185" s="165"/>
      <c r="I6185" s="165"/>
      <c r="J6185" s="584"/>
      <c r="K6185" s="584"/>
      <c r="M6185" s="62">
        <f>IF(C6185&gt;6,3,5)</f>
        <v>3</v>
      </c>
    </row>
    <row r="6186" spans="1:16" ht="15">
      <c r="A6186" s="634" t="s">
        <v>1839</v>
      </c>
      <c r="B6186" s="635" t="s">
        <v>903</v>
      </c>
      <c r="C6186" s="1037" t="s">
        <v>4127</v>
      </c>
      <c r="D6186" s="1038"/>
      <c r="E6186" s="1039"/>
      <c r="F6186" s="635" t="s">
        <v>1684</v>
      </c>
      <c r="G6186" s="1037" t="s">
        <v>4132</v>
      </c>
      <c r="H6186" s="1038"/>
      <c r="I6186" s="1039"/>
      <c r="J6186" s="726"/>
      <c r="K6186" s="727"/>
    </row>
    <row r="6187" spans="1:16">
      <c r="A6187" s="636" t="s">
        <v>1620</v>
      </c>
      <c r="B6187" s="637"/>
      <c r="C6187" s="635" t="s">
        <v>1841</v>
      </c>
      <c r="D6187" s="635" t="s">
        <v>4133</v>
      </c>
      <c r="E6187" s="635" t="s">
        <v>4133</v>
      </c>
      <c r="F6187" s="1056" t="s">
        <v>4200</v>
      </c>
      <c r="G6187" s="634" t="s">
        <v>4135</v>
      </c>
      <c r="H6187" s="1051" t="s">
        <v>4182</v>
      </c>
      <c r="I6187" s="634" t="s">
        <v>4135</v>
      </c>
      <c r="J6187" s="728" t="s">
        <v>4136</v>
      </c>
      <c r="K6187" s="727"/>
    </row>
    <row r="6188" spans="1:16" ht="12.75" customHeight="1">
      <c r="A6188" s="638" t="s">
        <v>387</v>
      </c>
      <c r="B6188" s="639"/>
      <c r="C6188" s="638">
        <v>2015</v>
      </c>
      <c r="D6188" s="638">
        <v>2016</v>
      </c>
      <c r="E6188" s="638">
        <v>2017</v>
      </c>
      <c r="F6188" s="1057"/>
      <c r="G6188" s="638" t="s">
        <v>4304</v>
      </c>
      <c r="H6188" s="1052"/>
      <c r="I6188" s="638" t="s">
        <v>4303</v>
      </c>
      <c r="J6188" s="639"/>
      <c r="K6188" s="729"/>
    </row>
    <row r="6189" spans="1:16">
      <c r="A6189" s="730"/>
      <c r="B6189" s="730"/>
      <c r="C6189" s="390"/>
      <c r="D6189" s="390"/>
      <c r="E6189" s="390"/>
      <c r="F6189" s="390"/>
      <c r="G6189" s="390"/>
      <c r="H6189" s="390"/>
      <c r="I6189" s="390"/>
      <c r="J6189" s="390"/>
      <c r="K6189" s="734"/>
      <c r="M6189" s="62" t="e">
        <f>IF(#REF!&gt;6,3,5)</f>
        <v>#REF!</v>
      </c>
    </row>
    <row r="6190" spans="1:16">
      <c r="A6190" s="730">
        <v>2</v>
      </c>
      <c r="B6190" s="836" t="s">
        <v>1695</v>
      </c>
      <c r="C6190" s="390">
        <v>200000000</v>
      </c>
      <c r="D6190" s="390">
        <v>150000000</v>
      </c>
      <c r="E6190" s="390">
        <v>150000000</v>
      </c>
      <c r="F6190" s="390">
        <f>SUM(C6190:E6190)</f>
        <v>500000000</v>
      </c>
      <c r="G6190" s="390">
        <f>78336000+56786000</f>
        <v>135122000</v>
      </c>
      <c r="H6190" s="390">
        <v>200000000</v>
      </c>
      <c r="I6190" s="390">
        <v>145901080</v>
      </c>
      <c r="J6190" s="390"/>
      <c r="K6190" s="734"/>
      <c r="M6190" s="62" t="e">
        <f>IF(#REF!&gt;6,3,5)</f>
        <v>#REF!</v>
      </c>
      <c r="P6190" s="390">
        <v>150000000</v>
      </c>
    </row>
    <row r="6191" spans="1:16">
      <c r="A6191" s="730">
        <f t="shared" ref="A6191:A6212" si="493">+A6190+1</f>
        <v>3</v>
      </c>
      <c r="B6191" s="730" t="s">
        <v>1696</v>
      </c>
      <c r="C6191" s="390">
        <v>300000</v>
      </c>
      <c r="D6191" s="390">
        <v>300000</v>
      </c>
      <c r="E6191" s="390">
        <v>300000</v>
      </c>
      <c r="F6191" s="390">
        <f t="shared" ref="F6191:F6213" si="494">SUM(C6191:E6191)</f>
        <v>900000</v>
      </c>
      <c r="G6191" s="390"/>
      <c r="H6191" s="390">
        <v>300000</v>
      </c>
      <c r="I6191" s="390"/>
      <c r="J6191" s="390"/>
      <c r="K6191" s="734"/>
      <c r="M6191" s="62" t="e">
        <f>IF(#REF!&gt;6,3,5)</f>
        <v>#REF!</v>
      </c>
      <c r="P6191" s="390">
        <v>300000</v>
      </c>
    </row>
    <row r="6192" spans="1:16">
      <c r="A6192" s="730">
        <f t="shared" si="493"/>
        <v>4</v>
      </c>
      <c r="B6192" s="730" t="s">
        <v>2915</v>
      </c>
      <c r="C6192" s="390" t="s">
        <v>3007</v>
      </c>
      <c r="D6192" s="390" t="s">
        <v>3007</v>
      </c>
      <c r="E6192" s="390" t="s">
        <v>3007</v>
      </c>
      <c r="F6192" s="390">
        <f t="shared" si="494"/>
        <v>0</v>
      </c>
      <c r="G6192" s="390"/>
      <c r="H6192" s="390" t="s">
        <v>3007</v>
      </c>
      <c r="I6192" s="390"/>
      <c r="J6192" s="390"/>
      <c r="K6192" s="734"/>
      <c r="M6192" s="62" t="e">
        <f>IF(#REF!&gt;6,3,5)</f>
        <v>#REF!</v>
      </c>
      <c r="P6192" s="390" t="s">
        <v>3007</v>
      </c>
    </row>
    <row r="6193" spans="1:16">
      <c r="A6193" s="730">
        <f t="shared" si="493"/>
        <v>5</v>
      </c>
      <c r="B6193" s="730" t="s">
        <v>1702</v>
      </c>
      <c r="C6193" s="390">
        <v>800000</v>
      </c>
      <c r="D6193" s="390">
        <v>800000</v>
      </c>
      <c r="E6193" s="390">
        <v>800000</v>
      </c>
      <c r="F6193" s="390">
        <f t="shared" si="494"/>
        <v>2400000</v>
      </c>
      <c r="G6193" s="390">
        <v>2637156</v>
      </c>
      <c r="H6193" s="390">
        <v>800000</v>
      </c>
      <c r="I6193" s="390">
        <v>175000</v>
      </c>
      <c r="J6193" s="390"/>
      <c r="K6193" s="734"/>
      <c r="M6193" s="62" t="e">
        <f>IF(#REF!&gt;6,3,5)</f>
        <v>#REF!</v>
      </c>
      <c r="P6193" s="390">
        <v>800000</v>
      </c>
    </row>
    <row r="6194" spans="1:16">
      <c r="A6194" s="730">
        <f t="shared" si="493"/>
        <v>6</v>
      </c>
      <c r="B6194" s="836" t="s">
        <v>1544</v>
      </c>
      <c r="C6194" s="390">
        <v>1000000</v>
      </c>
      <c r="D6194" s="390">
        <v>1000000</v>
      </c>
      <c r="E6194" s="390">
        <v>1000000</v>
      </c>
      <c r="F6194" s="390">
        <f t="shared" si="494"/>
        <v>3000000</v>
      </c>
      <c r="G6194" s="390">
        <v>3465000</v>
      </c>
      <c r="H6194" s="390">
        <v>1000000</v>
      </c>
      <c r="I6194" s="390">
        <v>1100000</v>
      </c>
      <c r="J6194" s="390"/>
      <c r="K6194" s="734"/>
      <c r="M6194" s="62" t="e">
        <f>IF(#REF!&gt;6,3,5)</f>
        <v>#REF!</v>
      </c>
      <c r="P6194" s="390">
        <v>1000000</v>
      </c>
    </row>
    <row r="6195" spans="1:16">
      <c r="A6195" s="730">
        <f t="shared" si="493"/>
        <v>7</v>
      </c>
      <c r="B6195" s="836" t="s">
        <v>897</v>
      </c>
      <c r="C6195" s="390">
        <v>7000000</v>
      </c>
      <c r="D6195" s="390">
        <v>7000000</v>
      </c>
      <c r="E6195" s="390">
        <v>7000000</v>
      </c>
      <c r="F6195" s="390">
        <f t="shared" si="494"/>
        <v>21000000</v>
      </c>
      <c r="G6195" s="390">
        <v>5736220</v>
      </c>
      <c r="H6195" s="390">
        <v>7000000</v>
      </c>
      <c r="I6195" s="390">
        <v>2749000</v>
      </c>
      <c r="J6195" s="390"/>
      <c r="K6195" s="734"/>
      <c r="M6195" s="62" t="e">
        <f>IF(#REF!&gt;6,3,5)</f>
        <v>#REF!</v>
      </c>
      <c r="P6195" s="390">
        <v>7000000</v>
      </c>
    </row>
    <row r="6196" spans="1:16">
      <c r="A6196" s="730">
        <f t="shared" si="493"/>
        <v>8</v>
      </c>
      <c r="B6196" s="730" t="s">
        <v>1385</v>
      </c>
      <c r="C6196" s="390" t="s">
        <v>1386</v>
      </c>
      <c r="D6196" s="390" t="s">
        <v>1386</v>
      </c>
      <c r="E6196" s="390" t="s">
        <v>1386</v>
      </c>
      <c r="F6196" s="390">
        <f t="shared" si="494"/>
        <v>0</v>
      </c>
      <c r="G6196" s="390"/>
      <c r="H6196" s="390" t="s">
        <v>1386</v>
      </c>
      <c r="I6196" s="390"/>
      <c r="J6196" s="390"/>
      <c r="K6196" s="734"/>
      <c r="M6196" s="62" t="e">
        <f>IF(#REF!&gt;6,3,5)</f>
        <v>#REF!</v>
      </c>
      <c r="P6196" s="390" t="s">
        <v>1386</v>
      </c>
    </row>
    <row r="6197" spans="1:16">
      <c r="A6197" s="730">
        <f t="shared" si="493"/>
        <v>9</v>
      </c>
      <c r="B6197" s="730" t="s">
        <v>2061</v>
      </c>
      <c r="C6197" s="390" t="s">
        <v>1386</v>
      </c>
      <c r="D6197" s="390" t="s">
        <v>1386</v>
      </c>
      <c r="E6197" s="390" t="s">
        <v>1386</v>
      </c>
      <c r="F6197" s="390">
        <f t="shared" si="494"/>
        <v>0</v>
      </c>
      <c r="G6197" s="390"/>
      <c r="H6197" s="390" t="s">
        <v>1386</v>
      </c>
      <c r="I6197" s="390"/>
      <c r="J6197" s="390"/>
      <c r="K6197" s="734"/>
      <c r="M6197" s="62" t="e">
        <f>IF(#REF!&gt;6,3,5)</f>
        <v>#REF!</v>
      </c>
      <c r="P6197" s="390" t="s">
        <v>1386</v>
      </c>
    </row>
    <row r="6198" spans="1:16">
      <c r="A6198" s="730">
        <f t="shared" si="493"/>
        <v>10</v>
      </c>
      <c r="B6198" s="730" t="s">
        <v>1680</v>
      </c>
      <c r="C6198" s="390">
        <v>100000000</v>
      </c>
      <c r="D6198" s="390">
        <v>250000000</v>
      </c>
      <c r="E6198" s="390">
        <v>250000000</v>
      </c>
      <c r="F6198" s="390">
        <f t="shared" si="494"/>
        <v>600000000</v>
      </c>
      <c r="G6198" s="390">
        <v>3555751</v>
      </c>
      <c r="H6198" s="390">
        <v>100000000</v>
      </c>
      <c r="I6198" s="390">
        <v>10960000</v>
      </c>
      <c r="J6198" s="390"/>
      <c r="K6198" s="734"/>
      <c r="M6198" s="62" t="e">
        <f>IF(#REF!&gt;6,3,5)</f>
        <v>#REF!</v>
      </c>
      <c r="P6198" s="390">
        <v>1500000</v>
      </c>
    </row>
    <row r="6199" spans="1:16">
      <c r="A6199" s="730">
        <f t="shared" si="493"/>
        <v>11</v>
      </c>
      <c r="B6199" s="730" t="s">
        <v>1681</v>
      </c>
      <c r="C6199" s="390">
        <v>1000000</v>
      </c>
      <c r="D6199" s="390">
        <v>1000000</v>
      </c>
      <c r="E6199" s="390">
        <v>1000000</v>
      </c>
      <c r="F6199" s="390">
        <f t="shared" si="494"/>
        <v>3000000</v>
      </c>
      <c r="G6199" s="390">
        <v>1184000</v>
      </c>
      <c r="H6199" s="390">
        <v>1000000</v>
      </c>
      <c r="I6199" s="390">
        <v>415000</v>
      </c>
      <c r="J6199" s="390"/>
      <c r="K6199" s="734"/>
      <c r="M6199" s="62" t="e">
        <f>IF(#REF!&gt;6,3,5)</f>
        <v>#REF!</v>
      </c>
      <c r="P6199" s="390">
        <v>1000000</v>
      </c>
    </row>
    <row r="6200" spans="1:16">
      <c r="A6200" s="730">
        <f t="shared" si="493"/>
        <v>12</v>
      </c>
      <c r="B6200" s="730" t="s">
        <v>1682</v>
      </c>
      <c r="C6200" s="390">
        <v>80000000</v>
      </c>
      <c r="D6200" s="390">
        <v>50000000</v>
      </c>
      <c r="E6200" s="390">
        <v>50000000</v>
      </c>
      <c r="F6200" s="390">
        <f t="shared" si="494"/>
        <v>180000000</v>
      </c>
      <c r="G6200" s="390">
        <v>3251700</v>
      </c>
      <c r="H6200" s="390">
        <v>45000000</v>
      </c>
      <c r="I6200" s="390">
        <v>25549052.77</v>
      </c>
      <c r="J6200" s="390"/>
      <c r="K6200" s="734"/>
      <c r="M6200" s="62" t="e">
        <f>IF(#REF!&gt;6,3,5)</f>
        <v>#REF!</v>
      </c>
      <c r="P6200" s="390">
        <v>40000000</v>
      </c>
    </row>
    <row r="6201" spans="1:16">
      <c r="A6201" s="730">
        <f t="shared" si="493"/>
        <v>13</v>
      </c>
      <c r="B6201" s="730" t="s">
        <v>2249</v>
      </c>
      <c r="C6201" s="390">
        <v>500000</v>
      </c>
      <c r="D6201" s="390">
        <v>100000</v>
      </c>
      <c r="E6201" s="390">
        <v>100000</v>
      </c>
      <c r="F6201" s="390">
        <f t="shared" si="494"/>
        <v>700000</v>
      </c>
      <c r="G6201" s="390"/>
      <c r="H6201" s="390">
        <v>100000</v>
      </c>
      <c r="I6201" s="390"/>
      <c r="J6201" s="390"/>
      <c r="K6201" s="734"/>
      <c r="M6201" s="62" t="e">
        <f>IF(#REF!&gt;6,3,5)</f>
        <v>#REF!</v>
      </c>
      <c r="P6201" s="390">
        <v>100000</v>
      </c>
    </row>
    <row r="6202" spans="1:16">
      <c r="A6202" s="730">
        <f t="shared" si="493"/>
        <v>14</v>
      </c>
      <c r="B6202" s="836" t="s">
        <v>1336</v>
      </c>
      <c r="C6202" s="390">
        <v>4000000</v>
      </c>
      <c r="D6202" s="390">
        <v>4000000</v>
      </c>
      <c r="E6202" s="390">
        <v>4000000</v>
      </c>
      <c r="F6202" s="390">
        <f t="shared" si="494"/>
        <v>12000000</v>
      </c>
      <c r="G6202" s="390">
        <v>672230</v>
      </c>
      <c r="H6202" s="390">
        <v>4000000</v>
      </c>
      <c r="I6202" s="390"/>
      <c r="J6202" s="390"/>
      <c r="K6202" s="734"/>
      <c r="M6202" s="62" t="e">
        <f>IF(#REF!&gt;6,3,5)</f>
        <v>#REF!</v>
      </c>
      <c r="P6202" s="390">
        <v>4000000</v>
      </c>
    </row>
    <row r="6203" spans="1:16">
      <c r="A6203" s="730">
        <f t="shared" si="493"/>
        <v>15</v>
      </c>
      <c r="B6203" s="730" t="s">
        <v>1218</v>
      </c>
      <c r="C6203" s="390">
        <v>20000000</v>
      </c>
      <c r="D6203" s="390">
        <v>2000000</v>
      </c>
      <c r="E6203" s="390">
        <v>2000000</v>
      </c>
      <c r="F6203" s="390">
        <f t="shared" si="494"/>
        <v>24000000</v>
      </c>
      <c r="G6203" s="390">
        <v>152000</v>
      </c>
      <c r="H6203" s="390">
        <v>52000000</v>
      </c>
      <c r="I6203" s="390"/>
      <c r="J6203" s="390"/>
      <c r="K6203" s="734"/>
      <c r="M6203" s="62" t="e">
        <f>IF(#REF!&gt;6,3,5)</f>
        <v>#REF!</v>
      </c>
      <c r="P6203" s="390">
        <v>2000000</v>
      </c>
    </row>
    <row r="6204" spans="1:16" ht="22.5">
      <c r="A6204" s="759">
        <f t="shared" si="493"/>
        <v>16</v>
      </c>
      <c r="B6204" s="837" t="s">
        <v>840</v>
      </c>
      <c r="C6204" s="390">
        <v>20000000</v>
      </c>
      <c r="D6204" s="390" t="s">
        <v>1840</v>
      </c>
      <c r="E6204" s="390" t="s">
        <v>1840</v>
      </c>
      <c r="F6204" s="390">
        <f t="shared" si="494"/>
        <v>20000000</v>
      </c>
      <c r="G6204" s="390">
        <v>4730000</v>
      </c>
      <c r="H6204" s="390">
        <v>50000000</v>
      </c>
      <c r="I6204" s="390">
        <v>1210000</v>
      </c>
      <c r="J6204" s="390"/>
      <c r="K6204" s="734"/>
      <c r="L6204" s="191"/>
      <c r="M6204" s="191" t="e">
        <f>IF(#REF!&gt;6,3,5)</f>
        <v>#REF!</v>
      </c>
      <c r="P6204" s="390" t="s">
        <v>3007</v>
      </c>
    </row>
    <row r="6205" spans="1:16">
      <c r="A6205" s="730">
        <f t="shared" si="493"/>
        <v>17</v>
      </c>
      <c r="B6205" s="730" t="s">
        <v>2916</v>
      </c>
      <c r="C6205" s="390" t="s">
        <v>3007</v>
      </c>
      <c r="D6205" s="390" t="s">
        <v>3007</v>
      </c>
      <c r="E6205" s="390" t="s">
        <v>3007</v>
      </c>
      <c r="F6205" s="390">
        <f t="shared" si="494"/>
        <v>0</v>
      </c>
      <c r="G6205" s="390"/>
      <c r="H6205" s="390" t="s">
        <v>3007</v>
      </c>
      <c r="I6205" s="390"/>
      <c r="J6205" s="390"/>
      <c r="K6205" s="734"/>
      <c r="M6205" s="62" t="e">
        <f>IF(#REF!&gt;6,3,5)</f>
        <v>#REF!</v>
      </c>
      <c r="P6205" s="390" t="s">
        <v>3007</v>
      </c>
    </row>
    <row r="6206" spans="1:16">
      <c r="A6206" s="730">
        <f t="shared" si="493"/>
        <v>18</v>
      </c>
      <c r="B6206" s="730" t="s">
        <v>551</v>
      </c>
      <c r="C6206" s="390">
        <v>9000000</v>
      </c>
      <c r="D6206" s="390">
        <v>9300000</v>
      </c>
      <c r="E6206" s="390">
        <v>9300000</v>
      </c>
      <c r="F6206" s="390">
        <f t="shared" si="494"/>
        <v>27600000</v>
      </c>
      <c r="G6206" s="390"/>
      <c r="H6206" s="390">
        <v>9300000</v>
      </c>
      <c r="I6206" s="390"/>
      <c r="J6206" s="390"/>
      <c r="K6206" s="734"/>
      <c r="M6206" s="62" t="e">
        <f>IF(#REF!&gt;6,3,5)</f>
        <v>#REF!</v>
      </c>
      <c r="P6206" s="390">
        <v>9300000</v>
      </c>
    </row>
    <row r="6207" spans="1:16">
      <c r="A6207" s="730">
        <f t="shared" si="493"/>
        <v>19</v>
      </c>
      <c r="B6207" s="730" t="s">
        <v>792</v>
      </c>
      <c r="C6207" s="390" t="s">
        <v>1386</v>
      </c>
      <c r="D6207" s="390" t="s">
        <v>1386</v>
      </c>
      <c r="E6207" s="390" t="s">
        <v>1386</v>
      </c>
      <c r="F6207" s="390">
        <f t="shared" si="494"/>
        <v>0</v>
      </c>
      <c r="G6207" s="390"/>
      <c r="H6207" s="390" t="s">
        <v>1386</v>
      </c>
      <c r="I6207" s="390"/>
      <c r="J6207" s="390"/>
      <c r="K6207" s="734"/>
      <c r="M6207" s="62" t="e">
        <f>IF(#REF!&gt;6,3,5)</f>
        <v>#REF!</v>
      </c>
      <c r="P6207" s="390" t="s">
        <v>1386</v>
      </c>
    </row>
    <row r="6208" spans="1:16" ht="25.5">
      <c r="A6208" s="730">
        <f t="shared" si="493"/>
        <v>20</v>
      </c>
      <c r="B6208" s="733" t="s">
        <v>1505</v>
      </c>
      <c r="C6208" s="390">
        <v>5000000</v>
      </c>
      <c r="D6208" s="390" t="s">
        <v>1386</v>
      </c>
      <c r="E6208" s="390" t="s">
        <v>1386</v>
      </c>
      <c r="F6208" s="390">
        <f t="shared" si="494"/>
        <v>5000000</v>
      </c>
      <c r="G6208" s="390"/>
      <c r="H6208" s="390">
        <v>10000000</v>
      </c>
      <c r="I6208" s="390"/>
      <c r="J6208" s="390"/>
      <c r="K6208" s="734"/>
      <c r="M6208" s="62" t="e">
        <f>IF(#REF!&gt;6,3,5)</f>
        <v>#REF!</v>
      </c>
      <c r="P6208" s="390" t="s">
        <v>1386</v>
      </c>
    </row>
    <row r="6209" spans="1:16">
      <c r="A6209" s="730">
        <f t="shared" si="493"/>
        <v>21</v>
      </c>
      <c r="B6209" s="733" t="s">
        <v>4188</v>
      </c>
      <c r="C6209" s="390">
        <v>5000000</v>
      </c>
      <c r="D6209" s="390" t="s">
        <v>1386</v>
      </c>
      <c r="E6209" s="390" t="s">
        <v>1386</v>
      </c>
      <c r="F6209" s="390">
        <f t="shared" si="494"/>
        <v>5000000</v>
      </c>
      <c r="G6209" s="390"/>
      <c r="H6209" s="390">
        <v>5000000</v>
      </c>
      <c r="I6209" s="390"/>
      <c r="J6209" s="390"/>
      <c r="K6209" s="734"/>
      <c r="M6209" s="62" t="e">
        <f>IF(#REF!&gt;6,3,5)</f>
        <v>#REF!</v>
      </c>
      <c r="P6209" s="390" t="s">
        <v>1386</v>
      </c>
    </row>
    <row r="6210" spans="1:16">
      <c r="A6210" s="730">
        <f t="shared" si="493"/>
        <v>22</v>
      </c>
      <c r="B6210" s="730" t="s">
        <v>1506</v>
      </c>
      <c r="C6210" s="390">
        <v>25000000</v>
      </c>
      <c r="D6210" s="390">
        <v>30000000</v>
      </c>
      <c r="E6210" s="390">
        <v>30000000</v>
      </c>
      <c r="F6210" s="390">
        <f t="shared" si="494"/>
        <v>85000000</v>
      </c>
      <c r="G6210" s="390"/>
      <c r="H6210" s="390">
        <v>25000000</v>
      </c>
      <c r="I6210" s="390"/>
      <c r="J6210" s="390"/>
      <c r="K6210" s="734"/>
      <c r="M6210" s="62" t="e">
        <f>IF(#REF!&gt;6,3,5)</f>
        <v>#REF!</v>
      </c>
      <c r="P6210" s="390">
        <v>20000000</v>
      </c>
    </row>
    <row r="6211" spans="1:16">
      <c r="A6211" s="730">
        <f t="shared" si="493"/>
        <v>23</v>
      </c>
      <c r="B6211" s="733" t="s">
        <v>1242</v>
      </c>
      <c r="C6211" s="390">
        <v>5000000</v>
      </c>
      <c r="D6211" s="390" t="s">
        <v>1386</v>
      </c>
      <c r="E6211" s="390" t="s">
        <v>1386</v>
      </c>
      <c r="F6211" s="390">
        <f t="shared" si="494"/>
        <v>5000000</v>
      </c>
      <c r="G6211" s="390"/>
      <c r="H6211" s="390">
        <v>5000000</v>
      </c>
      <c r="I6211" s="390"/>
      <c r="J6211" s="390"/>
      <c r="K6211" s="734"/>
      <c r="M6211" s="62" t="e">
        <f>IF(#REF!&gt;6,3,5)</f>
        <v>#REF!</v>
      </c>
      <c r="P6211" s="390" t="s">
        <v>1386</v>
      </c>
    </row>
    <row r="6212" spans="1:16" ht="25.5">
      <c r="A6212" s="730">
        <f t="shared" si="493"/>
        <v>24</v>
      </c>
      <c r="B6212" s="733" t="s">
        <v>1351</v>
      </c>
      <c r="C6212" s="390">
        <v>1000000</v>
      </c>
      <c r="D6212" s="390">
        <v>1000000</v>
      </c>
      <c r="E6212" s="390">
        <v>1000000</v>
      </c>
      <c r="F6212" s="390">
        <f t="shared" si="494"/>
        <v>3000000</v>
      </c>
      <c r="G6212" s="390">
        <v>782500</v>
      </c>
      <c r="H6212" s="390">
        <v>1000000</v>
      </c>
      <c r="I6212" s="390"/>
      <c r="J6212" s="390"/>
      <c r="K6212" s="734"/>
      <c r="M6212" s="62" t="e">
        <f>IF(#REF!&gt;6,3,5)</f>
        <v>#REF!</v>
      </c>
      <c r="P6212" s="390">
        <v>1000000</v>
      </c>
    </row>
    <row r="6213" spans="1:16">
      <c r="A6213" s="730">
        <v>25</v>
      </c>
      <c r="B6213" s="730" t="s">
        <v>3993</v>
      </c>
      <c r="C6213" s="390">
        <f>260000000+300000000</f>
        <v>560000000</v>
      </c>
      <c r="D6213" s="390">
        <v>280000000</v>
      </c>
      <c r="E6213" s="390">
        <v>280000000</v>
      </c>
      <c r="F6213" s="390">
        <f t="shared" si="494"/>
        <v>1120000000</v>
      </c>
      <c r="G6213" s="390">
        <v>181248874</v>
      </c>
      <c r="H6213" s="390">
        <v>260000000</v>
      </c>
      <c r="I6213" s="390">
        <v>165400000</v>
      </c>
      <c r="J6213" s="390"/>
      <c r="K6213" s="734"/>
      <c r="M6213" s="62" t="e">
        <f>IF(#REF!&gt;6,3,5)</f>
        <v>#REF!</v>
      </c>
      <c r="P6213" s="390">
        <v>242000000</v>
      </c>
    </row>
    <row r="6214" spans="1:16">
      <c r="A6214" s="730">
        <v>26</v>
      </c>
      <c r="B6214" s="730" t="s">
        <v>4139</v>
      </c>
      <c r="C6214" s="390">
        <v>40000000</v>
      </c>
      <c r="D6214" s="390">
        <v>40000000</v>
      </c>
      <c r="E6214" s="390">
        <v>40000000</v>
      </c>
      <c r="F6214" s="390">
        <f>SUM(C6214:E6214)</f>
        <v>120000000</v>
      </c>
      <c r="G6214" s="390">
        <v>20598181</v>
      </c>
      <c r="H6214" s="390">
        <v>40000000</v>
      </c>
      <c r="I6214" s="390"/>
      <c r="J6214" s="390"/>
      <c r="K6214" s="734"/>
      <c r="M6214" s="62" t="e">
        <f>IF(#REF!&gt;6,3,5)</f>
        <v>#REF!</v>
      </c>
      <c r="P6214" s="734"/>
    </row>
    <row r="6215" spans="1:16">
      <c r="A6215" s="738"/>
      <c r="B6215" s="738" t="s">
        <v>939</v>
      </c>
      <c r="C6215" s="739">
        <f t="shared" ref="C6215:I6215" si="495">SUM(C6189:C6213)</f>
        <v>1044600000</v>
      </c>
      <c r="D6215" s="739">
        <f t="shared" si="495"/>
        <v>786500000</v>
      </c>
      <c r="E6215" s="739">
        <f t="shared" si="495"/>
        <v>786500000</v>
      </c>
      <c r="F6215" s="739">
        <f t="shared" si="495"/>
        <v>2617600000</v>
      </c>
      <c r="G6215" s="739">
        <f>SUM(G6189:G6213)</f>
        <v>342537431</v>
      </c>
      <c r="H6215" s="739">
        <f t="shared" si="495"/>
        <v>776500000</v>
      </c>
      <c r="I6215" s="739">
        <f t="shared" si="495"/>
        <v>353459132.76999998</v>
      </c>
      <c r="J6215" s="739"/>
      <c r="K6215" s="740"/>
      <c r="M6215" s="62" t="e">
        <f>IF(#REF!&gt;6,3,5)</f>
        <v>#REF!</v>
      </c>
    </row>
    <row r="6216" spans="1:16" ht="15">
      <c r="C6216" s="175"/>
      <c r="D6216" s="165"/>
      <c r="E6216" s="165"/>
      <c r="F6216" s="165"/>
      <c r="G6216" s="165"/>
      <c r="H6216" s="165"/>
      <c r="I6216" s="165"/>
      <c r="J6216" s="584"/>
      <c r="K6216" s="584"/>
      <c r="M6216" s="62">
        <f>IF(C6216&gt;6,3,5)</f>
        <v>5</v>
      </c>
    </row>
    <row r="6217" spans="1:16" ht="15">
      <c r="B6217" s="112"/>
      <c r="C6217" s="76"/>
      <c r="D6217" s="78" t="s">
        <v>5434</v>
      </c>
      <c r="J6217" s="584"/>
      <c r="K6217" s="584"/>
      <c r="M6217" s="62" t="e">
        <f>IF(#REF!&gt;6,3,5)</f>
        <v>#REF!</v>
      </c>
    </row>
    <row r="6218" spans="1:16" ht="15">
      <c r="B6218" s="78"/>
      <c r="C6218" s="76"/>
      <c r="D6218" s="78" t="s">
        <v>1693</v>
      </c>
      <c r="J6218" s="584"/>
      <c r="K6218" s="584"/>
    </row>
    <row r="6219" spans="1:16">
      <c r="C6219" s="79" t="s">
        <v>717</v>
      </c>
      <c r="D6219" s="78" t="s">
        <v>1677</v>
      </c>
      <c r="G6219" s="62"/>
      <c r="H6219" s="62"/>
      <c r="I6219" s="62"/>
      <c r="M6219" s="62">
        <f>IF(C6219&gt;6,3,5)</f>
        <v>3</v>
      </c>
    </row>
    <row r="6220" spans="1:16" ht="13.5" thickBot="1">
      <c r="C6220" s="79" t="s">
        <v>718</v>
      </c>
      <c r="D6220" s="78" t="s">
        <v>1678</v>
      </c>
      <c r="E6220" s="62"/>
      <c r="G6220" s="79"/>
      <c r="H6220" s="79"/>
      <c r="I6220" s="79"/>
      <c r="J6220" s="78"/>
      <c r="K6220" s="78"/>
    </row>
    <row r="6221" spans="1:16" ht="15.75" thickTop="1">
      <c r="A6221" s="1047" t="s">
        <v>2791</v>
      </c>
      <c r="B6221" s="1049" t="s">
        <v>4126</v>
      </c>
      <c r="C6221" s="1049" t="s">
        <v>854</v>
      </c>
      <c r="D6221" s="1040" t="s">
        <v>4127</v>
      </c>
      <c r="E6221" s="1041"/>
      <c r="F6221" s="1041"/>
      <c r="G6221" s="1040" t="s">
        <v>904</v>
      </c>
      <c r="H6221" s="1041"/>
      <c r="I6221" s="1042"/>
      <c r="J6221" s="1035" t="s">
        <v>855</v>
      </c>
      <c r="K6221" s="389"/>
    </row>
    <row r="6222" spans="1:16" ht="26.25" thickBot="1">
      <c r="A6222" s="1048"/>
      <c r="B6222" s="1050"/>
      <c r="C6222" s="1050"/>
      <c r="D6222" s="285" t="s">
        <v>5505</v>
      </c>
      <c r="E6222" s="285" t="s">
        <v>4485</v>
      </c>
      <c r="F6222" s="285" t="s">
        <v>4486</v>
      </c>
      <c r="G6222" s="287" t="s">
        <v>4487</v>
      </c>
      <c r="H6222" s="285" t="s">
        <v>4488</v>
      </c>
      <c r="I6222" s="287" t="s">
        <v>4489</v>
      </c>
      <c r="J6222" s="1036"/>
      <c r="K6222" s="712"/>
    </row>
    <row r="6223" spans="1:16" ht="13.5" thickTop="1">
      <c r="A6223" s="120">
        <v>1</v>
      </c>
      <c r="B6223" s="121" t="s">
        <v>1982</v>
      </c>
      <c r="C6223" s="121">
        <v>6</v>
      </c>
      <c r="D6223" s="122">
        <v>2</v>
      </c>
      <c r="E6223" s="122">
        <v>2</v>
      </c>
      <c r="F6223" s="122">
        <v>2</v>
      </c>
      <c r="G6223" s="122">
        <v>2</v>
      </c>
      <c r="H6223" s="122">
        <v>2</v>
      </c>
      <c r="I6223" s="122">
        <v>2</v>
      </c>
      <c r="J6223" s="710">
        <f>(VLOOKUP($C6223,[2]Sheet1!$A$2:$P$18,$M6223+1)/12)*12*D6223</f>
        <v>476198.75786072994</v>
      </c>
      <c r="K6223" s="711"/>
      <c r="M6223" s="62">
        <f t="shared" ref="M6223:M6244" si="496">IF(C6223&gt;6,3,5)</f>
        <v>5</v>
      </c>
    </row>
    <row r="6224" spans="1:16">
      <c r="A6224" s="120">
        <f t="shared" ref="A6224:A6247" si="497">+A6223+1</f>
        <v>2</v>
      </c>
      <c r="B6224" s="121" t="s">
        <v>1983</v>
      </c>
      <c r="C6224" s="121">
        <v>5</v>
      </c>
      <c r="D6224" s="122">
        <v>0</v>
      </c>
      <c r="E6224" s="122">
        <v>2</v>
      </c>
      <c r="F6224" s="122">
        <v>0</v>
      </c>
      <c r="G6224" s="122">
        <v>0</v>
      </c>
      <c r="H6224" s="122">
        <v>0</v>
      </c>
      <c r="I6224" s="122">
        <v>0</v>
      </c>
      <c r="J6224" s="710">
        <f>(VLOOKUP($C6224,[2]Sheet1!$A$2:$P$18,$M6224+1)/12)*12*D6224</f>
        <v>0</v>
      </c>
      <c r="K6224" s="711"/>
      <c r="M6224" s="62">
        <f t="shared" si="496"/>
        <v>5</v>
      </c>
    </row>
    <row r="6225" spans="1:13">
      <c r="A6225" s="120">
        <f t="shared" si="497"/>
        <v>3</v>
      </c>
      <c r="B6225" s="121" t="s">
        <v>2360</v>
      </c>
      <c r="C6225" s="121">
        <v>4</v>
      </c>
      <c r="D6225" s="122">
        <v>0</v>
      </c>
      <c r="E6225" s="122">
        <v>3</v>
      </c>
      <c r="F6225" s="122">
        <v>0</v>
      </c>
      <c r="G6225" s="122">
        <v>0</v>
      </c>
      <c r="H6225" s="122">
        <v>2</v>
      </c>
      <c r="I6225" s="122">
        <v>0</v>
      </c>
      <c r="J6225" s="710">
        <f>(VLOOKUP($C6225,[2]Sheet1!$A$2:$P$18,$M6225+1)/12)*12*D6225</f>
        <v>0</v>
      </c>
      <c r="K6225" s="711"/>
      <c r="M6225" s="62">
        <f t="shared" si="496"/>
        <v>5</v>
      </c>
    </row>
    <row r="6226" spans="1:13">
      <c r="A6226" s="120">
        <f t="shared" si="497"/>
        <v>4</v>
      </c>
      <c r="B6226" s="121" t="s">
        <v>4030</v>
      </c>
      <c r="C6226" s="121">
        <v>3</v>
      </c>
      <c r="D6226" s="89">
        <v>6</v>
      </c>
      <c r="E6226" s="89">
        <v>6</v>
      </c>
      <c r="F6226" s="89">
        <v>6</v>
      </c>
      <c r="G6226" s="89">
        <v>6</v>
      </c>
      <c r="H6226" s="89">
        <v>5</v>
      </c>
      <c r="I6226" s="89">
        <v>6</v>
      </c>
      <c r="J6226" s="710">
        <f>(VLOOKUP($C6226,[2]Sheet1!$A$2:$P$18,$M6226+1)/12)*12*D6226</f>
        <v>1316017.0735821899</v>
      </c>
      <c r="K6226" s="711"/>
      <c r="M6226" s="62">
        <f t="shared" si="496"/>
        <v>5</v>
      </c>
    </row>
    <row r="6227" spans="1:13">
      <c r="A6227" s="120">
        <f t="shared" si="497"/>
        <v>5</v>
      </c>
      <c r="B6227" s="121" t="s">
        <v>3896</v>
      </c>
      <c r="C6227" s="121">
        <v>6</v>
      </c>
      <c r="D6227" s="89">
        <v>1</v>
      </c>
      <c r="E6227" s="89">
        <v>2</v>
      </c>
      <c r="F6227" s="89">
        <v>1</v>
      </c>
      <c r="G6227" s="89">
        <v>1</v>
      </c>
      <c r="H6227" s="89">
        <v>2</v>
      </c>
      <c r="I6227" s="89">
        <v>1</v>
      </c>
      <c r="J6227" s="710">
        <f>(VLOOKUP($C6227,[2]Sheet1!$A$2:$P$18,$M6227+1)/12)*12*D6227</f>
        <v>238099.37893036497</v>
      </c>
      <c r="K6227" s="711"/>
      <c r="M6227" s="62">
        <f t="shared" si="496"/>
        <v>5</v>
      </c>
    </row>
    <row r="6228" spans="1:13">
      <c r="A6228" s="120">
        <f t="shared" si="497"/>
        <v>6</v>
      </c>
      <c r="B6228" s="121" t="s">
        <v>3898</v>
      </c>
      <c r="C6228" s="121">
        <v>6</v>
      </c>
      <c r="D6228" s="89">
        <v>0</v>
      </c>
      <c r="E6228" s="89">
        <v>2</v>
      </c>
      <c r="F6228" s="89">
        <v>0</v>
      </c>
      <c r="G6228" s="89">
        <v>0</v>
      </c>
      <c r="H6228" s="89">
        <v>1</v>
      </c>
      <c r="I6228" s="89">
        <v>0</v>
      </c>
      <c r="J6228" s="710">
        <f>(VLOOKUP($C6228,[2]Sheet1!$A$2:$P$18,$M6228+1)/12)*12*D6228</f>
        <v>0</v>
      </c>
      <c r="K6228" s="711"/>
      <c r="M6228" s="62">
        <f t="shared" si="496"/>
        <v>5</v>
      </c>
    </row>
    <row r="6229" spans="1:13">
      <c r="A6229" s="120">
        <f t="shared" si="497"/>
        <v>7</v>
      </c>
      <c r="B6229" s="121" t="s">
        <v>3745</v>
      </c>
      <c r="C6229" s="121">
        <v>5</v>
      </c>
      <c r="D6229" s="89">
        <v>0</v>
      </c>
      <c r="E6229" s="89">
        <v>1</v>
      </c>
      <c r="F6229" s="89">
        <v>0</v>
      </c>
      <c r="G6229" s="89">
        <v>0</v>
      </c>
      <c r="H6229" s="89">
        <v>1</v>
      </c>
      <c r="I6229" s="89">
        <v>0</v>
      </c>
      <c r="J6229" s="710">
        <f>(VLOOKUP($C6229,[2]Sheet1!$A$2:$P$18,$M6229+1)/12)*12*D6229</f>
        <v>0</v>
      </c>
      <c r="K6229" s="711"/>
      <c r="M6229" s="62">
        <f t="shared" si="496"/>
        <v>5</v>
      </c>
    </row>
    <row r="6230" spans="1:13">
      <c r="A6230" s="120">
        <f t="shared" si="497"/>
        <v>8</v>
      </c>
      <c r="B6230" s="121" t="s">
        <v>2403</v>
      </c>
      <c r="C6230" s="121">
        <v>4</v>
      </c>
      <c r="D6230" s="89">
        <v>0</v>
      </c>
      <c r="E6230" s="89">
        <v>1</v>
      </c>
      <c r="F6230" s="89">
        <v>0</v>
      </c>
      <c r="G6230" s="89">
        <v>0</v>
      </c>
      <c r="H6230" s="89">
        <v>1</v>
      </c>
      <c r="I6230" s="89">
        <v>0</v>
      </c>
      <c r="J6230" s="710">
        <f>(VLOOKUP($C6230,[2]Sheet1!$A$2:$P$18,$M6230+1)/12)*12*D6230</f>
        <v>0</v>
      </c>
      <c r="K6230" s="711"/>
      <c r="M6230" s="62">
        <f t="shared" si="496"/>
        <v>5</v>
      </c>
    </row>
    <row r="6231" spans="1:13">
      <c r="A6231" s="120">
        <f t="shared" si="497"/>
        <v>9</v>
      </c>
      <c r="B6231" s="121" t="s">
        <v>2556</v>
      </c>
      <c r="C6231" s="121">
        <v>3</v>
      </c>
      <c r="D6231" s="89"/>
      <c r="E6231" s="89">
        <v>1</v>
      </c>
      <c r="F6231" s="89"/>
      <c r="G6231" s="89"/>
      <c r="H6231" s="89">
        <v>1</v>
      </c>
      <c r="I6231" s="89"/>
      <c r="J6231" s="710">
        <f>(VLOOKUP($C6231,[2]Sheet1!$A$2:$P$18,$M6231+1)/12)*12*D6231</f>
        <v>0</v>
      </c>
      <c r="K6231" s="711"/>
      <c r="M6231" s="62">
        <f t="shared" si="496"/>
        <v>5</v>
      </c>
    </row>
    <row r="6232" spans="1:13">
      <c r="A6232" s="120">
        <f t="shared" si="497"/>
        <v>10</v>
      </c>
      <c r="B6232" s="121" t="s">
        <v>2361</v>
      </c>
      <c r="C6232" s="121">
        <v>4</v>
      </c>
      <c r="D6232" s="89">
        <v>0</v>
      </c>
      <c r="E6232" s="89">
        <v>1</v>
      </c>
      <c r="F6232" s="89">
        <v>0</v>
      </c>
      <c r="G6232" s="89">
        <v>0</v>
      </c>
      <c r="H6232" s="89">
        <v>1</v>
      </c>
      <c r="I6232" s="89">
        <v>0</v>
      </c>
      <c r="J6232" s="710">
        <f>(VLOOKUP($C6232,[2]Sheet1!$A$2:$P$18,$M6232+1)/12)*12*D6232</f>
        <v>0</v>
      </c>
      <c r="K6232" s="711"/>
      <c r="M6232" s="62">
        <f t="shared" si="496"/>
        <v>5</v>
      </c>
    </row>
    <row r="6233" spans="1:13">
      <c r="A6233" s="120">
        <f t="shared" si="497"/>
        <v>11</v>
      </c>
      <c r="B6233" s="121" t="s">
        <v>2439</v>
      </c>
      <c r="C6233" s="121">
        <v>3</v>
      </c>
      <c r="D6233" s="89">
        <v>0</v>
      </c>
      <c r="E6233" s="89">
        <v>0</v>
      </c>
      <c r="F6233" s="89">
        <v>0</v>
      </c>
      <c r="G6233" s="89">
        <v>0</v>
      </c>
      <c r="H6233" s="89">
        <v>0</v>
      </c>
      <c r="I6233" s="89">
        <v>0</v>
      </c>
      <c r="J6233" s="710">
        <f>(VLOOKUP($C6233,[2]Sheet1!$A$2:$P$18,$M6233+1)/12)*12*D6233</f>
        <v>0</v>
      </c>
      <c r="K6233" s="711"/>
      <c r="M6233" s="62">
        <f t="shared" si="496"/>
        <v>5</v>
      </c>
    </row>
    <row r="6234" spans="1:13">
      <c r="A6234" s="120">
        <f t="shared" si="497"/>
        <v>12</v>
      </c>
      <c r="B6234" s="121" t="s">
        <v>2544</v>
      </c>
      <c r="C6234" s="121">
        <v>4</v>
      </c>
      <c r="D6234" s="89"/>
      <c r="E6234" s="89">
        <v>1</v>
      </c>
      <c r="F6234" s="89"/>
      <c r="G6234" s="89"/>
      <c r="H6234" s="89">
        <v>1</v>
      </c>
      <c r="I6234" s="89"/>
      <c r="J6234" s="710">
        <f>(VLOOKUP($C6234,[2]Sheet1!$A$2:$P$18,$M6234+1)/12)*12*D6234</f>
        <v>0</v>
      </c>
      <c r="K6234" s="711"/>
      <c r="M6234" s="62">
        <f t="shared" si="496"/>
        <v>5</v>
      </c>
    </row>
    <row r="6235" spans="1:13">
      <c r="A6235" s="120">
        <f t="shared" si="497"/>
        <v>13</v>
      </c>
      <c r="B6235" s="121" t="s">
        <v>2181</v>
      </c>
      <c r="C6235" s="121">
        <v>3</v>
      </c>
      <c r="D6235" s="89">
        <v>0</v>
      </c>
      <c r="E6235" s="89">
        <v>1</v>
      </c>
      <c r="F6235" s="89">
        <v>0</v>
      </c>
      <c r="G6235" s="89">
        <v>0</v>
      </c>
      <c r="H6235" s="89">
        <v>1</v>
      </c>
      <c r="I6235" s="89">
        <v>0</v>
      </c>
      <c r="J6235" s="710">
        <f>(VLOOKUP($C6235,[2]Sheet1!$A$2:$P$18,$M6235+1)/12)*12*D6235</f>
        <v>0</v>
      </c>
      <c r="K6235" s="711"/>
      <c r="M6235" s="62">
        <f t="shared" si="496"/>
        <v>5</v>
      </c>
    </row>
    <row r="6236" spans="1:13">
      <c r="A6236" s="120">
        <f t="shared" si="497"/>
        <v>14</v>
      </c>
      <c r="B6236" s="121" t="s">
        <v>2364</v>
      </c>
      <c r="C6236" s="121">
        <v>2</v>
      </c>
      <c r="D6236" s="89">
        <v>0</v>
      </c>
      <c r="E6236" s="89">
        <v>1</v>
      </c>
      <c r="F6236" s="89">
        <v>0</v>
      </c>
      <c r="G6236" s="89">
        <v>0</v>
      </c>
      <c r="H6236" s="89">
        <v>1</v>
      </c>
      <c r="I6236" s="89">
        <v>0</v>
      </c>
      <c r="J6236" s="710">
        <f>(VLOOKUP($C6236,[2]Sheet1!$A$2:$P$18,$M6236+1)/12)*12*D6236</f>
        <v>0</v>
      </c>
      <c r="K6236" s="711"/>
      <c r="M6236" s="62">
        <f t="shared" si="496"/>
        <v>5</v>
      </c>
    </row>
    <row r="6237" spans="1:13">
      <c r="A6237" s="120">
        <f t="shared" si="497"/>
        <v>15</v>
      </c>
      <c r="B6237" s="121" t="s">
        <v>1316</v>
      </c>
      <c r="C6237" s="121">
        <v>3</v>
      </c>
      <c r="D6237" s="89">
        <v>0</v>
      </c>
      <c r="E6237" s="89">
        <v>2</v>
      </c>
      <c r="F6237" s="89">
        <v>0</v>
      </c>
      <c r="G6237" s="89">
        <v>0</v>
      </c>
      <c r="H6237" s="89">
        <v>1</v>
      </c>
      <c r="I6237" s="89">
        <v>0</v>
      </c>
      <c r="J6237" s="710">
        <f>(VLOOKUP($C6237,[2]Sheet1!$A$2:$P$18,$M6237+1)/12)*12*D6237</f>
        <v>0</v>
      </c>
      <c r="K6237" s="711"/>
      <c r="M6237" s="62">
        <f t="shared" si="496"/>
        <v>5</v>
      </c>
    </row>
    <row r="6238" spans="1:13">
      <c r="A6238" s="120">
        <f t="shared" si="497"/>
        <v>16</v>
      </c>
      <c r="B6238" s="121" t="s">
        <v>3452</v>
      </c>
      <c r="C6238" s="121">
        <v>2</v>
      </c>
      <c r="D6238" s="89"/>
      <c r="E6238" s="89">
        <v>3</v>
      </c>
      <c r="F6238" s="89"/>
      <c r="G6238" s="89"/>
      <c r="H6238" s="89">
        <v>3</v>
      </c>
      <c r="I6238" s="89"/>
      <c r="J6238" s="710">
        <f>(VLOOKUP($C6238,[2]Sheet1!$A$2:$P$18,$M6238+1)/12)*12*D6238</f>
        <v>0</v>
      </c>
      <c r="K6238" s="711"/>
      <c r="M6238" s="62">
        <f t="shared" si="496"/>
        <v>5</v>
      </c>
    </row>
    <row r="6239" spans="1:13">
      <c r="A6239" s="120">
        <f t="shared" si="497"/>
        <v>17</v>
      </c>
      <c r="B6239" s="121" t="s">
        <v>952</v>
      </c>
      <c r="C6239" s="121">
        <v>1</v>
      </c>
      <c r="D6239" s="89">
        <v>0</v>
      </c>
      <c r="E6239" s="89">
        <v>0</v>
      </c>
      <c r="F6239" s="89">
        <v>0</v>
      </c>
      <c r="G6239" s="89">
        <v>0</v>
      </c>
      <c r="H6239" s="89">
        <v>0</v>
      </c>
      <c r="I6239" s="89">
        <v>0</v>
      </c>
      <c r="J6239" s="710">
        <f>(VLOOKUP($C6239,[2]Sheet1!$A$2:$P$18,$M6239+1)/12)*12*D6239</f>
        <v>0</v>
      </c>
      <c r="K6239" s="711"/>
      <c r="M6239" s="62">
        <f t="shared" si="496"/>
        <v>5</v>
      </c>
    </row>
    <row r="6240" spans="1:13">
      <c r="A6240" s="120">
        <f t="shared" si="497"/>
        <v>18</v>
      </c>
      <c r="B6240" s="121" t="s">
        <v>2171</v>
      </c>
      <c r="C6240" s="121">
        <v>3</v>
      </c>
      <c r="D6240" s="119">
        <v>0</v>
      </c>
      <c r="E6240" s="89">
        <v>1</v>
      </c>
      <c r="F6240" s="119" t="s">
        <v>1182</v>
      </c>
      <c r="G6240" s="119" t="s">
        <v>1182</v>
      </c>
      <c r="H6240" s="89">
        <v>1</v>
      </c>
      <c r="I6240" s="119" t="s">
        <v>1182</v>
      </c>
      <c r="J6240" s="710">
        <f>(VLOOKUP($C6240,[2]Sheet1!$A$2:$P$18,$M6240+1)/12)*12*D6240</f>
        <v>0</v>
      </c>
      <c r="K6240" s="711"/>
      <c r="M6240" s="62">
        <f t="shared" si="496"/>
        <v>5</v>
      </c>
    </row>
    <row r="6241" spans="1:13">
      <c r="A6241" s="120">
        <f t="shared" si="497"/>
        <v>19</v>
      </c>
      <c r="B6241" s="121" t="s">
        <v>2172</v>
      </c>
      <c r="C6241" s="121">
        <v>2</v>
      </c>
      <c r="D6241" s="89">
        <v>0</v>
      </c>
      <c r="E6241" s="89">
        <v>2</v>
      </c>
      <c r="F6241" s="89">
        <v>0</v>
      </c>
      <c r="G6241" s="89">
        <v>0</v>
      </c>
      <c r="H6241" s="89">
        <v>2</v>
      </c>
      <c r="I6241" s="89">
        <v>0</v>
      </c>
      <c r="J6241" s="710">
        <f>(VLOOKUP($C6241,[2]Sheet1!$A$2:$P$18,$M6241+1)/12)*12*D6241</f>
        <v>0</v>
      </c>
      <c r="K6241" s="711"/>
      <c r="M6241" s="62">
        <f t="shared" si="496"/>
        <v>5</v>
      </c>
    </row>
    <row r="6242" spans="1:13">
      <c r="A6242" s="120">
        <f t="shared" si="497"/>
        <v>20</v>
      </c>
      <c r="B6242" s="121" t="s">
        <v>2563</v>
      </c>
      <c r="C6242" s="121">
        <v>7</v>
      </c>
      <c r="D6242" s="89">
        <v>0</v>
      </c>
      <c r="E6242" s="89">
        <v>1</v>
      </c>
      <c r="F6242" s="89">
        <v>0</v>
      </c>
      <c r="G6242" s="89">
        <v>0</v>
      </c>
      <c r="H6242" s="89">
        <v>1</v>
      </c>
      <c r="I6242" s="89">
        <v>0</v>
      </c>
      <c r="J6242" s="710">
        <f>(VLOOKUP($C6242,[2]Sheet1!$A$2:$P$18,$M6242+1)/12)*12*D6242</f>
        <v>0</v>
      </c>
      <c r="K6242" s="711"/>
      <c r="M6242" s="62">
        <f t="shared" si="496"/>
        <v>3</v>
      </c>
    </row>
    <row r="6243" spans="1:13">
      <c r="A6243" s="120">
        <f t="shared" si="497"/>
        <v>21</v>
      </c>
      <c r="B6243" s="121" t="s">
        <v>3453</v>
      </c>
      <c r="C6243" s="121">
        <v>6</v>
      </c>
      <c r="D6243" s="89">
        <v>0</v>
      </c>
      <c r="E6243" s="89">
        <v>1</v>
      </c>
      <c r="F6243" s="89">
        <v>0</v>
      </c>
      <c r="G6243" s="89">
        <v>0</v>
      </c>
      <c r="H6243" s="89">
        <v>1</v>
      </c>
      <c r="I6243" s="89">
        <v>0</v>
      </c>
      <c r="J6243" s="710">
        <f>(VLOOKUP($C6243,[2]Sheet1!$A$2:$P$18,$M6243+1)/12)*12*D6243</f>
        <v>0</v>
      </c>
      <c r="K6243" s="711"/>
      <c r="M6243" s="62">
        <f t="shared" si="496"/>
        <v>5</v>
      </c>
    </row>
    <row r="6244" spans="1:13">
      <c r="A6244" s="120">
        <f t="shared" si="497"/>
        <v>22</v>
      </c>
      <c r="B6244" s="121" t="s">
        <v>3454</v>
      </c>
      <c r="C6244" s="121">
        <v>5</v>
      </c>
      <c r="D6244" s="89">
        <v>0</v>
      </c>
      <c r="E6244" s="89">
        <v>1</v>
      </c>
      <c r="F6244" s="89">
        <v>0</v>
      </c>
      <c r="G6244" s="89">
        <v>0</v>
      </c>
      <c r="H6244" s="89">
        <v>1</v>
      </c>
      <c r="I6244" s="89">
        <v>0</v>
      </c>
      <c r="J6244" s="710">
        <f>(VLOOKUP($C6244,[2]Sheet1!$A$2:$P$18,$M6244+1)/12)*12*D6244</f>
        <v>0</v>
      </c>
      <c r="K6244" s="711"/>
      <c r="M6244" s="62">
        <f t="shared" si="496"/>
        <v>5</v>
      </c>
    </row>
    <row r="6245" spans="1:13">
      <c r="A6245" s="120">
        <f t="shared" si="497"/>
        <v>23</v>
      </c>
      <c r="B6245" s="121" t="s">
        <v>3455</v>
      </c>
      <c r="C6245" s="121">
        <v>4</v>
      </c>
      <c r="D6245" s="89">
        <v>0</v>
      </c>
      <c r="E6245" s="89">
        <v>1</v>
      </c>
      <c r="F6245" s="89">
        <v>0</v>
      </c>
      <c r="G6245" s="89">
        <v>0</v>
      </c>
      <c r="H6245" s="89">
        <v>1</v>
      </c>
      <c r="I6245" s="89">
        <v>0</v>
      </c>
      <c r="J6245" s="710">
        <f>(VLOOKUP($C6245,[2]Sheet1!$A$2:$P$18,$M6245+1)/12)*12*D6245</f>
        <v>0</v>
      </c>
      <c r="K6245" s="711"/>
      <c r="M6245" s="62">
        <f t="shared" ref="M6245:M6266" si="498">IF(C6245&gt;6,3,5)</f>
        <v>5</v>
      </c>
    </row>
    <row r="6246" spans="1:13">
      <c r="A6246" s="120">
        <f t="shared" si="497"/>
        <v>24</v>
      </c>
      <c r="B6246" s="121" t="s">
        <v>3456</v>
      </c>
      <c r="C6246" s="121">
        <v>3</v>
      </c>
      <c r="D6246" s="89">
        <v>0</v>
      </c>
      <c r="E6246" s="89">
        <v>1</v>
      </c>
      <c r="F6246" s="89">
        <v>0</v>
      </c>
      <c r="G6246" s="89">
        <v>0</v>
      </c>
      <c r="H6246" s="89">
        <v>1</v>
      </c>
      <c r="I6246" s="89">
        <v>0</v>
      </c>
      <c r="J6246" s="710">
        <f>(VLOOKUP($C6246,[2]Sheet1!$A$2:$P$18,$M6246+1)/12)*12*D6246</f>
        <v>0</v>
      </c>
      <c r="K6246" s="711"/>
      <c r="M6246" s="62">
        <f t="shared" si="498"/>
        <v>5</v>
      </c>
    </row>
    <row r="6247" spans="1:13">
      <c r="A6247" s="120">
        <f t="shared" si="497"/>
        <v>25</v>
      </c>
      <c r="B6247" s="121" t="s">
        <v>486</v>
      </c>
      <c r="C6247" s="121">
        <v>7</v>
      </c>
      <c r="D6247" s="89">
        <v>0</v>
      </c>
      <c r="E6247" s="89">
        <v>0</v>
      </c>
      <c r="F6247" s="89">
        <v>0</v>
      </c>
      <c r="G6247" s="89">
        <v>0</v>
      </c>
      <c r="H6247" s="89">
        <v>0</v>
      </c>
      <c r="I6247" s="89">
        <v>0</v>
      </c>
      <c r="J6247" s="710">
        <f>(VLOOKUP($C6247,[2]Sheet1!$A$2:$P$18,$M6247+1)/12)*12*D6247</f>
        <v>0</v>
      </c>
      <c r="K6247" s="711"/>
      <c r="M6247" s="62">
        <f t="shared" si="498"/>
        <v>3</v>
      </c>
    </row>
    <row r="6248" spans="1:13">
      <c r="A6248" s="88"/>
      <c r="B6248" s="90" t="s">
        <v>3521</v>
      </c>
      <c r="C6248" s="69"/>
      <c r="D6248" s="89"/>
      <c r="E6248" s="89"/>
      <c r="F6248" s="89"/>
      <c r="G6248" s="89"/>
      <c r="H6248" s="89"/>
      <c r="I6248" s="89"/>
      <c r="J6248" s="710"/>
      <c r="K6248" s="711"/>
      <c r="M6248" s="62">
        <f t="shared" si="498"/>
        <v>5</v>
      </c>
    </row>
    <row r="6249" spans="1:13">
      <c r="A6249" s="88">
        <f>+A6247+1</f>
        <v>26</v>
      </c>
      <c r="B6249" s="69" t="s">
        <v>3532</v>
      </c>
      <c r="C6249" s="69">
        <v>16</v>
      </c>
      <c r="D6249" s="89">
        <v>0</v>
      </c>
      <c r="E6249" s="89">
        <v>1</v>
      </c>
      <c r="F6249" s="89">
        <v>0</v>
      </c>
      <c r="G6249" s="89">
        <v>0</v>
      </c>
      <c r="H6249" s="89">
        <v>1</v>
      </c>
      <c r="I6249" s="89">
        <v>0</v>
      </c>
      <c r="J6249" s="710">
        <f>(VLOOKUP($C6249,[2]Sheet1!$A$2:$P$18,$M6249+1)/12)*12*D6249</f>
        <v>0</v>
      </c>
      <c r="K6249" s="711"/>
      <c r="M6249" s="62">
        <f t="shared" si="498"/>
        <v>3</v>
      </c>
    </row>
    <row r="6250" spans="1:13">
      <c r="A6250" s="88">
        <f>+A6249+1</f>
        <v>27</v>
      </c>
      <c r="B6250" s="69" t="s">
        <v>3533</v>
      </c>
      <c r="C6250" s="69">
        <v>14</v>
      </c>
      <c r="D6250" s="89">
        <v>0</v>
      </c>
      <c r="E6250" s="89">
        <v>1</v>
      </c>
      <c r="F6250" s="89">
        <v>0</v>
      </c>
      <c r="G6250" s="89">
        <v>0</v>
      </c>
      <c r="H6250" s="89">
        <v>1</v>
      </c>
      <c r="I6250" s="89">
        <v>0</v>
      </c>
      <c r="J6250" s="710">
        <f>(VLOOKUP($C6250,[2]Sheet1!$A$2:$P$18,$M6250+1)/12)*12*D6250</f>
        <v>0</v>
      </c>
      <c r="K6250" s="711"/>
      <c r="M6250" s="62">
        <f>IF(C6250&gt;6,3,5)</f>
        <v>3</v>
      </c>
    </row>
    <row r="6251" spans="1:13">
      <c r="A6251" s="88">
        <f>+A6250+1</f>
        <v>28</v>
      </c>
      <c r="B6251" s="69" t="s">
        <v>1982</v>
      </c>
      <c r="C6251" s="69">
        <v>6</v>
      </c>
      <c r="D6251" s="89">
        <v>0</v>
      </c>
      <c r="E6251" s="89">
        <v>1</v>
      </c>
      <c r="F6251" s="89">
        <v>0</v>
      </c>
      <c r="G6251" s="89">
        <v>0</v>
      </c>
      <c r="H6251" s="89">
        <v>1</v>
      </c>
      <c r="I6251" s="89">
        <v>0</v>
      </c>
      <c r="J6251" s="710">
        <f>(VLOOKUP($C6251,[2]Sheet1!$A$2:$P$18,$M6251+1)/12)*12*D6251</f>
        <v>0</v>
      </c>
      <c r="K6251" s="711"/>
      <c r="M6251" s="62">
        <f>IF(C6251&gt;6,3,5)</f>
        <v>5</v>
      </c>
    </row>
    <row r="6252" spans="1:13">
      <c r="A6252" s="88">
        <f>+A6251+1</f>
        <v>29</v>
      </c>
      <c r="B6252" s="69" t="s">
        <v>1250</v>
      </c>
      <c r="C6252" s="69">
        <v>5</v>
      </c>
      <c r="D6252" s="89">
        <v>0</v>
      </c>
      <c r="E6252" s="89">
        <v>1</v>
      </c>
      <c r="F6252" s="89">
        <v>0</v>
      </c>
      <c r="G6252" s="89">
        <v>0</v>
      </c>
      <c r="H6252" s="89">
        <v>0</v>
      </c>
      <c r="I6252" s="89">
        <v>0</v>
      </c>
      <c r="J6252" s="710">
        <f>(VLOOKUP($C6252,[2]Sheet1!$A$2:$P$18,$M6252+1)/12)*12*D6252</f>
        <v>0</v>
      </c>
      <c r="K6252" s="711"/>
      <c r="M6252" s="62">
        <f t="shared" si="498"/>
        <v>5</v>
      </c>
    </row>
    <row r="6253" spans="1:13">
      <c r="A6253" s="88">
        <f>+A6252+1</f>
        <v>30</v>
      </c>
      <c r="B6253" s="69" t="s">
        <v>3458</v>
      </c>
      <c r="C6253" s="69">
        <v>4</v>
      </c>
      <c r="D6253" s="89">
        <v>0</v>
      </c>
      <c r="E6253" s="89">
        <v>1</v>
      </c>
      <c r="F6253" s="89">
        <v>0</v>
      </c>
      <c r="G6253" s="89">
        <v>0</v>
      </c>
      <c r="H6253" s="89">
        <v>0</v>
      </c>
      <c r="I6253" s="89">
        <v>0</v>
      </c>
      <c r="J6253" s="710">
        <f>(VLOOKUP($C6253,[2]Sheet1!$A$2:$P$18,$M6253+1)/12)*12*D6253</f>
        <v>0</v>
      </c>
      <c r="K6253" s="711"/>
      <c r="M6253" s="62">
        <f t="shared" si="498"/>
        <v>5</v>
      </c>
    </row>
    <row r="6254" spans="1:13">
      <c r="A6254" s="88">
        <f>+A6253+1</f>
        <v>31</v>
      </c>
      <c r="B6254" s="69" t="s">
        <v>4030</v>
      </c>
      <c r="C6254" s="69">
        <v>3</v>
      </c>
      <c r="D6254" s="89">
        <v>0</v>
      </c>
      <c r="E6254" s="89">
        <v>2</v>
      </c>
      <c r="F6254" s="89">
        <v>0</v>
      </c>
      <c r="G6254" s="89">
        <v>0</v>
      </c>
      <c r="H6254" s="89">
        <v>0</v>
      </c>
      <c r="I6254" s="89">
        <v>0</v>
      </c>
      <c r="J6254" s="710">
        <f>(VLOOKUP($C6254,[2]Sheet1!$A$2:$P$18,$M6254+1)/12)*12*D6254</f>
        <v>0</v>
      </c>
      <c r="K6254" s="711"/>
      <c r="M6254" s="62">
        <f t="shared" si="498"/>
        <v>5</v>
      </c>
    </row>
    <row r="6255" spans="1:13">
      <c r="A6255" s="92"/>
      <c r="B6255" s="93" t="s">
        <v>1684</v>
      </c>
      <c r="C6255" s="94"/>
      <c r="D6255" s="95">
        <f t="shared" ref="D6255:J6255" si="499">SUM(D6226:D6254)</f>
        <v>7</v>
      </c>
      <c r="E6255" s="95">
        <f t="shared" si="499"/>
        <v>37</v>
      </c>
      <c r="F6255" s="95">
        <f t="shared" si="499"/>
        <v>7</v>
      </c>
      <c r="G6255" s="95">
        <f>SUM(G6226:G6254)</f>
        <v>7</v>
      </c>
      <c r="H6255" s="95">
        <f t="shared" si="499"/>
        <v>30</v>
      </c>
      <c r="I6255" s="95">
        <f t="shared" si="499"/>
        <v>7</v>
      </c>
      <c r="J6255" s="95">
        <f t="shared" si="499"/>
        <v>1554116.4525125548</v>
      </c>
      <c r="K6255" s="378"/>
      <c r="M6255" s="62">
        <f t="shared" si="498"/>
        <v>5</v>
      </c>
    </row>
    <row r="6256" spans="1:13">
      <c r="A6256" s="170"/>
      <c r="B6256" s="97" t="s">
        <v>1199</v>
      </c>
      <c r="C6256" s="167"/>
      <c r="D6256" s="155"/>
      <c r="E6256" s="155"/>
      <c r="F6256" s="99"/>
      <c r="G6256" s="240" t="s">
        <v>243</v>
      </c>
      <c r="H6256" s="240" t="s">
        <v>4130</v>
      </c>
      <c r="I6256" s="240" t="s">
        <v>4202</v>
      </c>
      <c r="J6256" s="241" t="s">
        <v>4200</v>
      </c>
      <c r="K6256" s="375"/>
      <c r="M6256" s="62">
        <f t="shared" si="498"/>
        <v>5</v>
      </c>
    </row>
    <row r="6257" spans="1:13">
      <c r="A6257" s="88">
        <v>1</v>
      </c>
      <c r="B6257" s="69" t="s">
        <v>763</v>
      </c>
      <c r="C6257" s="167"/>
      <c r="D6257" s="155"/>
      <c r="E6257" s="155"/>
      <c r="F6257" s="89"/>
      <c r="G6257" s="100">
        <f>J6255*0.2</f>
        <v>310823.29050251096</v>
      </c>
      <c r="H6257" s="100">
        <f>G6257*1.02</f>
        <v>317039.75631256116</v>
      </c>
      <c r="I6257" s="100">
        <f>H6257*1.02</f>
        <v>323380.5514388124</v>
      </c>
      <c r="J6257" s="100">
        <f>SUM(G6257:I6257)</f>
        <v>951243.59825388459</v>
      </c>
      <c r="K6257" s="114"/>
      <c r="M6257" s="62">
        <f t="shared" si="498"/>
        <v>5</v>
      </c>
    </row>
    <row r="6258" spans="1:13">
      <c r="A6258" s="88">
        <v>2</v>
      </c>
      <c r="B6258" s="69" t="s">
        <v>1040</v>
      </c>
      <c r="C6258" s="167"/>
      <c r="D6258" s="155"/>
      <c r="E6258" s="155"/>
      <c r="F6258" s="89"/>
      <c r="G6258" s="100">
        <v>1205285.7710399982</v>
      </c>
      <c r="H6258" s="100">
        <f>G6258*1.02</f>
        <v>1229391.4864607982</v>
      </c>
      <c r="I6258" s="100">
        <f>H6258*1.02</f>
        <v>1253979.3161900141</v>
      </c>
      <c r="J6258" s="100">
        <f>SUM(G6258:I6258)</f>
        <v>3688656.5736908107</v>
      </c>
      <c r="K6258" s="114"/>
      <c r="M6258" s="62">
        <f t="shared" si="498"/>
        <v>5</v>
      </c>
    </row>
    <row r="6259" spans="1:13">
      <c r="A6259" s="92"/>
      <c r="B6259" s="93" t="s">
        <v>2531</v>
      </c>
      <c r="C6259" s="168"/>
      <c r="D6259" s="171"/>
      <c r="E6259" s="171"/>
      <c r="F6259" s="169"/>
      <c r="G6259" s="169">
        <f>SUM(G6257:G6258)</f>
        <v>1516109.0615425091</v>
      </c>
      <c r="H6259" s="169">
        <f>SUM(H6257:H6258)</f>
        <v>1546431.2427733594</v>
      </c>
      <c r="I6259" s="169">
        <f>SUM(I6257:I6258)</f>
        <v>1577359.8676288265</v>
      </c>
      <c r="J6259" s="169">
        <f>SUM(J6257:J6258)</f>
        <v>4639900.1719446955</v>
      </c>
      <c r="K6259" s="385"/>
      <c r="M6259" s="62">
        <f t="shared" si="498"/>
        <v>5</v>
      </c>
    </row>
    <row r="6260" spans="1:13">
      <c r="A6260" s="88"/>
      <c r="B6260" s="69" t="s">
        <v>926</v>
      </c>
      <c r="C6260" s="167"/>
      <c r="D6260" s="155"/>
      <c r="E6260" s="155"/>
      <c r="F6260" s="155"/>
      <c r="G6260" s="100">
        <f>G6259+J6255</f>
        <v>3070225.5140550639</v>
      </c>
      <c r="H6260" s="100">
        <f>G6260*1.02</f>
        <v>3131630.0243361653</v>
      </c>
      <c r="I6260" s="100">
        <f>H6260*1.02</f>
        <v>3194262.6248228885</v>
      </c>
      <c r="J6260" s="100">
        <f>SUM(G6260:I6260)</f>
        <v>9396118.1632141173</v>
      </c>
      <c r="K6260" s="114"/>
      <c r="L6260" s="112"/>
      <c r="M6260" s="62">
        <f t="shared" si="498"/>
        <v>5</v>
      </c>
    </row>
    <row r="6261" spans="1:13">
      <c r="A6261" s="88"/>
      <c r="B6261" s="69" t="s">
        <v>129</v>
      </c>
      <c r="C6261" s="69"/>
      <c r="D6261" s="89"/>
      <c r="E6261" s="89"/>
      <c r="F6261" s="89"/>
      <c r="G6261" s="89">
        <f>C6286</f>
        <v>4900000</v>
      </c>
      <c r="H6261" s="89">
        <f>D6286</f>
        <v>4800000</v>
      </c>
      <c r="I6261" s="89">
        <f>E6286</f>
        <v>4800000</v>
      </c>
      <c r="J6261" s="100">
        <f>SUM(G6261:I6261)</f>
        <v>14500000</v>
      </c>
      <c r="K6261" s="114"/>
      <c r="M6261" s="62">
        <f t="shared" si="498"/>
        <v>5</v>
      </c>
    </row>
    <row r="6262" spans="1:13" ht="13.5" thickBot="1">
      <c r="A6262" s="102"/>
      <c r="B6262" s="103" t="s">
        <v>2241</v>
      </c>
      <c r="C6262" s="104"/>
      <c r="D6262" s="105"/>
      <c r="E6262" s="105"/>
      <c r="F6262" s="174"/>
      <c r="G6262" s="174">
        <f>SUM(G6260:G6261)</f>
        <v>7970225.5140550639</v>
      </c>
      <c r="H6262" s="174">
        <f>SUM(H6260:H6261)</f>
        <v>7931630.0243361648</v>
      </c>
      <c r="I6262" s="174">
        <f>SUM(I6260:I6261)</f>
        <v>7994262.6248228885</v>
      </c>
      <c r="J6262" s="174">
        <f>SUM(J6260:J6261)</f>
        <v>23896118.163214117</v>
      </c>
      <c r="K6262" s="385"/>
      <c r="M6262" s="62">
        <f t="shared" si="498"/>
        <v>5</v>
      </c>
    </row>
    <row r="6263" spans="1:13" ht="15.75" thickTop="1">
      <c r="A6263" s="113"/>
      <c r="B6263" s="113"/>
      <c r="C6263" s="77"/>
      <c r="D6263" s="78" t="s">
        <v>5434</v>
      </c>
      <c r="E6263" s="114"/>
      <c r="F6263" s="114"/>
      <c r="G6263" s="114"/>
      <c r="H6263" s="114"/>
      <c r="I6263" s="114"/>
      <c r="J6263" s="584"/>
      <c r="K6263" s="584"/>
      <c r="M6263" s="62">
        <f t="shared" si="498"/>
        <v>5</v>
      </c>
    </row>
    <row r="6264" spans="1:13" ht="15">
      <c r="A6264" s="113"/>
      <c r="B6264" s="113"/>
      <c r="C6264" s="77"/>
      <c r="D6264" s="78" t="s">
        <v>716</v>
      </c>
      <c r="E6264" s="114"/>
      <c r="F6264" s="114"/>
      <c r="G6264" s="114"/>
      <c r="H6264" s="114"/>
      <c r="I6264" s="114"/>
      <c r="J6264" s="584"/>
      <c r="K6264" s="584"/>
      <c r="M6264" s="62">
        <f t="shared" si="498"/>
        <v>5</v>
      </c>
    </row>
    <row r="6265" spans="1:13" ht="15">
      <c r="A6265" s="113"/>
      <c r="B6265" s="113"/>
      <c r="C6265" s="79" t="s">
        <v>717</v>
      </c>
      <c r="D6265" s="78" t="s">
        <v>1677</v>
      </c>
      <c r="E6265" s="114"/>
      <c r="F6265" s="114"/>
      <c r="G6265" s="114"/>
      <c r="H6265" s="114"/>
      <c r="I6265" s="114"/>
      <c r="J6265" s="584"/>
      <c r="K6265" s="584"/>
      <c r="M6265" s="62">
        <f t="shared" si="498"/>
        <v>3</v>
      </c>
    </row>
    <row r="6266" spans="1:13" ht="15">
      <c r="A6266" s="113"/>
      <c r="B6266" s="113"/>
      <c r="C6266" s="79" t="s">
        <v>718</v>
      </c>
      <c r="D6266" s="78" t="s">
        <v>1678</v>
      </c>
      <c r="E6266" s="114"/>
      <c r="F6266" s="114"/>
      <c r="G6266" s="114"/>
      <c r="H6266" s="114"/>
      <c r="I6266" s="114"/>
      <c r="J6266" s="584"/>
      <c r="K6266" s="584"/>
      <c r="M6266" s="62">
        <f t="shared" si="498"/>
        <v>3</v>
      </c>
    </row>
    <row r="6267" spans="1:13" ht="15">
      <c r="A6267" s="634" t="s">
        <v>1839</v>
      </c>
      <c r="B6267" s="635" t="s">
        <v>903</v>
      </c>
      <c r="C6267" s="1037" t="s">
        <v>4127</v>
      </c>
      <c r="D6267" s="1038"/>
      <c r="E6267" s="1039"/>
      <c r="F6267" s="635" t="s">
        <v>1684</v>
      </c>
      <c r="G6267" s="1037" t="s">
        <v>4132</v>
      </c>
      <c r="H6267" s="1038"/>
      <c r="I6267" s="1039"/>
      <c r="J6267" s="726"/>
      <c r="K6267" s="727"/>
    </row>
    <row r="6268" spans="1:13">
      <c r="A6268" s="636" t="s">
        <v>1620</v>
      </c>
      <c r="B6268" s="637"/>
      <c r="C6268" s="635" t="s">
        <v>1841</v>
      </c>
      <c r="D6268" s="635" t="s">
        <v>4133</v>
      </c>
      <c r="E6268" s="635" t="s">
        <v>4133</v>
      </c>
      <c r="F6268" s="1056" t="s">
        <v>4200</v>
      </c>
      <c r="G6268" s="634" t="s">
        <v>4135</v>
      </c>
      <c r="H6268" s="1051" t="s">
        <v>4182</v>
      </c>
      <c r="I6268" s="634" t="s">
        <v>4135</v>
      </c>
      <c r="J6268" s="728" t="s">
        <v>4136</v>
      </c>
      <c r="K6268" s="727"/>
    </row>
    <row r="6269" spans="1:13" ht="12.75" customHeight="1">
      <c r="A6269" s="638" t="s">
        <v>387</v>
      </c>
      <c r="B6269" s="639"/>
      <c r="C6269" s="638">
        <v>2015</v>
      </c>
      <c r="D6269" s="638">
        <v>2016</v>
      </c>
      <c r="E6269" s="638">
        <v>2017</v>
      </c>
      <c r="F6269" s="1057"/>
      <c r="G6269" s="638" t="s">
        <v>4304</v>
      </c>
      <c r="H6269" s="1052"/>
      <c r="I6269" s="638" t="s">
        <v>4303</v>
      </c>
      <c r="J6269" s="639"/>
      <c r="K6269" s="729"/>
    </row>
    <row r="6270" spans="1:13">
      <c r="A6270" s="759"/>
      <c r="B6270" s="759"/>
      <c r="C6270" s="731"/>
      <c r="D6270" s="731"/>
      <c r="E6270" s="731"/>
      <c r="F6270" s="731"/>
      <c r="G6270" s="731"/>
      <c r="H6270" s="731"/>
      <c r="I6270" s="731"/>
      <c r="J6270" s="731"/>
      <c r="K6270" s="732"/>
      <c r="M6270" s="62" t="e">
        <f>IF(#REF!&gt;6,3,5)</f>
        <v>#REF!</v>
      </c>
    </row>
    <row r="6271" spans="1:13">
      <c r="A6271" s="759">
        <v>2</v>
      </c>
      <c r="B6271" s="823" t="s">
        <v>768</v>
      </c>
      <c r="C6271" s="731">
        <v>800000</v>
      </c>
      <c r="D6271" s="731">
        <v>800000</v>
      </c>
      <c r="E6271" s="731">
        <v>800000</v>
      </c>
      <c r="F6271" s="731">
        <f>SUM(C6271:E6271)</f>
        <v>2400000</v>
      </c>
      <c r="G6271" s="731">
        <v>392000</v>
      </c>
      <c r="H6271" s="731">
        <v>800000</v>
      </c>
      <c r="I6271" s="731">
        <v>392000</v>
      </c>
      <c r="J6271" s="731"/>
      <c r="K6271" s="732"/>
      <c r="M6271" s="62" t="e">
        <f>IF(#REF!&gt;6,3,5)</f>
        <v>#REF!</v>
      </c>
    </row>
    <row r="6272" spans="1:13">
      <c r="A6272" s="759">
        <f t="shared" ref="A6272:A6283" si="500">A6271+1</f>
        <v>3</v>
      </c>
      <c r="B6272" s="768" t="s">
        <v>1696</v>
      </c>
      <c r="C6272" s="731" t="s">
        <v>3007</v>
      </c>
      <c r="D6272" s="731" t="s">
        <v>3007</v>
      </c>
      <c r="E6272" s="731" t="s">
        <v>3007</v>
      </c>
      <c r="F6272" s="731">
        <f t="shared" ref="F6272:F6283" si="501">SUM(C6272:E6272)</f>
        <v>0</v>
      </c>
      <c r="G6272" s="731"/>
      <c r="H6272" s="731" t="s">
        <v>3007</v>
      </c>
      <c r="I6272" s="731"/>
      <c r="J6272" s="731"/>
      <c r="K6272" s="732"/>
      <c r="M6272" s="62" t="e">
        <f>IF(#REF!&gt;6,3,5)</f>
        <v>#REF!</v>
      </c>
    </row>
    <row r="6273" spans="1:13">
      <c r="A6273" s="759">
        <f t="shared" si="500"/>
        <v>4</v>
      </c>
      <c r="B6273" s="768" t="s">
        <v>1701</v>
      </c>
      <c r="C6273" s="731" t="s">
        <v>3007</v>
      </c>
      <c r="D6273" s="731" t="s">
        <v>3007</v>
      </c>
      <c r="E6273" s="731" t="s">
        <v>3007</v>
      </c>
      <c r="F6273" s="731">
        <f t="shared" si="501"/>
        <v>0</v>
      </c>
      <c r="G6273" s="731"/>
      <c r="H6273" s="731" t="s">
        <v>3007</v>
      </c>
      <c r="I6273" s="731"/>
      <c r="J6273" s="731"/>
      <c r="K6273" s="732"/>
      <c r="M6273" s="62" t="e">
        <f>IF(#REF!&gt;6,3,5)</f>
        <v>#REF!</v>
      </c>
    </row>
    <row r="6274" spans="1:13">
      <c r="A6274" s="759">
        <f t="shared" si="500"/>
        <v>5</v>
      </c>
      <c r="B6274" s="768" t="s">
        <v>998</v>
      </c>
      <c r="C6274" s="731">
        <v>300000</v>
      </c>
      <c r="D6274" s="731">
        <v>300000</v>
      </c>
      <c r="E6274" s="731">
        <v>300000</v>
      </c>
      <c r="F6274" s="731">
        <f t="shared" si="501"/>
        <v>900000</v>
      </c>
      <c r="G6274" s="731">
        <v>120000</v>
      </c>
      <c r="H6274" s="731">
        <v>300000</v>
      </c>
      <c r="I6274" s="731">
        <v>120000</v>
      </c>
      <c r="J6274" s="731"/>
      <c r="K6274" s="732"/>
      <c r="M6274" s="62" t="e">
        <f>IF(#REF!&gt;6,3,5)</f>
        <v>#REF!</v>
      </c>
    </row>
    <row r="6275" spans="1:13">
      <c r="A6275" s="759">
        <f t="shared" si="500"/>
        <v>6</v>
      </c>
      <c r="B6275" s="768" t="s">
        <v>1072</v>
      </c>
      <c r="C6275" s="731">
        <v>600000</v>
      </c>
      <c r="D6275" s="731">
        <v>600000</v>
      </c>
      <c r="E6275" s="731">
        <v>600000</v>
      </c>
      <c r="F6275" s="731">
        <f t="shared" si="501"/>
        <v>1800000</v>
      </c>
      <c r="G6275" s="731">
        <v>131000</v>
      </c>
      <c r="H6275" s="731">
        <v>600000</v>
      </c>
      <c r="I6275" s="731">
        <v>131000</v>
      </c>
      <c r="J6275" s="731"/>
      <c r="K6275" s="732"/>
      <c r="M6275" s="62" t="e">
        <f>IF(#REF!&gt;6,3,5)</f>
        <v>#REF!</v>
      </c>
    </row>
    <row r="6276" spans="1:13" ht="25.5">
      <c r="A6276" s="759">
        <f t="shared" si="500"/>
        <v>7</v>
      </c>
      <c r="B6276" s="773" t="s">
        <v>1073</v>
      </c>
      <c r="C6276" s="731">
        <v>500000</v>
      </c>
      <c r="D6276" s="731">
        <v>500000</v>
      </c>
      <c r="E6276" s="731">
        <v>500000</v>
      </c>
      <c r="F6276" s="731">
        <f t="shared" si="501"/>
        <v>1500000</v>
      </c>
      <c r="G6276" s="731">
        <v>99000</v>
      </c>
      <c r="H6276" s="731">
        <v>500000</v>
      </c>
      <c r="I6276" s="731">
        <v>99000</v>
      </c>
      <c r="J6276" s="731"/>
      <c r="K6276" s="732"/>
      <c r="M6276" s="62" t="e">
        <f>IF(#REF!&gt;6,3,5)</f>
        <v>#REF!</v>
      </c>
    </row>
    <row r="6277" spans="1:13">
      <c r="A6277" s="759">
        <f t="shared" si="500"/>
        <v>8</v>
      </c>
      <c r="B6277" s="768" t="s">
        <v>2879</v>
      </c>
      <c r="C6277" s="731" t="s">
        <v>3007</v>
      </c>
      <c r="D6277" s="731" t="s">
        <v>3007</v>
      </c>
      <c r="E6277" s="731" t="s">
        <v>3007</v>
      </c>
      <c r="F6277" s="731">
        <f t="shared" si="501"/>
        <v>0</v>
      </c>
      <c r="G6277" s="731"/>
      <c r="H6277" s="731" t="s">
        <v>3007</v>
      </c>
      <c r="I6277" s="731"/>
      <c r="J6277" s="731"/>
      <c r="K6277" s="732"/>
      <c r="M6277" s="62" t="e">
        <f>IF(#REF!&gt;6,3,5)</f>
        <v>#REF!</v>
      </c>
    </row>
    <row r="6278" spans="1:13">
      <c r="A6278" s="759">
        <f t="shared" si="500"/>
        <v>9</v>
      </c>
      <c r="B6278" s="768" t="s">
        <v>766</v>
      </c>
      <c r="C6278" s="731" t="s">
        <v>3007</v>
      </c>
      <c r="D6278" s="731" t="s">
        <v>3007</v>
      </c>
      <c r="E6278" s="731" t="s">
        <v>3007</v>
      </c>
      <c r="F6278" s="731">
        <f t="shared" si="501"/>
        <v>0</v>
      </c>
      <c r="G6278" s="731"/>
      <c r="H6278" s="731" t="s">
        <v>3007</v>
      </c>
      <c r="I6278" s="731"/>
      <c r="J6278" s="731"/>
      <c r="K6278" s="732"/>
      <c r="M6278" s="62" t="e">
        <f>IF(#REF!&gt;6,3,5)</f>
        <v>#REF!</v>
      </c>
    </row>
    <row r="6279" spans="1:13">
      <c r="A6279" s="759">
        <f t="shared" si="500"/>
        <v>10</v>
      </c>
      <c r="B6279" s="768" t="s">
        <v>1716</v>
      </c>
      <c r="C6279" s="731">
        <v>500000</v>
      </c>
      <c r="D6279" s="731">
        <v>100000</v>
      </c>
      <c r="E6279" s="731">
        <v>100000</v>
      </c>
      <c r="F6279" s="731">
        <f t="shared" si="501"/>
        <v>700000</v>
      </c>
      <c r="G6279" s="731"/>
      <c r="H6279" s="731">
        <v>100000</v>
      </c>
      <c r="I6279" s="731"/>
      <c r="J6279" s="731"/>
      <c r="K6279" s="732"/>
      <c r="M6279" s="62" t="e">
        <f>IF(#REF!&gt;6,3,5)</f>
        <v>#REF!</v>
      </c>
    </row>
    <row r="6280" spans="1:13" ht="25.5">
      <c r="A6280" s="759">
        <f t="shared" si="500"/>
        <v>11</v>
      </c>
      <c r="B6280" s="773" t="s">
        <v>764</v>
      </c>
      <c r="C6280" s="731">
        <v>100000</v>
      </c>
      <c r="D6280" s="731">
        <v>100000</v>
      </c>
      <c r="E6280" s="731">
        <v>100000</v>
      </c>
      <c r="F6280" s="731">
        <f t="shared" si="501"/>
        <v>300000</v>
      </c>
      <c r="G6280" s="731"/>
      <c r="H6280" s="731">
        <v>100000</v>
      </c>
      <c r="I6280" s="731"/>
      <c r="J6280" s="731"/>
      <c r="K6280" s="732"/>
      <c r="M6280" s="62" t="e">
        <f>IF(#REF!&gt;6,3,5)</f>
        <v>#REF!</v>
      </c>
    </row>
    <row r="6281" spans="1:13">
      <c r="A6281" s="759">
        <f t="shared" si="500"/>
        <v>12</v>
      </c>
      <c r="B6281" s="768" t="s">
        <v>2688</v>
      </c>
      <c r="C6281" s="731">
        <v>1500000</v>
      </c>
      <c r="D6281" s="731">
        <v>1500000</v>
      </c>
      <c r="E6281" s="731">
        <v>1500000</v>
      </c>
      <c r="F6281" s="731">
        <f t="shared" si="501"/>
        <v>4500000</v>
      </c>
      <c r="G6281" s="748">
        <v>363514.5</v>
      </c>
      <c r="H6281" s="731">
        <v>1500000</v>
      </c>
      <c r="I6281" s="748">
        <v>363514.5</v>
      </c>
      <c r="J6281" s="731"/>
      <c r="K6281" s="732"/>
      <c r="M6281" s="62" t="e">
        <f>IF(#REF!&gt;6,3,5)</f>
        <v>#REF!</v>
      </c>
    </row>
    <row r="6282" spans="1:13">
      <c r="A6282" s="759">
        <f t="shared" si="500"/>
        <v>13</v>
      </c>
      <c r="B6282" s="768" t="s">
        <v>2249</v>
      </c>
      <c r="C6282" s="731">
        <v>100000</v>
      </c>
      <c r="D6282" s="731">
        <v>100000</v>
      </c>
      <c r="E6282" s="731">
        <v>100000</v>
      </c>
      <c r="F6282" s="731">
        <f t="shared" si="501"/>
        <v>300000</v>
      </c>
      <c r="G6282" s="731"/>
      <c r="H6282" s="731">
        <v>100000</v>
      </c>
      <c r="I6282" s="731"/>
      <c r="J6282" s="731"/>
      <c r="K6282" s="732"/>
      <c r="M6282" s="62" t="e">
        <f>IF(#REF!&gt;6,3,5)</f>
        <v>#REF!</v>
      </c>
    </row>
    <row r="6283" spans="1:13">
      <c r="A6283" s="759">
        <f t="shared" si="500"/>
        <v>14</v>
      </c>
      <c r="B6283" s="768" t="s">
        <v>1192</v>
      </c>
      <c r="C6283" s="731">
        <v>500000</v>
      </c>
      <c r="D6283" s="731">
        <v>800000</v>
      </c>
      <c r="E6283" s="731">
        <v>800000</v>
      </c>
      <c r="F6283" s="731">
        <f t="shared" si="501"/>
        <v>2100000</v>
      </c>
      <c r="G6283" s="731">
        <v>382000</v>
      </c>
      <c r="H6283" s="731">
        <v>800000</v>
      </c>
      <c r="I6283" s="731">
        <v>382000</v>
      </c>
      <c r="J6283" s="731"/>
      <c r="K6283" s="732"/>
      <c r="M6283" s="62" t="e">
        <f>IF(#REF!&gt;6,3,5)</f>
        <v>#REF!</v>
      </c>
    </row>
    <row r="6284" spans="1:13">
      <c r="A6284" s="759"/>
      <c r="B6284" s="759"/>
      <c r="C6284" s="731"/>
      <c r="D6284" s="731"/>
      <c r="E6284" s="731"/>
      <c r="F6284" s="731"/>
      <c r="G6284" s="731"/>
      <c r="H6284" s="731"/>
      <c r="I6284" s="731"/>
      <c r="J6284" s="731"/>
      <c r="K6284" s="732"/>
      <c r="M6284" s="62" t="e">
        <f>IF(#REF!&gt;6,3,5)</f>
        <v>#REF!</v>
      </c>
    </row>
    <row r="6285" spans="1:13">
      <c r="A6285" s="730"/>
      <c r="B6285" s="730"/>
      <c r="C6285" s="390"/>
      <c r="D6285" s="390"/>
      <c r="E6285" s="390"/>
      <c r="F6285" s="390"/>
      <c r="G6285" s="390"/>
      <c r="H6285" s="390"/>
      <c r="I6285" s="390"/>
      <c r="J6285" s="390"/>
      <c r="K6285" s="734"/>
      <c r="M6285" s="62" t="e">
        <f>IF(#REF!&gt;6,3,5)</f>
        <v>#REF!</v>
      </c>
    </row>
    <row r="6286" spans="1:13">
      <c r="A6286" s="738"/>
      <c r="B6286" s="738" t="s">
        <v>1684</v>
      </c>
      <c r="C6286" s="739">
        <f t="shared" ref="C6286:I6286" si="502">SUM(C6270:C6285)</f>
        <v>4900000</v>
      </c>
      <c r="D6286" s="739">
        <f t="shared" si="502"/>
        <v>4800000</v>
      </c>
      <c r="E6286" s="739">
        <f t="shared" si="502"/>
        <v>4800000</v>
      </c>
      <c r="F6286" s="739">
        <f t="shared" si="502"/>
        <v>14500000</v>
      </c>
      <c r="G6286" s="739">
        <f>SUM(G6270:G6285)</f>
        <v>1487514.5</v>
      </c>
      <c r="H6286" s="739">
        <f t="shared" si="502"/>
        <v>4800000</v>
      </c>
      <c r="I6286" s="739">
        <f t="shared" si="502"/>
        <v>1487514.5</v>
      </c>
      <c r="J6286" s="739"/>
      <c r="K6286" s="740"/>
      <c r="M6286" s="62" t="e">
        <f>IF(#REF!&gt;6,3,5)</f>
        <v>#REF!</v>
      </c>
    </row>
    <row r="6287" spans="1:13" ht="15">
      <c r="C6287" s="175"/>
      <c r="D6287" s="165"/>
      <c r="E6287" s="165"/>
      <c r="F6287" s="165"/>
      <c r="G6287" s="165"/>
      <c r="H6287" s="165"/>
      <c r="I6287" s="165"/>
      <c r="J6287" s="584"/>
      <c r="K6287" s="584"/>
      <c r="M6287" s="62">
        <f t="shared" ref="M6287:M6295" si="503">IF(C6287&gt;6,3,5)</f>
        <v>5</v>
      </c>
    </row>
    <row r="6288" spans="1:13" ht="15">
      <c r="C6288" s="166"/>
      <c r="D6288" s="78" t="s">
        <v>5434</v>
      </c>
      <c r="E6288" s="165"/>
      <c r="F6288" s="165"/>
      <c r="G6288" s="165"/>
      <c r="H6288" s="165"/>
      <c r="I6288" s="165"/>
      <c r="J6288" s="584"/>
      <c r="K6288" s="584"/>
      <c r="M6288" s="62">
        <f t="shared" si="503"/>
        <v>5</v>
      </c>
    </row>
    <row r="6289" spans="1:13" ht="15">
      <c r="C6289" s="166"/>
      <c r="D6289" s="164" t="s">
        <v>1693</v>
      </c>
      <c r="E6289" s="165"/>
      <c r="F6289" s="165"/>
      <c r="G6289" s="165"/>
      <c r="H6289" s="165"/>
      <c r="I6289" s="165"/>
      <c r="J6289" s="584"/>
      <c r="K6289" s="584"/>
    </row>
    <row r="6290" spans="1:13" ht="15">
      <c r="C6290" s="79" t="s">
        <v>717</v>
      </c>
      <c r="D6290" s="164" t="s">
        <v>1419</v>
      </c>
      <c r="E6290" s="165"/>
      <c r="F6290" s="165"/>
      <c r="G6290" s="165"/>
      <c r="H6290" s="165"/>
      <c r="I6290" s="165"/>
      <c r="J6290" s="584"/>
      <c r="K6290" s="584"/>
      <c r="M6290" s="62">
        <f t="shared" si="503"/>
        <v>3</v>
      </c>
    </row>
    <row r="6291" spans="1:13" ht="15.75" thickBot="1">
      <c r="C6291" s="79" t="s">
        <v>718</v>
      </c>
      <c r="D6291" s="164" t="s">
        <v>3595</v>
      </c>
      <c r="E6291" s="165"/>
      <c r="F6291" s="165"/>
      <c r="G6291" s="165"/>
      <c r="H6291" s="165"/>
      <c r="I6291" s="165"/>
      <c r="J6291" s="584"/>
      <c r="K6291" s="584"/>
      <c r="M6291" s="62">
        <f t="shared" si="503"/>
        <v>3</v>
      </c>
    </row>
    <row r="6292" spans="1:13" ht="15.75" thickTop="1">
      <c r="A6292" s="1047" t="s">
        <v>2791</v>
      </c>
      <c r="B6292" s="1049" t="s">
        <v>4126</v>
      </c>
      <c r="C6292" s="1049" t="s">
        <v>854</v>
      </c>
      <c r="D6292" s="1040" t="s">
        <v>4127</v>
      </c>
      <c r="E6292" s="1041"/>
      <c r="F6292" s="1041"/>
      <c r="G6292" s="1040" t="s">
        <v>904</v>
      </c>
      <c r="H6292" s="1041"/>
      <c r="I6292" s="1042"/>
      <c r="J6292" s="1035" t="s">
        <v>855</v>
      </c>
      <c r="K6292" s="389"/>
    </row>
    <row r="6293" spans="1:13" ht="26.25" thickBot="1">
      <c r="A6293" s="1048"/>
      <c r="B6293" s="1050"/>
      <c r="C6293" s="1050"/>
      <c r="D6293" s="285" t="s">
        <v>5505</v>
      </c>
      <c r="E6293" s="285" t="s">
        <v>4485</v>
      </c>
      <c r="F6293" s="285" t="s">
        <v>4486</v>
      </c>
      <c r="G6293" s="287" t="s">
        <v>4487</v>
      </c>
      <c r="H6293" s="285" t="s">
        <v>4488</v>
      </c>
      <c r="I6293" s="287" t="s">
        <v>4489</v>
      </c>
      <c r="J6293" s="1036"/>
      <c r="K6293" s="712"/>
    </row>
    <row r="6294" spans="1:13" ht="13.5" thickTop="1">
      <c r="A6294" s="88">
        <v>1</v>
      </c>
      <c r="B6294" s="69" t="s">
        <v>2970</v>
      </c>
      <c r="C6294" s="167" t="s">
        <v>2335</v>
      </c>
      <c r="D6294" s="155">
        <v>1</v>
      </c>
      <c r="E6294" s="155">
        <v>1</v>
      </c>
      <c r="F6294" s="155">
        <v>1</v>
      </c>
      <c r="G6294" s="155">
        <v>1</v>
      </c>
      <c r="H6294" s="155">
        <v>1</v>
      </c>
      <c r="I6294" s="155">
        <v>1</v>
      </c>
      <c r="J6294" s="713"/>
      <c r="K6294" s="711"/>
      <c r="M6294" s="62">
        <f t="shared" si="503"/>
        <v>3</v>
      </c>
    </row>
    <row r="6295" spans="1:13">
      <c r="A6295" s="88">
        <v>2</v>
      </c>
      <c r="B6295" s="69" t="s">
        <v>3596</v>
      </c>
      <c r="C6295" s="167" t="s">
        <v>2335</v>
      </c>
      <c r="D6295" s="155">
        <v>7</v>
      </c>
      <c r="E6295" s="155">
        <v>7</v>
      </c>
      <c r="F6295" s="155">
        <v>7</v>
      </c>
      <c r="G6295" s="155">
        <v>7</v>
      </c>
      <c r="H6295" s="155">
        <v>7</v>
      </c>
      <c r="I6295" s="155">
        <v>7</v>
      </c>
      <c r="J6295" s="713"/>
      <c r="K6295" s="711"/>
      <c r="M6295" s="62">
        <f t="shared" si="503"/>
        <v>3</v>
      </c>
    </row>
    <row r="6296" spans="1:13">
      <c r="A6296" s="88">
        <v>8</v>
      </c>
      <c r="B6296" s="69" t="s">
        <v>2333</v>
      </c>
      <c r="C6296" s="167">
        <v>16</v>
      </c>
      <c r="D6296" s="155">
        <v>1</v>
      </c>
      <c r="E6296" s="155">
        <v>1</v>
      </c>
      <c r="F6296" s="155">
        <v>1</v>
      </c>
      <c r="G6296" s="155">
        <v>1</v>
      </c>
      <c r="H6296" s="155">
        <v>1</v>
      </c>
      <c r="I6296" s="155">
        <v>1</v>
      </c>
      <c r="J6296" s="713"/>
      <c r="K6296" s="711"/>
      <c r="M6296" s="62">
        <f t="shared" ref="M6296:M6325" si="504">IF(C6296&gt;6,3,5)</f>
        <v>3</v>
      </c>
    </row>
    <row r="6297" spans="1:13">
      <c r="A6297" s="88"/>
      <c r="B6297" s="90" t="s">
        <v>800</v>
      </c>
      <c r="C6297" s="167"/>
      <c r="D6297" s="155"/>
      <c r="E6297" s="155"/>
      <c r="F6297" s="155"/>
      <c r="G6297" s="155"/>
      <c r="H6297" s="155"/>
      <c r="I6297" s="155"/>
      <c r="J6297" s="713"/>
      <c r="K6297" s="711"/>
      <c r="M6297" s="62">
        <f t="shared" si="504"/>
        <v>5</v>
      </c>
    </row>
    <row r="6298" spans="1:13">
      <c r="A6298" s="88">
        <v>9</v>
      </c>
      <c r="B6298" s="69" t="s">
        <v>3597</v>
      </c>
      <c r="C6298" s="167">
        <v>6</v>
      </c>
      <c r="D6298" s="155">
        <v>0</v>
      </c>
      <c r="E6298" s="155">
        <v>2</v>
      </c>
      <c r="F6298" s="155">
        <v>0</v>
      </c>
      <c r="G6298" s="155">
        <v>0</v>
      </c>
      <c r="H6298" s="155">
        <v>2</v>
      </c>
      <c r="I6298" s="155">
        <v>0</v>
      </c>
      <c r="J6298" s="710">
        <f>(VLOOKUP($C6298,[2]Sheet1!$A$2:$P$18,$M6298+1)/12)*12*D6298</f>
        <v>0</v>
      </c>
      <c r="K6298" s="711"/>
      <c r="M6298" s="62">
        <f t="shared" si="504"/>
        <v>5</v>
      </c>
    </row>
    <row r="6299" spans="1:13">
      <c r="A6299" s="88">
        <f t="shared" ref="A6299:A6308" si="505">1+A6298</f>
        <v>10</v>
      </c>
      <c r="B6299" s="69" t="s">
        <v>2989</v>
      </c>
      <c r="C6299" s="167">
        <v>5</v>
      </c>
      <c r="D6299" s="155">
        <v>0</v>
      </c>
      <c r="E6299" s="155">
        <v>0</v>
      </c>
      <c r="F6299" s="155">
        <v>0</v>
      </c>
      <c r="G6299" s="155">
        <v>0</v>
      </c>
      <c r="H6299" s="155">
        <v>0</v>
      </c>
      <c r="I6299" s="155">
        <v>0</v>
      </c>
      <c r="J6299" s="710">
        <f>(VLOOKUP($C6299,[2]Sheet1!$A$2:$P$18,$M6299+1)/12)*12*D6299</f>
        <v>0</v>
      </c>
      <c r="K6299" s="711"/>
      <c r="M6299" s="62">
        <f t="shared" si="504"/>
        <v>5</v>
      </c>
    </row>
    <row r="6300" spans="1:13">
      <c r="A6300" s="88">
        <f t="shared" si="505"/>
        <v>11</v>
      </c>
      <c r="B6300" s="69" t="s">
        <v>2990</v>
      </c>
      <c r="C6300" s="167">
        <v>4</v>
      </c>
      <c r="D6300" s="155">
        <v>0</v>
      </c>
      <c r="E6300" s="155">
        <v>2</v>
      </c>
      <c r="F6300" s="155">
        <v>0</v>
      </c>
      <c r="G6300" s="155">
        <v>0</v>
      </c>
      <c r="H6300" s="155">
        <v>2</v>
      </c>
      <c r="I6300" s="155">
        <v>0</v>
      </c>
      <c r="J6300" s="710">
        <f>(VLOOKUP($C6300,[2]Sheet1!$A$2:$P$18,$M6300+1)/12)*12*D6300</f>
        <v>0</v>
      </c>
      <c r="K6300" s="711"/>
      <c r="M6300" s="62">
        <f t="shared" si="504"/>
        <v>5</v>
      </c>
    </row>
    <row r="6301" spans="1:13">
      <c r="A6301" s="88">
        <f t="shared" si="505"/>
        <v>12</v>
      </c>
      <c r="B6301" s="69" t="s">
        <v>512</v>
      </c>
      <c r="C6301" s="167">
        <v>3</v>
      </c>
      <c r="D6301" s="155">
        <v>0</v>
      </c>
      <c r="E6301" s="155">
        <v>2</v>
      </c>
      <c r="F6301" s="155">
        <v>0</v>
      </c>
      <c r="G6301" s="155">
        <v>0</v>
      </c>
      <c r="H6301" s="155">
        <v>2</v>
      </c>
      <c r="I6301" s="155">
        <v>0</v>
      </c>
      <c r="J6301" s="710">
        <f>(VLOOKUP($C6301,[2]Sheet1!$A$2:$P$18,$M6301+1)/12)*12*D6301</f>
        <v>0</v>
      </c>
      <c r="K6301" s="711"/>
      <c r="M6301" s="62">
        <f t="shared" si="504"/>
        <v>5</v>
      </c>
    </row>
    <row r="6302" spans="1:13">
      <c r="A6302" s="88">
        <f t="shared" si="505"/>
        <v>13</v>
      </c>
      <c r="B6302" s="69" t="s">
        <v>3897</v>
      </c>
      <c r="C6302" s="167">
        <v>6</v>
      </c>
      <c r="D6302" s="155">
        <v>0</v>
      </c>
      <c r="E6302" s="155">
        <v>2</v>
      </c>
      <c r="F6302" s="155">
        <v>0</v>
      </c>
      <c r="G6302" s="155">
        <v>0</v>
      </c>
      <c r="H6302" s="155">
        <v>2</v>
      </c>
      <c r="I6302" s="155">
        <v>0</v>
      </c>
      <c r="J6302" s="710">
        <f>(VLOOKUP($C6302,[2]Sheet1!$A$2:$P$18,$M6302+1)/12)*12*D6302</f>
        <v>0</v>
      </c>
      <c r="K6302" s="711"/>
      <c r="M6302" s="62">
        <f t="shared" si="504"/>
        <v>5</v>
      </c>
    </row>
    <row r="6303" spans="1:13">
      <c r="A6303" s="88">
        <f t="shared" si="505"/>
        <v>14</v>
      </c>
      <c r="B6303" s="69" t="s">
        <v>866</v>
      </c>
      <c r="C6303" s="167">
        <v>7</v>
      </c>
      <c r="D6303" s="155">
        <v>0</v>
      </c>
      <c r="E6303" s="155">
        <v>0</v>
      </c>
      <c r="F6303" s="155">
        <v>0</v>
      </c>
      <c r="G6303" s="155">
        <v>0</v>
      </c>
      <c r="H6303" s="155">
        <v>0</v>
      </c>
      <c r="I6303" s="155">
        <v>0</v>
      </c>
      <c r="J6303" s="710">
        <f>(VLOOKUP($C6303,[2]Sheet1!$A$2:$P$18,$M6303+1)/12)*12*D6303</f>
        <v>0</v>
      </c>
      <c r="K6303" s="711"/>
      <c r="M6303" s="62">
        <f t="shared" si="504"/>
        <v>3</v>
      </c>
    </row>
    <row r="6304" spans="1:13">
      <c r="A6304" s="88">
        <f t="shared" si="505"/>
        <v>15</v>
      </c>
      <c r="B6304" s="69" t="s">
        <v>3796</v>
      </c>
      <c r="C6304" s="167">
        <v>3</v>
      </c>
      <c r="D6304" s="155">
        <v>0</v>
      </c>
      <c r="E6304" s="155">
        <v>2</v>
      </c>
      <c r="F6304" s="155">
        <v>0</v>
      </c>
      <c r="G6304" s="155">
        <v>0</v>
      </c>
      <c r="H6304" s="155">
        <v>2</v>
      </c>
      <c r="I6304" s="155">
        <v>0</v>
      </c>
      <c r="J6304" s="710">
        <f>(VLOOKUP($C6304,[2]Sheet1!$A$2:$P$18,$M6304+1)/12)*12*D6304</f>
        <v>0</v>
      </c>
      <c r="K6304" s="711"/>
      <c r="M6304" s="62">
        <f t="shared" si="504"/>
        <v>5</v>
      </c>
    </row>
    <row r="6305" spans="1:13">
      <c r="A6305" s="88">
        <f t="shared" si="505"/>
        <v>16</v>
      </c>
      <c r="B6305" s="69" t="s">
        <v>3797</v>
      </c>
      <c r="C6305" s="167">
        <v>3</v>
      </c>
      <c r="D6305" s="155">
        <v>0</v>
      </c>
      <c r="E6305" s="155">
        <v>2</v>
      </c>
      <c r="F6305" s="155">
        <v>0</v>
      </c>
      <c r="G6305" s="155">
        <v>0</v>
      </c>
      <c r="H6305" s="155">
        <v>2</v>
      </c>
      <c r="I6305" s="155">
        <v>0</v>
      </c>
      <c r="J6305" s="710">
        <f>(VLOOKUP($C6305,[2]Sheet1!$A$2:$P$18,$M6305+1)/12)*12*D6305</f>
        <v>0</v>
      </c>
      <c r="K6305" s="711"/>
      <c r="M6305" s="62">
        <f t="shared" si="504"/>
        <v>5</v>
      </c>
    </row>
    <row r="6306" spans="1:13">
      <c r="A6306" s="88">
        <f t="shared" si="505"/>
        <v>17</v>
      </c>
      <c r="B6306" s="69" t="s">
        <v>2232</v>
      </c>
      <c r="C6306" s="167">
        <v>3</v>
      </c>
      <c r="D6306" s="155">
        <v>0</v>
      </c>
      <c r="E6306" s="155">
        <v>2</v>
      </c>
      <c r="F6306" s="155">
        <v>0</v>
      </c>
      <c r="G6306" s="155">
        <v>0</v>
      </c>
      <c r="H6306" s="155">
        <v>2</v>
      </c>
      <c r="I6306" s="155">
        <v>0</v>
      </c>
      <c r="J6306" s="710">
        <f>(VLOOKUP($C6306,[2]Sheet1!$A$2:$P$18,$M6306+1)/12)*12*D6306</f>
        <v>0</v>
      </c>
      <c r="K6306" s="711"/>
      <c r="M6306" s="62">
        <f t="shared" si="504"/>
        <v>5</v>
      </c>
    </row>
    <row r="6307" spans="1:13">
      <c r="A6307" s="88">
        <f t="shared" si="505"/>
        <v>18</v>
      </c>
      <c r="B6307" s="69" t="s">
        <v>3674</v>
      </c>
      <c r="C6307" s="167">
        <v>2</v>
      </c>
      <c r="D6307" s="155">
        <v>0</v>
      </c>
      <c r="E6307" s="155">
        <v>2</v>
      </c>
      <c r="F6307" s="155">
        <v>0</v>
      </c>
      <c r="G6307" s="155">
        <v>0</v>
      </c>
      <c r="H6307" s="155">
        <v>2</v>
      </c>
      <c r="I6307" s="155">
        <v>0</v>
      </c>
      <c r="J6307" s="710">
        <f>(VLOOKUP($C6307,[2]Sheet1!$A$2:$P$18,$M6307+1)/12)*12*D6307</f>
        <v>0</v>
      </c>
      <c r="K6307" s="711"/>
      <c r="M6307" s="62">
        <f t="shared" si="504"/>
        <v>5</v>
      </c>
    </row>
    <row r="6308" spans="1:13">
      <c r="A6308" s="88">
        <f t="shared" si="505"/>
        <v>19</v>
      </c>
      <c r="B6308" s="69" t="s">
        <v>2543</v>
      </c>
      <c r="C6308" s="167">
        <v>2</v>
      </c>
      <c r="D6308" s="155">
        <v>0</v>
      </c>
      <c r="E6308" s="155">
        <v>2</v>
      </c>
      <c r="F6308" s="155">
        <v>0</v>
      </c>
      <c r="G6308" s="155">
        <v>0</v>
      </c>
      <c r="H6308" s="155">
        <v>2</v>
      </c>
      <c r="I6308" s="155">
        <v>0</v>
      </c>
      <c r="J6308" s="710">
        <f>(VLOOKUP($C6308,[2]Sheet1!$A$2:$P$18,$M6308+1)/12)*12*D6308</f>
        <v>0</v>
      </c>
      <c r="K6308" s="711"/>
      <c r="M6308" s="62">
        <f t="shared" si="504"/>
        <v>5</v>
      </c>
    </row>
    <row r="6309" spans="1:13">
      <c r="A6309" s="88"/>
      <c r="B6309" s="90" t="s">
        <v>1851</v>
      </c>
      <c r="C6309" s="167"/>
      <c r="D6309" s="155"/>
      <c r="E6309" s="155"/>
      <c r="F6309" s="155"/>
      <c r="G6309" s="155"/>
      <c r="H6309" s="155"/>
      <c r="I6309" s="155"/>
      <c r="J6309" s="710"/>
      <c r="K6309" s="711"/>
      <c r="M6309" s="62">
        <f t="shared" si="504"/>
        <v>5</v>
      </c>
    </row>
    <row r="6310" spans="1:13">
      <c r="A6310" s="88">
        <v>20</v>
      </c>
      <c r="B6310" s="69" t="s">
        <v>513</v>
      </c>
      <c r="C6310" s="167">
        <v>6</v>
      </c>
      <c r="D6310" s="155">
        <v>0</v>
      </c>
      <c r="E6310" s="155">
        <v>1</v>
      </c>
      <c r="F6310" s="155">
        <v>0</v>
      </c>
      <c r="G6310" s="155">
        <v>0</v>
      </c>
      <c r="H6310" s="155">
        <v>1</v>
      </c>
      <c r="I6310" s="155">
        <v>0</v>
      </c>
      <c r="J6310" s="710">
        <f>(VLOOKUP($C6310,[2]Sheet1!$A$2:$P$18,$M6310+1)/12)*12*D6310</f>
        <v>0</v>
      </c>
      <c r="K6310" s="711"/>
      <c r="M6310" s="62">
        <f t="shared" si="504"/>
        <v>5</v>
      </c>
    </row>
    <row r="6311" spans="1:13">
      <c r="A6311" s="88">
        <f t="shared" ref="A6311:A6316" si="506">1+A6310</f>
        <v>21</v>
      </c>
      <c r="B6311" s="69" t="s">
        <v>798</v>
      </c>
      <c r="C6311" s="167">
        <v>6</v>
      </c>
      <c r="D6311" s="155">
        <v>0</v>
      </c>
      <c r="E6311" s="155">
        <v>1</v>
      </c>
      <c r="F6311" s="155">
        <v>0</v>
      </c>
      <c r="G6311" s="155">
        <v>0</v>
      </c>
      <c r="H6311" s="155">
        <v>1</v>
      </c>
      <c r="I6311" s="155">
        <v>0</v>
      </c>
      <c r="J6311" s="710">
        <f>(VLOOKUP($C6311,[2]Sheet1!$A$2:$P$18,$M6311+1)/12)*12*D6311</f>
        <v>0</v>
      </c>
      <c r="K6311" s="711"/>
      <c r="M6311" s="62">
        <f t="shared" si="504"/>
        <v>5</v>
      </c>
    </row>
    <row r="6312" spans="1:13">
      <c r="A6312" s="88">
        <f t="shared" si="506"/>
        <v>22</v>
      </c>
      <c r="B6312" s="69" t="s">
        <v>275</v>
      </c>
      <c r="C6312" s="167">
        <v>5</v>
      </c>
      <c r="D6312" s="155">
        <v>0</v>
      </c>
      <c r="E6312" s="155">
        <v>0</v>
      </c>
      <c r="F6312" s="155">
        <v>0</v>
      </c>
      <c r="G6312" s="155">
        <v>0</v>
      </c>
      <c r="H6312" s="155">
        <v>0</v>
      </c>
      <c r="I6312" s="155">
        <v>0</v>
      </c>
      <c r="J6312" s="710">
        <f>(VLOOKUP($C6312,[2]Sheet1!$A$2:$P$18,$M6312+1)/12)*12*D6312</f>
        <v>0</v>
      </c>
      <c r="K6312" s="711"/>
      <c r="M6312" s="62">
        <f t="shared" si="504"/>
        <v>5</v>
      </c>
    </row>
    <row r="6313" spans="1:13">
      <c r="A6313" s="88">
        <f t="shared" si="506"/>
        <v>23</v>
      </c>
      <c r="B6313" s="69" t="s">
        <v>1315</v>
      </c>
      <c r="C6313" s="167">
        <v>4</v>
      </c>
      <c r="D6313" s="155">
        <v>0</v>
      </c>
      <c r="E6313" s="155">
        <v>1</v>
      </c>
      <c r="F6313" s="155">
        <v>0</v>
      </c>
      <c r="G6313" s="155">
        <v>0</v>
      </c>
      <c r="H6313" s="155">
        <v>1</v>
      </c>
      <c r="I6313" s="155">
        <v>0</v>
      </c>
      <c r="J6313" s="710">
        <f>(VLOOKUP($C6313,[2]Sheet1!$A$2:$P$18,$M6313+1)/12)*12*D6313</f>
        <v>0</v>
      </c>
      <c r="K6313" s="711"/>
      <c r="M6313" s="62">
        <f t="shared" si="504"/>
        <v>5</v>
      </c>
    </row>
    <row r="6314" spans="1:13">
      <c r="A6314" s="88">
        <f t="shared" si="506"/>
        <v>24</v>
      </c>
      <c r="B6314" s="69" t="s">
        <v>2874</v>
      </c>
      <c r="C6314" s="167">
        <v>4</v>
      </c>
      <c r="D6314" s="155">
        <v>0</v>
      </c>
      <c r="E6314" s="155">
        <v>0</v>
      </c>
      <c r="F6314" s="155">
        <v>0</v>
      </c>
      <c r="G6314" s="155">
        <v>0</v>
      </c>
      <c r="H6314" s="155">
        <v>0</v>
      </c>
      <c r="I6314" s="155">
        <v>0</v>
      </c>
      <c r="J6314" s="710">
        <f>(VLOOKUP($C6314,[2]Sheet1!$A$2:$P$18,$M6314+1)/12)*12*D6314</f>
        <v>0</v>
      </c>
      <c r="K6314" s="711"/>
      <c r="M6314" s="62">
        <f t="shared" si="504"/>
        <v>5</v>
      </c>
    </row>
    <row r="6315" spans="1:13">
      <c r="A6315" s="88">
        <f t="shared" si="506"/>
        <v>25</v>
      </c>
      <c r="B6315" s="69" t="s">
        <v>595</v>
      </c>
      <c r="C6315" s="167">
        <v>3</v>
      </c>
      <c r="D6315" s="155">
        <v>0</v>
      </c>
      <c r="E6315" s="155">
        <v>1</v>
      </c>
      <c r="F6315" s="155">
        <v>0</v>
      </c>
      <c r="G6315" s="155">
        <v>0</v>
      </c>
      <c r="H6315" s="155">
        <v>1</v>
      </c>
      <c r="I6315" s="155">
        <v>0</v>
      </c>
      <c r="J6315" s="710">
        <f>(VLOOKUP($C6315,[2]Sheet1!$A$2:$P$18,$M6315+1)/12)*12*D6315</f>
        <v>0</v>
      </c>
      <c r="K6315" s="711"/>
      <c r="M6315" s="62">
        <f t="shared" si="504"/>
        <v>5</v>
      </c>
    </row>
    <row r="6316" spans="1:13">
      <c r="A6316" s="88">
        <f t="shared" si="506"/>
        <v>26</v>
      </c>
      <c r="B6316" s="69" t="s">
        <v>1314</v>
      </c>
      <c r="C6316" s="167">
        <v>3</v>
      </c>
      <c r="D6316" s="155">
        <v>0</v>
      </c>
      <c r="E6316" s="155">
        <v>1</v>
      </c>
      <c r="F6316" s="155">
        <v>0</v>
      </c>
      <c r="G6316" s="155">
        <v>0</v>
      </c>
      <c r="H6316" s="155">
        <v>1</v>
      </c>
      <c r="I6316" s="155">
        <v>0</v>
      </c>
      <c r="J6316" s="710">
        <f>(VLOOKUP($C6316,[2]Sheet1!$A$2:$P$18,$M6316+1)/12)*12*D6316</f>
        <v>0</v>
      </c>
      <c r="K6316" s="711"/>
      <c r="M6316" s="62">
        <f t="shared" si="504"/>
        <v>5</v>
      </c>
    </row>
    <row r="6317" spans="1:13">
      <c r="A6317" s="88"/>
      <c r="B6317" s="90" t="s">
        <v>2568</v>
      </c>
      <c r="C6317" s="167"/>
      <c r="D6317" s="155"/>
      <c r="E6317" s="155"/>
      <c r="F6317" s="155"/>
      <c r="G6317" s="155"/>
      <c r="H6317" s="155"/>
      <c r="I6317" s="155"/>
      <c r="J6317" s="713"/>
      <c r="K6317" s="711"/>
      <c r="M6317" s="62">
        <f t="shared" si="504"/>
        <v>5</v>
      </c>
    </row>
    <row r="6318" spans="1:13">
      <c r="A6318" s="88">
        <v>27</v>
      </c>
      <c r="B6318" s="69" t="s">
        <v>2998</v>
      </c>
      <c r="C6318" s="167">
        <v>16</v>
      </c>
      <c r="D6318" s="155">
        <v>0</v>
      </c>
      <c r="E6318" s="155" t="s">
        <v>1386</v>
      </c>
      <c r="F6318" s="155">
        <v>0</v>
      </c>
      <c r="G6318" s="155">
        <v>0</v>
      </c>
      <c r="H6318" s="155" t="s">
        <v>1386</v>
      </c>
      <c r="I6318" s="155">
        <v>0</v>
      </c>
      <c r="J6318" s="710">
        <f>(VLOOKUP($C6318,[2]Sheet1!$A$2:$P$18,$M6318+1)/12)*12*D6318</f>
        <v>0</v>
      </c>
      <c r="K6318" s="711"/>
      <c r="M6318" s="62">
        <f t="shared" si="504"/>
        <v>3</v>
      </c>
    </row>
    <row r="6319" spans="1:13">
      <c r="A6319" s="88">
        <f t="shared" ref="A6319:A6339" si="507">1+A6318</f>
        <v>28</v>
      </c>
      <c r="B6319" s="69" t="s">
        <v>2170</v>
      </c>
      <c r="C6319" s="167">
        <v>15</v>
      </c>
      <c r="D6319" s="155">
        <v>0</v>
      </c>
      <c r="E6319" s="155" t="s">
        <v>1386</v>
      </c>
      <c r="F6319" s="155">
        <v>0</v>
      </c>
      <c r="G6319" s="155">
        <v>0</v>
      </c>
      <c r="H6319" s="155" t="s">
        <v>1386</v>
      </c>
      <c r="I6319" s="155">
        <v>0</v>
      </c>
      <c r="J6319" s="710">
        <f>(VLOOKUP($C6319,[2]Sheet1!$A$2:$P$18,$M6319+1)/12)*12*D6319</f>
        <v>0</v>
      </c>
      <c r="K6319" s="711"/>
      <c r="M6319" s="62">
        <f t="shared" si="504"/>
        <v>3</v>
      </c>
    </row>
    <row r="6320" spans="1:13">
      <c r="A6320" s="88">
        <f t="shared" si="507"/>
        <v>29</v>
      </c>
      <c r="B6320" s="69" t="s">
        <v>3166</v>
      </c>
      <c r="C6320" s="167">
        <v>14</v>
      </c>
      <c r="D6320" s="155">
        <v>0</v>
      </c>
      <c r="E6320" s="155">
        <v>1</v>
      </c>
      <c r="F6320" s="155">
        <v>0</v>
      </c>
      <c r="G6320" s="155">
        <v>0</v>
      </c>
      <c r="H6320" s="155">
        <v>1</v>
      </c>
      <c r="I6320" s="155">
        <v>0</v>
      </c>
      <c r="J6320" s="710">
        <f>(VLOOKUP($C6320,[2]Sheet1!$A$2:$P$18,$M6320+1)/12)*12*D6320</f>
        <v>0</v>
      </c>
      <c r="K6320" s="711"/>
      <c r="M6320" s="62">
        <f t="shared" si="504"/>
        <v>3</v>
      </c>
    </row>
    <row r="6321" spans="1:13">
      <c r="A6321" s="88">
        <f t="shared" si="507"/>
        <v>30</v>
      </c>
      <c r="B6321" s="69" t="s">
        <v>3167</v>
      </c>
      <c r="C6321" s="167">
        <v>12</v>
      </c>
      <c r="D6321" s="155">
        <v>0</v>
      </c>
      <c r="E6321" s="155">
        <v>1</v>
      </c>
      <c r="F6321" s="155">
        <v>0</v>
      </c>
      <c r="G6321" s="155">
        <v>0</v>
      </c>
      <c r="H6321" s="155">
        <v>1</v>
      </c>
      <c r="I6321" s="155">
        <v>0</v>
      </c>
      <c r="J6321" s="710">
        <f>(VLOOKUP($C6321,[2]Sheet1!$A$2:$P$18,$M6321+1)/12)*12*D6321</f>
        <v>0</v>
      </c>
      <c r="K6321" s="711"/>
      <c r="M6321" s="62">
        <f t="shared" si="504"/>
        <v>3</v>
      </c>
    </row>
    <row r="6322" spans="1:13">
      <c r="A6322" s="88">
        <f t="shared" si="507"/>
        <v>31</v>
      </c>
      <c r="B6322" s="69" t="s">
        <v>1791</v>
      </c>
      <c r="C6322" s="167">
        <v>12</v>
      </c>
      <c r="D6322" s="155">
        <v>0</v>
      </c>
      <c r="E6322" s="155">
        <v>1</v>
      </c>
      <c r="F6322" s="155">
        <v>0</v>
      </c>
      <c r="G6322" s="155">
        <v>0</v>
      </c>
      <c r="H6322" s="155">
        <v>1</v>
      </c>
      <c r="I6322" s="155">
        <v>0</v>
      </c>
      <c r="J6322" s="710">
        <f>(VLOOKUP($C6322,[2]Sheet1!$A$2:$P$18,$M6322+1)/12)*12*D6322</f>
        <v>0</v>
      </c>
      <c r="K6322" s="711"/>
      <c r="M6322" s="62">
        <f t="shared" si="504"/>
        <v>3</v>
      </c>
    </row>
    <row r="6323" spans="1:13">
      <c r="A6323" s="88">
        <f t="shared" si="507"/>
        <v>32</v>
      </c>
      <c r="B6323" s="69" t="s">
        <v>1792</v>
      </c>
      <c r="C6323" s="167">
        <v>10</v>
      </c>
      <c r="D6323" s="155">
        <v>0</v>
      </c>
      <c r="E6323" s="155">
        <v>1</v>
      </c>
      <c r="F6323" s="155">
        <v>0</v>
      </c>
      <c r="G6323" s="155">
        <v>0</v>
      </c>
      <c r="H6323" s="155">
        <v>1</v>
      </c>
      <c r="I6323" s="155">
        <v>0</v>
      </c>
      <c r="J6323" s="710">
        <f>(VLOOKUP($C6323,[2]Sheet1!$A$2:$P$18,$M6323+1)/12)*12*D6323</f>
        <v>0</v>
      </c>
      <c r="K6323" s="711"/>
      <c r="M6323" s="62">
        <f t="shared" si="504"/>
        <v>3</v>
      </c>
    </row>
    <row r="6324" spans="1:13">
      <c r="A6324" s="88">
        <f t="shared" si="507"/>
        <v>33</v>
      </c>
      <c r="B6324" s="69" t="s">
        <v>2569</v>
      </c>
      <c r="C6324" s="167">
        <v>10</v>
      </c>
      <c r="D6324" s="155">
        <v>0</v>
      </c>
      <c r="E6324" s="155">
        <v>1</v>
      </c>
      <c r="F6324" s="155">
        <v>0</v>
      </c>
      <c r="G6324" s="155">
        <v>0</v>
      </c>
      <c r="H6324" s="155">
        <v>1</v>
      </c>
      <c r="I6324" s="155">
        <v>0</v>
      </c>
      <c r="J6324" s="710">
        <f>(VLOOKUP($C6324,[2]Sheet1!$A$2:$P$18,$M6324+1)/12)*12*D6324</f>
        <v>0</v>
      </c>
      <c r="K6324" s="711"/>
      <c r="M6324" s="62">
        <f t="shared" si="504"/>
        <v>3</v>
      </c>
    </row>
    <row r="6325" spans="1:13">
      <c r="A6325" s="88">
        <f t="shared" si="507"/>
        <v>34</v>
      </c>
      <c r="B6325" s="69" t="s">
        <v>3237</v>
      </c>
      <c r="C6325" s="167">
        <v>10</v>
      </c>
      <c r="D6325" s="155">
        <v>0</v>
      </c>
      <c r="E6325" s="155">
        <v>1</v>
      </c>
      <c r="F6325" s="155">
        <v>0</v>
      </c>
      <c r="G6325" s="155">
        <v>0</v>
      </c>
      <c r="H6325" s="155">
        <v>1</v>
      </c>
      <c r="I6325" s="155">
        <v>0</v>
      </c>
      <c r="J6325" s="710">
        <f>(VLOOKUP($C6325,[2]Sheet1!$A$2:$P$18,$M6325+1)/12)*12*D6325</f>
        <v>0</v>
      </c>
      <c r="K6325" s="711"/>
      <c r="M6325" s="62">
        <f t="shared" si="504"/>
        <v>3</v>
      </c>
    </row>
    <row r="6326" spans="1:13">
      <c r="A6326" s="88">
        <f t="shared" si="507"/>
        <v>35</v>
      </c>
      <c r="B6326" s="69" t="s">
        <v>2863</v>
      </c>
      <c r="C6326" s="167">
        <v>8</v>
      </c>
      <c r="D6326" s="155">
        <v>0</v>
      </c>
      <c r="E6326" s="155">
        <v>1</v>
      </c>
      <c r="F6326" s="155">
        <v>0</v>
      </c>
      <c r="G6326" s="155">
        <v>0</v>
      </c>
      <c r="H6326" s="155">
        <v>1</v>
      </c>
      <c r="I6326" s="155">
        <v>0</v>
      </c>
      <c r="J6326" s="710">
        <f>(VLOOKUP($C6326,[2]Sheet1!$A$2:$P$18,$M6326+1)/12)*12*D6326</f>
        <v>0</v>
      </c>
      <c r="K6326" s="711"/>
      <c r="M6326" s="62">
        <f t="shared" ref="M6326:M6344" si="508">IF(C6326&gt;6,3,5)</f>
        <v>3</v>
      </c>
    </row>
    <row r="6327" spans="1:13">
      <c r="A6327" s="88">
        <f t="shared" si="507"/>
        <v>36</v>
      </c>
      <c r="B6327" s="69" t="s">
        <v>3170</v>
      </c>
      <c r="C6327" s="167">
        <v>8</v>
      </c>
      <c r="D6327" s="155">
        <v>0</v>
      </c>
      <c r="E6327" s="155">
        <v>1</v>
      </c>
      <c r="F6327" s="155">
        <v>0</v>
      </c>
      <c r="G6327" s="155">
        <v>0</v>
      </c>
      <c r="H6327" s="155">
        <v>1</v>
      </c>
      <c r="I6327" s="155">
        <v>0</v>
      </c>
      <c r="J6327" s="710">
        <f>(VLOOKUP($C6327,[2]Sheet1!$A$2:$P$18,$M6327+1)/12)*12*D6327</f>
        <v>0</v>
      </c>
      <c r="K6327" s="711"/>
      <c r="M6327" s="62">
        <f t="shared" si="508"/>
        <v>3</v>
      </c>
    </row>
    <row r="6328" spans="1:13">
      <c r="A6328" s="88">
        <f t="shared" si="507"/>
        <v>37</v>
      </c>
      <c r="B6328" s="69" t="s">
        <v>2570</v>
      </c>
      <c r="C6328" s="167">
        <v>8</v>
      </c>
      <c r="D6328" s="155">
        <v>0</v>
      </c>
      <c r="E6328" s="155">
        <v>1</v>
      </c>
      <c r="F6328" s="155">
        <v>0</v>
      </c>
      <c r="G6328" s="155">
        <v>0</v>
      </c>
      <c r="H6328" s="155">
        <v>1</v>
      </c>
      <c r="I6328" s="155">
        <v>0</v>
      </c>
      <c r="J6328" s="710">
        <f>(VLOOKUP($C6328,[2]Sheet1!$A$2:$P$18,$M6328+1)/12)*12*D6328</f>
        <v>0</v>
      </c>
      <c r="K6328" s="711"/>
      <c r="M6328" s="62">
        <f t="shared" si="508"/>
        <v>3</v>
      </c>
    </row>
    <row r="6329" spans="1:13">
      <c r="A6329" s="88">
        <f t="shared" si="507"/>
        <v>38</v>
      </c>
      <c r="B6329" s="69" t="s">
        <v>2049</v>
      </c>
      <c r="C6329" s="167">
        <v>6</v>
      </c>
      <c r="D6329" s="155">
        <v>0</v>
      </c>
      <c r="E6329" s="155">
        <v>1</v>
      </c>
      <c r="F6329" s="155">
        <v>0</v>
      </c>
      <c r="G6329" s="155">
        <v>0</v>
      </c>
      <c r="H6329" s="155">
        <v>1</v>
      </c>
      <c r="I6329" s="155">
        <v>0</v>
      </c>
      <c r="J6329" s="710">
        <f>(VLOOKUP($C6329,[2]Sheet1!$A$2:$P$18,$M6329+1)/12)*12*D6329</f>
        <v>0</v>
      </c>
      <c r="K6329" s="711"/>
      <c r="M6329" s="62">
        <f t="shared" si="508"/>
        <v>5</v>
      </c>
    </row>
    <row r="6330" spans="1:13" ht="13.5" thickBot="1">
      <c r="A6330" s="88">
        <f t="shared" si="507"/>
        <v>39</v>
      </c>
      <c r="B6330" s="69" t="s">
        <v>3171</v>
      </c>
      <c r="C6330" s="167">
        <v>6</v>
      </c>
      <c r="D6330" s="155">
        <v>0</v>
      </c>
      <c r="E6330" s="155">
        <v>1</v>
      </c>
      <c r="F6330" s="155">
        <v>0</v>
      </c>
      <c r="G6330" s="155">
        <v>0</v>
      </c>
      <c r="H6330" s="155">
        <v>1</v>
      </c>
      <c r="I6330" s="155">
        <v>0</v>
      </c>
      <c r="J6330" s="710">
        <f>(VLOOKUP($C6330,[2]Sheet1!$A$2:$P$18,$M6330+1)/12)*12*D6330</f>
        <v>0</v>
      </c>
      <c r="K6330" s="711"/>
      <c r="M6330" s="62">
        <f t="shared" si="508"/>
        <v>5</v>
      </c>
    </row>
    <row r="6331" spans="1:13" ht="15.75" thickTop="1">
      <c r="A6331" s="1047" t="s">
        <v>2791</v>
      </c>
      <c r="B6331" s="1049" t="s">
        <v>4126</v>
      </c>
      <c r="C6331" s="1049" t="s">
        <v>854</v>
      </c>
      <c r="D6331" s="1040" t="s">
        <v>4127</v>
      </c>
      <c r="E6331" s="1041"/>
      <c r="F6331" s="1041"/>
      <c r="G6331" s="1040" t="s">
        <v>904</v>
      </c>
      <c r="H6331" s="1041"/>
      <c r="I6331" s="1042"/>
      <c r="J6331" s="1035" t="s">
        <v>855</v>
      </c>
      <c r="K6331" s="389"/>
    </row>
    <row r="6332" spans="1:13" ht="26.25" thickBot="1">
      <c r="A6332" s="1048"/>
      <c r="B6332" s="1050"/>
      <c r="C6332" s="1050"/>
      <c r="D6332" s="285" t="s">
        <v>5505</v>
      </c>
      <c r="E6332" s="285" t="s">
        <v>4485</v>
      </c>
      <c r="F6332" s="285" t="s">
        <v>4486</v>
      </c>
      <c r="G6332" s="287" t="s">
        <v>4487</v>
      </c>
      <c r="H6332" s="285" t="s">
        <v>4488</v>
      </c>
      <c r="I6332" s="287" t="s">
        <v>4489</v>
      </c>
      <c r="J6332" s="1036"/>
      <c r="K6332" s="712"/>
    </row>
    <row r="6333" spans="1:13" ht="13.5" thickTop="1">
      <c r="A6333" s="88">
        <f>1+A6330</f>
        <v>40</v>
      </c>
      <c r="B6333" s="69" t="s">
        <v>3172</v>
      </c>
      <c r="C6333" s="167">
        <v>6</v>
      </c>
      <c r="D6333" s="155">
        <v>0</v>
      </c>
      <c r="E6333" s="155">
        <v>1</v>
      </c>
      <c r="F6333" s="155">
        <v>0</v>
      </c>
      <c r="G6333" s="155">
        <v>0</v>
      </c>
      <c r="H6333" s="155">
        <v>1</v>
      </c>
      <c r="I6333" s="155">
        <v>0</v>
      </c>
      <c r="J6333" s="710">
        <f>(VLOOKUP($C6333,[2]Sheet1!$A$2:$P$18,$M6333+1)/12)*12*D6333</f>
        <v>0</v>
      </c>
      <c r="K6333" s="711"/>
      <c r="M6333" s="62">
        <f t="shared" si="508"/>
        <v>5</v>
      </c>
    </row>
    <row r="6334" spans="1:13">
      <c r="A6334" s="88">
        <f>1+A6333</f>
        <v>41</v>
      </c>
      <c r="B6334" s="69" t="s">
        <v>1679</v>
      </c>
      <c r="C6334" s="167">
        <v>6</v>
      </c>
      <c r="D6334" s="155">
        <v>1</v>
      </c>
      <c r="E6334" s="155">
        <v>1</v>
      </c>
      <c r="F6334" s="155"/>
      <c r="G6334" s="155">
        <v>0</v>
      </c>
      <c r="H6334" s="155">
        <v>1</v>
      </c>
      <c r="I6334" s="155">
        <v>0</v>
      </c>
      <c r="J6334" s="710">
        <f>(VLOOKUP($C6334,[2]Sheet1!$A$2:$P$18,$M6334+1)/12)*12*D6334</f>
        <v>238099.37893036497</v>
      </c>
      <c r="K6334" s="711"/>
      <c r="M6334" s="62">
        <f t="shared" si="508"/>
        <v>5</v>
      </c>
    </row>
    <row r="6335" spans="1:13">
      <c r="A6335" s="88">
        <f t="shared" si="507"/>
        <v>42</v>
      </c>
      <c r="B6335" s="69" t="s">
        <v>1504</v>
      </c>
      <c r="C6335" s="167">
        <v>6</v>
      </c>
      <c r="D6335" s="155">
        <v>1</v>
      </c>
      <c r="E6335" s="155">
        <v>1</v>
      </c>
      <c r="F6335" s="155"/>
      <c r="G6335" s="155">
        <v>0</v>
      </c>
      <c r="H6335" s="155">
        <v>1</v>
      </c>
      <c r="I6335" s="155">
        <v>0</v>
      </c>
      <c r="J6335" s="710">
        <f>(VLOOKUP($C6335,[2]Sheet1!$A$2:$P$18,$M6335+1)/12)*12*D6335</f>
        <v>238099.37893036497</v>
      </c>
      <c r="K6335" s="711"/>
      <c r="M6335" s="62">
        <f t="shared" si="508"/>
        <v>5</v>
      </c>
    </row>
    <row r="6336" spans="1:13">
      <c r="A6336" s="88">
        <f>1+A6335</f>
        <v>43</v>
      </c>
      <c r="B6336" s="69" t="s">
        <v>1512</v>
      </c>
      <c r="C6336" s="167">
        <v>4</v>
      </c>
      <c r="D6336" s="155">
        <v>1</v>
      </c>
      <c r="E6336" s="155">
        <v>1</v>
      </c>
      <c r="F6336" s="155"/>
      <c r="G6336" s="155">
        <v>0</v>
      </c>
      <c r="H6336" s="155">
        <v>1</v>
      </c>
      <c r="I6336" s="155">
        <v>0</v>
      </c>
      <c r="J6336" s="710">
        <f>(VLOOKUP($C6336,[2]Sheet1!$A$2:$P$18,$M6336+1)/12)*12*D6336</f>
        <v>224542.978930365</v>
      </c>
      <c r="K6336" s="711"/>
      <c r="M6336" s="62">
        <f t="shared" si="508"/>
        <v>5</v>
      </c>
    </row>
    <row r="6337" spans="1:13">
      <c r="A6337" s="88">
        <f t="shared" si="507"/>
        <v>44</v>
      </c>
      <c r="B6337" s="69" t="s">
        <v>3742</v>
      </c>
      <c r="C6337" s="167">
        <v>4</v>
      </c>
      <c r="D6337" s="155">
        <v>1</v>
      </c>
      <c r="E6337" s="155">
        <v>1</v>
      </c>
      <c r="F6337" s="155"/>
      <c r="G6337" s="155">
        <v>0</v>
      </c>
      <c r="H6337" s="155">
        <v>1</v>
      </c>
      <c r="I6337" s="155">
        <v>0</v>
      </c>
      <c r="J6337" s="710">
        <f>(VLOOKUP($C6337,[2]Sheet1!$A$2:$P$18,$M6337+1)/12)*12*D6337</f>
        <v>224542.978930365</v>
      </c>
      <c r="K6337" s="711"/>
      <c r="M6337" s="62">
        <f t="shared" si="508"/>
        <v>5</v>
      </c>
    </row>
    <row r="6338" spans="1:13">
      <c r="A6338" s="88">
        <f t="shared" si="507"/>
        <v>45</v>
      </c>
      <c r="B6338" s="69" t="s">
        <v>3497</v>
      </c>
      <c r="C6338" s="167">
        <v>3</v>
      </c>
      <c r="D6338" s="155">
        <v>1</v>
      </c>
      <c r="E6338" s="155">
        <v>1</v>
      </c>
      <c r="F6338" s="155"/>
      <c r="G6338" s="155">
        <v>0</v>
      </c>
      <c r="H6338" s="155">
        <v>1</v>
      </c>
      <c r="I6338" s="155">
        <v>0</v>
      </c>
      <c r="J6338" s="710">
        <f>(VLOOKUP($C6338,[2]Sheet1!$A$2:$P$18,$M6338+1)/12)*12*D6338</f>
        <v>219336.17893036499</v>
      </c>
      <c r="K6338" s="711"/>
      <c r="M6338" s="62">
        <f t="shared" si="508"/>
        <v>5</v>
      </c>
    </row>
    <row r="6339" spans="1:13">
      <c r="A6339" s="88">
        <f t="shared" si="507"/>
        <v>46</v>
      </c>
      <c r="B6339" s="69" t="s">
        <v>3843</v>
      </c>
      <c r="C6339" s="167">
        <v>2</v>
      </c>
      <c r="D6339" s="155">
        <v>1</v>
      </c>
      <c r="E6339" s="155">
        <v>1</v>
      </c>
      <c r="F6339" s="155"/>
      <c r="G6339" s="155">
        <v>0</v>
      </c>
      <c r="H6339" s="155">
        <v>1</v>
      </c>
      <c r="I6339" s="155">
        <v>0</v>
      </c>
      <c r="J6339" s="710">
        <f>(VLOOKUP($C6339,[2]Sheet1!$A$2:$P$18,$M6339+1)/12)*12*D6339</f>
        <v>214657.37893036503</v>
      </c>
      <c r="K6339" s="711"/>
      <c r="M6339" s="62">
        <f t="shared" si="508"/>
        <v>5</v>
      </c>
    </row>
    <row r="6340" spans="1:13">
      <c r="A6340" s="92"/>
      <c r="B6340" s="93" t="s">
        <v>2531</v>
      </c>
      <c r="C6340" s="168"/>
      <c r="D6340" s="169">
        <f t="shared" ref="D6340:J6340" si="509">SUM(D6294:D6339)</f>
        <v>15</v>
      </c>
      <c r="E6340" s="169">
        <f t="shared" si="509"/>
        <v>50</v>
      </c>
      <c r="F6340" s="169">
        <f t="shared" si="509"/>
        <v>9</v>
      </c>
      <c r="G6340" s="169">
        <f>SUM(G6294:G6339)</f>
        <v>9</v>
      </c>
      <c r="H6340" s="169">
        <f t="shared" si="509"/>
        <v>50</v>
      </c>
      <c r="I6340" s="169">
        <f t="shared" si="509"/>
        <v>9</v>
      </c>
      <c r="J6340" s="169">
        <f t="shared" si="509"/>
        <v>1359278.27358219</v>
      </c>
      <c r="K6340" s="385"/>
      <c r="M6340" s="62">
        <f t="shared" si="508"/>
        <v>5</v>
      </c>
    </row>
    <row r="6341" spans="1:13">
      <c r="A6341" s="170"/>
      <c r="B6341" s="97" t="s">
        <v>1199</v>
      </c>
      <c r="C6341" s="167"/>
      <c r="D6341" s="155"/>
      <c r="E6341" s="155"/>
      <c r="F6341" s="99"/>
      <c r="G6341" s="240" t="s">
        <v>243</v>
      </c>
      <c r="H6341" s="240" t="s">
        <v>4130</v>
      </c>
      <c r="I6341" s="240" t="s">
        <v>4202</v>
      </c>
      <c r="J6341" s="241" t="s">
        <v>4200</v>
      </c>
      <c r="K6341" s="375"/>
      <c r="M6341" s="62">
        <f t="shared" si="508"/>
        <v>5</v>
      </c>
    </row>
    <row r="6342" spans="1:13">
      <c r="A6342" s="88">
        <v>1</v>
      </c>
      <c r="B6342" s="69" t="s">
        <v>763</v>
      </c>
      <c r="C6342" s="167"/>
      <c r="D6342" s="155"/>
      <c r="E6342" s="155"/>
      <c r="F6342" s="89"/>
      <c r="G6342" s="100">
        <f>J6340*0.2</f>
        <v>271855.65471643803</v>
      </c>
      <c r="H6342" s="100">
        <f t="shared" ref="H6342:I6344" si="510">G6342*1.02</f>
        <v>277292.76781076682</v>
      </c>
      <c r="I6342" s="100">
        <f t="shared" si="510"/>
        <v>282838.62316698214</v>
      </c>
      <c r="J6342" s="100">
        <f>SUM(G6342:I6342)</f>
        <v>831987.04569418705</v>
      </c>
      <c r="K6342" s="114"/>
      <c r="M6342" s="62">
        <f t="shared" si="508"/>
        <v>5</v>
      </c>
    </row>
    <row r="6343" spans="1:13">
      <c r="A6343" s="88">
        <v>2</v>
      </c>
      <c r="B6343" s="69" t="s">
        <v>2839</v>
      </c>
      <c r="C6343" s="167"/>
      <c r="D6343" s="155"/>
      <c r="E6343" s="155"/>
      <c r="F6343" s="89"/>
      <c r="G6343" s="100">
        <v>130417.53920000009</v>
      </c>
      <c r="H6343" s="100">
        <f t="shared" si="510"/>
        <v>133025.8899840001</v>
      </c>
      <c r="I6343" s="100">
        <f t="shared" si="510"/>
        <v>135686.4077836801</v>
      </c>
      <c r="J6343" s="100">
        <f>SUM(G6343:I6343)</f>
        <v>399129.83696768025</v>
      </c>
      <c r="K6343" s="114"/>
      <c r="M6343" s="62">
        <f t="shared" si="508"/>
        <v>5</v>
      </c>
    </row>
    <row r="6344" spans="1:13">
      <c r="A6344" s="88">
        <f>A6343+1</f>
        <v>3</v>
      </c>
      <c r="B6344" s="69" t="s">
        <v>1040</v>
      </c>
      <c r="C6344" s="167"/>
      <c r="D6344" s="155"/>
      <c r="E6344" s="155"/>
      <c r="F6344" s="155"/>
      <c r="G6344" s="100">
        <v>41548000</v>
      </c>
      <c r="H6344" s="100">
        <f t="shared" si="510"/>
        <v>42378960</v>
      </c>
      <c r="I6344" s="100">
        <f t="shared" si="510"/>
        <v>43226539.200000003</v>
      </c>
      <c r="J6344" s="100">
        <f>SUM(G6344:I6344)</f>
        <v>127153499.2</v>
      </c>
      <c r="K6344" s="114"/>
      <c r="M6344" s="62">
        <f t="shared" si="508"/>
        <v>5</v>
      </c>
    </row>
    <row r="6345" spans="1:13">
      <c r="A6345" s="88"/>
      <c r="B6345" s="69"/>
      <c r="C6345" s="167"/>
      <c r="D6345" s="155"/>
      <c r="E6345" s="155"/>
      <c r="F6345" s="155"/>
      <c r="G6345" s="155"/>
      <c r="H6345" s="155"/>
      <c r="I6345" s="155"/>
      <c r="J6345" s="155"/>
      <c r="K6345" s="386"/>
      <c r="M6345" s="62">
        <f t="shared" ref="M6345:M6376" si="511">IF(C6345&gt;6,3,5)</f>
        <v>5</v>
      </c>
    </row>
    <row r="6346" spans="1:13">
      <c r="A6346" s="92"/>
      <c r="B6346" s="93" t="s">
        <v>2531</v>
      </c>
      <c r="C6346" s="168"/>
      <c r="D6346" s="171"/>
      <c r="E6346" s="171"/>
      <c r="F6346" s="169"/>
      <c r="G6346" s="169">
        <f>SUM(G6342:G6345)</f>
        <v>41950273.19391644</v>
      </c>
      <c r="H6346" s="169">
        <f>SUM(H6342:H6345)</f>
        <v>42789278.657794766</v>
      </c>
      <c r="I6346" s="169">
        <f>SUM(I6342:I6345)</f>
        <v>43645064.230950668</v>
      </c>
      <c r="J6346" s="169">
        <f>SUM(J6342:J6345)</f>
        <v>128384616.08266187</v>
      </c>
      <c r="K6346" s="385"/>
      <c r="M6346" s="62">
        <f t="shared" si="511"/>
        <v>5</v>
      </c>
    </row>
    <row r="6347" spans="1:13">
      <c r="A6347" s="88"/>
      <c r="B6347" s="69"/>
      <c r="C6347" s="167"/>
      <c r="D6347" s="155"/>
      <c r="E6347" s="155"/>
      <c r="F6347" s="155"/>
      <c r="G6347" s="155"/>
      <c r="H6347" s="155"/>
      <c r="I6347" s="155"/>
      <c r="J6347" s="155"/>
      <c r="K6347" s="386"/>
      <c r="M6347" s="62">
        <f t="shared" si="511"/>
        <v>5</v>
      </c>
    </row>
    <row r="6348" spans="1:13">
      <c r="A6348" s="88"/>
      <c r="B6348" s="69" t="s">
        <v>926</v>
      </c>
      <c r="C6348" s="167"/>
      <c r="D6348" s="155"/>
      <c r="E6348" s="155"/>
      <c r="F6348" s="155"/>
      <c r="G6348" s="100">
        <f>G6346+J6340</f>
        <v>43309551.46749863</v>
      </c>
      <c r="H6348" s="100">
        <f>G6348*1.02</f>
        <v>44175742.496848606</v>
      </c>
      <c r="I6348" s="100">
        <f>H6348*1.02</f>
        <v>45059257.346785575</v>
      </c>
      <c r="J6348" s="100">
        <f>SUM(G6348:I6348)</f>
        <v>132544551.31113282</v>
      </c>
      <c r="K6348" s="114"/>
      <c r="M6348" s="62">
        <f t="shared" si="511"/>
        <v>5</v>
      </c>
    </row>
    <row r="6349" spans="1:13">
      <c r="A6349" s="88"/>
      <c r="B6349" s="69" t="s">
        <v>2121</v>
      </c>
      <c r="C6349" s="167"/>
      <c r="D6349" s="155"/>
      <c r="E6349" s="155"/>
      <c r="F6349" s="155"/>
      <c r="G6349" s="155">
        <f>C6376</f>
        <v>13000000</v>
      </c>
      <c r="H6349" s="155">
        <f>D6376</f>
        <v>13700000</v>
      </c>
      <c r="I6349" s="155">
        <f>E6376</f>
        <v>11700000</v>
      </c>
      <c r="J6349" s="100">
        <f>SUM(G6349:I6349)</f>
        <v>38400000</v>
      </c>
      <c r="K6349" s="114"/>
      <c r="M6349" s="62">
        <f t="shared" si="511"/>
        <v>5</v>
      </c>
    </row>
    <row r="6350" spans="1:13">
      <c r="A6350" s="88"/>
      <c r="B6350" s="69"/>
      <c r="C6350" s="167"/>
      <c r="D6350" s="155"/>
      <c r="E6350" s="155"/>
      <c r="F6350" s="155"/>
      <c r="G6350" s="155"/>
      <c r="H6350" s="155"/>
      <c r="I6350" s="155"/>
      <c r="J6350" s="155"/>
      <c r="K6350" s="386"/>
      <c r="M6350" s="62">
        <f t="shared" si="511"/>
        <v>5</v>
      </c>
    </row>
    <row r="6351" spans="1:13" ht="13.5" thickBot="1">
      <c r="A6351" s="102"/>
      <c r="B6351" s="103" t="s">
        <v>2241</v>
      </c>
      <c r="C6351" s="172"/>
      <c r="D6351" s="173"/>
      <c r="E6351" s="173"/>
      <c r="F6351" s="174"/>
      <c r="G6351" s="174">
        <f>SUM(G6348:G6350)</f>
        <v>56309551.46749863</v>
      </c>
      <c r="H6351" s="174">
        <f>SUM(H6348:H6350)</f>
        <v>57875742.496848606</v>
      </c>
      <c r="I6351" s="174">
        <f>SUM(I6348:I6350)</f>
        <v>56759257.346785575</v>
      </c>
      <c r="J6351" s="174">
        <f>SUM(J6348:J6350)</f>
        <v>170944551.31113282</v>
      </c>
      <c r="K6351" s="385"/>
      <c r="M6351" s="62">
        <f t="shared" si="511"/>
        <v>5</v>
      </c>
    </row>
    <row r="6352" spans="1:13" ht="15.75" thickTop="1">
      <c r="C6352" s="175"/>
      <c r="D6352" s="165"/>
      <c r="E6352" s="165"/>
      <c r="F6352" s="165"/>
      <c r="G6352" s="165"/>
      <c r="H6352" s="165"/>
      <c r="I6352" s="165"/>
      <c r="J6352" s="584"/>
      <c r="K6352" s="584"/>
      <c r="M6352" s="62">
        <f t="shared" si="511"/>
        <v>5</v>
      </c>
    </row>
    <row r="6353" spans="1:13" ht="15">
      <c r="C6353" s="163"/>
      <c r="D6353" s="164" t="s">
        <v>5434</v>
      </c>
      <c r="E6353" s="165"/>
      <c r="F6353" s="165"/>
      <c r="G6353" s="165"/>
      <c r="H6353" s="165"/>
      <c r="I6353" s="165"/>
      <c r="J6353" s="584"/>
      <c r="K6353" s="584"/>
      <c r="M6353" s="62">
        <f t="shared" si="511"/>
        <v>5</v>
      </c>
    </row>
    <row r="6354" spans="1:13" ht="15">
      <c r="C6354" s="166"/>
      <c r="D6354" s="164" t="s">
        <v>1693</v>
      </c>
      <c r="E6354" s="165"/>
      <c r="F6354" s="165"/>
      <c r="G6354" s="165"/>
      <c r="H6354" s="165"/>
      <c r="I6354" s="165"/>
      <c r="J6354" s="584"/>
      <c r="K6354" s="584"/>
      <c r="M6354" s="62">
        <f t="shared" si="511"/>
        <v>5</v>
      </c>
    </row>
    <row r="6355" spans="1:13" ht="15">
      <c r="C6355" s="79" t="s">
        <v>717</v>
      </c>
      <c r="D6355" s="164" t="s">
        <v>1419</v>
      </c>
      <c r="E6355" s="165"/>
      <c r="F6355" s="165"/>
      <c r="G6355" s="165"/>
      <c r="H6355" s="165"/>
      <c r="I6355" s="165"/>
      <c r="J6355" s="584"/>
      <c r="K6355" s="584"/>
      <c r="M6355" s="62">
        <f t="shared" si="511"/>
        <v>3</v>
      </c>
    </row>
    <row r="6356" spans="1:13" ht="15">
      <c r="C6356" s="79" t="s">
        <v>718</v>
      </c>
      <c r="D6356" s="164" t="s">
        <v>3595</v>
      </c>
      <c r="E6356" s="165"/>
      <c r="F6356" s="165"/>
      <c r="G6356" s="165"/>
      <c r="H6356" s="165"/>
      <c r="I6356" s="165"/>
      <c r="J6356" s="584"/>
      <c r="K6356" s="584"/>
      <c r="M6356" s="62">
        <f t="shared" si="511"/>
        <v>3</v>
      </c>
    </row>
    <row r="6357" spans="1:13" ht="15">
      <c r="A6357" s="634" t="s">
        <v>1839</v>
      </c>
      <c r="B6357" s="635" t="s">
        <v>903</v>
      </c>
      <c r="C6357" s="1037" t="s">
        <v>4127</v>
      </c>
      <c r="D6357" s="1038"/>
      <c r="E6357" s="1039"/>
      <c r="F6357" s="635" t="s">
        <v>1684</v>
      </c>
      <c r="G6357" s="1037" t="s">
        <v>4132</v>
      </c>
      <c r="H6357" s="1038"/>
      <c r="I6357" s="1039"/>
      <c r="J6357" s="726"/>
      <c r="K6357" s="727"/>
    </row>
    <row r="6358" spans="1:13">
      <c r="A6358" s="636" t="s">
        <v>1620</v>
      </c>
      <c r="B6358" s="637"/>
      <c r="C6358" s="635" t="s">
        <v>1841</v>
      </c>
      <c r="D6358" s="635" t="s">
        <v>4133</v>
      </c>
      <c r="E6358" s="635" t="s">
        <v>4133</v>
      </c>
      <c r="F6358" s="1056" t="s">
        <v>4200</v>
      </c>
      <c r="G6358" s="634" t="s">
        <v>4135</v>
      </c>
      <c r="H6358" s="1051" t="s">
        <v>4182</v>
      </c>
      <c r="I6358" s="634" t="s">
        <v>4135</v>
      </c>
      <c r="J6358" s="728" t="s">
        <v>4136</v>
      </c>
      <c r="K6358" s="727"/>
    </row>
    <row r="6359" spans="1:13" ht="12.75" customHeight="1">
      <c r="A6359" s="638" t="s">
        <v>387</v>
      </c>
      <c r="B6359" s="639"/>
      <c r="C6359" s="638">
        <v>2015</v>
      </c>
      <c r="D6359" s="638">
        <v>2016</v>
      </c>
      <c r="E6359" s="638">
        <v>2017</v>
      </c>
      <c r="F6359" s="1057"/>
      <c r="G6359" s="638" t="s">
        <v>4304</v>
      </c>
      <c r="H6359" s="1052"/>
      <c r="I6359" s="638" t="s">
        <v>4303</v>
      </c>
      <c r="J6359" s="639"/>
      <c r="K6359" s="729"/>
    </row>
    <row r="6360" spans="1:13">
      <c r="A6360" s="822"/>
      <c r="B6360" s="823"/>
      <c r="C6360" s="824"/>
      <c r="D6360" s="824"/>
      <c r="E6360" s="824"/>
      <c r="F6360" s="824"/>
      <c r="G6360" s="824"/>
      <c r="H6360" s="824"/>
      <c r="I6360" s="824"/>
      <c r="J6360" s="824"/>
      <c r="K6360" s="734"/>
      <c r="M6360" s="62">
        <f t="shared" si="511"/>
        <v>5</v>
      </c>
    </row>
    <row r="6361" spans="1:13">
      <c r="A6361" s="822">
        <v>2</v>
      </c>
      <c r="B6361" s="823" t="s">
        <v>768</v>
      </c>
      <c r="C6361" s="824">
        <v>4000000</v>
      </c>
      <c r="D6361" s="824">
        <v>4000000</v>
      </c>
      <c r="E6361" s="824">
        <v>3000000</v>
      </c>
      <c r="F6361" s="824">
        <f>SUM(C6361:E6361)</f>
        <v>11000000</v>
      </c>
      <c r="G6361" s="824">
        <v>1486500</v>
      </c>
      <c r="H6361" s="824">
        <v>4000000</v>
      </c>
      <c r="I6361" s="824">
        <v>1625000</v>
      </c>
      <c r="J6361" s="824"/>
      <c r="K6361" s="734"/>
      <c r="M6361" s="62">
        <f t="shared" si="511"/>
        <v>3</v>
      </c>
    </row>
    <row r="6362" spans="1:13">
      <c r="A6362" s="822">
        <f t="shared" ref="A6362:A6373" si="512">+A6361+1</f>
        <v>3</v>
      </c>
      <c r="B6362" s="768" t="s">
        <v>1696</v>
      </c>
      <c r="C6362" s="824" t="s">
        <v>1386</v>
      </c>
      <c r="D6362" s="824" t="s">
        <v>1386</v>
      </c>
      <c r="E6362" s="824" t="s">
        <v>1386</v>
      </c>
      <c r="F6362" s="824">
        <f t="shared" ref="F6362:F6374" si="513">SUM(C6362:E6362)</f>
        <v>0</v>
      </c>
      <c r="G6362" s="824"/>
      <c r="H6362" s="824" t="s">
        <v>1386</v>
      </c>
      <c r="I6362" s="824"/>
      <c r="J6362" s="824"/>
      <c r="K6362" s="734"/>
      <c r="M6362" s="62">
        <f t="shared" si="511"/>
        <v>3</v>
      </c>
    </row>
    <row r="6363" spans="1:13">
      <c r="A6363" s="822">
        <f t="shared" si="512"/>
        <v>4</v>
      </c>
      <c r="B6363" s="768" t="s">
        <v>1701</v>
      </c>
      <c r="C6363" s="824" t="s">
        <v>1386</v>
      </c>
      <c r="D6363" s="824" t="s">
        <v>1386</v>
      </c>
      <c r="E6363" s="824" t="s">
        <v>1386</v>
      </c>
      <c r="F6363" s="824">
        <f t="shared" si="513"/>
        <v>0</v>
      </c>
      <c r="G6363" s="824"/>
      <c r="H6363" s="824" t="s">
        <v>1386</v>
      </c>
      <c r="I6363" s="824"/>
      <c r="J6363" s="824"/>
      <c r="K6363" s="734"/>
      <c r="M6363" s="62">
        <f t="shared" si="511"/>
        <v>3</v>
      </c>
    </row>
    <row r="6364" spans="1:13">
      <c r="A6364" s="822">
        <f t="shared" si="512"/>
        <v>5</v>
      </c>
      <c r="B6364" s="768" t="s">
        <v>998</v>
      </c>
      <c r="C6364" s="824">
        <v>1000000</v>
      </c>
      <c r="D6364" s="824">
        <v>1000000</v>
      </c>
      <c r="E6364" s="824">
        <v>500000</v>
      </c>
      <c r="F6364" s="824">
        <f t="shared" si="513"/>
        <v>2500000</v>
      </c>
      <c r="G6364" s="824">
        <v>264900</v>
      </c>
      <c r="H6364" s="824">
        <v>1000000</v>
      </c>
      <c r="I6364" s="824">
        <v>50000</v>
      </c>
      <c r="J6364" s="824"/>
      <c r="K6364" s="734"/>
      <c r="M6364" s="62">
        <f t="shared" si="511"/>
        <v>3</v>
      </c>
    </row>
    <row r="6365" spans="1:13">
      <c r="A6365" s="822">
        <f t="shared" si="512"/>
        <v>6</v>
      </c>
      <c r="B6365" s="768" t="s">
        <v>1072</v>
      </c>
      <c r="C6365" s="824">
        <v>1000000</v>
      </c>
      <c r="D6365" s="824">
        <v>1000000</v>
      </c>
      <c r="E6365" s="824">
        <v>500000</v>
      </c>
      <c r="F6365" s="824">
        <f t="shared" si="513"/>
        <v>2500000</v>
      </c>
      <c r="G6365" s="824">
        <v>540000</v>
      </c>
      <c r="H6365" s="824">
        <v>1000000</v>
      </c>
      <c r="I6365" s="824">
        <v>1040500</v>
      </c>
      <c r="J6365" s="824"/>
      <c r="K6365" s="734"/>
      <c r="M6365" s="62">
        <f t="shared" si="511"/>
        <v>3</v>
      </c>
    </row>
    <row r="6366" spans="1:13" ht="25.5">
      <c r="A6366" s="822">
        <f t="shared" si="512"/>
        <v>7</v>
      </c>
      <c r="B6366" s="773" t="s">
        <v>1073</v>
      </c>
      <c r="C6366" s="824">
        <v>1000000</v>
      </c>
      <c r="D6366" s="824">
        <v>1000000</v>
      </c>
      <c r="E6366" s="824">
        <v>1000000</v>
      </c>
      <c r="F6366" s="824">
        <f t="shared" si="513"/>
        <v>3000000</v>
      </c>
      <c r="G6366" s="824">
        <v>1402700</v>
      </c>
      <c r="H6366" s="824">
        <v>1000000</v>
      </c>
      <c r="I6366" s="824">
        <v>1286250</v>
      </c>
      <c r="J6366" s="824"/>
      <c r="K6366" s="734"/>
      <c r="M6366" s="62">
        <f t="shared" si="511"/>
        <v>3</v>
      </c>
    </row>
    <row r="6367" spans="1:13">
      <c r="A6367" s="822">
        <f t="shared" si="512"/>
        <v>8</v>
      </c>
      <c r="B6367" s="768" t="s">
        <v>2879</v>
      </c>
      <c r="C6367" s="824" t="s">
        <v>1386</v>
      </c>
      <c r="D6367" s="824" t="s">
        <v>1386</v>
      </c>
      <c r="E6367" s="824" t="s">
        <v>1386</v>
      </c>
      <c r="F6367" s="824">
        <f t="shared" si="513"/>
        <v>0</v>
      </c>
      <c r="G6367" s="824"/>
      <c r="H6367" s="824" t="s">
        <v>1386</v>
      </c>
      <c r="I6367" s="824"/>
      <c r="J6367" s="824"/>
      <c r="K6367" s="734"/>
      <c r="M6367" s="62">
        <f t="shared" si="511"/>
        <v>3</v>
      </c>
    </row>
    <row r="6368" spans="1:13">
      <c r="A6368" s="822">
        <f t="shared" si="512"/>
        <v>9</v>
      </c>
      <c r="B6368" s="768" t="s">
        <v>766</v>
      </c>
      <c r="C6368" s="824" t="s">
        <v>1386</v>
      </c>
      <c r="D6368" s="824" t="s">
        <v>1386</v>
      </c>
      <c r="E6368" s="824" t="s">
        <v>1386</v>
      </c>
      <c r="F6368" s="824">
        <f t="shared" si="513"/>
        <v>0</v>
      </c>
      <c r="G6368" s="824"/>
      <c r="H6368" s="824" t="s">
        <v>1386</v>
      </c>
      <c r="I6368" s="824"/>
      <c r="J6368" s="824"/>
      <c r="K6368" s="734"/>
      <c r="M6368" s="62">
        <f t="shared" si="511"/>
        <v>3</v>
      </c>
    </row>
    <row r="6369" spans="1:13">
      <c r="A6369" s="822">
        <f t="shared" si="512"/>
        <v>10</v>
      </c>
      <c r="B6369" s="768" t="s">
        <v>1716</v>
      </c>
      <c r="C6369" s="824">
        <v>1000000</v>
      </c>
      <c r="D6369" s="824">
        <v>1500000</v>
      </c>
      <c r="E6369" s="824">
        <v>1500000</v>
      </c>
      <c r="F6369" s="824">
        <f t="shared" si="513"/>
        <v>4000000</v>
      </c>
      <c r="G6369" s="824">
        <v>56520</v>
      </c>
      <c r="H6369" s="824">
        <v>1500000</v>
      </c>
      <c r="I6369" s="824">
        <v>207000</v>
      </c>
      <c r="J6369" s="824"/>
      <c r="K6369" s="734"/>
      <c r="M6369" s="62">
        <f t="shared" si="511"/>
        <v>3</v>
      </c>
    </row>
    <row r="6370" spans="1:13" ht="24">
      <c r="A6370" s="822">
        <f t="shared" si="512"/>
        <v>11</v>
      </c>
      <c r="B6370" s="828" t="s">
        <v>764</v>
      </c>
      <c r="C6370" s="824">
        <v>100000</v>
      </c>
      <c r="D6370" s="824">
        <v>100000</v>
      </c>
      <c r="E6370" s="824">
        <v>100000</v>
      </c>
      <c r="F6370" s="824">
        <f t="shared" si="513"/>
        <v>300000</v>
      </c>
      <c r="G6370" s="824">
        <v>166350</v>
      </c>
      <c r="H6370" s="824">
        <v>100000</v>
      </c>
      <c r="I6370" s="824">
        <v>80000</v>
      </c>
      <c r="J6370" s="824"/>
      <c r="K6370" s="734"/>
      <c r="M6370" s="62">
        <f t="shared" si="511"/>
        <v>3</v>
      </c>
    </row>
    <row r="6371" spans="1:13">
      <c r="A6371" s="822">
        <f t="shared" si="512"/>
        <v>12</v>
      </c>
      <c r="B6371" s="768" t="s">
        <v>2688</v>
      </c>
      <c r="C6371" s="824">
        <v>4000000</v>
      </c>
      <c r="D6371" s="824">
        <v>4000000</v>
      </c>
      <c r="E6371" s="824">
        <v>4000000</v>
      </c>
      <c r="F6371" s="824">
        <f t="shared" si="513"/>
        <v>12000000</v>
      </c>
      <c r="G6371" s="824">
        <v>751480</v>
      </c>
      <c r="H6371" s="824">
        <v>4000000</v>
      </c>
      <c r="I6371" s="824">
        <v>2511250</v>
      </c>
      <c r="J6371" s="824"/>
      <c r="K6371" s="734"/>
      <c r="M6371" s="62">
        <f t="shared" si="511"/>
        <v>3</v>
      </c>
    </row>
    <row r="6372" spans="1:13">
      <c r="A6372" s="822">
        <f t="shared" si="512"/>
        <v>13</v>
      </c>
      <c r="B6372" s="768" t="s">
        <v>2249</v>
      </c>
      <c r="C6372" s="824">
        <v>100000</v>
      </c>
      <c r="D6372" s="824">
        <v>100000</v>
      </c>
      <c r="E6372" s="824">
        <v>100000</v>
      </c>
      <c r="F6372" s="824">
        <f t="shared" si="513"/>
        <v>300000</v>
      </c>
      <c r="G6372" s="824">
        <v>20000</v>
      </c>
      <c r="H6372" s="824">
        <v>100000</v>
      </c>
      <c r="I6372" s="824">
        <v>0</v>
      </c>
      <c r="J6372" s="824"/>
      <c r="K6372" s="734"/>
      <c r="M6372" s="62">
        <f t="shared" si="511"/>
        <v>3</v>
      </c>
    </row>
    <row r="6373" spans="1:13">
      <c r="A6373" s="822">
        <f t="shared" si="512"/>
        <v>14</v>
      </c>
      <c r="B6373" s="768" t="s">
        <v>1192</v>
      </c>
      <c r="C6373" s="824">
        <v>400000</v>
      </c>
      <c r="D6373" s="824">
        <v>500000</v>
      </c>
      <c r="E6373" s="824">
        <v>500000</v>
      </c>
      <c r="F6373" s="824">
        <f t="shared" si="513"/>
        <v>1400000</v>
      </c>
      <c r="G6373" s="824">
        <v>50000</v>
      </c>
      <c r="H6373" s="824">
        <v>4000000</v>
      </c>
      <c r="I6373" s="824">
        <v>700000</v>
      </c>
      <c r="J6373" s="824"/>
      <c r="K6373" s="734"/>
      <c r="M6373" s="62">
        <f t="shared" si="511"/>
        <v>3</v>
      </c>
    </row>
    <row r="6374" spans="1:13">
      <c r="A6374" s="768">
        <v>15</v>
      </c>
      <c r="B6374" s="768" t="s">
        <v>1507</v>
      </c>
      <c r="C6374" s="824">
        <v>400000</v>
      </c>
      <c r="D6374" s="824">
        <v>500000</v>
      </c>
      <c r="E6374" s="824">
        <v>500000</v>
      </c>
      <c r="F6374" s="824">
        <f t="shared" si="513"/>
        <v>1400000</v>
      </c>
      <c r="G6374" s="824">
        <v>106000</v>
      </c>
      <c r="H6374" s="824">
        <v>2000000</v>
      </c>
      <c r="I6374" s="824">
        <v>0</v>
      </c>
      <c r="J6374" s="824"/>
      <c r="K6374" s="734"/>
      <c r="M6374" s="62">
        <f t="shared" si="511"/>
        <v>3</v>
      </c>
    </row>
    <row r="6375" spans="1:13">
      <c r="A6375" s="768"/>
      <c r="B6375" s="768"/>
      <c r="C6375" s="824"/>
      <c r="D6375" s="824"/>
      <c r="E6375" s="824"/>
      <c r="F6375" s="824"/>
      <c r="G6375" s="824"/>
      <c r="H6375" s="824"/>
      <c r="I6375" s="824"/>
      <c r="J6375" s="824"/>
      <c r="K6375" s="734"/>
      <c r="M6375" s="62">
        <f t="shared" si="511"/>
        <v>5</v>
      </c>
    </row>
    <row r="6376" spans="1:13">
      <c r="A6376" s="770"/>
      <c r="B6376" s="770" t="s">
        <v>1684</v>
      </c>
      <c r="C6376" s="739">
        <f t="shared" ref="C6376:I6376" si="514">SUM(C6360:C6375)</f>
        <v>13000000</v>
      </c>
      <c r="D6376" s="739">
        <f t="shared" si="514"/>
        <v>13700000</v>
      </c>
      <c r="E6376" s="739">
        <f t="shared" si="514"/>
        <v>11700000</v>
      </c>
      <c r="F6376" s="739">
        <f t="shared" si="514"/>
        <v>38400000</v>
      </c>
      <c r="G6376" s="739">
        <f>SUM(G6360:G6375)</f>
        <v>4844450</v>
      </c>
      <c r="H6376" s="739">
        <f t="shared" si="514"/>
        <v>18700000</v>
      </c>
      <c r="I6376" s="739">
        <f t="shared" si="514"/>
        <v>7500000</v>
      </c>
      <c r="J6376" s="739"/>
      <c r="K6376" s="740"/>
      <c r="M6376" s="62">
        <f t="shared" si="511"/>
        <v>3</v>
      </c>
    </row>
    <row r="6377" spans="1:13" ht="15">
      <c r="C6377" s="175"/>
      <c r="D6377" s="165"/>
      <c r="E6377" s="165"/>
      <c r="F6377" s="165"/>
      <c r="G6377" s="165"/>
      <c r="H6377" s="165"/>
      <c r="I6377" s="165"/>
      <c r="J6377" s="584"/>
      <c r="K6377" s="584"/>
      <c r="M6377" s="62">
        <f t="shared" ref="M6377:M6408" si="515">IF(C6377&gt;6,3,5)</f>
        <v>5</v>
      </c>
    </row>
    <row r="6378" spans="1:13" ht="15">
      <c r="C6378" s="175"/>
      <c r="D6378" s="164" t="s">
        <v>5434</v>
      </c>
      <c r="E6378" s="165"/>
      <c r="F6378" s="165"/>
      <c r="G6378" s="165"/>
      <c r="H6378" s="165"/>
      <c r="I6378" s="165"/>
      <c r="J6378" s="584"/>
      <c r="K6378" s="584"/>
      <c r="M6378" s="62">
        <f t="shared" si="515"/>
        <v>5</v>
      </c>
    </row>
    <row r="6379" spans="1:13" ht="15">
      <c r="C6379" s="163"/>
      <c r="D6379" s="164" t="s">
        <v>1693</v>
      </c>
      <c r="E6379" s="165"/>
      <c r="F6379" s="165"/>
      <c r="G6379" s="165"/>
      <c r="H6379" s="165"/>
      <c r="I6379" s="165"/>
      <c r="J6379" s="584"/>
      <c r="K6379" s="584"/>
      <c r="M6379" s="62">
        <f t="shared" si="515"/>
        <v>5</v>
      </c>
    </row>
    <row r="6380" spans="1:13" ht="15">
      <c r="C6380" s="79" t="s">
        <v>1811</v>
      </c>
      <c r="D6380" s="164" t="s">
        <v>74</v>
      </c>
      <c r="E6380" s="165"/>
      <c r="F6380" s="165"/>
      <c r="G6380" s="165"/>
      <c r="H6380" s="165"/>
      <c r="I6380" s="165"/>
      <c r="J6380" s="584"/>
      <c r="K6380" s="584"/>
      <c r="M6380" s="62">
        <f t="shared" si="515"/>
        <v>3</v>
      </c>
    </row>
    <row r="6381" spans="1:13" ht="15.75" thickBot="1">
      <c r="C6381" s="79" t="s">
        <v>3073</v>
      </c>
      <c r="D6381" s="164" t="s">
        <v>164</v>
      </c>
      <c r="E6381" s="165"/>
      <c r="F6381" s="165"/>
      <c r="G6381" s="165"/>
      <c r="H6381" s="165"/>
      <c r="I6381" s="165"/>
      <c r="J6381" s="584"/>
      <c r="K6381" s="584"/>
      <c r="M6381" s="62">
        <f t="shared" si="515"/>
        <v>3</v>
      </c>
    </row>
    <row r="6382" spans="1:13" ht="15.75" thickTop="1">
      <c r="A6382" s="1047" t="s">
        <v>2791</v>
      </c>
      <c r="B6382" s="1049" t="s">
        <v>4126</v>
      </c>
      <c r="C6382" s="1049" t="s">
        <v>854</v>
      </c>
      <c r="D6382" s="1040" t="s">
        <v>4127</v>
      </c>
      <c r="E6382" s="1041"/>
      <c r="F6382" s="1041"/>
      <c r="G6382" s="1040" t="s">
        <v>904</v>
      </c>
      <c r="H6382" s="1041"/>
      <c r="I6382" s="1042"/>
      <c r="J6382" s="1035" t="s">
        <v>855</v>
      </c>
      <c r="K6382" s="389"/>
    </row>
    <row r="6383" spans="1:13" ht="26.25" thickBot="1">
      <c r="A6383" s="1048"/>
      <c r="B6383" s="1050"/>
      <c r="C6383" s="1050"/>
      <c r="D6383" s="285" t="s">
        <v>5505</v>
      </c>
      <c r="E6383" s="285" t="s">
        <v>4485</v>
      </c>
      <c r="F6383" s="285" t="s">
        <v>4486</v>
      </c>
      <c r="G6383" s="287" t="s">
        <v>4487</v>
      </c>
      <c r="H6383" s="285" t="s">
        <v>4488</v>
      </c>
      <c r="I6383" s="287" t="s">
        <v>4489</v>
      </c>
      <c r="J6383" s="1036"/>
      <c r="K6383" s="712"/>
    </row>
    <row r="6384" spans="1:13" ht="13.5" thickTop="1">
      <c r="A6384" s="88"/>
      <c r="B6384" s="90" t="s">
        <v>800</v>
      </c>
      <c r="C6384" s="167"/>
      <c r="D6384" s="155"/>
      <c r="E6384" s="155"/>
      <c r="F6384" s="155"/>
      <c r="G6384" s="155"/>
      <c r="H6384" s="155"/>
      <c r="I6384" s="155"/>
      <c r="J6384" s="713"/>
      <c r="K6384" s="711"/>
      <c r="M6384" s="62">
        <f t="shared" si="515"/>
        <v>5</v>
      </c>
    </row>
    <row r="6385" spans="1:13">
      <c r="A6385" s="88">
        <v>1</v>
      </c>
      <c r="B6385" s="69" t="s">
        <v>0</v>
      </c>
      <c r="C6385" s="167">
        <v>8</v>
      </c>
      <c r="D6385" s="155">
        <v>2</v>
      </c>
      <c r="E6385" s="155">
        <v>2</v>
      </c>
      <c r="F6385" s="155">
        <v>2</v>
      </c>
      <c r="G6385" s="155">
        <v>2</v>
      </c>
      <c r="H6385" s="155">
        <v>2</v>
      </c>
      <c r="I6385" s="155">
        <v>2</v>
      </c>
      <c r="J6385" s="710">
        <f>(VLOOKUP($C6385,[2]Sheet1!$A$2:$P$18,$M6385+1)/12)*12*D6385</f>
        <v>684282.54816000001</v>
      </c>
      <c r="K6385" s="711"/>
      <c r="M6385" s="62">
        <f t="shared" si="515"/>
        <v>3</v>
      </c>
    </row>
    <row r="6386" spans="1:13">
      <c r="A6386" s="88">
        <v>2</v>
      </c>
      <c r="B6386" s="69" t="s">
        <v>507</v>
      </c>
      <c r="C6386" s="167">
        <v>7</v>
      </c>
      <c r="D6386" s="155">
        <v>1</v>
      </c>
      <c r="E6386" s="155">
        <v>2</v>
      </c>
      <c r="F6386" s="155">
        <v>1</v>
      </c>
      <c r="G6386" s="155">
        <v>1</v>
      </c>
      <c r="H6386" s="155">
        <v>1</v>
      </c>
      <c r="I6386" s="155">
        <v>1</v>
      </c>
      <c r="J6386" s="710">
        <f>(VLOOKUP($C6386,[2]Sheet1!$A$2:$P$18,$M6386+1)/12)*12*D6386</f>
        <v>307706.70240000007</v>
      </c>
      <c r="K6386" s="711"/>
      <c r="M6386" s="62">
        <f>IF(C6386&gt;6,3,5)</f>
        <v>3</v>
      </c>
    </row>
    <row r="6387" spans="1:13">
      <c r="A6387" s="88">
        <v>3</v>
      </c>
      <c r="B6387" s="69" t="s">
        <v>508</v>
      </c>
      <c r="C6387" s="167">
        <v>6</v>
      </c>
      <c r="D6387" s="155">
        <v>1</v>
      </c>
      <c r="E6387" s="155">
        <v>3</v>
      </c>
      <c r="F6387" s="155">
        <v>1</v>
      </c>
      <c r="G6387" s="155">
        <v>1</v>
      </c>
      <c r="H6387" s="155">
        <v>1</v>
      </c>
      <c r="I6387" s="155">
        <v>1</v>
      </c>
      <c r="J6387" s="710">
        <f>(VLOOKUP($C6387,[2]Sheet1!$A$2:$P$18,$M6387+1)/12)*12*D6387</f>
        <v>238099.37893036497</v>
      </c>
      <c r="K6387" s="711"/>
      <c r="M6387" s="62">
        <f t="shared" si="515"/>
        <v>5</v>
      </c>
    </row>
    <row r="6388" spans="1:13">
      <c r="A6388" s="88">
        <f t="shared" ref="A6388:A6400" si="516">A6387+1</f>
        <v>4</v>
      </c>
      <c r="B6388" s="69" t="s">
        <v>1626</v>
      </c>
      <c r="C6388" s="167">
        <v>7</v>
      </c>
      <c r="D6388" s="155">
        <v>2</v>
      </c>
      <c r="E6388" s="155">
        <v>2</v>
      </c>
      <c r="F6388" s="155">
        <v>2</v>
      </c>
      <c r="G6388" s="155">
        <v>2</v>
      </c>
      <c r="H6388" s="155">
        <v>2</v>
      </c>
      <c r="I6388" s="155">
        <v>2</v>
      </c>
      <c r="J6388" s="710">
        <f>(VLOOKUP($C6388,[2]Sheet1!$A$2:$P$18,$M6388+1)/12)*12*D6388</f>
        <v>615413.40480000013</v>
      </c>
      <c r="K6388" s="711"/>
      <c r="M6388" s="62">
        <f t="shared" si="515"/>
        <v>3</v>
      </c>
    </row>
    <row r="6389" spans="1:13">
      <c r="A6389" s="88">
        <f t="shared" si="516"/>
        <v>5</v>
      </c>
      <c r="B6389" s="69" t="s">
        <v>3896</v>
      </c>
      <c r="C6389" s="167">
        <v>6</v>
      </c>
      <c r="D6389" s="155">
        <v>1</v>
      </c>
      <c r="E6389" s="155">
        <v>2</v>
      </c>
      <c r="F6389" s="155">
        <v>1</v>
      </c>
      <c r="G6389" s="155">
        <v>1</v>
      </c>
      <c r="H6389" s="155">
        <v>1</v>
      </c>
      <c r="I6389" s="155">
        <v>1</v>
      </c>
      <c r="J6389" s="710">
        <f>(VLOOKUP($C6389,[2]Sheet1!$A$2:$P$18,$M6389+1)/12)*12*D6389</f>
        <v>238099.37893036497</v>
      </c>
      <c r="K6389" s="711"/>
      <c r="M6389" s="62">
        <f t="shared" si="515"/>
        <v>5</v>
      </c>
    </row>
    <row r="6390" spans="1:13">
      <c r="A6390" s="88">
        <f t="shared" si="516"/>
        <v>6</v>
      </c>
      <c r="B6390" s="69" t="s">
        <v>3846</v>
      </c>
      <c r="C6390" s="167">
        <v>6</v>
      </c>
      <c r="D6390" s="155"/>
      <c r="E6390" s="155">
        <v>2</v>
      </c>
      <c r="F6390" s="155"/>
      <c r="G6390" s="155"/>
      <c r="H6390" s="155"/>
      <c r="I6390" s="155"/>
      <c r="J6390" s="710">
        <f>(VLOOKUP($C6390,[2]Sheet1!$A$2:$P$18,$M6390+1)/12)*12*D6390</f>
        <v>0</v>
      </c>
      <c r="K6390" s="711"/>
      <c r="M6390" s="62">
        <f t="shared" si="515"/>
        <v>5</v>
      </c>
    </row>
    <row r="6391" spans="1:13">
      <c r="A6391" s="88">
        <f t="shared" si="516"/>
        <v>7</v>
      </c>
      <c r="B6391" s="69" t="s">
        <v>3847</v>
      </c>
      <c r="C6391" s="167">
        <v>5</v>
      </c>
      <c r="D6391" s="155"/>
      <c r="E6391" s="155">
        <v>1</v>
      </c>
      <c r="F6391" s="155"/>
      <c r="G6391" s="155"/>
      <c r="H6391" s="155"/>
      <c r="I6391" s="155"/>
      <c r="J6391" s="710">
        <f>(VLOOKUP($C6391,[2]Sheet1!$A$2:$P$18,$M6391+1)/12)*12*D6391</f>
        <v>0</v>
      </c>
      <c r="K6391" s="711"/>
      <c r="M6391" s="62">
        <f t="shared" si="515"/>
        <v>5</v>
      </c>
    </row>
    <row r="6392" spans="1:13">
      <c r="A6392" s="88">
        <f t="shared" si="516"/>
        <v>8</v>
      </c>
      <c r="B6392" s="69" t="s">
        <v>2336</v>
      </c>
      <c r="C6392" s="167">
        <v>4</v>
      </c>
      <c r="D6392" s="155">
        <v>1</v>
      </c>
      <c r="E6392" s="155">
        <v>3</v>
      </c>
      <c r="F6392" s="155">
        <v>1</v>
      </c>
      <c r="G6392" s="155">
        <v>1</v>
      </c>
      <c r="H6392" s="155">
        <v>1</v>
      </c>
      <c r="I6392" s="155">
        <v>1</v>
      </c>
      <c r="J6392" s="710">
        <f>(VLOOKUP($C6392,[2]Sheet1!$A$2:$P$18,$M6392+1)/12)*12*D6392</f>
        <v>224542.978930365</v>
      </c>
      <c r="K6392" s="711"/>
      <c r="M6392" s="62">
        <f t="shared" si="515"/>
        <v>5</v>
      </c>
    </row>
    <row r="6393" spans="1:13">
      <c r="A6393" s="88">
        <f t="shared" si="516"/>
        <v>9</v>
      </c>
      <c r="B6393" s="69" t="s">
        <v>1069</v>
      </c>
      <c r="C6393" s="167">
        <v>3</v>
      </c>
      <c r="D6393" s="155">
        <v>10</v>
      </c>
      <c r="E6393" s="155">
        <v>4</v>
      </c>
      <c r="F6393" s="155">
        <v>10</v>
      </c>
      <c r="G6393" s="155">
        <v>10</v>
      </c>
      <c r="H6393" s="155">
        <v>10</v>
      </c>
      <c r="I6393" s="155">
        <v>10</v>
      </c>
      <c r="J6393" s="710">
        <f>(VLOOKUP($C6393,[2]Sheet1!$A$2:$P$18,$M6393+1)/12)*12*D6393</f>
        <v>2193361.7893036497</v>
      </c>
      <c r="K6393" s="711"/>
      <c r="M6393" s="62">
        <f t="shared" si="515"/>
        <v>5</v>
      </c>
    </row>
    <row r="6394" spans="1:13">
      <c r="A6394" s="88">
        <f t="shared" si="516"/>
        <v>10</v>
      </c>
      <c r="B6394" s="69" t="s">
        <v>1749</v>
      </c>
      <c r="C6394" s="167">
        <v>6</v>
      </c>
      <c r="D6394" s="155"/>
      <c r="E6394" s="155">
        <v>1</v>
      </c>
      <c r="F6394" s="155"/>
      <c r="G6394" s="155"/>
      <c r="H6394" s="155"/>
      <c r="I6394" s="155"/>
      <c r="J6394" s="710">
        <f>(VLOOKUP($C6394,[2]Sheet1!$A$2:$P$18,$M6394+1)/12)*12*D6394</f>
        <v>0</v>
      </c>
      <c r="K6394" s="711"/>
      <c r="M6394" s="62">
        <f t="shared" si="515"/>
        <v>5</v>
      </c>
    </row>
    <row r="6395" spans="1:13">
      <c r="A6395" s="88">
        <f t="shared" si="516"/>
        <v>11</v>
      </c>
      <c r="B6395" s="69" t="s">
        <v>3796</v>
      </c>
      <c r="C6395" s="167">
        <v>3</v>
      </c>
      <c r="D6395" s="155">
        <v>3</v>
      </c>
      <c r="E6395" s="155">
        <v>3</v>
      </c>
      <c r="F6395" s="155">
        <v>3</v>
      </c>
      <c r="G6395" s="155">
        <v>3</v>
      </c>
      <c r="H6395" s="155">
        <v>3</v>
      </c>
      <c r="I6395" s="155">
        <v>3</v>
      </c>
      <c r="J6395" s="710">
        <f>(VLOOKUP($C6395,[2]Sheet1!$A$2:$P$18,$M6395+1)/12)*12*D6395</f>
        <v>658008.53679109493</v>
      </c>
      <c r="K6395" s="711"/>
      <c r="M6395" s="62">
        <f t="shared" si="515"/>
        <v>5</v>
      </c>
    </row>
    <row r="6396" spans="1:13">
      <c r="A6396" s="88">
        <f t="shared" si="516"/>
        <v>12</v>
      </c>
      <c r="B6396" s="69" t="s">
        <v>3858</v>
      </c>
      <c r="C6396" s="167">
        <v>2</v>
      </c>
      <c r="D6396" s="155">
        <v>7</v>
      </c>
      <c r="E6396" s="155">
        <v>9</v>
      </c>
      <c r="F6396" s="155">
        <v>7</v>
      </c>
      <c r="G6396" s="155">
        <v>7</v>
      </c>
      <c r="H6396" s="155">
        <v>7</v>
      </c>
      <c r="I6396" s="155">
        <v>7</v>
      </c>
      <c r="J6396" s="710">
        <f>(VLOOKUP($C6396,[2]Sheet1!$A$2:$P$18,$M6396+1)/12)*12*D6396</f>
        <v>1502601.6525125552</v>
      </c>
      <c r="K6396" s="711"/>
      <c r="M6396" s="62">
        <f t="shared" si="515"/>
        <v>5</v>
      </c>
    </row>
    <row r="6397" spans="1:13">
      <c r="A6397" s="88">
        <f t="shared" si="516"/>
        <v>13</v>
      </c>
      <c r="B6397" s="69" t="s">
        <v>2179</v>
      </c>
      <c r="C6397" s="167">
        <v>5</v>
      </c>
      <c r="D6397" s="155">
        <v>1</v>
      </c>
      <c r="E6397" s="155">
        <v>2</v>
      </c>
      <c r="F6397" s="155">
        <v>1</v>
      </c>
      <c r="G6397" s="155">
        <v>1</v>
      </c>
      <c r="H6397" s="155">
        <v>1</v>
      </c>
      <c r="I6397" s="155">
        <v>1</v>
      </c>
      <c r="J6397" s="710">
        <f>(VLOOKUP($C6397,[2]Sheet1!$A$2:$P$18,$M6397+1)/12)*12*D6397</f>
        <v>229569.77893036499</v>
      </c>
      <c r="K6397" s="711"/>
      <c r="M6397" s="62">
        <f t="shared" si="515"/>
        <v>5</v>
      </c>
    </row>
    <row r="6398" spans="1:13">
      <c r="A6398" s="88">
        <f t="shared" si="516"/>
        <v>14</v>
      </c>
      <c r="B6398" s="69" t="s">
        <v>2542</v>
      </c>
      <c r="C6398" s="167">
        <v>4</v>
      </c>
      <c r="D6398" s="155"/>
      <c r="E6398" s="155">
        <v>2</v>
      </c>
      <c r="F6398" s="155"/>
      <c r="G6398" s="155"/>
      <c r="H6398" s="155"/>
      <c r="I6398" s="155"/>
      <c r="J6398" s="710">
        <f>(VLOOKUP($C6398,[2]Sheet1!$A$2:$P$18,$M6398+1)/12)*12*D6398</f>
        <v>0</v>
      </c>
      <c r="K6398" s="711"/>
      <c r="M6398" s="62">
        <f t="shared" si="515"/>
        <v>5</v>
      </c>
    </row>
    <row r="6399" spans="1:13">
      <c r="A6399" s="88">
        <f t="shared" si="516"/>
        <v>15</v>
      </c>
      <c r="B6399" s="69" t="s">
        <v>2543</v>
      </c>
      <c r="C6399" s="167">
        <v>3</v>
      </c>
      <c r="D6399" s="155">
        <v>5</v>
      </c>
      <c r="E6399" s="155">
        <v>6</v>
      </c>
      <c r="F6399" s="155">
        <v>5</v>
      </c>
      <c r="G6399" s="155">
        <v>5</v>
      </c>
      <c r="H6399" s="155">
        <v>5</v>
      </c>
      <c r="I6399" s="155">
        <v>5</v>
      </c>
      <c r="J6399" s="710">
        <f>(VLOOKUP($C6399,[2]Sheet1!$A$2:$P$18,$M6399+1)/12)*12*D6399</f>
        <v>1096680.8946518248</v>
      </c>
      <c r="K6399" s="711"/>
      <c r="M6399" s="62">
        <f t="shared" si="515"/>
        <v>5</v>
      </c>
    </row>
    <row r="6400" spans="1:13">
      <c r="A6400" s="88">
        <f t="shared" si="516"/>
        <v>16</v>
      </c>
      <c r="B6400" s="69" t="s">
        <v>3675</v>
      </c>
      <c r="C6400" s="167">
        <v>2</v>
      </c>
      <c r="D6400" s="155">
        <v>3</v>
      </c>
      <c r="E6400" s="155">
        <v>5</v>
      </c>
      <c r="F6400" s="155">
        <v>3</v>
      </c>
      <c r="G6400" s="155">
        <v>3</v>
      </c>
      <c r="H6400" s="155">
        <v>3</v>
      </c>
      <c r="I6400" s="155">
        <v>3</v>
      </c>
      <c r="J6400" s="710">
        <f>(VLOOKUP($C6400,[2]Sheet1!$A$2:$P$18,$M6400+1)/12)*12*D6400</f>
        <v>643972.13679109514</v>
      </c>
      <c r="K6400" s="711"/>
      <c r="M6400" s="62">
        <f t="shared" si="515"/>
        <v>5</v>
      </c>
    </row>
    <row r="6401" spans="1:13">
      <c r="A6401" s="88"/>
      <c r="B6401" s="90" t="s">
        <v>2521</v>
      </c>
      <c r="C6401" s="167"/>
      <c r="D6401" s="155"/>
      <c r="E6401" s="155"/>
      <c r="F6401" s="155"/>
      <c r="G6401" s="155"/>
      <c r="H6401" s="155"/>
      <c r="I6401" s="155"/>
      <c r="J6401" s="710"/>
      <c r="K6401" s="711"/>
      <c r="M6401" s="62">
        <f t="shared" si="515"/>
        <v>5</v>
      </c>
    </row>
    <row r="6402" spans="1:13">
      <c r="A6402" s="88">
        <v>16</v>
      </c>
      <c r="B6402" s="69" t="s">
        <v>4049</v>
      </c>
      <c r="C6402" s="167">
        <v>9</v>
      </c>
      <c r="D6402" s="155">
        <v>1</v>
      </c>
      <c r="E6402" s="155">
        <v>4</v>
      </c>
      <c r="F6402" s="155">
        <v>1</v>
      </c>
      <c r="G6402" s="155">
        <v>1</v>
      </c>
      <c r="H6402" s="155">
        <v>1</v>
      </c>
      <c r="I6402" s="155">
        <v>1</v>
      </c>
      <c r="J6402" s="710">
        <f>(VLOOKUP($C6402,[2]Sheet1!$A$2:$P$18,$M6402+1)/12)*12*D6402</f>
        <v>409681.90619999997</v>
      </c>
      <c r="K6402" s="711"/>
      <c r="M6402" s="62">
        <f t="shared" si="515"/>
        <v>3</v>
      </c>
    </row>
    <row r="6403" spans="1:13">
      <c r="A6403" s="88">
        <f>A6402+1</f>
        <v>17</v>
      </c>
      <c r="B6403" s="69" t="s">
        <v>1</v>
      </c>
      <c r="C6403" s="167">
        <v>8</v>
      </c>
      <c r="D6403" s="155">
        <v>3</v>
      </c>
      <c r="E6403" s="155">
        <v>2</v>
      </c>
      <c r="F6403" s="155">
        <v>3</v>
      </c>
      <c r="G6403" s="155">
        <v>3</v>
      </c>
      <c r="H6403" s="155">
        <v>3</v>
      </c>
      <c r="I6403" s="155">
        <v>3</v>
      </c>
      <c r="J6403" s="710">
        <f>(VLOOKUP($C6403,[2]Sheet1!$A$2:$P$18,$M6403+1)/12)*12*D6403</f>
        <v>1026423.82224</v>
      </c>
      <c r="K6403" s="711"/>
      <c r="M6403" s="62">
        <f t="shared" si="515"/>
        <v>3</v>
      </c>
    </row>
    <row r="6404" spans="1:13">
      <c r="A6404" s="88">
        <f>A6403+1</f>
        <v>18</v>
      </c>
      <c r="B6404" s="69" t="s">
        <v>1462</v>
      </c>
      <c r="C6404" s="167">
        <v>7</v>
      </c>
      <c r="D6404" s="155">
        <v>1</v>
      </c>
      <c r="E6404" s="155">
        <v>0</v>
      </c>
      <c r="F6404" s="155">
        <v>1</v>
      </c>
      <c r="G6404" s="155">
        <v>1</v>
      </c>
      <c r="H6404" s="155">
        <v>1</v>
      </c>
      <c r="I6404" s="155">
        <v>1</v>
      </c>
      <c r="J6404" s="710">
        <f>(VLOOKUP($C6404,[2]Sheet1!$A$2:$P$18,$M6404+1)/12)*12*D6404</f>
        <v>307706.70240000007</v>
      </c>
      <c r="K6404" s="711"/>
      <c r="M6404" s="62">
        <f t="shared" si="515"/>
        <v>3</v>
      </c>
    </row>
    <row r="6405" spans="1:13">
      <c r="A6405" s="88"/>
      <c r="B6405" s="90" t="s">
        <v>3857</v>
      </c>
      <c r="C6405" s="167"/>
      <c r="D6405" s="155"/>
      <c r="E6405" s="155"/>
      <c r="F6405" s="155"/>
      <c r="G6405" s="155"/>
      <c r="H6405" s="155"/>
      <c r="I6405" s="155"/>
      <c r="J6405" s="710"/>
      <c r="K6405" s="711"/>
      <c r="M6405" s="62">
        <f t="shared" si="515"/>
        <v>5</v>
      </c>
    </row>
    <row r="6406" spans="1:13">
      <c r="A6406" s="88">
        <f>+A6404+1</f>
        <v>19</v>
      </c>
      <c r="B6406" s="69" t="s">
        <v>1463</v>
      </c>
      <c r="C6406" s="167">
        <v>6</v>
      </c>
      <c r="D6406" s="155"/>
      <c r="E6406" s="155">
        <v>1</v>
      </c>
      <c r="F6406" s="155"/>
      <c r="G6406" s="155"/>
      <c r="H6406" s="155"/>
      <c r="I6406" s="155"/>
      <c r="J6406" s="710">
        <f>(VLOOKUP($C6406,[2]Sheet1!$A$2:$P$18,$M6406+1)/12)*12*D6406</f>
        <v>0</v>
      </c>
      <c r="K6406" s="711"/>
      <c r="M6406" s="62">
        <f t="shared" si="515"/>
        <v>5</v>
      </c>
    </row>
    <row r="6407" spans="1:13">
      <c r="A6407" s="88">
        <f>+A6406+1</f>
        <v>20</v>
      </c>
      <c r="B6407" s="69" t="s">
        <v>3877</v>
      </c>
      <c r="C6407" s="167">
        <v>5</v>
      </c>
      <c r="D6407" s="155"/>
      <c r="E6407" s="155">
        <v>0</v>
      </c>
      <c r="F6407" s="155"/>
      <c r="G6407" s="155"/>
      <c r="H6407" s="155"/>
      <c r="I6407" s="155"/>
      <c r="J6407" s="710">
        <f>(VLOOKUP($C6407,[2]Sheet1!$A$2:$P$18,$M6407+1)/12)*12*D6407</f>
        <v>0</v>
      </c>
      <c r="K6407" s="711"/>
      <c r="M6407" s="62">
        <f t="shared" si="515"/>
        <v>5</v>
      </c>
    </row>
    <row r="6408" spans="1:13">
      <c r="A6408" s="88"/>
      <c r="B6408" s="90" t="s">
        <v>2161</v>
      </c>
      <c r="C6408" s="167"/>
      <c r="D6408" s="155"/>
      <c r="E6408" s="155"/>
      <c r="F6408" s="155"/>
      <c r="G6408" s="155"/>
      <c r="H6408" s="155"/>
      <c r="I6408" s="155"/>
      <c r="J6408" s="710"/>
      <c r="K6408" s="711"/>
      <c r="M6408" s="62">
        <f t="shared" si="515"/>
        <v>5</v>
      </c>
    </row>
    <row r="6409" spans="1:13">
      <c r="A6409" s="88">
        <f>+A6407+1</f>
        <v>21</v>
      </c>
      <c r="B6409" s="69" t="s">
        <v>2116</v>
      </c>
      <c r="C6409" s="167">
        <v>13</v>
      </c>
      <c r="D6409" s="155"/>
      <c r="E6409" s="155">
        <v>0</v>
      </c>
      <c r="F6409" s="155"/>
      <c r="G6409" s="155"/>
      <c r="H6409" s="155"/>
      <c r="I6409" s="155"/>
      <c r="J6409" s="710">
        <f>(VLOOKUP($C6409,[2]Sheet1!$A$2:$P$18,$M6409+1)/12)*12*D6409</f>
        <v>0</v>
      </c>
      <c r="K6409" s="711"/>
      <c r="M6409" s="62">
        <f t="shared" ref="M6409:M6439" si="517">IF(C6409&gt;6,3,5)</f>
        <v>3</v>
      </c>
    </row>
    <row r="6410" spans="1:13">
      <c r="A6410" s="88">
        <f>+A6409+1</f>
        <v>22</v>
      </c>
      <c r="B6410" s="69" t="s">
        <v>2894</v>
      </c>
      <c r="C6410" s="167">
        <v>9</v>
      </c>
      <c r="D6410" s="155"/>
      <c r="E6410" s="155">
        <v>0</v>
      </c>
      <c r="F6410" s="155"/>
      <c r="G6410" s="155"/>
      <c r="H6410" s="155"/>
      <c r="I6410" s="155"/>
      <c r="J6410" s="710">
        <f>(VLOOKUP($C6410,[2]Sheet1!$A$2:$P$18,$M6410+1)/12)*12*D6410</f>
        <v>0</v>
      </c>
      <c r="K6410" s="711"/>
      <c r="M6410" s="62">
        <f t="shared" si="517"/>
        <v>3</v>
      </c>
    </row>
    <row r="6411" spans="1:13">
      <c r="A6411" s="88">
        <f>+A6410+1</f>
        <v>23</v>
      </c>
      <c r="B6411" s="69" t="s">
        <v>1329</v>
      </c>
      <c r="C6411" s="167">
        <v>4</v>
      </c>
      <c r="D6411" s="155"/>
      <c r="E6411" s="155">
        <v>0</v>
      </c>
      <c r="F6411" s="155"/>
      <c r="G6411" s="155"/>
      <c r="H6411" s="155"/>
      <c r="I6411" s="155"/>
      <c r="J6411" s="710">
        <f>(VLOOKUP($C6411,[2]Sheet1!$A$2:$P$18,$M6411+1)/12)*12*D6411</f>
        <v>0</v>
      </c>
      <c r="K6411" s="711"/>
      <c r="M6411" s="62">
        <f t="shared" si="517"/>
        <v>5</v>
      </c>
    </row>
    <row r="6412" spans="1:13">
      <c r="A6412" s="88"/>
      <c r="B6412" s="90" t="s">
        <v>1330</v>
      </c>
      <c r="C6412" s="167"/>
      <c r="D6412" s="155"/>
      <c r="E6412" s="155"/>
      <c r="F6412" s="155"/>
      <c r="G6412" s="155"/>
      <c r="H6412" s="155"/>
      <c r="I6412" s="155"/>
      <c r="J6412" s="710"/>
      <c r="K6412" s="711"/>
      <c r="M6412" s="62">
        <f t="shared" si="517"/>
        <v>5</v>
      </c>
    </row>
    <row r="6413" spans="1:13">
      <c r="A6413" s="88">
        <f>+A6411+1</f>
        <v>24</v>
      </c>
      <c r="B6413" s="69" t="s">
        <v>3532</v>
      </c>
      <c r="C6413" s="167">
        <v>16</v>
      </c>
      <c r="D6413" s="155"/>
      <c r="E6413" s="155">
        <v>1</v>
      </c>
      <c r="F6413" s="155"/>
      <c r="G6413" s="155"/>
      <c r="H6413" s="155"/>
      <c r="I6413" s="155"/>
      <c r="J6413" s="710">
        <f>(VLOOKUP($C6413,[2]Sheet1!$A$2:$P$18,$M6413+1)/12)*12*D6413</f>
        <v>0</v>
      </c>
      <c r="K6413" s="711"/>
      <c r="M6413" s="62">
        <f t="shared" si="517"/>
        <v>3</v>
      </c>
    </row>
    <row r="6414" spans="1:13">
      <c r="A6414" s="88">
        <f t="shared" ref="A6414:A6435" si="518">+A6413+1</f>
        <v>25</v>
      </c>
      <c r="B6414" s="69" t="s">
        <v>1256</v>
      </c>
      <c r="C6414" s="167">
        <v>15</v>
      </c>
      <c r="D6414" s="155">
        <v>2</v>
      </c>
      <c r="E6414" s="155">
        <v>2</v>
      </c>
      <c r="F6414" s="155">
        <v>2</v>
      </c>
      <c r="G6414" s="155">
        <v>2</v>
      </c>
      <c r="H6414" s="155"/>
      <c r="I6414" s="155">
        <v>2</v>
      </c>
      <c r="J6414" s="710">
        <f>(VLOOKUP($C6414,[2]Sheet1!$A$2:$P$18,$M6414+1)/12)*12*D6414</f>
        <v>1316663.79984</v>
      </c>
      <c r="K6414" s="711"/>
      <c r="M6414" s="62">
        <f t="shared" si="517"/>
        <v>3</v>
      </c>
    </row>
    <row r="6415" spans="1:13">
      <c r="A6415" s="88">
        <f t="shared" si="518"/>
        <v>26</v>
      </c>
      <c r="B6415" s="69" t="s">
        <v>1987</v>
      </c>
      <c r="C6415" s="167">
        <v>13</v>
      </c>
      <c r="D6415" s="155"/>
      <c r="E6415" s="155">
        <v>3</v>
      </c>
      <c r="F6415" s="155"/>
      <c r="G6415" s="155"/>
      <c r="H6415" s="155"/>
      <c r="I6415" s="155"/>
      <c r="J6415" s="710">
        <f>(VLOOKUP($C6415,[2]Sheet1!$A$2:$P$18,$M6415+1)/12)*12*D6415</f>
        <v>0</v>
      </c>
      <c r="K6415" s="711"/>
      <c r="M6415" s="62">
        <f t="shared" si="517"/>
        <v>3</v>
      </c>
    </row>
    <row r="6416" spans="1:13">
      <c r="A6416" s="88">
        <f t="shared" si="518"/>
        <v>27</v>
      </c>
      <c r="B6416" s="69" t="s">
        <v>157</v>
      </c>
      <c r="C6416" s="167">
        <v>14</v>
      </c>
      <c r="D6416" s="155"/>
      <c r="E6416" s="155">
        <v>2</v>
      </c>
      <c r="F6416" s="155"/>
      <c r="G6416" s="155"/>
      <c r="H6416" s="155"/>
      <c r="I6416" s="155"/>
      <c r="J6416" s="710">
        <f>(VLOOKUP($C6416,[2]Sheet1!$A$2:$P$18,$M6416+1)/12)*12*D6416</f>
        <v>0</v>
      </c>
      <c r="K6416" s="711"/>
      <c r="M6416" s="62">
        <f t="shared" si="517"/>
        <v>3</v>
      </c>
    </row>
    <row r="6417" spans="1:13">
      <c r="A6417" s="88">
        <f t="shared" si="518"/>
        <v>28</v>
      </c>
      <c r="B6417" s="69" t="s">
        <v>158</v>
      </c>
      <c r="C6417" s="167">
        <v>12</v>
      </c>
      <c r="D6417" s="155"/>
      <c r="E6417" s="155">
        <v>2</v>
      </c>
      <c r="F6417" s="155"/>
      <c r="G6417" s="155"/>
      <c r="H6417" s="155"/>
      <c r="I6417" s="155"/>
      <c r="J6417" s="710">
        <f>(VLOOKUP($C6417,[2]Sheet1!$A$2:$P$18,$M6417+1)/12)*12*D6417</f>
        <v>0</v>
      </c>
      <c r="K6417" s="711"/>
      <c r="M6417" s="62">
        <f t="shared" si="517"/>
        <v>3</v>
      </c>
    </row>
    <row r="6418" spans="1:13">
      <c r="A6418" s="88">
        <f t="shared" si="518"/>
        <v>29</v>
      </c>
      <c r="B6418" s="69" t="s">
        <v>159</v>
      </c>
      <c r="C6418" s="167">
        <v>10</v>
      </c>
      <c r="D6418" s="155"/>
      <c r="E6418" s="155">
        <v>2</v>
      </c>
      <c r="F6418" s="155"/>
      <c r="G6418" s="155"/>
      <c r="H6418" s="155"/>
      <c r="I6418" s="155"/>
      <c r="J6418" s="710">
        <f>(VLOOKUP($C6418,[2]Sheet1!$A$2:$P$18,$M6418+1)/12)*12*D6418</f>
        <v>0</v>
      </c>
      <c r="K6418" s="711"/>
      <c r="M6418" s="62">
        <f t="shared" si="517"/>
        <v>3</v>
      </c>
    </row>
    <row r="6419" spans="1:13">
      <c r="A6419" s="88">
        <f t="shared" si="518"/>
        <v>30</v>
      </c>
      <c r="B6419" s="69" t="s">
        <v>2747</v>
      </c>
      <c r="C6419" s="167">
        <v>9</v>
      </c>
      <c r="D6419" s="155"/>
      <c r="E6419" s="155">
        <v>0</v>
      </c>
      <c r="F6419" s="155"/>
      <c r="G6419" s="155"/>
      <c r="H6419" s="155"/>
      <c r="I6419" s="155"/>
      <c r="J6419" s="710">
        <f>(VLOOKUP($C6419,[2]Sheet1!$A$2:$P$18,$M6419+1)/12)*12*D6419</f>
        <v>0</v>
      </c>
      <c r="K6419" s="711"/>
      <c r="M6419" s="62">
        <f t="shared" si="517"/>
        <v>3</v>
      </c>
    </row>
    <row r="6420" spans="1:13" ht="13.5" thickBot="1">
      <c r="A6420" s="88">
        <f t="shared" si="518"/>
        <v>31</v>
      </c>
      <c r="B6420" s="69" t="s">
        <v>2910</v>
      </c>
      <c r="C6420" s="167">
        <v>8</v>
      </c>
      <c r="D6420" s="155"/>
      <c r="E6420" s="155">
        <v>0</v>
      </c>
      <c r="F6420" s="155"/>
      <c r="G6420" s="155"/>
      <c r="H6420" s="155"/>
      <c r="I6420" s="155"/>
      <c r="J6420" s="710">
        <f>(VLOOKUP($C6420,[2]Sheet1!$A$2:$P$18,$M6420+1)/12)*12*D6420</f>
        <v>0</v>
      </c>
      <c r="K6420" s="711"/>
      <c r="M6420" s="62">
        <f t="shared" si="517"/>
        <v>3</v>
      </c>
    </row>
    <row r="6421" spans="1:13" ht="15.75" thickTop="1">
      <c r="A6421" s="1047" t="s">
        <v>2791</v>
      </c>
      <c r="B6421" s="1049" t="s">
        <v>4126</v>
      </c>
      <c r="C6421" s="1049" t="s">
        <v>854</v>
      </c>
      <c r="D6421" s="1040" t="s">
        <v>4127</v>
      </c>
      <c r="E6421" s="1041"/>
      <c r="F6421" s="1041"/>
      <c r="G6421" s="1040" t="s">
        <v>904</v>
      </c>
      <c r="H6421" s="1041"/>
      <c r="I6421" s="1042"/>
      <c r="J6421" s="1035" t="s">
        <v>855</v>
      </c>
      <c r="K6421" s="389"/>
    </row>
    <row r="6422" spans="1:13" ht="26.25" thickBot="1">
      <c r="A6422" s="1048"/>
      <c r="B6422" s="1050"/>
      <c r="C6422" s="1050"/>
      <c r="D6422" s="285" t="s">
        <v>5505</v>
      </c>
      <c r="E6422" s="285" t="s">
        <v>4485</v>
      </c>
      <c r="F6422" s="285" t="s">
        <v>4486</v>
      </c>
      <c r="G6422" s="287" t="s">
        <v>4487</v>
      </c>
      <c r="H6422" s="285" t="s">
        <v>4488</v>
      </c>
      <c r="I6422" s="287" t="s">
        <v>4489</v>
      </c>
      <c r="J6422" s="1036"/>
      <c r="K6422" s="712"/>
    </row>
    <row r="6423" spans="1:13" ht="13.5" thickTop="1">
      <c r="A6423" s="88">
        <f>+A6420+1</f>
        <v>32</v>
      </c>
      <c r="B6423" s="69" t="s">
        <v>219</v>
      </c>
      <c r="C6423" s="167">
        <v>14</v>
      </c>
      <c r="D6423" s="155">
        <v>10</v>
      </c>
      <c r="E6423" s="155">
        <v>12</v>
      </c>
      <c r="F6423" s="155">
        <v>10</v>
      </c>
      <c r="G6423" s="155">
        <v>10</v>
      </c>
      <c r="H6423" s="155"/>
      <c r="I6423" s="155">
        <v>10</v>
      </c>
      <c r="J6423" s="710">
        <f>(VLOOKUP($C6423,[2]Sheet1!$A$2:$P$18,$M6423+1)/12)*12*D6423</f>
        <v>6690994.0823999997</v>
      </c>
      <c r="K6423" s="711"/>
      <c r="M6423" s="62">
        <f t="shared" si="517"/>
        <v>3</v>
      </c>
    </row>
    <row r="6424" spans="1:13">
      <c r="A6424" s="88">
        <f>+A6423+1</f>
        <v>33</v>
      </c>
      <c r="B6424" s="69" t="s">
        <v>311</v>
      </c>
      <c r="C6424" s="167">
        <v>13</v>
      </c>
      <c r="D6424" s="155">
        <v>5</v>
      </c>
      <c r="E6424" s="155">
        <v>2</v>
      </c>
      <c r="F6424" s="155">
        <v>5</v>
      </c>
      <c r="G6424" s="155">
        <v>5</v>
      </c>
      <c r="H6424" s="155"/>
      <c r="I6424" s="155">
        <v>5</v>
      </c>
      <c r="J6424" s="710">
        <f>(VLOOKUP($C6424,[2]Sheet1!$A$2:$P$18,$M6424+1)/12)*12*D6424</f>
        <v>3143797.6902000001</v>
      </c>
      <c r="K6424" s="711"/>
      <c r="M6424" s="62">
        <f t="shared" si="517"/>
        <v>3</v>
      </c>
    </row>
    <row r="6425" spans="1:13">
      <c r="A6425" s="88">
        <f t="shared" si="518"/>
        <v>34</v>
      </c>
      <c r="B6425" s="69" t="s">
        <v>481</v>
      </c>
      <c r="C6425" s="167">
        <v>12</v>
      </c>
      <c r="D6425" s="155">
        <v>2</v>
      </c>
      <c r="E6425" s="155">
        <v>3</v>
      </c>
      <c r="F6425" s="155">
        <v>2</v>
      </c>
      <c r="G6425" s="155">
        <v>2</v>
      </c>
      <c r="H6425" s="155"/>
      <c r="I6425" s="155">
        <v>2</v>
      </c>
      <c r="J6425" s="710">
        <f>(VLOOKUP($C6425,[2]Sheet1!$A$2:$P$18,$M6425+1)/12)*12*D6425</f>
        <v>1105370.1074400004</v>
      </c>
      <c r="K6425" s="711"/>
      <c r="M6425" s="62">
        <f t="shared" si="517"/>
        <v>3</v>
      </c>
    </row>
    <row r="6426" spans="1:13">
      <c r="A6426" s="88">
        <f>+A6425+1</f>
        <v>35</v>
      </c>
      <c r="B6426" s="69" t="s">
        <v>2911</v>
      </c>
      <c r="C6426" s="167">
        <v>10</v>
      </c>
      <c r="D6426" s="155">
        <v>1</v>
      </c>
      <c r="E6426" s="155">
        <v>5</v>
      </c>
      <c r="F6426" s="155">
        <v>1</v>
      </c>
      <c r="G6426" s="155">
        <v>1</v>
      </c>
      <c r="H6426" s="155"/>
      <c r="I6426" s="155">
        <v>1</v>
      </c>
      <c r="J6426" s="710">
        <f>(VLOOKUP($C6426,[2]Sheet1!$A$2:$P$18,$M6426+1)/12)*12*D6426</f>
        <v>483974.5687200001</v>
      </c>
      <c r="K6426" s="711"/>
      <c r="M6426" s="62">
        <f t="shared" si="517"/>
        <v>3</v>
      </c>
    </row>
    <row r="6427" spans="1:13">
      <c r="A6427" s="88">
        <f t="shared" si="518"/>
        <v>36</v>
      </c>
      <c r="B6427" s="69" t="s">
        <v>3065</v>
      </c>
      <c r="C6427" s="167">
        <v>9</v>
      </c>
      <c r="D6427" s="155">
        <v>3</v>
      </c>
      <c r="E6427" s="155">
        <v>3</v>
      </c>
      <c r="F6427" s="155">
        <v>3</v>
      </c>
      <c r="G6427" s="155">
        <v>3</v>
      </c>
      <c r="H6427" s="155"/>
      <c r="I6427" s="155">
        <v>3</v>
      </c>
      <c r="J6427" s="710">
        <f>(VLOOKUP($C6427,[2]Sheet1!$A$2:$P$18,$M6427+1)/12)*12*D6427</f>
        <v>1229045.7185999998</v>
      </c>
      <c r="K6427" s="711"/>
      <c r="M6427" s="62">
        <f t="shared" si="517"/>
        <v>3</v>
      </c>
    </row>
    <row r="6428" spans="1:13">
      <c r="A6428" s="88">
        <f t="shared" si="518"/>
        <v>37</v>
      </c>
      <c r="B6428" s="69" t="s">
        <v>50</v>
      </c>
      <c r="C6428" s="167">
        <v>8</v>
      </c>
      <c r="D6428" s="155">
        <v>4</v>
      </c>
      <c r="E6428" s="155">
        <v>2</v>
      </c>
      <c r="F6428" s="155">
        <v>4</v>
      </c>
      <c r="G6428" s="155">
        <v>4</v>
      </c>
      <c r="H6428" s="155"/>
      <c r="I6428" s="155">
        <v>4</v>
      </c>
      <c r="J6428" s="710">
        <f>(VLOOKUP($C6428,[2]Sheet1!$A$2:$P$18,$M6428+1)/12)*12*D6428</f>
        <v>1368565.09632</v>
      </c>
      <c r="K6428" s="711"/>
      <c r="M6428" s="62">
        <f t="shared" si="517"/>
        <v>3</v>
      </c>
    </row>
    <row r="6429" spans="1:13">
      <c r="A6429" s="88">
        <f t="shared" si="518"/>
        <v>38</v>
      </c>
      <c r="B6429" s="69" t="s">
        <v>3066</v>
      </c>
      <c r="C6429" s="167">
        <v>14</v>
      </c>
      <c r="D6429" s="155"/>
      <c r="E6429" s="155">
        <v>0</v>
      </c>
      <c r="F6429" s="155"/>
      <c r="G6429" s="155"/>
      <c r="H6429" s="155"/>
      <c r="I6429" s="155"/>
      <c r="J6429" s="710">
        <f>(VLOOKUP($C6429,[2]Sheet1!$A$2:$P$18,$M6429+1)/12)*12*D6429</f>
        <v>0</v>
      </c>
      <c r="K6429" s="711"/>
      <c r="M6429" s="62">
        <f t="shared" si="517"/>
        <v>3</v>
      </c>
    </row>
    <row r="6430" spans="1:13">
      <c r="A6430" s="88">
        <f>+A6429+1</f>
        <v>39</v>
      </c>
      <c r="B6430" s="69" t="s">
        <v>160</v>
      </c>
      <c r="C6430" s="167">
        <v>13</v>
      </c>
      <c r="D6430" s="155"/>
      <c r="E6430" s="155">
        <v>0</v>
      </c>
      <c r="F6430" s="155"/>
      <c r="G6430" s="155"/>
      <c r="H6430" s="155"/>
      <c r="I6430" s="155"/>
      <c r="J6430" s="710">
        <f>(VLOOKUP($C6430,[2]Sheet1!$A$2:$P$18,$M6430+1)/12)*12*D6430</f>
        <v>0</v>
      </c>
      <c r="K6430" s="711"/>
      <c r="M6430" s="62">
        <f t="shared" si="517"/>
        <v>3</v>
      </c>
    </row>
    <row r="6431" spans="1:13">
      <c r="A6431" s="88">
        <f t="shared" si="518"/>
        <v>40</v>
      </c>
      <c r="B6431" s="69" t="s">
        <v>2297</v>
      </c>
      <c r="C6431" s="167">
        <v>12</v>
      </c>
      <c r="D6431" s="155"/>
      <c r="E6431" s="155">
        <v>0</v>
      </c>
      <c r="F6431" s="155"/>
      <c r="G6431" s="155"/>
      <c r="H6431" s="155"/>
      <c r="I6431" s="155"/>
      <c r="J6431" s="710">
        <f>(VLOOKUP($C6431,[2]Sheet1!$A$2:$P$18,$M6431+1)/12)*12*D6431</f>
        <v>0</v>
      </c>
      <c r="K6431" s="711"/>
      <c r="M6431" s="62">
        <f t="shared" si="517"/>
        <v>3</v>
      </c>
    </row>
    <row r="6432" spans="1:13">
      <c r="A6432" s="88">
        <f>+A6431+1</f>
        <v>41</v>
      </c>
      <c r="B6432" s="69" t="s">
        <v>2298</v>
      </c>
      <c r="C6432" s="167">
        <v>10</v>
      </c>
      <c r="D6432" s="155">
        <v>0</v>
      </c>
      <c r="E6432" s="155">
        <v>0</v>
      </c>
      <c r="F6432" s="155">
        <v>0</v>
      </c>
      <c r="G6432" s="155">
        <v>0</v>
      </c>
      <c r="H6432" s="155">
        <v>0</v>
      </c>
      <c r="I6432" s="155">
        <v>0</v>
      </c>
      <c r="J6432" s="710">
        <f>(VLOOKUP($C6432,[2]Sheet1!$A$2:$P$18,$M6432+1)/12)*12*D6432</f>
        <v>0</v>
      </c>
      <c r="K6432" s="711"/>
      <c r="M6432" s="62">
        <f t="shared" si="517"/>
        <v>3</v>
      </c>
    </row>
    <row r="6433" spans="1:13">
      <c r="A6433" s="88">
        <f t="shared" si="518"/>
        <v>42</v>
      </c>
      <c r="B6433" s="69" t="s">
        <v>2676</v>
      </c>
      <c r="C6433" s="167">
        <v>6</v>
      </c>
      <c r="D6433" s="155">
        <v>1</v>
      </c>
      <c r="E6433" s="155">
        <v>0</v>
      </c>
      <c r="F6433" s="155">
        <v>1</v>
      </c>
      <c r="G6433" s="155">
        <v>1</v>
      </c>
      <c r="H6433" s="155">
        <v>1</v>
      </c>
      <c r="I6433" s="155">
        <v>1</v>
      </c>
      <c r="J6433" s="710">
        <f>(VLOOKUP($C6433,[2]Sheet1!$A$2:$P$18,$M6433+1)/12)*12*D6433</f>
        <v>238099.37893036497</v>
      </c>
      <c r="K6433" s="711"/>
      <c r="M6433" s="62">
        <f t="shared" si="517"/>
        <v>5</v>
      </c>
    </row>
    <row r="6434" spans="1:13">
      <c r="A6434" s="88">
        <f t="shared" si="518"/>
        <v>43</v>
      </c>
      <c r="B6434" s="69" t="s">
        <v>2677</v>
      </c>
      <c r="C6434" s="167">
        <v>7</v>
      </c>
      <c r="D6434" s="155">
        <v>2</v>
      </c>
      <c r="E6434" s="155">
        <v>1</v>
      </c>
      <c r="F6434" s="155">
        <v>2</v>
      </c>
      <c r="G6434" s="155">
        <v>2</v>
      </c>
      <c r="H6434" s="155">
        <v>2</v>
      </c>
      <c r="I6434" s="155">
        <v>2</v>
      </c>
      <c r="J6434" s="710">
        <f>(VLOOKUP($C6434,[2]Sheet1!$A$2:$P$18,$M6434+1)/12)*12*D6434</f>
        <v>615413.40480000013</v>
      </c>
      <c r="K6434" s="711"/>
      <c r="M6434" s="62">
        <f t="shared" si="517"/>
        <v>3</v>
      </c>
    </row>
    <row r="6435" spans="1:13">
      <c r="A6435" s="88">
        <f t="shared" si="518"/>
        <v>44</v>
      </c>
      <c r="B6435" s="69" t="s">
        <v>906</v>
      </c>
      <c r="C6435" s="167">
        <v>5</v>
      </c>
      <c r="D6435" s="155">
        <v>0</v>
      </c>
      <c r="E6435" s="155">
        <v>1</v>
      </c>
      <c r="F6435" s="155">
        <v>0</v>
      </c>
      <c r="G6435" s="155">
        <v>0</v>
      </c>
      <c r="H6435" s="155">
        <v>0</v>
      </c>
      <c r="I6435" s="155">
        <v>0</v>
      </c>
      <c r="J6435" s="710">
        <f>(VLOOKUP($C6435,[2]Sheet1!$A$2:$P$18,$M6435+1)/12)*12*D6435</f>
        <v>0</v>
      </c>
      <c r="K6435" s="711"/>
      <c r="M6435" s="62">
        <f t="shared" si="517"/>
        <v>5</v>
      </c>
    </row>
    <row r="6436" spans="1:13">
      <c r="A6436" s="88"/>
      <c r="B6436" s="90" t="s">
        <v>2678</v>
      </c>
      <c r="C6436" s="167"/>
      <c r="D6436" s="155"/>
      <c r="E6436" s="155"/>
      <c r="F6436" s="155"/>
      <c r="G6436" s="155"/>
      <c r="H6436" s="155"/>
      <c r="I6436" s="155"/>
      <c r="J6436" s="710"/>
      <c r="K6436" s="711"/>
      <c r="M6436" s="62">
        <f t="shared" si="517"/>
        <v>5</v>
      </c>
    </row>
    <row r="6437" spans="1:13">
      <c r="A6437" s="88">
        <v>42</v>
      </c>
      <c r="B6437" s="69" t="s">
        <v>3532</v>
      </c>
      <c r="C6437" s="167">
        <v>16</v>
      </c>
      <c r="D6437" s="155">
        <v>0</v>
      </c>
      <c r="E6437" s="155">
        <v>1</v>
      </c>
      <c r="F6437" s="155">
        <v>0</v>
      </c>
      <c r="G6437" s="155">
        <v>0</v>
      </c>
      <c r="H6437" s="155">
        <v>0</v>
      </c>
      <c r="I6437" s="155">
        <v>0</v>
      </c>
      <c r="J6437" s="710">
        <f>(VLOOKUP($C6437,[2]Sheet1!$A$2:$P$18,$M6437+1)/12)*12*D6437</f>
        <v>0</v>
      </c>
      <c r="K6437" s="711"/>
      <c r="M6437" s="62">
        <f t="shared" si="517"/>
        <v>3</v>
      </c>
    </row>
    <row r="6438" spans="1:13">
      <c r="A6438" s="88">
        <f t="shared" ref="A6438:A6457" si="519">+A6437+1</f>
        <v>43</v>
      </c>
      <c r="B6438" s="69" t="s">
        <v>1256</v>
      </c>
      <c r="C6438" s="167">
        <v>15</v>
      </c>
      <c r="D6438" s="155">
        <v>0</v>
      </c>
      <c r="E6438" s="155">
        <v>3</v>
      </c>
      <c r="F6438" s="155">
        <v>0</v>
      </c>
      <c r="G6438" s="155">
        <v>0</v>
      </c>
      <c r="H6438" s="155">
        <v>0</v>
      </c>
      <c r="I6438" s="155">
        <v>0</v>
      </c>
      <c r="J6438" s="710">
        <f>(VLOOKUP($C6438,[2]Sheet1!$A$2:$P$18,$M6438+1)/12)*12*D6438</f>
        <v>0</v>
      </c>
      <c r="K6438" s="711"/>
      <c r="M6438" s="62">
        <f t="shared" si="517"/>
        <v>3</v>
      </c>
    </row>
    <row r="6439" spans="1:13">
      <c r="A6439" s="88">
        <f t="shared" si="519"/>
        <v>44</v>
      </c>
      <c r="B6439" s="69" t="s">
        <v>2679</v>
      </c>
      <c r="C6439" s="167">
        <v>14</v>
      </c>
      <c r="D6439" s="155">
        <v>2</v>
      </c>
      <c r="E6439" s="155">
        <v>3</v>
      </c>
      <c r="F6439" s="155">
        <v>2</v>
      </c>
      <c r="G6439" s="155">
        <v>2</v>
      </c>
      <c r="H6439" s="155">
        <v>2</v>
      </c>
      <c r="I6439" s="155">
        <v>2</v>
      </c>
      <c r="J6439" s="710">
        <f>(VLOOKUP($C6439,[2]Sheet1!$A$2:$P$18,$M6439+1)/12)*12*D6439</f>
        <v>1338198.81648</v>
      </c>
      <c r="K6439" s="711"/>
      <c r="M6439" s="62">
        <f t="shared" si="517"/>
        <v>3</v>
      </c>
    </row>
    <row r="6440" spans="1:13">
      <c r="A6440" s="88">
        <f t="shared" si="519"/>
        <v>45</v>
      </c>
      <c r="B6440" s="69" t="s">
        <v>1434</v>
      </c>
      <c r="C6440" s="167">
        <v>13</v>
      </c>
      <c r="D6440" s="155">
        <v>0</v>
      </c>
      <c r="E6440" s="155">
        <v>2</v>
      </c>
      <c r="F6440" s="155">
        <v>0</v>
      </c>
      <c r="G6440" s="155">
        <v>0</v>
      </c>
      <c r="H6440" s="155">
        <v>0</v>
      </c>
      <c r="I6440" s="155">
        <v>0</v>
      </c>
      <c r="J6440" s="710">
        <f>(VLOOKUP($C6440,[2]Sheet1!$A$2:$P$18,$M6440+1)/12)*12*D6440</f>
        <v>0</v>
      </c>
      <c r="K6440" s="711"/>
      <c r="M6440" s="62">
        <f t="shared" ref="M6440:M6467" si="520">IF(C6440&gt;6,3,5)</f>
        <v>3</v>
      </c>
    </row>
    <row r="6441" spans="1:13">
      <c r="A6441" s="88">
        <f t="shared" si="519"/>
        <v>46</v>
      </c>
      <c r="B6441" s="69" t="s">
        <v>1435</v>
      </c>
      <c r="C6441" s="167">
        <v>10</v>
      </c>
      <c r="D6441" s="155">
        <v>1</v>
      </c>
      <c r="E6441" s="155">
        <v>1</v>
      </c>
      <c r="F6441" s="155">
        <v>1</v>
      </c>
      <c r="G6441" s="155">
        <v>1</v>
      </c>
      <c r="H6441" s="155">
        <v>1</v>
      </c>
      <c r="I6441" s="155">
        <v>1</v>
      </c>
      <c r="J6441" s="710">
        <f>(VLOOKUP($C6441,[2]Sheet1!$A$2:$P$18,$M6441+1)/12)*12*D6441</f>
        <v>483974.5687200001</v>
      </c>
      <c r="K6441" s="711"/>
      <c r="M6441" s="62">
        <f t="shared" si="520"/>
        <v>3</v>
      </c>
    </row>
    <row r="6442" spans="1:13">
      <c r="A6442" s="88">
        <f t="shared" si="519"/>
        <v>47</v>
      </c>
      <c r="B6442" s="69" t="s">
        <v>1601</v>
      </c>
      <c r="C6442" s="167">
        <v>9</v>
      </c>
      <c r="D6442" s="155">
        <v>8</v>
      </c>
      <c r="E6442" s="155">
        <v>3</v>
      </c>
      <c r="F6442" s="155">
        <v>8</v>
      </c>
      <c r="G6442" s="155">
        <v>8</v>
      </c>
      <c r="H6442" s="155">
        <v>8</v>
      </c>
      <c r="I6442" s="155">
        <v>8</v>
      </c>
      <c r="J6442" s="710">
        <f>(VLOOKUP($C6442,[2]Sheet1!$A$2:$P$18,$M6442+1)/12)*12*D6442</f>
        <v>3277455.2495999997</v>
      </c>
      <c r="K6442" s="711"/>
      <c r="M6442" s="62">
        <f t="shared" si="520"/>
        <v>3</v>
      </c>
    </row>
    <row r="6443" spans="1:13">
      <c r="A6443" s="88">
        <f t="shared" si="519"/>
        <v>48</v>
      </c>
      <c r="B6443" s="69" t="s">
        <v>2641</v>
      </c>
      <c r="C6443" s="167">
        <v>8</v>
      </c>
      <c r="D6443" s="155">
        <v>0</v>
      </c>
      <c r="E6443" s="155">
        <v>2</v>
      </c>
      <c r="F6443" s="155">
        <v>0</v>
      </c>
      <c r="G6443" s="155">
        <v>0</v>
      </c>
      <c r="H6443" s="155">
        <v>0</v>
      </c>
      <c r="I6443" s="155">
        <v>0</v>
      </c>
      <c r="J6443" s="710">
        <f>(VLOOKUP($C6443,[2]Sheet1!$A$2:$P$18,$M6443+1)/12)*12*D6443</f>
        <v>0</v>
      </c>
      <c r="K6443" s="711"/>
      <c r="M6443" s="62">
        <f t="shared" si="520"/>
        <v>3</v>
      </c>
    </row>
    <row r="6444" spans="1:13">
      <c r="A6444" s="88">
        <f t="shared" si="519"/>
        <v>49</v>
      </c>
      <c r="B6444" s="69" t="s">
        <v>219</v>
      </c>
      <c r="C6444" s="167">
        <v>14</v>
      </c>
      <c r="D6444" s="155">
        <v>4</v>
      </c>
      <c r="E6444" s="155">
        <v>10</v>
      </c>
      <c r="F6444" s="155">
        <v>4</v>
      </c>
      <c r="G6444" s="155">
        <v>4</v>
      </c>
      <c r="H6444" s="155">
        <v>4</v>
      </c>
      <c r="I6444" s="155">
        <v>4</v>
      </c>
      <c r="J6444" s="710">
        <f>(VLOOKUP($C6444,[2]Sheet1!$A$2:$P$18,$M6444+1)/12)*12*D6444</f>
        <v>2676397.6329600001</v>
      </c>
      <c r="K6444" s="711"/>
      <c r="M6444" s="62">
        <f t="shared" si="520"/>
        <v>3</v>
      </c>
    </row>
    <row r="6445" spans="1:13">
      <c r="A6445" s="88">
        <f t="shared" si="519"/>
        <v>50</v>
      </c>
      <c r="B6445" s="69" t="s">
        <v>311</v>
      </c>
      <c r="C6445" s="167">
        <v>13</v>
      </c>
      <c r="D6445" s="155">
        <v>2</v>
      </c>
      <c r="E6445" s="155">
        <v>7</v>
      </c>
      <c r="F6445" s="155">
        <v>2</v>
      </c>
      <c r="G6445" s="155">
        <v>2</v>
      </c>
      <c r="H6445" s="155">
        <v>2</v>
      </c>
      <c r="I6445" s="155">
        <v>2</v>
      </c>
      <c r="J6445" s="710">
        <f>(VLOOKUP($C6445,[2]Sheet1!$A$2:$P$18,$M6445+1)/12)*12*D6445</f>
        <v>1257519.07608</v>
      </c>
      <c r="K6445" s="711"/>
      <c r="M6445" s="62">
        <f t="shared" si="520"/>
        <v>3</v>
      </c>
    </row>
    <row r="6446" spans="1:13">
      <c r="A6446" s="88">
        <f t="shared" si="519"/>
        <v>51</v>
      </c>
      <c r="B6446" s="69" t="s">
        <v>481</v>
      </c>
      <c r="C6446" s="167">
        <v>12</v>
      </c>
      <c r="D6446" s="155">
        <v>5</v>
      </c>
      <c r="E6446" s="155">
        <v>9</v>
      </c>
      <c r="F6446" s="155">
        <v>5</v>
      </c>
      <c r="G6446" s="155">
        <v>5</v>
      </c>
      <c r="H6446" s="155">
        <v>5</v>
      </c>
      <c r="I6446" s="155">
        <v>5</v>
      </c>
      <c r="J6446" s="710">
        <f>(VLOOKUP($C6446,[2]Sheet1!$A$2:$P$18,$M6446+1)/12)*12*D6446</f>
        <v>2763425.268600001</v>
      </c>
      <c r="K6446" s="711"/>
      <c r="M6446" s="62">
        <f t="shared" si="520"/>
        <v>3</v>
      </c>
    </row>
    <row r="6447" spans="1:13">
      <c r="A6447" s="88">
        <f t="shared" si="519"/>
        <v>52</v>
      </c>
      <c r="B6447" s="69" t="s">
        <v>2911</v>
      </c>
      <c r="C6447" s="167">
        <v>10</v>
      </c>
      <c r="D6447" s="155">
        <v>4</v>
      </c>
      <c r="E6447" s="155">
        <v>8</v>
      </c>
      <c r="F6447" s="155">
        <v>4</v>
      </c>
      <c r="G6447" s="155">
        <v>4</v>
      </c>
      <c r="H6447" s="155">
        <v>4</v>
      </c>
      <c r="I6447" s="155">
        <v>4</v>
      </c>
      <c r="J6447" s="710">
        <f>(VLOOKUP($C6447,[2]Sheet1!$A$2:$P$18,$M6447+1)/12)*12*D6447</f>
        <v>1935898.2748800004</v>
      </c>
      <c r="K6447" s="711"/>
      <c r="M6447" s="62">
        <f t="shared" si="520"/>
        <v>3</v>
      </c>
    </row>
    <row r="6448" spans="1:13">
      <c r="A6448" s="88">
        <f t="shared" si="519"/>
        <v>53</v>
      </c>
      <c r="B6448" s="69" t="s">
        <v>3065</v>
      </c>
      <c r="C6448" s="167">
        <v>9</v>
      </c>
      <c r="D6448" s="155">
        <v>7</v>
      </c>
      <c r="E6448" s="155">
        <v>9</v>
      </c>
      <c r="F6448" s="155">
        <v>7</v>
      </c>
      <c r="G6448" s="155">
        <v>7</v>
      </c>
      <c r="H6448" s="155">
        <v>7</v>
      </c>
      <c r="I6448" s="155">
        <v>7</v>
      </c>
      <c r="J6448" s="710">
        <f>(VLOOKUP($C6448,[2]Sheet1!$A$2:$P$18,$M6448+1)/12)*12*D6448</f>
        <v>2867773.3433999997</v>
      </c>
      <c r="K6448" s="711"/>
      <c r="M6448" s="62">
        <f t="shared" si="520"/>
        <v>3</v>
      </c>
    </row>
    <row r="6449" spans="1:13">
      <c r="A6449" s="88">
        <f t="shared" si="519"/>
        <v>54</v>
      </c>
      <c r="B6449" s="69" t="s">
        <v>50</v>
      </c>
      <c r="C6449" s="167">
        <v>8</v>
      </c>
      <c r="D6449" s="155">
        <v>2</v>
      </c>
      <c r="E6449" s="155">
        <v>6</v>
      </c>
      <c r="F6449" s="155">
        <v>2</v>
      </c>
      <c r="G6449" s="155">
        <v>2</v>
      </c>
      <c r="H6449" s="155">
        <v>2</v>
      </c>
      <c r="I6449" s="155">
        <v>2</v>
      </c>
      <c r="J6449" s="710">
        <f>(VLOOKUP($C6449,[2]Sheet1!$A$2:$P$18,$M6449+1)/12)*12*D6449</f>
        <v>684282.54816000001</v>
      </c>
      <c r="K6449" s="711"/>
      <c r="M6449" s="62">
        <f t="shared" si="520"/>
        <v>3</v>
      </c>
    </row>
    <row r="6450" spans="1:13">
      <c r="A6450" s="88">
        <f t="shared" si="519"/>
        <v>55</v>
      </c>
      <c r="B6450" s="69" t="s">
        <v>3066</v>
      </c>
      <c r="C6450" s="167">
        <v>9</v>
      </c>
      <c r="D6450" s="155">
        <v>2</v>
      </c>
      <c r="E6450" s="155">
        <v>5</v>
      </c>
      <c r="F6450" s="155">
        <v>2</v>
      </c>
      <c r="G6450" s="155">
        <v>2</v>
      </c>
      <c r="H6450" s="155">
        <v>2</v>
      </c>
      <c r="I6450" s="155">
        <v>2</v>
      </c>
      <c r="J6450" s="710">
        <f>(VLOOKUP($C6450,[2]Sheet1!$A$2:$P$18,$M6450+1)/12)*12*D6450</f>
        <v>819363.81239999994</v>
      </c>
      <c r="K6450" s="711"/>
      <c r="M6450" s="62">
        <f t="shared" si="520"/>
        <v>3</v>
      </c>
    </row>
    <row r="6451" spans="1:13">
      <c r="A6451" s="88">
        <f t="shared" si="519"/>
        <v>56</v>
      </c>
      <c r="B6451" s="69" t="s">
        <v>1431</v>
      </c>
      <c r="C6451" s="167">
        <v>8</v>
      </c>
      <c r="D6451" s="155">
        <v>0</v>
      </c>
      <c r="E6451" s="155">
        <v>0</v>
      </c>
      <c r="F6451" s="155">
        <v>0</v>
      </c>
      <c r="G6451" s="155">
        <v>0</v>
      </c>
      <c r="H6451" s="155">
        <v>0</v>
      </c>
      <c r="I6451" s="155">
        <v>0</v>
      </c>
      <c r="J6451" s="710">
        <f>(VLOOKUP($C6451,[2]Sheet1!$A$2:$P$18,$M6451+1)/12)*12*D6451</f>
        <v>0</v>
      </c>
      <c r="K6451" s="711"/>
      <c r="M6451" s="62">
        <f t="shared" si="520"/>
        <v>3</v>
      </c>
    </row>
    <row r="6452" spans="1:13">
      <c r="A6452" s="88">
        <f t="shared" si="519"/>
        <v>57</v>
      </c>
      <c r="B6452" s="69" t="s">
        <v>1432</v>
      </c>
      <c r="C6452" s="167">
        <v>8</v>
      </c>
      <c r="D6452" s="155">
        <v>0</v>
      </c>
      <c r="E6452" s="155">
        <v>0</v>
      </c>
      <c r="F6452" s="155">
        <v>0</v>
      </c>
      <c r="G6452" s="155">
        <v>0</v>
      </c>
      <c r="H6452" s="155">
        <v>0</v>
      </c>
      <c r="I6452" s="155">
        <v>0</v>
      </c>
      <c r="J6452" s="710">
        <f>(VLOOKUP($C6452,[2]Sheet1!$A$2:$P$18,$M6452+1)/12)*12*D6452</f>
        <v>0</v>
      </c>
      <c r="K6452" s="711"/>
      <c r="M6452" s="62">
        <f t="shared" si="520"/>
        <v>3</v>
      </c>
    </row>
    <row r="6453" spans="1:13">
      <c r="A6453" s="88">
        <f t="shared" si="519"/>
        <v>58</v>
      </c>
      <c r="B6453" s="69" t="s">
        <v>274</v>
      </c>
      <c r="C6453" s="167">
        <v>4</v>
      </c>
      <c r="D6453" s="155">
        <v>0</v>
      </c>
      <c r="E6453" s="155">
        <v>0</v>
      </c>
      <c r="F6453" s="155">
        <v>0</v>
      </c>
      <c r="G6453" s="155">
        <v>0</v>
      </c>
      <c r="H6453" s="155">
        <v>0</v>
      </c>
      <c r="I6453" s="155">
        <v>0</v>
      </c>
      <c r="J6453" s="710">
        <f>(VLOOKUP($C6453,[2]Sheet1!$A$2:$P$18,$M6453+1)/12)*12*D6453</f>
        <v>0</v>
      </c>
      <c r="K6453" s="711"/>
      <c r="M6453" s="62">
        <f t="shared" si="520"/>
        <v>5</v>
      </c>
    </row>
    <row r="6454" spans="1:13">
      <c r="A6454" s="88">
        <f t="shared" si="519"/>
        <v>59</v>
      </c>
      <c r="B6454" s="69" t="s">
        <v>3148</v>
      </c>
      <c r="C6454" s="167">
        <v>6</v>
      </c>
      <c r="D6454" s="155">
        <v>0</v>
      </c>
      <c r="E6454" s="155">
        <v>0</v>
      </c>
      <c r="F6454" s="155">
        <v>0</v>
      </c>
      <c r="G6454" s="155">
        <v>0</v>
      </c>
      <c r="H6454" s="155">
        <v>0</v>
      </c>
      <c r="I6454" s="155">
        <v>0</v>
      </c>
      <c r="J6454" s="710">
        <f>(VLOOKUP($C6454,[2]Sheet1!$A$2:$P$18,$M6454+1)/12)*12*D6454</f>
        <v>0</v>
      </c>
      <c r="K6454" s="711"/>
      <c r="M6454" s="62">
        <f t="shared" si="520"/>
        <v>5</v>
      </c>
    </row>
    <row r="6455" spans="1:13">
      <c r="A6455" s="88">
        <f t="shared" si="519"/>
        <v>60</v>
      </c>
      <c r="B6455" s="69" t="s">
        <v>3305</v>
      </c>
      <c r="C6455" s="167">
        <v>4</v>
      </c>
      <c r="D6455" s="155">
        <v>0</v>
      </c>
      <c r="E6455" s="155">
        <v>0</v>
      </c>
      <c r="F6455" s="155">
        <v>0</v>
      </c>
      <c r="G6455" s="155">
        <v>0</v>
      </c>
      <c r="H6455" s="155">
        <v>0</v>
      </c>
      <c r="I6455" s="155">
        <v>0</v>
      </c>
      <c r="J6455" s="710">
        <f>(VLOOKUP($C6455,[2]Sheet1!$A$2:$P$18,$M6455+1)/12)*12*D6455</f>
        <v>0</v>
      </c>
      <c r="K6455" s="711"/>
      <c r="M6455" s="62">
        <f t="shared" si="520"/>
        <v>5</v>
      </c>
    </row>
    <row r="6456" spans="1:13">
      <c r="A6456" s="88">
        <f t="shared" si="519"/>
        <v>61</v>
      </c>
      <c r="B6456" s="69" t="s">
        <v>276</v>
      </c>
      <c r="C6456" s="167">
        <v>3</v>
      </c>
      <c r="D6456" s="155">
        <v>0</v>
      </c>
      <c r="E6456" s="155">
        <v>0</v>
      </c>
      <c r="F6456" s="155">
        <v>0</v>
      </c>
      <c r="G6456" s="155">
        <v>0</v>
      </c>
      <c r="H6456" s="155">
        <v>0</v>
      </c>
      <c r="I6456" s="155">
        <v>0</v>
      </c>
      <c r="J6456" s="710">
        <f>(VLOOKUP($C6456,[2]Sheet1!$A$2:$P$18,$M6456+1)/12)*12*D6456</f>
        <v>0</v>
      </c>
      <c r="K6456" s="711"/>
      <c r="M6456" s="62">
        <f t="shared" si="520"/>
        <v>5</v>
      </c>
    </row>
    <row r="6457" spans="1:13">
      <c r="A6457" s="88">
        <f t="shared" si="519"/>
        <v>62</v>
      </c>
      <c r="B6457" s="69" t="s">
        <v>270</v>
      </c>
      <c r="C6457" s="167">
        <v>2</v>
      </c>
      <c r="D6457" s="155">
        <v>0</v>
      </c>
      <c r="E6457" s="155">
        <v>0</v>
      </c>
      <c r="F6457" s="155">
        <v>0</v>
      </c>
      <c r="G6457" s="155">
        <v>0</v>
      </c>
      <c r="H6457" s="155">
        <v>0</v>
      </c>
      <c r="I6457" s="155">
        <v>0</v>
      </c>
      <c r="J6457" s="710">
        <f>(VLOOKUP($C6457,[2]Sheet1!$A$2:$P$18,$M6457+1)/12)*12*D6457</f>
        <v>0</v>
      </c>
      <c r="K6457" s="711"/>
      <c r="M6457" s="62">
        <f t="shared" si="520"/>
        <v>5</v>
      </c>
    </row>
    <row r="6458" spans="1:13">
      <c r="A6458" s="88"/>
      <c r="B6458" s="90" t="s">
        <v>596</v>
      </c>
      <c r="C6458" s="167"/>
      <c r="D6458" s="155"/>
      <c r="E6458" s="155"/>
      <c r="F6458" s="155"/>
      <c r="G6458" s="155"/>
      <c r="H6458" s="155"/>
      <c r="I6458" s="155"/>
      <c r="J6458" s="710"/>
      <c r="K6458" s="711"/>
      <c r="M6458" s="62">
        <f t="shared" si="520"/>
        <v>5</v>
      </c>
    </row>
    <row r="6459" spans="1:13">
      <c r="A6459" s="88"/>
      <c r="B6459" s="90" t="s">
        <v>597</v>
      </c>
      <c r="C6459" s="167"/>
      <c r="D6459" s="155"/>
      <c r="E6459" s="155"/>
      <c r="F6459" s="155"/>
      <c r="G6459" s="155"/>
      <c r="H6459" s="155"/>
      <c r="I6459" s="155"/>
      <c r="J6459" s="710"/>
      <c r="K6459" s="711"/>
      <c r="M6459" s="62">
        <f t="shared" si="520"/>
        <v>5</v>
      </c>
    </row>
    <row r="6460" spans="1:13">
      <c r="A6460" s="88">
        <v>42</v>
      </c>
      <c r="B6460" s="69" t="s">
        <v>598</v>
      </c>
      <c r="C6460" s="167">
        <v>16</v>
      </c>
      <c r="D6460" s="155">
        <v>0</v>
      </c>
      <c r="E6460" s="155">
        <v>1</v>
      </c>
      <c r="F6460" s="155">
        <v>0</v>
      </c>
      <c r="G6460" s="155">
        <v>0</v>
      </c>
      <c r="H6460" s="155">
        <v>0</v>
      </c>
      <c r="I6460" s="155">
        <v>0</v>
      </c>
      <c r="J6460" s="710">
        <f>(VLOOKUP($C6460,[2]Sheet1!$A$2:$P$18,$M6460+1)/12)*12*D6460</f>
        <v>0</v>
      </c>
      <c r="K6460" s="711"/>
      <c r="M6460" s="62">
        <f t="shared" si="520"/>
        <v>3</v>
      </c>
    </row>
    <row r="6461" spans="1:13">
      <c r="A6461" s="88">
        <f>+A6460+1</f>
        <v>43</v>
      </c>
      <c r="B6461" s="69" t="s">
        <v>1256</v>
      </c>
      <c r="C6461" s="167">
        <v>15</v>
      </c>
      <c r="D6461" s="155">
        <v>1</v>
      </c>
      <c r="E6461" s="155">
        <v>4</v>
      </c>
      <c r="F6461" s="155">
        <v>1</v>
      </c>
      <c r="G6461" s="155">
        <v>1</v>
      </c>
      <c r="H6461" s="155">
        <v>1</v>
      </c>
      <c r="I6461" s="155">
        <v>1</v>
      </c>
      <c r="J6461" s="710">
        <f>(VLOOKUP($C6461,[2]Sheet1!$A$2:$P$18,$M6461+1)/12)*12*D6461</f>
        <v>658331.89992</v>
      </c>
      <c r="K6461" s="711"/>
      <c r="M6461" s="62">
        <f t="shared" si="520"/>
        <v>3</v>
      </c>
    </row>
    <row r="6462" spans="1:13">
      <c r="A6462" s="88">
        <f>+A6461+1</f>
        <v>44</v>
      </c>
      <c r="B6462" s="69" t="s">
        <v>219</v>
      </c>
      <c r="C6462" s="167">
        <v>14</v>
      </c>
      <c r="D6462" s="155">
        <v>4</v>
      </c>
      <c r="E6462" s="155">
        <v>6</v>
      </c>
      <c r="F6462" s="155">
        <v>4</v>
      </c>
      <c r="G6462" s="155">
        <v>4</v>
      </c>
      <c r="H6462" s="155">
        <v>4</v>
      </c>
      <c r="I6462" s="155">
        <v>4</v>
      </c>
      <c r="J6462" s="710">
        <f>(VLOOKUP($C6462,[2]Sheet1!$A$2:$P$18,$M6462+1)/12)*12*D6462</f>
        <v>2676397.6329600001</v>
      </c>
      <c r="K6462" s="711"/>
      <c r="M6462" s="62">
        <f t="shared" si="520"/>
        <v>3</v>
      </c>
    </row>
    <row r="6463" spans="1:13" ht="13.5" thickBot="1">
      <c r="A6463" s="88">
        <f>+A6462+1</f>
        <v>45</v>
      </c>
      <c r="B6463" s="69" t="s">
        <v>599</v>
      </c>
      <c r="C6463" s="167">
        <v>13</v>
      </c>
      <c r="D6463" s="155">
        <v>1</v>
      </c>
      <c r="E6463" s="155">
        <v>0</v>
      </c>
      <c r="F6463" s="155">
        <v>1</v>
      </c>
      <c r="G6463" s="155">
        <v>1</v>
      </c>
      <c r="H6463" s="155">
        <v>1</v>
      </c>
      <c r="I6463" s="155">
        <v>1</v>
      </c>
      <c r="J6463" s="710">
        <f>(VLOOKUP($C6463,[2]Sheet1!$A$2:$P$18,$M6463+1)/12)*12*D6463</f>
        <v>628759.53804000001</v>
      </c>
      <c r="K6463" s="711"/>
      <c r="M6463" s="62">
        <f t="shared" si="520"/>
        <v>3</v>
      </c>
    </row>
    <row r="6464" spans="1:13" ht="15.75" thickTop="1">
      <c r="A6464" s="1047" t="s">
        <v>2791</v>
      </c>
      <c r="B6464" s="1049" t="s">
        <v>4126</v>
      </c>
      <c r="C6464" s="1049" t="s">
        <v>854</v>
      </c>
      <c r="D6464" s="1040" t="s">
        <v>4127</v>
      </c>
      <c r="E6464" s="1041"/>
      <c r="F6464" s="1041"/>
      <c r="G6464" s="1040" t="s">
        <v>904</v>
      </c>
      <c r="H6464" s="1041"/>
      <c r="I6464" s="1042"/>
      <c r="J6464" s="1035" t="s">
        <v>855</v>
      </c>
      <c r="K6464" s="389"/>
    </row>
    <row r="6465" spans="1:13" ht="26.25" thickBot="1">
      <c r="A6465" s="1048"/>
      <c r="B6465" s="1050"/>
      <c r="C6465" s="1050"/>
      <c r="D6465" s="285" t="s">
        <v>5505</v>
      </c>
      <c r="E6465" s="285" t="s">
        <v>4485</v>
      </c>
      <c r="F6465" s="285" t="s">
        <v>4486</v>
      </c>
      <c r="G6465" s="287" t="s">
        <v>4487</v>
      </c>
      <c r="H6465" s="285" t="s">
        <v>4488</v>
      </c>
      <c r="I6465" s="287" t="s">
        <v>4489</v>
      </c>
      <c r="J6465" s="1036"/>
      <c r="K6465" s="712"/>
    </row>
    <row r="6466" spans="1:13" ht="13.5" thickTop="1">
      <c r="A6466" s="88">
        <f>+A6463+1</f>
        <v>46</v>
      </c>
      <c r="B6466" s="69" t="s">
        <v>2</v>
      </c>
      <c r="C6466" s="167">
        <v>12</v>
      </c>
      <c r="D6466" s="155">
        <v>3</v>
      </c>
      <c r="E6466" s="155">
        <v>1</v>
      </c>
      <c r="F6466" s="155">
        <v>3</v>
      </c>
      <c r="G6466" s="155">
        <v>3</v>
      </c>
      <c r="H6466" s="155">
        <v>3</v>
      </c>
      <c r="I6466" s="155">
        <v>3</v>
      </c>
      <c r="J6466" s="710">
        <f>(VLOOKUP($C6466,[2]Sheet1!$A$2:$P$18,$M6466+1)/12)*12*D6466</f>
        <v>1658055.1611600006</v>
      </c>
      <c r="K6466" s="711"/>
      <c r="M6466" s="62">
        <f t="shared" si="520"/>
        <v>3</v>
      </c>
    </row>
    <row r="6467" spans="1:13">
      <c r="A6467" s="88">
        <f>+A6466+1</f>
        <v>47</v>
      </c>
      <c r="B6467" s="69" t="s">
        <v>3</v>
      </c>
      <c r="C6467" s="167">
        <v>10</v>
      </c>
      <c r="D6467" s="155">
        <v>1</v>
      </c>
      <c r="E6467" s="155">
        <v>1</v>
      </c>
      <c r="F6467" s="155">
        <v>1</v>
      </c>
      <c r="G6467" s="155">
        <v>1</v>
      </c>
      <c r="H6467" s="155">
        <v>1</v>
      </c>
      <c r="I6467" s="155">
        <v>1</v>
      </c>
      <c r="J6467" s="710">
        <f>(VLOOKUP($C6467,[2]Sheet1!$A$2:$P$18,$M6467+1)/12)*12*D6467</f>
        <v>483974.5687200001</v>
      </c>
      <c r="K6467" s="711"/>
      <c r="M6467" s="62">
        <f t="shared" si="520"/>
        <v>3</v>
      </c>
    </row>
    <row r="6468" spans="1:13">
      <c r="A6468" s="88">
        <f>+A6467+1</f>
        <v>48</v>
      </c>
      <c r="B6468" s="69" t="s">
        <v>4</v>
      </c>
      <c r="C6468" s="167">
        <v>9</v>
      </c>
      <c r="D6468" s="155">
        <v>4</v>
      </c>
      <c r="E6468" s="155">
        <v>1</v>
      </c>
      <c r="F6468" s="155">
        <v>4</v>
      </c>
      <c r="G6468" s="155">
        <v>4</v>
      </c>
      <c r="H6468" s="155">
        <v>4</v>
      </c>
      <c r="I6468" s="155">
        <v>4</v>
      </c>
      <c r="J6468" s="710">
        <f>(VLOOKUP($C6468,[2]Sheet1!$A$2:$P$18,$M6468+1)/12)*12*D6468</f>
        <v>1638727.6247999999</v>
      </c>
      <c r="K6468" s="711"/>
      <c r="M6468" s="62">
        <f>IF(C6468&gt;6,3,5)</f>
        <v>3</v>
      </c>
    </row>
    <row r="6469" spans="1:13">
      <c r="A6469" s="88">
        <v>49</v>
      </c>
      <c r="B6469" s="69" t="s">
        <v>50</v>
      </c>
      <c r="C6469" s="167">
        <v>8</v>
      </c>
      <c r="D6469" s="155">
        <v>1</v>
      </c>
      <c r="E6469" s="155">
        <v>2</v>
      </c>
      <c r="F6469" s="155">
        <v>1</v>
      </c>
      <c r="G6469" s="155">
        <v>1</v>
      </c>
      <c r="H6469" s="155">
        <v>1</v>
      </c>
      <c r="I6469" s="155">
        <v>1</v>
      </c>
      <c r="J6469" s="710">
        <f>(VLOOKUP($C6469,[2]Sheet1!$A$2:$P$18,$M6469+1)/12)*12*D6469</f>
        <v>342141.27408</v>
      </c>
      <c r="K6469" s="711"/>
      <c r="M6469" s="62">
        <f t="shared" ref="M6469:M6530" si="521">IF(C6469&gt;6,3,5)</f>
        <v>3</v>
      </c>
    </row>
    <row r="6470" spans="1:13">
      <c r="A6470" s="88">
        <f>+A6469+1</f>
        <v>50</v>
      </c>
      <c r="B6470" s="69" t="s">
        <v>607</v>
      </c>
      <c r="C6470" s="167">
        <v>7</v>
      </c>
      <c r="D6470" s="155">
        <v>0</v>
      </c>
      <c r="E6470" s="155">
        <v>1</v>
      </c>
      <c r="F6470" s="155" t="s">
        <v>1182</v>
      </c>
      <c r="G6470" s="155" t="s">
        <v>1182</v>
      </c>
      <c r="H6470" s="155" t="s">
        <v>1182</v>
      </c>
      <c r="I6470" s="155" t="s">
        <v>1182</v>
      </c>
      <c r="J6470" s="710">
        <f>(VLOOKUP($C6470,[2]Sheet1!$A$2:$P$18,$M6470+1)/12)*12*D6470</f>
        <v>0</v>
      </c>
      <c r="K6470" s="711"/>
      <c r="M6470" s="62">
        <f t="shared" si="521"/>
        <v>3</v>
      </c>
    </row>
    <row r="6471" spans="1:13">
      <c r="A6471" s="88">
        <f>+A6470+1</f>
        <v>51</v>
      </c>
      <c r="B6471" s="69" t="s">
        <v>608</v>
      </c>
      <c r="C6471" s="167">
        <v>6</v>
      </c>
      <c r="D6471" s="155">
        <v>0</v>
      </c>
      <c r="E6471" s="155">
        <v>1</v>
      </c>
      <c r="F6471" s="155" t="s">
        <v>1182</v>
      </c>
      <c r="G6471" s="155" t="s">
        <v>1182</v>
      </c>
      <c r="H6471" s="155" t="s">
        <v>1182</v>
      </c>
      <c r="I6471" s="155" t="s">
        <v>1182</v>
      </c>
      <c r="J6471" s="710">
        <f>(VLOOKUP($C6471,[2]Sheet1!$A$2:$P$18,$M6471+1)/12)*12*D6471</f>
        <v>0</v>
      </c>
      <c r="K6471" s="711"/>
      <c r="M6471" s="62">
        <f t="shared" si="521"/>
        <v>5</v>
      </c>
    </row>
    <row r="6472" spans="1:13">
      <c r="A6472" s="88"/>
      <c r="B6472" s="90" t="s">
        <v>3791</v>
      </c>
      <c r="C6472" s="167"/>
      <c r="D6472" s="155"/>
      <c r="E6472" s="155">
        <v>1</v>
      </c>
      <c r="F6472" s="155"/>
      <c r="G6472" s="155"/>
      <c r="H6472" s="155"/>
      <c r="I6472" s="155"/>
      <c r="J6472" s="710"/>
      <c r="K6472" s="711"/>
      <c r="M6472" s="62">
        <f t="shared" si="521"/>
        <v>5</v>
      </c>
    </row>
    <row r="6473" spans="1:13">
      <c r="A6473" s="88">
        <f>+A6471+1</f>
        <v>52</v>
      </c>
      <c r="B6473" s="69" t="s">
        <v>3532</v>
      </c>
      <c r="C6473" s="167">
        <v>16</v>
      </c>
      <c r="D6473" s="155">
        <v>0</v>
      </c>
      <c r="E6473" s="155">
        <v>2</v>
      </c>
      <c r="F6473" s="155">
        <v>0</v>
      </c>
      <c r="G6473" s="155">
        <v>0</v>
      </c>
      <c r="H6473" s="155">
        <v>0</v>
      </c>
      <c r="I6473" s="155">
        <v>0</v>
      </c>
      <c r="J6473" s="710">
        <f>(VLOOKUP($C6473,[2]Sheet1!$A$2:$P$18,$M6473+1)/12)*12*D6473</f>
        <v>0</v>
      </c>
      <c r="K6473" s="711"/>
      <c r="M6473" s="62">
        <f t="shared" si="521"/>
        <v>3</v>
      </c>
    </row>
    <row r="6474" spans="1:13">
      <c r="A6474" s="88">
        <f>+A6473+1</f>
        <v>53</v>
      </c>
      <c r="B6474" s="69" t="s">
        <v>1256</v>
      </c>
      <c r="C6474" s="167">
        <v>15</v>
      </c>
      <c r="D6474" s="155">
        <v>0</v>
      </c>
      <c r="E6474" s="155">
        <v>1</v>
      </c>
      <c r="F6474" s="155">
        <v>0</v>
      </c>
      <c r="G6474" s="155">
        <v>0</v>
      </c>
      <c r="H6474" s="155">
        <v>0</v>
      </c>
      <c r="I6474" s="155">
        <v>0</v>
      </c>
      <c r="J6474" s="710">
        <f>(VLOOKUP($C6474,[2]Sheet1!$A$2:$P$18,$M6474+1)/12)*12*D6474</f>
        <v>0</v>
      </c>
      <c r="K6474" s="711"/>
      <c r="M6474" s="62">
        <f t="shared" si="521"/>
        <v>3</v>
      </c>
    </row>
    <row r="6475" spans="1:13">
      <c r="A6475" s="88">
        <f>+A6474+1</f>
        <v>54</v>
      </c>
      <c r="B6475" s="69" t="s">
        <v>3533</v>
      </c>
      <c r="C6475" s="167">
        <v>14</v>
      </c>
      <c r="D6475" s="155">
        <v>0</v>
      </c>
      <c r="E6475" s="155">
        <v>1</v>
      </c>
      <c r="F6475" s="155">
        <v>0</v>
      </c>
      <c r="G6475" s="155">
        <v>0</v>
      </c>
      <c r="H6475" s="155">
        <v>0</v>
      </c>
      <c r="I6475" s="155">
        <v>0</v>
      </c>
      <c r="J6475" s="710">
        <f>(VLOOKUP($C6475,[2]Sheet1!$A$2:$P$18,$M6475+1)/12)*12*D6475</f>
        <v>0</v>
      </c>
      <c r="K6475" s="711"/>
      <c r="M6475" s="62">
        <f t="shared" si="521"/>
        <v>3</v>
      </c>
    </row>
    <row r="6476" spans="1:13">
      <c r="A6476" s="88">
        <f>+A6475+1</f>
        <v>55</v>
      </c>
      <c r="B6476" s="69" t="s">
        <v>1025</v>
      </c>
      <c r="C6476" s="167">
        <v>13</v>
      </c>
      <c r="D6476" s="155">
        <v>0</v>
      </c>
      <c r="E6476" s="155">
        <v>1</v>
      </c>
      <c r="F6476" s="155">
        <v>0</v>
      </c>
      <c r="G6476" s="155">
        <v>0</v>
      </c>
      <c r="H6476" s="155">
        <v>0</v>
      </c>
      <c r="I6476" s="155">
        <v>0</v>
      </c>
      <c r="J6476" s="710">
        <f>(VLOOKUP($C6476,[2]Sheet1!$A$2:$P$18,$M6476+1)/12)*12*D6476</f>
        <v>0</v>
      </c>
      <c r="K6476" s="711"/>
      <c r="M6476" s="62">
        <f t="shared" si="521"/>
        <v>3</v>
      </c>
    </row>
    <row r="6477" spans="1:13">
      <c r="A6477" s="88">
        <f>+A6476+1</f>
        <v>56</v>
      </c>
      <c r="B6477" s="69" t="s">
        <v>3705</v>
      </c>
      <c r="C6477" s="167">
        <v>12</v>
      </c>
      <c r="D6477" s="155">
        <v>0</v>
      </c>
      <c r="E6477" s="155">
        <v>1</v>
      </c>
      <c r="F6477" s="155" t="s">
        <v>1182</v>
      </c>
      <c r="G6477" s="155" t="s">
        <v>1182</v>
      </c>
      <c r="H6477" s="155" t="s">
        <v>1182</v>
      </c>
      <c r="I6477" s="155" t="s">
        <v>1182</v>
      </c>
      <c r="J6477" s="710">
        <f>(VLOOKUP($C6477,[2]Sheet1!$A$2:$P$18,$M6477+1)/12)*12*D6477</f>
        <v>0</v>
      </c>
      <c r="K6477" s="711"/>
      <c r="M6477" s="62">
        <f t="shared" si="521"/>
        <v>3</v>
      </c>
    </row>
    <row r="6478" spans="1:13">
      <c r="A6478" s="88">
        <f t="shared" ref="A6478:A6506" si="522">+A6477+1</f>
        <v>57</v>
      </c>
      <c r="B6478" s="69" t="s">
        <v>1691</v>
      </c>
      <c r="C6478" s="167">
        <v>10</v>
      </c>
      <c r="D6478" s="155">
        <v>0</v>
      </c>
      <c r="E6478" s="155">
        <v>1</v>
      </c>
      <c r="F6478" s="155" t="s">
        <v>1182</v>
      </c>
      <c r="G6478" s="155" t="s">
        <v>1182</v>
      </c>
      <c r="H6478" s="155" t="s">
        <v>1182</v>
      </c>
      <c r="I6478" s="155" t="s">
        <v>1182</v>
      </c>
      <c r="J6478" s="710">
        <f>(VLOOKUP($C6478,[2]Sheet1!$A$2:$P$18,$M6478+1)/12)*12*D6478</f>
        <v>0</v>
      </c>
      <c r="K6478" s="711"/>
      <c r="M6478" s="62">
        <f t="shared" si="521"/>
        <v>3</v>
      </c>
    </row>
    <row r="6479" spans="1:13">
      <c r="A6479" s="88">
        <f t="shared" si="522"/>
        <v>58</v>
      </c>
      <c r="B6479" s="69" t="s">
        <v>1692</v>
      </c>
      <c r="C6479" s="167">
        <v>9</v>
      </c>
      <c r="D6479" s="155">
        <v>0</v>
      </c>
      <c r="E6479" s="155">
        <v>1</v>
      </c>
      <c r="F6479" s="155" t="s">
        <v>1182</v>
      </c>
      <c r="G6479" s="155" t="s">
        <v>1182</v>
      </c>
      <c r="H6479" s="155" t="s">
        <v>1182</v>
      </c>
      <c r="I6479" s="155" t="s">
        <v>1182</v>
      </c>
      <c r="J6479" s="710">
        <f>(VLOOKUP($C6479,[2]Sheet1!$A$2:$P$18,$M6479+1)/12)*12*D6479</f>
        <v>0</v>
      </c>
      <c r="K6479" s="711"/>
      <c r="M6479" s="62">
        <f t="shared" si="521"/>
        <v>3</v>
      </c>
    </row>
    <row r="6480" spans="1:13">
      <c r="A6480" s="88">
        <f t="shared" si="522"/>
        <v>59</v>
      </c>
      <c r="B6480" s="69" t="s">
        <v>2500</v>
      </c>
      <c r="C6480" s="167">
        <v>8</v>
      </c>
      <c r="D6480" s="155">
        <v>0</v>
      </c>
      <c r="E6480" s="155">
        <v>1</v>
      </c>
      <c r="F6480" s="155" t="s">
        <v>1182</v>
      </c>
      <c r="G6480" s="155" t="s">
        <v>1182</v>
      </c>
      <c r="H6480" s="155" t="s">
        <v>1182</v>
      </c>
      <c r="I6480" s="155" t="s">
        <v>1182</v>
      </c>
      <c r="J6480" s="710">
        <f>(VLOOKUP($C6480,[2]Sheet1!$A$2:$P$18,$M6480+1)/12)*12*D6480</f>
        <v>0</v>
      </c>
      <c r="K6480" s="711"/>
      <c r="M6480" s="62">
        <f t="shared" si="521"/>
        <v>3</v>
      </c>
    </row>
    <row r="6481" spans="1:13">
      <c r="A6481" s="88">
        <f t="shared" si="522"/>
        <v>60</v>
      </c>
      <c r="B6481" s="69" t="s">
        <v>219</v>
      </c>
      <c r="C6481" s="167">
        <v>14</v>
      </c>
      <c r="D6481" s="155">
        <v>2</v>
      </c>
      <c r="E6481" s="155">
        <v>6</v>
      </c>
      <c r="F6481" s="155">
        <v>2</v>
      </c>
      <c r="G6481" s="155">
        <v>2</v>
      </c>
      <c r="H6481" s="155">
        <v>2</v>
      </c>
      <c r="I6481" s="155">
        <v>2</v>
      </c>
      <c r="J6481" s="710">
        <f>(VLOOKUP($C6481,[2]Sheet1!$A$2:$P$18,$M6481+1)/12)*12*D6481</f>
        <v>1338198.81648</v>
      </c>
      <c r="K6481" s="711"/>
      <c r="M6481" s="62">
        <f t="shared" si="521"/>
        <v>3</v>
      </c>
    </row>
    <row r="6482" spans="1:13">
      <c r="A6482" s="88">
        <f t="shared" si="522"/>
        <v>61</v>
      </c>
      <c r="B6482" s="69" t="s">
        <v>311</v>
      </c>
      <c r="C6482" s="167">
        <v>13</v>
      </c>
      <c r="D6482" s="155">
        <v>6</v>
      </c>
      <c r="E6482" s="155">
        <v>6</v>
      </c>
      <c r="F6482" s="155">
        <v>6</v>
      </c>
      <c r="G6482" s="155">
        <v>6</v>
      </c>
      <c r="H6482" s="155">
        <v>6</v>
      </c>
      <c r="I6482" s="155">
        <v>6</v>
      </c>
      <c r="J6482" s="710">
        <f>(VLOOKUP($C6482,[2]Sheet1!$A$2:$P$18,$M6482+1)/12)*12*D6482</f>
        <v>3772557.2282400001</v>
      </c>
      <c r="K6482" s="711"/>
      <c r="M6482" s="62">
        <f t="shared" si="521"/>
        <v>3</v>
      </c>
    </row>
    <row r="6483" spans="1:13">
      <c r="A6483" s="88">
        <f t="shared" si="522"/>
        <v>62</v>
      </c>
      <c r="B6483" s="69" t="s">
        <v>481</v>
      </c>
      <c r="C6483" s="167">
        <v>12</v>
      </c>
      <c r="D6483" s="155">
        <v>7</v>
      </c>
      <c r="E6483" s="155">
        <v>8</v>
      </c>
      <c r="F6483" s="155">
        <v>7</v>
      </c>
      <c r="G6483" s="155">
        <v>7</v>
      </c>
      <c r="H6483" s="155">
        <v>7</v>
      </c>
      <c r="I6483" s="155">
        <v>7</v>
      </c>
      <c r="J6483" s="710">
        <f>(VLOOKUP($C6483,[2]Sheet1!$A$2:$P$18,$M6483+1)/12)*12*D6483</f>
        <v>3868795.3760400014</v>
      </c>
      <c r="K6483" s="711"/>
      <c r="M6483" s="62">
        <f t="shared" si="521"/>
        <v>3</v>
      </c>
    </row>
    <row r="6484" spans="1:13">
      <c r="A6484" s="88">
        <f t="shared" si="522"/>
        <v>63</v>
      </c>
      <c r="B6484" s="69" t="s">
        <v>3984</v>
      </c>
      <c r="C6484" s="167">
        <v>10</v>
      </c>
      <c r="D6484" s="155">
        <v>1</v>
      </c>
      <c r="E6484" s="155">
        <v>12</v>
      </c>
      <c r="F6484" s="155">
        <v>1</v>
      </c>
      <c r="G6484" s="155">
        <v>1</v>
      </c>
      <c r="H6484" s="155">
        <v>1</v>
      </c>
      <c r="I6484" s="155">
        <v>1</v>
      </c>
      <c r="J6484" s="710">
        <f>(VLOOKUP($C6484,[2]Sheet1!$A$2:$P$18,$M6484+1)/12)*12*D6484</f>
        <v>483974.5687200001</v>
      </c>
      <c r="K6484" s="711"/>
      <c r="M6484" s="62">
        <f t="shared" si="521"/>
        <v>3</v>
      </c>
    </row>
    <row r="6485" spans="1:13">
      <c r="A6485" s="88">
        <f>+A6484+1</f>
        <v>64</v>
      </c>
      <c r="B6485" s="69" t="s">
        <v>337</v>
      </c>
      <c r="C6485" s="167">
        <v>9</v>
      </c>
      <c r="D6485" s="155">
        <v>3</v>
      </c>
      <c r="E6485" s="155">
        <v>2</v>
      </c>
      <c r="F6485" s="155">
        <v>3</v>
      </c>
      <c r="G6485" s="155">
        <v>3</v>
      </c>
      <c r="H6485" s="155">
        <v>3</v>
      </c>
      <c r="I6485" s="155">
        <v>3</v>
      </c>
      <c r="J6485" s="710">
        <f>(VLOOKUP($C6485,[2]Sheet1!$A$2:$P$18,$M6485+1)/12)*12*D6485</f>
        <v>1229045.7185999998</v>
      </c>
      <c r="K6485" s="711"/>
      <c r="M6485" s="62">
        <f t="shared" si="521"/>
        <v>3</v>
      </c>
    </row>
    <row r="6486" spans="1:13">
      <c r="A6486" s="88">
        <f t="shared" si="522"/>
        <v>65</v>
      </c>
      <c r="B6486" s="69" t="s">
        <v>2277</v>
      </c>
      <c r="C6486" s="167">
        <v>8</v>
      </c>
      <c r="D6486" s="155">
        <v>3</v>
      </c>
      <c r="E6486" s="155">
        <v>2</v>
      </c>
      <c r="F6486" s="155">
        <v>3</v>
      </c>
      <c r="G6486" s="155">
        <v>3</v>
      </c>
      <c r="H6486" s="155">
        <v>3</v>
      </c>
      <c r="I6486" s="155">
        <v>3</v>
      </c>
      <c r="J6486" s="710">
        <f>(VLOOKUP($C6486,[2]Sheet1!$A$2:$P$18,$M6486+1)/12)*12*D6486</f>
        <v>1026423.82224</v>
      </c>
      <c r="K6486" s="711"/>
      <c r="M6486" s="62">
        <f t="shared" si="521"/>
        <v>3</v>
      </c>
    </row>
    <row r="6487" spans="1:13">
      <c r="A6487" s="88">
        <f t="shared" si="522"/>
        <v>66</v>
      </c>
      <c r="B6487" s="69" t="s">
        <v>2501</v>
      </c>
      <c r="C6487" s="167">
        <v>7</v>
      </c>
      <c r="D6487" s="155">
        <v>0</v>
      </c>
      <c r="E6487" s="155">
        <v>1</v>
      </c>
      <c r="F6487" s="155">
        <v>0</v>
      </c>
      <c r="G6487" s="155">
        <v>0</v>
      </c>
      <c r="H6487" s="155">
        <v>0</v>
      </c>
      <c r="I6487" s="155">
        <v>0</v>
      </c>
      <c r="J6487" s="710">
        <f>(VLOOKUP($C6487,[2]Sheet1!$A$2:$P$18,$M6487+1)/12)*12*D6487</f>
        <v>0</v>
      </c>
      <c r="K6487" s="711"/>
      <c r="M6487" s="62">
        <f t="shared" si="521"/>
        <v>3</v>
      </c>
    </row>
    <row r="6488" spans="1:13">
      <c r="A6488" s="88">
        <f t="shared" si="522"/>
        <v>67</v>
      </c>
      <c r="B6488" s="69" t="s">
        <v>3947</v>
      </c>
      <c r="C6488" s="167">
        <v>6</v>
      </c>
      <c r="D6488" s="155">
        <v>0</v>
      </c>
      <c r="E6488" s="155">
        <v>0</v>
      </c>
      <c r="F6488" s="155">
        <v>0</v>
      </c>
      <c r="G6488" s="155">
        <v>0</v>
      </c>
      <c r="H6488" s="155">
        <v>0</v>
      </c>
      <c r="I6488" s="155">
        <v>0</v>
      </c>
      <c r="J6488" s="710">
        <f>(VLOOKUP($C6488,[2]Sheet1!$A$2:$P$18,$M6488+1)/12)*12*D6488</f>
        <v>0</v>
      </c>
      <c r="K6488" s="711"/>
      <c r="M6488" s="62">
        <f t="shared" si="521"/>
        <v>5</v>
      </c>
    </row>
    <row r="6489" spans="1:13">
      <c r="A6489" s="88">
        <f t="shared" si="522"/>
        <v>68</v>
      </c>
      <c r="B6489" s="69" t="s">
        <v>3708</v>
      </c>
      <c r="C6489" s="167">
        <v>14</v>
      </c>
      <c r="D6489" s="155">
        <v>0</v>
      </c>
      <c r="E6489" s="155">
        <v>0</v>
      </c>
      <c r="F6489" s="155">
        <v>0</v>
      </c>
      <c r="G6489" s="155">
        <v>0</v>
      </c>
      <c r="H6489" s="155">
        <v>0</v>
      </c>
      <c r="I6489" s="155">
        <v>0</v>
      </c>
      <c r="J6489" s="710">
        <f>(VLOOKUP($C6489,[2]Sheet1!$A$2:$P$18,$M6489+1)/12)*12*D6489</f>
        <v>0</v>
      </c>
      <c r="K6489" s="711"/>
      <c r="M6489" s="62">
        <f t="shared" si="521"/>
        <v>3</v>
      </c>
    </row>
    <row r="6490" spans="1:13">
      <c r="A6490" s="88">
        <f t="shared" si="522"/>
        <v>69</v>
      </c>
      <c r="B6490" s="69" t="s">
        <v>2832</v>
      </c>
      <c r="C6490" s="167">
        <v>13</v>
      </c>
      <c r="D6490" s="155">
        <v>0</v>
      </c>
      <c r="E6490" s="155">
        <v>3</v>
      </c>
      <c r="F6490" s="155">
        <v>0</v>
      </c>
      <c r="G6490" s="155">
        <v>0</v>
      </c>
      <c r="H6490" s="155">
        <v>0</v>
      </c>
      <c r="I6490" s="155">
        <v>0</v>
      </c>
      <c r="J6490" s="710">
        <f>(VLOOKUP($C6490,[2]Sheet1!$A$2:$P$18,$M6490+1)/12)*12*D6490</f>
        <v>0</v>
      </c>
      <c r="K6490" s="711"/>
      <c r="M6490" s="62">
        <f t="shared" si="521"/>
        <v>3</v>
      </c>
    </row>
    <row r="6491" spans="1:13">
      <c r="A6491" s="88">
        <f t="shared" si="522"/>
        <v>70</v>
      </c>
      <c r="B6491" s="69" t="s">
        <v>2833</v>
      </c>
      <c r="C6491" s="167">
        <v>12</v>
      </c>
      <c r="D6491" s="155">
        <v>4</v>
      </c>
      <c r="E6491" s="155">
        <v>3</v>
      </c>
      <c r="F6491" s="155">
        <v>4</v>
      </c>
      <c r="G6491" s="155">
        <v>4</v>
      </c>
      <c r="H6491" s="155">
        <v>4</v>
      </c>
      <c r="I6491" s="155">
        <v>4</v>
      </c>
      <c r="J6491" s="710">
        <f>(VLOOKUP($C6491,[2]Sheet1!$A$2:$P$18,$M6491+1)/12)*12*D6491</f>
        <v>2210740.2148800008</v>
      </c>
      <c r="K6491" s="711"/>
      <c r="M6491" s="62">
        <f t="shared" si="521"/>
        <v>3</v>
      </c>
    </row>
    <row r="6492" spans="1:13">
      <c r="A6492" s="88">
        <f t="shared" si="522"/>
        <v>71</v>
      </c>
      <c r="B6492" s="69" t="s">
        <v>2834</v>
      </c>
      <c r="C6492" s="167">
        <v>10</v>
      </c>
      <c r="D6492" s="155">
        <v>1</v>
      </c>
      <c r="E6492" s="155">
        <v>5</v>
      </c>
      <c r="F6492" s="155">
        <v>1</v>
      </c>
      <c r="G6492" s="155">
        <v>1</v>
      </c>
      <c r="H6492" s="155">
        <v>1</v>
      </c>
      <c r="I6492" s="155">
        <v>1</v>
      </c>
      <c r="J6492" s="710">
        <f>(VLOOKUP($C6492,[2]Sheet1!$A$2:$P$18,$M6492+1)/12)*12*D6492</f>
        <v>483974.5687200001</v>
      </c>
      <c r="K6492" s="711"/>
      <c r="M6492" s="62">
        <f t="shared" si="521"/>
        <v>3</v>
      </c>
    </row>
    <row r="6493" spans="1:13">
      <c r="A6493" s="88">
        <f t="shared" si="522"/>
        <v>72</v>
      </c>
      <c r="B6493" s="69" t="s">
        <v>2397</v>
      </c>
      <c r="C6493" s="167">
        <v>9</v>
      </c>
      <c r="D6493" s="155">
        <v>3</v>
      </c>
      <c r="E6493" s="155">
        <v>3</v>
      </c>
      <c r="F6493" s="155">
        <v>3</v>
      </c>
      <c r="G6493" s="155">
        <v>3</v>
      </c>
      <c r="H6493" s="155">
        <v>3</v>
      </c>
      <c r="I6493" s="155">
        <v>3</v>
      </c>
      <c r="J6493" s="710">
        <f>(VLOOKUP($C6493,[2]Sheet1!$A$2:$P$18,$M6493+1)/12)*12*D6493</f>
        <v>1229045.7185999998</v>
      </c>
      <c r="K6493" s="711"/>
      <c r="M6493" s="62">
        <f t="shared" si="521"/>
        <v>3</v>
      </c>
    </row>
    <row r="6494" spans="1:13">
      <c r="A6494" s="88">
        <f t="shared" si="522"/>
        <v>73</v>
      </c>
      <c r="B6494" s="69" t="s">
        <v>1098</v>
      </c>
      <c r="C6494" s="167">
        <v>8</v>
      </c>
      <c r="D6494" s="155">
        <v>0</v>
      </c>
      <c r="E6494" s="155">
        <v>3</v>
      </c>
      <c r="F6494" s="155">
        <v>0</v>
      </c>
      <c r="G6494" s="155">
        <v>0</v>
      </c>
      <c r="H6494" s="155">
        <v>0</v>
      </c>
      <c r="I6494" s="155">
        <v>0</v>
      </c>
      <c r="J6494" s="710">
        <f>(VLOOKUP($C6494,[2]Sheet1!$A$2:$P$18,$M6494+1)/12)*12*D6494</f>
        <v>0</v>
      </c>
      <c r="K6494" s="711"/>
      <c r="M6494" s="62">
        <f t="shared" si="521"/>
        <v>3</v>
      </c>
    </row>
    <row r="6495" spans="1:13">
      <c r="A6495" s="88">
        <f t="shared" si="522"/>
        <v>74</v>
      </c>
      <c r="B6495" s="69" t="s">
        <v>1258</v>
      </c>
      <c r="C6495" s="167">
        <v>7</v>
      </c>
      <c r="D6495" s="155">
        <v>0</v>
      </c>
      <c r="E6495" s="155">
        <v>3</v>
      </c>
      <c r="F6495" s="155">
        <v>0</v>
      </c>
      <c r="G6495" s="155">
        <v>0</v>
      </c>
      <c r="H6495" s="155">
        <v>0</v>
      </c>
      <c r="I6495" s="155">
        <v>0</v>
      </c>
      <c r="J6495" s="710">
        <f>(VLOOKUP($C6495,[2]Sheet1!$A$2:$P$18,$M6495+1)/12)*12*D6495</f>
        <v>0</v>
      </c>
      <c r="K6495" s="711"/>
      <c r="M6495" s="62">
        <f t="shared" si="521"/>
        <v>3</v>
      </c>
    </row>
    <row r="6496" spans="1:13">
      <c r="A6496" s="88">
        <f t="shared" si="522"/>
        <v>75</v>
      </c>
      <c r="B6496" s="69" t="s">
        <v>3949</v>
      </c>
      <c r="C6496" s="167">
        <v>6</v>
      </c>
      <c r="D6496" s="155">
        <v>0</v>
      </c>
      <c r="E6496" s="155">
        <v>2</v>
      </c>
      <c r="F6496" s="155">
        <v>0</v>
      </c>
      <c r="G6496" s="155">
        <v>0</v>
      </c>
      <c r="H6496" s="155">
        <v>0</v>
      </c>
      <c r="I6496" s="155">
        <v>0</v>
      </c>
      <c r="J6496" s="710">
        <f>(VLOOKUP($C6496,[2]Sheet1!$A$2:$P$18,$M6496+1)/12)*12*D6496</f>
        <v>0</v>
      </c>
      <c r="K6496" s="711"/>
      <c r="M6496" s="62">
        <f t="shared" si="521"/>
        <v>5</v>
      </c>
    </row>
    <row r="6497" spans="1:13">
      <c r="A6497" s="88">
        <f t="shared" si="522"/>
        <v>76</v>
      </c>
      <c r="B6497" s="69" t="s">
        <v>2704</v>
      </c>
      <c r="C6497" s="167">
        <v>7</v>
      </c>
      <c r="D6497" s="155">
        <v>0</v>
      </c>
      <c r="E6497" s="155">
        <v>2</v>
      </c>
      <c r="F6497" s="155">
        <v>0</v>
      </c>
      <c r="G6497" s="155">
        <v>0</v>
      </c>
      <c r="H6497" s="155">
        <v>0</v>
      </c>
      <c r="I6497" s="155">
        <v>0</v>
      </c>
      <c r="J6497" s="710">
        <f>(VLOOKUP($C6497,[2]Sheet1!$A$2:$P$18,$M6497+1)/12)*12*D6497</f>
        <v>0</v>
      </c>
      <c r="K6497" s="711"/>
      <c r="M6497" s="62">
        <f t="shared" si="521"/>
        <v>3</v>
      </c>
    </row>
    <row r="6498" spans="1:13">
      <c r="A6498" s="88">
        <f t="shared" si="522"/>
        <v>77</v>
      </c>
      <c r="B6498" s="69" t="s">
        <v>2705</v>
      </c>
      <c r="C6498" s="167">
        <v>6</v>
      </c>
      <c r="D6498" s="155">
        <v>0</v>
      </c>
      <c r="E6498" s="155">
        <v>2</v>
      </c>
      <c r="F6498" s="155">
        <v>0</v>
      </c>
      <c r="G6498" s="155">
        <v>0</v>
      </c>
      <c r="H6498" s="155">
        <v>0</v>
      </c>
      <c r="I6498" s="155">
        <v>0</v>
      </c>
      <c r="J6498" s="710">
        <f>(VLOOKUP($C6498,[2]Sheet1!$A$2:$P$18,$M6498+1)/12)*12*D6498</f>
        <v>0</v>
      </c>
      <c r="K6498" s="711"/>
      <c r="M6498" s="62">
        <f t="shared" si="521"/>
        <v>5</v>
      </c>
    </row>
    <row r="6499" spans="1:13">
      <c r="A6499" s="88">
        <f t="shared" si="522"/>
        <v>78</v>
      </c>
      <c r="B6499" s="69" t="s">
        <v>41</v>
      </c>
      <c r="C6499" s="167">
        <v>5</v>
      </c>
      <c r="D6499" s="155">
        <v>0</v>
      </c>
      <c r="E6499" s="155">
        <v>0</v>
      </c>
      <c r="F6499" s="155" t="s">
        <v>1182</v>
      </c>
      <c r="G6499" s="155" t="s">
        <v>1182</v>
      </c>
      <c r="H6499" s="155">
        <v>0</v>
      </c>
      <c r="I6499" s="155" t="s">
        <v>1182</v>
      </c>
      <c r="J6499" s="710">
        <f>(VLOOKUP($C6499,[2]Sheet1!$A$2:$P$18,$M6499+1)/12)*12*D6499</f>
        <v>0</v>
      </c>
      <c r="K6499" s="711"/>
      <c r="M6499" s="62">
        <f t="shared" si="521"/>
        <v>5</v>
      </c>
    </row>
    <row r="6500" spans="1:13">
      <c r="A6500" s="88">
        <f t="shared" si="522"/>
        <v>79</v>
      </c>
      <c r="B6500" s="69" t="s">
        <v>42</v>
      </c>
      <c r="C6500" s="167">
        <v>4</v>
      </c>
      <c r="D6500" s="155">
        <v>0</v>
      </c>
      <c r="E6500" s="155">
        <v>0</v>
      </c>
      <c r="F6500" s="155">
        <v>0</v>
      </c>
      <c r="G6500" s="155">
        <v>0</v>
      </c>
      <c r="H6500" s="155">
        <v>0</v>
      </c>
      <c r="I6500" s="155">
        <v>0</v>
      </c>
      <c r="J6500" s="710">
        <f>(VLOOKUP($C6500,[2]Sheet1!$A$2:$P$18,$M6500+1)/12)*12*D6500</f>
        <v>0</v>
      </c>
      <c r="K6500" s="711"/>
      <c r="M6500" s="62">
        <f t="shared" si="521"/>
        <v>5</v>
      </c>
    </row>
    <row r="6501" spans="1:13">
      <c r="A6501" s="88">
        <f t="shared" si="522"/>
        <v>80</v>
      </c>
      <c r="B6501" s="69" t="s">
        <v>43</v>
      </c>
      <c r="C6501" s="167">
        <v>3</v>
      </c>
      <c r="D6501" s="155">
        <v>0</v>
      </c>
      <c r="E6501" s="155">
        <v>0</v>
      </c>
      <c r="F6501" s="155">
        <v>0</v>
      </c>
      <c r="G6501" s="155">
        <v>0</v>
      </c>
      <c r="H6501" s="155">
        <v>0</v>
      </c>
      <c r="I6501" s="155">
        <v>0</v>
      </c>
      <c r="J6501" s="710">
        <f>(VLOOKUP($C6501,[2]Sheet1!$A$2:$P$18,$M6501+1)/12)*12*D6501</f>
        <v>0</v>
      </c>
      <c r="K6501" s="711"/>
      <c r="M6501" s="62">
        <f t="shared" si="521"/>
        <v>5</v>
      </c>
    </row>
    <row r="6502" spans="1:13">
      <c r="A6502" s="88">
        <f t="shared" si="522"/>
        <v>81</v>
      </c>
      <c r="B6502" s="69" t="s">
        <v>3809</v>
      </c>
      <c r="C6502" s="167">
        <v>7</v>
      </c>
      <c r="D6502" s="155">
        <v>0</v>
      </c>
      <c r="E6502" s="155">
        <v>3</v>
      </c>
      <c r="F6502" s="155">
        <v>0</v>
      </c>
      <c r="G6502" s="155">
        <v>0</v>
      </c>
      <c r="H6502" s="155">
        <v>0</v>
      </c>
      <c r="I6502" s="155">
        <v>0</v>
      </c>
      <c r="J6502" s="710">
        <f>(VLOOKUP($C6502,[2]Sheet1!$A$2:$P$18,$M6502+1)/12)*12*D6502</f>
        <v>0</v>
      </c>
      <c r="K6502" s="711"/>
      <c r="M6502" s="62">
        <f t="shared" si="521"/>
        <v>3</v>
      </c>
    </row>
    <row r="6503" spans="1:13">
      <c r="A6503" s="88">
        <f t="shared" si="522"/>
        <v>82</v>
      </c>
      <c r="B6503" s="69" t="s">
        <v>708</v>
      </c>
      <c r="C6503" s="167">
        <v>6</v>
      </c>
      <c r="D6503" s="155">
        <v>0</v>
      </c>
      <c r="E6503" s="155">
        <v>3</v>
      </c>
      <c r="F6503" s="155">
        <v>0</v>
      </c>
      <c r="G6503" s="155">
        <v>0</v>
      </c>
      <c r="H6503" s="155">
        <v>0</v>
      </c>
      <c r="I6503" s="155">
        <v>0</v>
      </c>
      <c r="J6503" s="710">
        <f>(VLOOKUP($C6503,[2]Sheet1!$A$2:$P$18,$M6503+1)/12)*12*D6503</f>
        <v>0</v>
      </c>
      <c r="K6503" s="711"/>
      <c r="M6503" s="62">
        <f t="shared" si="521"/>
        <v>5</v>
      </c>
    </row>
    <row r="6504" spans="1:13">
      <c r="A6504" s="88">
        <f t="shared" si="522"/>
        <v>83</v>
      </c>
      <c r="B6504" s="69" t="s">
        <v>44</v>
      </c>
      <c r="C6504" s="167">
        <v>5</v>
      </c>
      <c r="D6504" s="155">
        <v>0</v>
      </c>
      <c r="E6504" s="155">
        <v>2</v>
      </c>
      <c r="F6504" s="155">
        <v>0</v>
      </c>
      <c r="G6504" s="155">
        <v>0</v>
      </c>
      <c r="H6504" s="155">
        <v>0</v>
      </c>
      <c r="I6504" s="155">
        <v>0</v>
      </c>
      <c r="J6504" s="710">
        <f>(VLOOKUP($C6504,[2]Sheet1!$A$2:$P$18,$M6504+1)/12)*12*D6504</f>
        <v>0</v>
      </c>
      <c r="K6504" s="711"/>
      <c r="M6504" s="62">
        <f t="shared" si="521"/>
        <v>5</v>
      </c>
    </row>
    <row r="6505" spans="1:13">
      <c r="A6505" s="88">
        <f t="shared" si="522"/>
        <v>84</v>
      </c>
      <c r="B6505" s="69" t="s">
        <v>45</v>
      </c>
      <c r="C6505" s="167">
        <v>4</v>
      </c>
      <c r="D6505" s="155">
        <v>0</v>
      </c>
      <c r="E6505" s="155">
        <v>0</v>
      </c>
      <c r="F6505" s="155" t="s">
        <v>1182</v>
      </c>
      <c r="G6505" s="155" t="s">
        <v>1182</v>
      </c>
      <c r="H6505" s="155">
        <v>0</v>
      </c>
      <c r="I6505" s="155" t="s">
        <v>1182</v>
      </c>
      <c r="J6505" s="710">
        <f>(VLOOKUP($C6505,[2]Sheet1!$A$2:$P$18,$M6505+1)/12)*12*D6505</f>
        <v>0</v>
      </c>
      <c r="K6505" s="711"/>
      <c r="M6505" s="62">
        <f t="shared" si="521"/>
        <v>5</v>
      </c>
    </row>
    <row r="6506" spans="1:13" ht="13.5" thickBot="1">
      <c r="A6506" s="88">
        <f t="shared" si="522"/>
        <v>85</v>
      </c>
      <c r="B6506" s="69" t="s">
        <v>46</v>
      </c>
      <c r="C6506" s="167">
        <v>3</v>
      </c>
      <c r="D6506" s="155">
        <v>0</v>
      </c>
      <c r="E6506" s="155">
        <v>0</v>
      </c>
      <c r="F6506" s="155" t="s">
        <v>1182</v>
      </c>
      <c r="G6506" s="155" t="s">
        <v>1182</v>
      </c>
      <c r="H6506" s="155">
        <v>0</v>
      </c>
      <c r="I6506" s="155" t="s">
        <v>1182</v>
      </c>
      <c r="J6506" s="710">
        <f>(VLOOKUP($C6506,[2]Sheet1!$A$2:$P$18,$M6506+1)/12)*12*D6506</f>
        <v>0</v>
      </c>
      <c r="K6506" s="711"/>
      <c r="M6506" s="62">
        <f t="shared" si="521"/>
        <v>5</v>
      </c>
    </row>
    <row r="6507" spans="1:13" ht="15.75" thickTop="1">
      <c r="A6507" s="1047" t="s">
        <v>2791</v>
      </c>
      <c r="B6507" s="1049" t="s">
        <v>4126</v>
      </c>
      <c r="C6507" s="1049" t="s">
        <v>854</v>
      </c>
      <c r="D6507" s="1040" t="s">
        <v>4127</v>
      </c>
      <c r="E6507" s="1041"/>
      <c r="F6507" s="1041"/>
      <c r="G6507" s="1040" t="s">
        <v>904</v>
      </c>
      <c r="H6507" s="1041"/>
      <c r="I6507" s="1042"/>
      <c r="J6507" s="1035" t="s">
        <v>855</v>
      </c>
      <c r="K6507" s="389"/>
    </row>
    <row r="6508" spans="1:13" ht="26.25" thickBot="1">
      <c r="A6508" s="1048"/>
      <c r="B6508" s="1050"/>
      <c r="C6508" s="1050"/>
      <c r="D6508" s="285" t="s">
        <v>5505</v>
      </c>
      <c r="E6508" s="285" t="s">
        <v>4485</v>
      </c>
      <c r="F6508" s="285" t="s">
        <v>4486</v>
      </c>
      <c r="G6508" s="287" t="s">
        <v>4487</v>
      </c>
      <c r="H6508" s="285" t="s">
        <v>4488</v>
      </c>
      <c r="I6508" s="287" t="s">
        <v>4489</v>
      </c>
      <c r="J6508" s="1036"/>
      <c r="K6508" s="712"/>
    </row>
    <row r="6509" spans="1:13" ht="13.5" thickTop="1">
      <c r="A6509" s="88">
        <f>+A6506+1</f>
        <v>86</v>
      </c>
      <c r="B6509" s="69" t="s">
        <v>3675</v>
      </c>
      <c r="C6509" s="167">
        <v>2</v>
      </c>
      <c r="D6509" s="155">
        <v>0</v>
      </c>
      <c r="E6509" s="155">
        <v>2</v>
      </c>
      <c r="F6509" s="155">
        <v>0</v>
      </c>
      <c r="G6509" s="155">
        <v>0</v>
      </c>
      <c r="H6509" s="155">
        <v>0</v>
      </c>
      <c r="I6509" s="155">
        <v>0</v>
      </c>
      <c r="J6509" s="710">
        <f>(VLOOKUP($C6509,[2]Sheet1!$A$2:$P$18,$M6509+1)/12)*12*D6509</f>
        <v>0</v>
      </c>
      <c r="K6509" s="711"/>
      <c r="M6509" s="62">
        <f t="shared" si="521"/>
        <v>5</v>
      </c>
    </row>
    <row r="6510" spans="1:13">
      <c r="A6510" s="88"/>
      <c r="B6510" s="90" t="s">
        <v>47</v>
      </c>
      <c r="C6510" s="167"/>
      <c r="D6510" s="155"/>
      <c r="E6510" s="155"/>
      <c r="F6510" s="155"/>
      <c r="G6510" s="155"/>
      <c r="H6510" s="155"/>
      <c r="I6510" s="155"/>
      <c r="J6510" s="710"/>
      <c r="K6510" s="711"/>
      <c r="M6510" s="62">
        <f t="shared" si="521"/>
        <v>5</v>
      </c>
    </row>
    <row r="6511" spans="1:13">
      <c r="A6511" s="88">
        <f>+A6509+1</f>
        <v>87</v>
      </c>
      <c r="B6511" s="69" t="s">
        <v>1256</v>
      </c>
      <c r="C6511" s="167">
        <v>15</v>
      </c>
      <c r="D6511" s="155">
        <v>0</v>
      </c>
      <c r="E6511" s="155">
        <v>0</v>
      </c>
      <c r="F6511" s="155">
        <v>0</v>
      </c>
      <c r="G6511" s="155">
        <v>0</v>
      </c>
      <c r="H6511" s="155">
        <v>0</v>
      </c>
      <c r="I6511" s="155">
        <v>0</v>
      </c>
      <c r="J6511" s="710">
        <f>(VLOOKUP($C6511,[2]Sheet1!$A$2:$P$18,$M6511+1)/12)*12*D6511</f>
        <v>0</v>
      </c>
      <c r="K6511" s="711"/>
      <c r="M6511" s="62">
        <f t="shared" si="521"/>
        <v>3</v>
      </c>
    </row>
    <row r="6512" spans="1:13">
      <c r="A6512" s="88">
        <f t="shared" ref="A6512:A6523" si="523">+A6511+1</f>
        <v>88</v>
      </c>
      <c r="B6512" s="69" t="s">
        <v>3533</v>
      </c>
      <c r="C6512" s="167">
        <v>14</v>
      </c>
      <c r="D6512" s="155">
        <v>1</v>
      </c>
      <c r="E6512" s="155">
        <v>1</v>
      </c>
      <c r="F6512" s="155">
        <v>1</v>
      </c>
      <c r="G6512" s="155">
        <v>1</v>
      </c>
      <c r="H6512" s="155">
        <v>1</v>
      </c>
      <c r="I6512" s="155">
        <v>1</v>
      </c>
      <c r="J6512" s="710">
        <f>(VLOOKUP($C6512,[2]Sheet1!$A$2:$P$18,$M6512+1)/12)*12*D6512</f>
        <v>669099.40824000002</v>
      </c>
      <c r="K6512" s="711"/>
      <c r="M6512" s="62">
        <f t="shared" si="521"/>
        <v>3</v>
      </c>
    </row>
    <row r="6513" spans="1:13">
      <c r="A6513" s="88">
        <f>+A6512+1</f>
        <v>89</v>
      </c>
      <c r="B6513" s="69" t="s">
        <v>48</v>
      </c>
      <c r="C6513" s="167">
        <v>13</v>
      </c>
      <c r="D6513" s="155">
        <v>0</v>
      </c>
      <c r="E6513" s="155">
        <v>1</v>
      </c>
      <c r="F6513" s="155">
        <v>0</v>
      </c>
      <c r="G6513" s="155">
        <v>0</v>
      </c>
      <c r="H6513" s="155">
        <v>0</v>
      </c>
      <c r="I6513" s="155">
        <v>0</v>
      </c>
      <c r="J6513" s="710">
        <f>(VLOOKUP($C6513,[2]Sheet1!$A$2:$P$18,$M6513+1)/12)*12*D6513</f>
        <v>0</v>
      </c>
      <c r="K6513" s="711"/>
      <c r="M6513" s="62">
        <f t="shared" si="521"/>
        <v>3</v>
      </c>
    </row>
    <row r="6514" spans="1:13">
      <c r="A6514" s="88">
        <f t="shared" si="523"/>
        <v>90</v>
      </c>
      <c r="B6514" s="69" t="s">
        <v>2682</v>
      </c>
      <c r="C6514" s="167">
        <v>12</v>
      </c>
      <c r="D6514" s="155">
        <v>1</v>
      </c>
      <c r="E6514" s="155">
        <v>2</v>
      </c>
      <c r="F6514" s="155">
        <v>1</v>
      </c>
      <c r="G6514" s="155">
        <v>1</v>
      </c>
      <c r="H6514" s="155">
        <v>1</v>
      </c>
      <c r="I6514" s="155">
        <v>1</v>
      </c>
      <c r="J6514" s="710">
        <f>(VLOOKUP($C6514,[2]Sheet1!$A$2:$P$18,$M6514+1)/12)*12*D6514</f>
        <v>552685.0537200002</v>
      </c>
      <c r="K6514" s="711"/>
      <c r="M6514" s="62">
        <f t="shared" si="521"/>
        <v>3</v>
      </c>
    </row>
    <row r="6515" spans="1:13">
      <c r="A6515" s="88">
        <f>+A6514+1</f>
        <v>91</v>
      </c>
      <c r="B6515" s="69" t="s">
        <v>51</v>
      </c>
      <c r="C6515" s="167">
        <v>10</v>
      </c>
      <c r="D6515" s="155">
        <v>1</v>
      </c>
      <c r="E6515" s="155">
        <v>2</v>
      </c>
      <c r="F6515" s="155">
        <v>1</v>
      </c>
      <c r="G6515" s="155">
        <v>1</v>
      </c>
      <c r="H6515" s="155">
        <v>1</v>
      </c>
      <c r="I6515" s="155">
        <v>1</v>
      </c>
      <c r="J6515" s="710">
        <f>(VLOOKUP($C6515,[2]Sheet1!$A$2:$P$18,$M6515+1)/12)*12*D6515</f>
        <v>483974.5687200001</v>
      </c>
      <c r="K6515" s="711"/>
      <c r="M6515" s="62">
        <f t="shared" si="521"/>
        <v>3</v>
      </c>
    </row>
    <row r="6516" spans="1:13">
      <c r="A6516" s="88">
        <f t="shared" si="523"/>
        <v>92</v>
      </c>
      <c r="B6516" s="69" t="s">
        <v>2684</v>
      </c>
      <c r="C6516" s="167">
        <v>9</v>
      </c>
      <c r="D6516" s="155">
        <v>1</v>
      </c>
      <c r="E6516" s="155">
        <v>1</v>
      </c>
      <c r="F6516" s="155">
        <v>1</v>
      </c>
      <c r="G6516" s="155">
        <v>1</v>
      </c>
      <c r="H6516" s="155">
        <v>1</v>
      </c>
      <c r="I6516" s="155">
        <v>1</v>
      </c>
      <c r="J6516" s="710">
        <f>(VLOOKUP($C6516,[2]Sheet1!$A$2:$P$18,$M6516+1)/12)*12*D6516</f>
        <v>409681.90619999997</v>
      </c>
      <c r="K6516" s="711"/>
      <c r="M6516" s="62">
        <f t="shared" si="521"/>
        <v>3</v>
      </c>
    </row>
    <row r="6517" spans="1:13">
      <c r="A6517" s="88">
        <f t="shared" si="523"/>
        <v>93</v>
      </c>
      <c r="B6517" s="69" t="s">
        <v>55</v>
      </c>
      <c r="C6517" s="167">
        <v>8</v>
      </c>
      <c r="D6517" s="155">
        <v>0</v>
      </c>
      <c r="E6517" s="155">
        <v>3</v>
      </c>
      <c r="F6517" s="155">
        <v>0</v>
      </c>
      <c r="G6517" s="155">
        <v>0</v>
      </c>
      <c r="H6517" s="155">
        <v>0</v>
      </c>
      <c r="I6517" s="155">
        <v>0</v>
      </c>
      <c r="J6517" s="710">
        <f>(VLOOKUP($C6517,[2]Sheet1!$A$2:$P$18,$M6517+1)/12)*12*D6517</f>
        <v>0</v>
      </c>
      <c r="K6517" s="711"/>
      <c r="M6517" s="62">
        <f t="shared" si="521"/>
        <v>3</v>
      </c>
    </row>
    <row r="6518" spans="1:13">
      <c r="A6518" s="88">
        <f t="shared" si="523"/>
        <v>94</v>
      </c>
      <c r="B6518" s="69" t="s">
        <v>219</v>
      </c>
      <c r="C6518" s="167">
        <v>14</v>
      </c>
      <c r="D6518" s="155">
        <v>4</v>
      </c>
      <c r="E6518" s="155">
        <v>2</v>
      </c>
      <c r="F6518" s="155">
        <v>4</v>
      </c>
      <c r="G6518" s="155">
        <v>4</v>
      </c>
      <c r="H6518" s="155">
        <v>4</v>
      </c>
      <c r="I6518" s="155">
        <v>4</v>
      </c>
      <c r="J6518" s="710">
        <f>(VLOOKUP($C6518,[2]Sheet1!$A$2:$P$18,$M6518+1)/12)*12*D6518</f>
        <v>2676397.6329600001</v>
      </c>
      <c r="K6518" s="711"/>
      <c r="M6518" s="62">
        <f t="shared" si="521"/>
        <v>3</v>
      </c>
    </row>
    <row r="6519" spans="1:13">
      <c r="A6519" s="88">
        <f t="shared" si="523"/>
        <v>95</v>
      </c>
      <c r="B6519" s="69" t="s">
        <v>311</v>
      </c>
      <c r="C6519" s="167">
        <v>13</v>
      </c>
      <c r="D6519" s="155">
        <v>3</v>
      </c>
      <c r="E6519" s="155">
        <v>2</v>
      </c>
      <c r="F6519" s="155">
        <v>3</v>
      </c>
      <c r="G6519" s="155">
        <v>3</v>
      </c>
      <c r="H6519" s="155">
        <v>3</v>
      </c>
      <c r="I6519" s="155">
        <v>3</v>
      </c>
      <c r="J6519" s="710">
        <f>(VLOOKUP($C6519,[2]Sheet1!$A$2:$P$18,$M6519+1)/12)*12*D6519</f>
        <v>1886278.61412</v>
      </c>
      <c r="K6519" s="711"/>
      <c r="M6519" s="62">
        <f t="shared" si="521"/>
        <v>3</v>
      </c>
    </row>
    <row r="6520" spans="1:13">
      <c r="A6520" s="88">
        <f t="shared" si="523"/>
        <v>96</v>
      </c>
      <c r="B6520" s="69" t="s">
        <v>481</v>
      </c>
      <c r="C6520" s="167">
        <v>12</v>
      </c>
      <c r="D6520" s="155">
        <v>1</v>
      </c>
      <c r="E6520" s="155">
        <v>3</v>
      </c>
      <c r="F6520" s="155">
        <v>1</v>
      </c>
      <c r="G6520" s="155">
        <v>1</v>
      </c>
      <c r="H6520" s="155">
        <v>1</v>
      </c>
      <c r="I6520" s="155">
        <v>1</v>
      </c>
      <c r="J6520" s="710">
        <f>(VLOOKUP($C6520,[2]Sheet1!$A$2:$P$18,$M6520+1)/12)*12*D6520</f>
        <v>552685.0537200002</v>
      </c>
      <c r="K6520" s="711"/>
      <c r="M6520" s="62">
        <f t="shared" si="521"/>
        <v>3</v>
      </c>
    </row>
    <row r="6521" spans="1:13">
      <c r="A6521" s="88">
        <f t="shared" si="523"/>
        <v>97</v>
      </c>
      <c r="B6521" s="69" t="s">
        <v>3984</v>
      </c>
      <c r="C6521" s="167">
        <v>10</v>
      </c>
      <c r="D6521" s="155">
        <v>0</v>
      </c>
      <c r="E6521" s="155">
        <v>3</v>
      </c>
      <c r="F6521" s="155">
        <v>0</v>
      </c>
      <c r="G6521" s="155">
        <v>0</v>
      </c>
      <c r="H6521" s="155">
        <v>0</v>
      </c>
      <c r="I6521" s="155">
        <v>0</v>
      </c>
      <c r="J6521" s="710">
        <f>(VLOOKUP($C6521,[2]Sheet1!$A$2:$P$18,$M6521+1)/12)*12*D6521</f>
        <v>0</v>
      </c>
      <c r="K6521" s="711"/>
      <c r="M6521" s="62">
        <f t="shared" si="521"/>
        <v>3</v>
      </c>
    </row>
    <row r="6522" spans="1:13">
      <c r="A6522" s="88">
        <f t="shared" si="523"/>
        <v>98</v>
      </c>
      <c r="B6522" s="69" t="s">
        <v>1393</v>
      </c>
      <c r="C6522" s="167">
        <v>9</v>
      </c>
      <c r="D6522" s="155">
        <v>5</v>
      </c>
      <c r="E6522" s="155">
        <v>7</v>
      </c>
      <c r="F6522" s="155">
        <v>5</v>
      </c>
      <c r="G6522" s="155">
        <v>5</v>
      </c>
      <c r="H6522" s="155">
        <v>5</v>
      </c>
      <c r="I6522" s="155">
        <v>5</v>
      </c>
      <c r="J6522" s="710">
        <f>(VLOOKUP($C6522,[2]Sheet1!$A$2:$P$18,$M6522+1)/12)*12*D6522</f>
        <v>2048409.531</v>
      </c>
      <c r="K6522" s="711"/>
      <c r="M6522" s="62">
        <f t="shared" si="521"/>
        <v>3</v>
      </c>
    </row>
    <row r="6523" spans="1:13">
      <c r="A6523" s="88">
        <f t="shared" si="523"/>
        <v>99</v>
      </c>
      <c r="B6523" s="69" t="s">
        <v>3072</v>
      </c>
      <c r="C6523" s="167">
        <v>8</v>
      </c>
      <c r="D6523" s="155">
        <v>7</v>
      </c>
      <c r="E6523" s="155">
        <v>4</v>
      </c>
      <c r="F6523" s="155">
        <v>7</v>
      </c>
      <c r="G6523" s="155">
        <v>7</v>
      </c>
      <c r="H6523" s="155">
        <v>7</v>
      </c>
      <c r="I6523" s="155">
        <v>7</v>
      </c>
      <c r="J6523" s="710">
        <f>(VLOOKUP($C6523,[2]Sheet1!$A$2:$P$18,$M6523+1)/12)*12*D6523</f>
        <v>2394988.9185600001</v>
      </c>
      <c r="K6523" s="711"/>
      <c r="M6523" s="62">
        <f t="shared" si="521"/>
        <v>3</v>
      </c>
    </row>
    <row r="6524" spans="1:13">
      <c r="A6524" s="88">
        <f>+A6523+1</f>
        <v>100</v>
      </c>
      <c r="B6524" s="69" t="s">
        <v>3072</v>
      </c>
      <c r="C6524" s="167">
        <v>7</v>
      </c>
      <c r="D6524" s="155">
        <v>1</v>
      </c>
      <c r="E6524" s="155">
        <v>1</v>
      </c>
      <c r="F6524" s="155">
        <v>1</v>
      </c>
      <c r="G6524" s="155">
        <v>1</v>
      </c>
      <c r="H6524" s="155">
        <v>1</v>
      </c>
      <c r="I6524" s="155">
        <v>1</v>
      </c>
      <c r="J6524" s="710">
        <f>(VLOOKUP($C6524,[2]Sheet1!$A$2:$P$18,$M6524+1)/12)*12*D6524</f>
        <v>307706.70240000007</v>
      </c>
      <c r="K6524" s="711"/>
      <c r="M6524" s="62">
        <f t="shared" si="521"/>
        <v>3</v>
      </c>
    </row>
    <row r="6525" spans="1:13">
      <c r="A6525" s="88">
        <f>+A6524+1</f>
        <v>101</v>
      </c>
      <c r="B6525" s="69" t="s">
        <v>2992</v>
      </c>
      <c r="C6525" s="167">
        <v>6</v>
      </c>
      <c r="D6525" s="155">
        <v>1</v>
      </c>
      <c r="E6525" s="155">
        <v>1</v>
      </c>
      <c r="F6525" s="155">
        <v>1</v>
      </c>
      <c r="G6525" s="155">
        <v>1</v>
      </c>
      <c r="H6525" s="155">
        <v>1</v>
      </c>
      <c r="I6525" s="155">
        <v>1</v>
      </c>
      <c r="J6525" s="710">
        <f>(VLOOKUP($C6525,[2]Sheet1!$A$2:$P$18,$M6525+1)/12)*12*D6525</f>
        <v>238099.37893036497</v>
      </c>
      <c r="K6525" s="711"/>
      <c r="M6525" s="62">
        <f t="shared" si="521"/>
        <v>5</v>
      </c>
    </row>
    <row r="6526" spans="1:13">
      <c r="A6526" s="88">
        <f>+A6525+1</f>
        <v>102</v>
      </c>
      <c r="B6526" s="69" t="s">
        <v>2993</v>
      </c>
      <c r="C6526" s="167">
        <v>5</v>
      </c>
      <c r="D6526" s="155">
        <v>0</v>
      </c>
      <c r="E6526" s="155">
        <v>0</v>
      </c>
      <c r="F6526" s="155" t="s">
        <v>1182</v>
      </c>
      <c r="G6526" s="155" t="s">
        <v>1182</v>
      </c>
      <c r="H6526" s="155">
        <v>0</v>
      </c>
      <c r="I6526" s="155" t="s">
        <v>1182</v>
      </c>
      <c r="J6526" s="710">
        <f>(VLOOKUP($C6526,[2]Sheet1!$A$2:$P$18,$M6526+1)/12)*12*D6526</f>
        <v>0</v>
      </c>
      <c r="K6526" s="711"/>
      <c r="M6526" s="62">
        <f t="shared" si="521"/>
        <v>5</v>
      </c>
    </row>
    <row r="6527" spans="1:13">
      <c r="A6527" s="88">
        <f>+A6526+1</f>
        <v>103</v>
      </c>
      <c r="B6527" s="69" t="s">
        <v>2994</v>
      </c>
      <c r="C6527" s="181">
        <v>4</v>
      </c>
      <c r="D6527" s="155">
        <v>0</v>
      </c>
      <c r="E6527" s="155">
        <v>0</v>
      </c>
      <c r="F6527" s="155" t="s">
        <v>1182</v>
      </c>
      <c r="G6527" s="155" t="s">
        <v>1182</v>
      </c>
      <c r="H6527" s="155">
        <v>0</v>
      </c>
      <c r="I6527" s="155" t="s">
        <v>1182</v>
      </c>
      <c r="J6527" s="710">
        <f>(VLOOKUP($C6527,[2]Sheet1!$A$2:$P$18,$M6527+1)/12)*12*D6527</f>
        <v>0</v>
      </c>
      <c r="K6527" s="711"/>
      <c r="M6527" s="62">
        <f t="shared" si="521"/>
        <v>5</v>
      </c>
    </row>
    <row r="6528" spans="1:13">
      <c r="A6528" s="88"/>
      <c r="B6528" s="90" t="s">
        <v>2995</v>
      </c>
      <c r="C6528" s="181"/>
      <c r="D6528" s="155"/>
      <c r="E6528" s="155"/>
      <c r="F6528" s="155"/>
      <c r="G6528" s="155"/>
      <c r="H6528" s="155"/>
      <c r="I6528" s="155"/>
      <c r="J6528" s="710"/>
      <c r="K6528" s="711"/>
      <c r="M6528" s="62">
        <f t="shared" si="521"/>
        <v>5</v>
      </c>
    </row>
    <row r="6529" spans="1:13">
      <c r="A6529" s="88">
        <f>+A6527+1</f>
        <v>104</v>
      </c>
      <c r="B6529" s="69" t="s">
        <v>3982</v>
      </c>
      <c r="C6529" s="167">
        <v>13</v>
      </c>
      <c r="D6529" s="155">
        <v>1</v>
      </c>
      <c r="E6529" s="155">
        <v>1</v>
      </c>
      <c r="F6529" s="155">
        <v>1</v>
      </c>
      <c r="G6529" s="155">
        <v>1</v>
      </c>
      <c r="H6529" s="155">
        <v>1</v>
      </c>
      <c r="I6529" s="155">
        <v>1</v>
      </c>
      <c r="J6529" s="710">
        <f>(VLOOKUP($C6529,[2]Sheet1!$A$2:$P$18,$M6529+1)/12)*12*D6529</f>
        <v>628759.53804000001</v>
      </c>
      <c r="K6529" s="711"/>
      <c r="M6529" s="62">
        <f t="shared" si="521"/>
        <v>3</v>
      </c>
    </row>
    <row r="6530" spans="1:13">
      <c r="A6530" s="88">
        <f t="shared" ref="A6530:A6544" si="524">+A6529+1</f>
        <v>105</v>
      </c>
      <c r="B6530" s="69" t="s">
        <v>3871</v>
      </c>
      <c r="C6530" s="167">
        <v>12</v>
      </c>
      <c r="D6530" s="155">
        <v>2</v>
      </c>
      <c r="E6530" s="155">
        <v>1</v>
      </c>
      <c r="F6530" s="155">
        <v>2</v>
      </c>
      <c r="G6530" s="155">
        <v>2</v>
      </c>
      <c r="H6530" s="155">
        <v>2</v>
      </c>
      <c r="I6530" s="155">
        <v>2</v>
      </c>
      <c r="J6530" s="710">
        <f>(VLOOKUP($C6530,[2]Sheet1!$A$2:$P$18,$M6530+1)/12)*12*D6530</f>
        <v>1105370.1074400004</v>
      </c>
      <c r="K6530" s="711"/>
      <c r="M6530" s="62">
        <f t="shared" si="521"/>
        <v>3</v>
      </c>
    </row>
    <row r="6531" spans="1:13">
      <c r="A6531" s="88">
        <f t="shared" si="524"/>
        <v>106</v>
      </c>
      <c r="B6531" s="69" t="s">
        <v>3872</v>
      </c>
      <c r="C6531" s="167">
        <v>8</v>
      </c>
      <c r="D6531" s="155">
        <v>0</v>
      </c>
      <c r="E6531" s="155">
        <v>0</v>
      </c>
      <c r="F6531" s="155">
        <v>0</v>
      </c>
      <c r="G6531" s="155">
        <v>0</v>
      </c>
      <c r="H6531" s="155">
        <v>0</v>
      </c>
      <c r="I6531" s="155">
        <v>0</v>
      </c>
      <c r="J6531" s="710">
        <f>(VLOOKUP($C6531,[2]Sheet1!$A$2:$P$18,$M6531+1)/12)*12*D6531</f>
        <v>0</v>
      </c>
      <c r="K6531" s="711"/>
      <c r="M6531" s="62">
        <f t="shared" ref="M6531:M6560" si="525">IF(C6531&gt;6,3,5)</f>
        <v>3</v>
      </c>
    </row>
    <row r="6532" spans="1:13">
      <c r="A6532" s="88">
        <f t="shared" si="524"/>
        <v>107</v>
      </c>
      <c r="B6532" s="69" t="s">
        <v>3873</v>
      </c>
      <c r="C6532" s="167">
        <v>14</v>
      </c>
      <c r="D6532" s="155">
        <v>10</v>
      </c>
      <c r="E6532" s="155">
        <v>0</v>
      </c>
      <c r="F6532" s="155">
        <v>10</v>
      </c>
      <c r="G6532" s="155">
        <v>10</v>
      </c>
      <c r="H6532" s="155">
        <v>10</v>
      </c>
      <c r="I6532" s="155">
        <v>10</v>
      </c>
      <c r="J6532" s="710">
        <f>(VLOOKUP($C6532,[2]Sheet1!$A$2:$P$18,$M6532+1)/12)*12*D6532</f>
        <v>6690994.0823999997</v>
      </c>
      <c r="K6532" s="711"/>
      <c r="M6532" s="62">
        <f t="shared" si="525"/>
        <v>3</v>
      </c>
    </row>
    <row r="6533" spans="1:13">
      <c r="A6533" s="88">
        <f t="shared" si="524"/>
        <v>108</v>
      </c>
      <c r="B6533" s="69" t="s">
        <v>3985</v>
      </c>
      <c r="C6533" s="167">
        <v>12</v>
      </c>
      <c r="D6533" s="155">
        <v>2</v>
      </c>
      <c r="E6533" s="155">
        <v>1</v>
      </c>
      <c r="F6533" s="155">
        <v>2</v>
      </c>
      <c r="G6533" s="155">
        <v>2</v>
      </c>
      <c r="H6533" s="155">
        <v>2</v>
      </c>
      <c r="I6533" s="155">
        <v>2</v>
      </c>
      <c r="J6533" s="710">
        <f>(VLOOKUP($C6533,[2]Sheet1!$A$2:$P$18,$M6533+1)/12)*12*D6533</f>
        <v>1105370.1074400004</v>
      </c>
      <c r="K6533" s="711"/>
      <c r="M6533" s="62">
        <f t="shared" si="525"/>
        <v>3</v>
      </c>
    </row>
    <row r="6534" spans="1:13">
      <c r="A6534" s="88">
        <f t="shared" si="524"/>
        <v>109</v>
      </c>
      <c r="B6534" s="69" t="s">
        <v>1011</v>
      </c>
      <c r="C6534" s="167">
        <v>10</v>
      </c>
      <c r="D6534" s="155">
        <v>2</v>
      </c>
      <c r="E6534" s="155">
        <v>1</v>
      </c>
      <c r="F6534" s="155">
        <v>2</v>
      </c>
      <c r="G6534" s="155">
        <v>2</v>
      </c>
      <c r="H6534" s="155">
        <v>2</v>
      </c>
      <c r="I6534" s="155">
        <v>2</v>
      </c>
      <c r="J6534" s="710">
        <f>(VLOOKUP($C6534,[2]Sheet1!$A$2:$P$18,$M6534+1)/12)*12*D6534</f>
        <v>967949.1374400002</v>
      </c>
      <c r="K6534" s="711"/>
      <c r="M6534" s="62">
        <f t="shared" si="525"/>
        <v>3</v>
      </c>
    </row>
    <row r="6535" spans="1:13">
      <c r="A6535" s="88">
        <f t="shared" si="524"/>
        <v>110</v>
      </c>
      <c r="B6535" s="69" t="s">
        <v>311</v>
      </c>
      <c r="C6535" s="167">
        <v>13</v>
      </c>
      <c r="D6535" s="155">
        <v>5</v>
      </c>
      <c r="E6535" s="155">
        <v>1</v>
      </c>
      <c r="F6535" s="155">
        <v>5</v>
      </c>
      <c r="G6535" s="155">
        <v>5</v>
      </c>
      <c r="H6535" s="155">
        <v>5</v>
      </c>
      <c r="I6535" s="155">
        <v>5</v>
      </c>
      <c r="J6535" s="710">
        <f>(VLOOKUP($C6535,[2]Sheet1!$A$2:$P$18,$M6535+1)/12)*12*D6535</f>
        <v>3143797.6902000001</v>
      </c>
      <c r="K6535" s="711"/>
      <c r="M6535" s="62">
        <f t="shared" si="525"/>
        <v>3</v>
      </c>
    </row>
    <row r="6536" spans="1:13">
      <c r="A6536" s="88">
        <f t="shared" si="524"/>
        <v>111</v>
      </c>
      <c r="B6536" s="69" t="s">
        <v>337</v>
      </c>
      <c r="C6536" s="167">
        <v>9</v>
      </c>
      <c r="D6536" s="155">
        <v>3</v>
      </c>
      <c r="E6536" s="155">
        <v>1</v>
      </c>
      <c r="F6536" s="155">
        <v>3</v>
      </c>
      <c r="G6536" s="155">
        <v>3</v>
      </c>
      <c r="H6536" s="155">
        <v>3</v>
      </c>
      <c r="I6536" s="155">
        <v>3</v>
      </c>
      <c r="J6536" s="710">
        <f>(VLOOKUP($C6536,[2]Sheet1!$A$2:$P$18,$M6536+1)/12)*12*D6536</f>
        <v>1229045.7185999998</v>
      </c>
      <c r="K6536" s="711"/>
      <c r="M6536" s="62">
        <f>IF(C6536&gt;6,3,5)</f>
        <v>3</v>
      </c>
    </row>
    <row r="6537" spans="1:13">
      <c r="A6537" s="88">
        <f>+A6535+1</f>
        <v>111</v>
      </c>
      <c r="B6537" s="69" t="s">
        <v>1451</v>
      </c>
      <c r="C6537" s="167">
        <v>8</v>
      </c>
      <c r="D6537" s="155">
        <v>4</v>
      </c>
      <c r="E6537" s="155">
        <v>0</v>
      </c>
      <c r="F6537" s="155">
        <v>4</v>
      </c>
      <c r="G6537" s="155">
        <v>4</v>
      </c>
      <c r="H6537" s="155">
        <v>4</v>
      </c>
      <c r="I6537" s="155">
        <v>4</v>
      </c>
      <c r="J6537" s="710">
        <f>(VLOOKUP($C6537,[2]Sheet1!$A$2:$P$18,$M6537+1)/12)*12*D6537</f>
        <v>1368565.09632</v>
      </c>
      <c r="K6537" s="711"/>
      <c r="M6537" s="62">
        <f t="shared" si="525"/>
        <v>3</v>
      </c>
    </row>
    <row r="6538" spans="1:13">
      <c r="A6538" s="88">
        <f>+A6537+1</f>
        <v>112</v>
      </c>
      <c r="B6538" s="69" t="s">
        <v>3986</v>
      </c>
      <c r="C6538" s="167">
        <v>6</v>
      </c>
      <c r="D6538" s="155">
        <v>1</v>
      </c>
      <c r="E6538" s="155">
        <v>0</v>
      </c>
      <c r="F6538" s="155">
        <v>1</v>
      </c>
      <c r="G6538" s="155">
        <v>1</v>
      </c>
      <c r="H6538" s="155">
        <v>1</v>
      </c>
      <c r="I6538" s="155">
        <v>1</v>
      </c>
      <c r="J6538" s="710">
        <f>(VLOOKUP($C6538,[2]Sheet1!$A$2:$P$18,$M6538+1)/12)*12*D6538</f>
        <v>238099.37893036497</v>
      </c>
      <c r="K6538" s="711"/>
      <c r="M6538" s="62">
        <f t="shared" si="525"/>
        <v>5</v>
      </c>
    </row>
    <row r="6539" spans="1:13">
      <c r="A6539" s="88">
        <f t="shared" si="524"/>
        <v>113</v>
      </c>
      <c r="B6539" s="69" t="s">
        <v>2622</v>
      </c>
      <c r="C6539" s="167">
        <v>3</v>
      </c>
      <c r="D6539" s="155">
        <v>0</v>
      </c>
      <c r="E6539" s="155">
        <v>0</v>
      </c>
      <c r="F6539" s="155">
        <v>0</v>
      </c>
      <c r="G6539" s="155">
        <v>0</v>
      </c>
      <c r="H6539" s="155">
        <v>0</v>
      </c>
      <c r="I6539" s="155">
        <v>0</v>
      </c>
      <c r="J6539" s="710">
        <f>(VLOOKUP($C6539,[2]Sheet1!$A$2:$P$18,$M6539+1)/12)*12*D6539</f>
        <v>0</v>
      </c>
      <c r="K6539" s="711"/>
      <c r="M6539" s="62">
        <f t="shared" si="525"/>
        <v>5</v>
      </c>
    </row>
    <row r="6540" spans="1:13">
      <c r="A6540" s="88">
        <f t="shared" si="524"/>
        <v>114</v>
      </c>
      <c r="B6540" s="69" t="s">
        <v>5</v>
      </c>
      <c r="C6540" s="167">
        <v>7</v>
      </c>
      <c r="D6540" s="155">
        <v>1</v>
      </c>
      <c r="E6540" s="155">
        <v>0</v>
      </c>
      <c r="F6540" s="155">
        <v>1</v>
      </c>
      <c r="G6540" s="155">
        <v>1</v>
      </c>
      <c r="H6540" s="155">
        <v>1</v>
      </c>
      <c r="I6540" s="155">
        <v>1</v>
      </c>
      <c r="J6540" s="710">
        <f>(VLOOKUP($C6540,[2]Sheet1!$A$2:$P$18,$M6540+1)/12)*12*D6540</f>
        <v>307706.70240000007</v>
      </c>
      <c r="K6540" s="711"/>
      <c r="M6540" s="62">
        <f>IF(C6540&gt;6,3,5)</f>
        <v>3</v>
      </c>
    </row>
    <row r="6541" spans="1:13">
      <c r="A6541" s="88">
        <f t="shared" si="524"/>
        <v>115</v>
      </c>
      <c r="B6541" s="69" t="s">
        <v>3809</v>
      </c>
      <c r="C6541" s="167">
        <v>7</v>
      </c>
      <c r="D6541" s="155">
        <v>3</v>
      </c>
      <c r="E6541" s="155">
        <v>0</v>
      </c>
      <c r="F6541" s="155">
        <v>3</v>
      </c>
      <c r="G6541" s="155">
        <v>3</v>
      </c>
      <c r="H6541" s="155">
        <v>3</v>
      </c>
      <c r="I6541" s="155">
        <v>3</v>
      </c>
      <c r="J6541" s="710">
        <f>(VLOOKUP($C6541,[2]Sheet1!$A$2:$P$18,$M6541+1)/12)*12*D6541</f>
        <v>923120.1072000002</v>
      </c>
      <c r="K6541" s="711"/>
      <c r="M6541" s="62">
        <f>IF(C6541&gt;6,3,5)</f>
        <v>3</v>
      </c>
    </row>
    <row r="6542" spans="1:13">
      <c r="A6542" s="88">
        <f t="shared" si="524"/>
        <v>116</v>
      </c>
      <c r="B6542" s="69" t="s">
        <v>6</v>
      </c>
      <c r="C6542" s="167">
        <v>6</v>
      </c>
      <c r="D6542" s="155">
        <v>1</v>
      </c>
      <c r="E6542" s="155">
        <v>0</v>
      </c>
      <c r="F6542" s="155">
        <v>1</v>
      </c>
      <c r="G6542" s="155">
        <v>1</v>
      </c>
      <c r="H6542" s="155">
        <v>1</v>
      </c>
      <c r="I6542" s="155">
        <v>1</v>
      </c>
      <c r="J6542" s="710">
        <f>(VLOOKUP($C6542,[2]Sheet1!$A$2:$P$18,$M6542+1)/12)*12*D6542</f>
        <v>238099.37893036497</v>
      </c>
      <c r="K6542" s="711"/>
      <c r="M6542" s="62">
        <f>IF(C6542&gt;6,3,5)</f>
        <v>5</v>
      </c>
    </row>
    <row r="6543" spans="1:13">
      <c r="A6543" s="88">
        <f t="shared" si="524"/>
        <v>117</v>
      </c>
      <c r="B6543" s="69" t="s">
        <v>7</v>
      </c>
      <c r="C6543" s="167">
        <v>3</v>
      </c>
      <c r="D6543" s="155">
        <v>2</v>
      </c>
      <c r="E6543" s="155">
        <v>0</v>
      </c>
      <c r="F6543" s="155">
        <v>2</v>
      </c>
      <c r="G6543" s="155">
        <v>2</v>
      </c>
      <c r="H6543" s="155">
        <v>2</v>
      </c>
      <c r="I6543" s="155">
        <v>2</v>
      </c>
      <c r="J6543" s="710">
        <f>(VLOOKUP($C6543,[2]Sheet1!$A$2:$P$18,$M6543+1)/12)*12*D6543</f>
        <v>438672.35786072997</v>
      </c>
      <c r="K6543" s="711"/>
      <c r="M6543" s="62">
        <f>IF(C6543&gt;6,3,5)</f>
        <v>5</v>
      </c>
    </row>
    <row r="6544" spans="1:13">
      <c r="A6544" s="88">
        <f t="shared" si="524"/>
        <v>118</v>
      </c>
      <c r="B6544" s="69" t="s">
        <v>2930</v>
      </c>
      <c r="C6544" s="167">
        <v>2</v>
      </c>
      <c r="D6544" s="155">
        <v>3</v>
      </c>
      <c r="E6544" s="155">
        <v>0</v>
      </c>
      <c r="F6544" s="155">
        <v>3</v>
      </c>
      <c r="G6544" s="155">
        <v>3</v>
      </c>
      <c r="H6544" s="155">
        <v>3</v>
      </c>
      <c r="I6544" s="155">
        <v>3</v>
      </c>
      <c r="J6544" s="710">
        <f>(VLOOKUP($C6544,[2]Sheet1!$A$2:$P$18,$M6544+1)/12)*12*D6544</f>
        <v>643972.13679109514</v>
      </c>
      <c r="K6544" s="711"/>
      <c r="M6544" s="62">
        <f>IF(C6544&gt;6,3,5)</f>
        <v>5</v>
      </c>
    </row>
    <row r="6545" spans="1:13">
      <c r="A6545" s="88"/>
      <c r="B6545" s="90" t="s">
        <v>3987</v>
      </c>
      <c r="C6545" s="167"/>
      <c r="D6545" s="155"/>
      <c r="E6545" s="155"/>
      <c r="F6545" s="155"/>
      <c r="G6545" s="155"/>
      <c r="H6545" s="155"/>
      <c r="I6545" s="155"/>
      <c r="J6545" s="710"/>
      <c r="K6545" s="711"/>
      <c r="M6545" s="62">
        <f t="shared" si="525"/>
        <v>5</v>
      </c>
    </row>
    <row r="6546" spans="1:13">
      <c r="A6546" s="88">
        <f>+A6539+1</f>
        <v>114</v>
      </c>
      <c r="B6546" s="69" t="s">
        <v>2654</v>
      </c>
      <c r="C6546" s="167">
        <v>14</v>
      </c>
      <c r="D6546" s="155">
        <v>2</v>
      </c>
      <c r="E6546" s="155">
        <v>2</v>
      </c>
      <c r="F6546" s="155">
        <v>2</v>
      </c>
      <c r="G6546" s="155">
        <v>2</v>
      </c>
      <c r="H6546" s="155">
        <v>2</v>
      </c>
      <c r="I6546" s="155">
        <v>2</v>
      </c>
      <c r="J6546" s="710">
        <f>(VLOOKUP($C6546,[2]Sheet1!$A$2:$P$18,$M6546+1)/12)*12*D6546</f>
        <v>1338198.81648</v>
      </c>
      <c r="K6546" s="711"/>
      <c r="M6546" s="62">
        <f t="shared" si="525"/>
        <v>3</v>
      </c>
    </row>
    <row r="6547" spans="1:13">
      <c r="A6547" s="88">
        <f t="shared" ref="A6547:A6553" si="526">+A6546+1</f>
        <v>115</v>
      </c>
      <c r="B6547" s="69" t="s">
        <v>2655</v>
      </c>
      <c r="C6547" s="167">
        <v>13</v>
      </c>
      <c r="D6547" s="155">
        <v>1</v>
      </c>
      <c r="E6547" s="155">
        <v>2</v>
      </c>
      <c r="F6547" s="155">
        <v>1</v>
      </c>
      <c r="G6547" s="155">
        <v>1</v>
      </c>
      <c r="H6547" s="155">
        <v>1</v>
      </c>
      <c r="I6547" s="155">
        <v>1</v>
      </c>
      <c r="J6547" s="710">
        <f>(VLOOKUP($C6547,[2]Sheet1!$A$2:$P$18,$M6547+1)/12)*12*D6547</f>
        <v>628759.53804000001</v>
      </c>
      <c r="K6547" s="711"/>
      <c r="M6547" s="62">
        <f t="shared" si="525"/>
        <v>3</v>
      </c>
    </row>
    <row r="6548" spans="1:13">
      <c r="A6548" s="88">
        <f t="shared" si="526"/>
        <v>116</v>
      </c>
      <c r="B6548" s="69" t="s">
        <v>2656</v>
      </c>
      <c r="C6548" s="167">
        <v>12</v>
      </c>
      <c r="D6548" s="155">
        <v>2</v>
      </c>
      <c r="E6548" s="155">
        <v>1</v>
      </c>
      <c r="F6548" s="155">
        <v>2</v>
      </c>
      <c r="G6548" s="155">
        <v>2</v>
      </c>
      <c r="H6548" s="155">
        <v>2</v>
      </c>
      <c r="I6548" s="155">
        <v>2</v>
      </c>
      <c r="J6548" s="710">
        <f>(VLOOKUP($C6548,[2]Sheet1!$A$2:$P$18,$M6548+1)/12)*12*D6548</f>
        <v>1105370.1074400004</v>
      </c>
      <c r="K6548" s="711"/>
      <c r="M6548" s="62">
        <f t="shared" si="525"/>
        <v>3</v>
      </c>
    </row>
    <row r="6549" spans="1:13">
      <c r="A6549" s="88">
        <f t="shared" si="526"/>
        <v>117</v>
      </c>
      <c r="B6549" s="69" t="s">
        <v>3441</v>
      </c>
      <c r="C6549" s="167">
        <v>10</v>
      </c>
      <c r="D6549" s="155">
        <v>2</v>
      </c>
      <c r="E6549" s="155">
        <v>3</v>
      </c>
      <c r="F6549" s="155">
        <v>2</v>
      </c>
      <c r="G6549" s="155">
        <v>2</v>
      </c>
      <c r="H6549" s="155">
        <v>2</v>
      </c>
      <c r="I6549" s="155">
        <v>2</v>
      </c>
      <c r="J6549" s="710">
        <f>(VLOOKUP($C6549,[2]Sheet1!$A$2:$P$18,$M6549+1)/12)*12*D6549</f>
        <v>967949.1374400002</v>
      </c>
      <c r="K6549" s="711"/>
      <c r="M6549" s="62">
        <f t="shared" si="525"/>
        <v>3</v>
      </c>
    </row>
    <row r="6550" spans="1:13">
      <c r="A6550" s="88">
        <f t="shared" si="526"/>
        <v>118</v>
      </c>
      <c r="B6550" s="69" t="s">
        <v>3442</v>
      </c>
      <c r="C6550" s="167">
        <v>9</v>
      </c>
      <c r="D6550" s="155">
        <v>2</v>
      </c>
      <c r="E6550" s="155">
        <v>3</v>
      </c>
      <c r="F6550" s="155">
        <v>2</v>
      </c>
      <c r="G6550" s="155">
        <v>2</v>
      </c>
      <c r="H6550" s="155">
        <v>2</v>
      </c>
      <c r="I6550" s="155">
        <v>2</v>
      </c>
      <c r="J6550" s="710">
        <f>(VLOOKUP($C6550,[2]Sheet1!$A$2:$P$18,$M6550+1)/12)*12*D6550</f>
        <v>819363.81239999994</v>
      </c>
      <c r="K6550" s="711"/>
      <c r="M6550" s="62">
        <f t="shared" si="525"/>
        <v>3</v>
      </c>
    </row>
    <row r="6551" spans="1:13">
      <c r="A6551" s="88">
        <f t="shared" si="526"/>
        <v>119</v>
      </c>
      <c r="B6551" s="69" t="s">
        <v>3443</v>
      </c>
      <c r="C6551" s="167">
        <v>8</v>
      </c>
      <c r="D6551" s="155">
        <v>1</v>
      </c>
      <c r="E6551" s="155">
        <v>5</v>
      </c>
      <c r="F6551" s="155">
        <v>1</v>
      </c>
      <c r="G6551" s="155">
        <v>1</v>
      </c>
      <c r="H6551" s="155">
        <v>1</v>
      </c>
      <c r="I6551" s="155">
        <v>1</v>
      </c>
      <c r="J6551" s="710">
        <f>(VLOOKUP($C6551,[2]Sheet1!$A$2:$P$18,$M6551+1)/12)*12*D6551</f>
        <v>342141.27408</v>
      </c>
      <c r="K6551" s="711"/>
      <c r="M6551" s="62">
        <f t="shared" si="525"/>
        <v>3</v>
      </c>
    </row>
    <row r="6552" spans="1:13">
      <c r="A6552" s="88">
        <f t="shared" si="526"/>
        <v>120</v>
      </c>
      <c r="B6552" s="69" t="s">
        <v>3444</v>
      </c>
      <c r="C6552" s="167">
        <v>7</v>
      </c>
      <c r="D6552" s="155">
        <v>4</v>
      </c>
      <c r="E6552" s="155">
        <v>4</v>
      </c>
      <c r="F6552" s="155">
        <v>4</v>
      </c>
      <c r="G6552" s="155">
        <v>4</v>
      </c>
      <c r="H6552" s="155">
        <v>4</v>
      </c>
      <c r="I6552" s="155">
        <v>4</v>
      </c>
      <c r="J6552" s="710">
        <f>(VLOOKUP($C6552,[2]Sheet1!$A$2:$P$18,$M6552+1)/12)*12*D6552</f>
        <v>1230826.8096000003</v>
      </c>
      <c r="K6552" s="711"/>
      <c r="M6552" s="62">
        <f t="shared" si="525"/>
        <v>3</v>
      </c>
    </row>
    <row r="6553" spans="1:13">
      <c r="A6553" s="88">
        <f t="shared" si="526"/>
        <v>121</v>
      </c>
      <c r="B6553" s="69" t="s">
        <v>3445</v>
      </c>
      <c r="C6553" s="167">
        <v>6</v>
      </c>
      <c r="D6553" s="155">
        <v>10</v>
      </c>
      <c r="E6553" s="155">
        <v>10</v>
      </c>
      <c r="F6553" s="155">
        <v>10</v>
      </c>
      <c r="G6553" s="155">
        <v>10</v>
      </c>
      <c r="H6553" s="155">
        <v>10</v>
      </c>
      <c r="I6553" s="155">
        <v>10</v>
      </c>
      <c r="J6553" s="710">
        <f>(VLOOKUP($C6553,[2]Sheet1!$A$2:$P$18,$M6553+1)/12)*12*D6553</f>
        <v>2380993.7893036497</v>
      </c>
      <c r="K6553" s="711"/>
      <c r="M6553" s="62">
        <f t="shared" si="525"/>
        <v>5</v>
      </c>
    </row>
    <row r="6554" spans="1:13">
      <c r="A6554" s="92"/>
      <c r="B6554" s="93" t="s">
        <v>1684</v>
      </c>
      <c r="C6554" s="168"/>
      <c r="D6554" s="169">
        <f t="shared" ref="D6554:J6554" si="527">SUM(D6384:D6553)</f>
        <v>244</v>
      </c>
      <c r="E6554" s="169">
        <f t="shared" si="527"/>
        <v>336</v>
      </c>
      <c r="F6554" s="169">
        <f t="shared" si="527"/>
        <v>244</v>
      </c>
      <c r="G6554" s="169">
        <f>SUM(G6384:G6553)</f>
        <v>244</v>
      </c>
      <c r="H6554" s="169">
        <f t="shared" si="527"/>
        <v>217</v>
      </c>
      <c r="I6554" s="169">
        <f t="shared" si="527"/>
        <v>244</v>
      </c>
      <c r="J6554" s="169">
        <f t="shared" si="527"/>
        <v>108464639.37604858</v>
      </c>
      <c r="K6554" s="385"/>
      <c r="M6554" s="62">
        <f t="shared" si="525"/>
        <v>5</v>
      </c>
    </row>
    <row r="6555" spans="1:13">
      <c r="A6555" s="170"/>
      <c r="B6555" s="97" t="s">
        <v>1199</v>
      </c>
      <c r="C6555" s="167"/>
      <c r="D6555" s="155"/>
      <c r="E6555" s="155"/>
      <c r="F6555" s="99"/>
      <c r="G6555" s="240" t="s">
        <v>243</v>
      </c>
      <c r="H6555" s="240" t="s">
        <v>4130</v>
      </c>
      <c r="I6555" s="240" t="s">
        <v>4202</v>
      </c>
      <c r="J6555" s="241" t="s">
        <v>4200</v>
      </c>
      <c r="K6555" s="375"/>
      <c r="M6555" s="62">
        <f t="shared" si="525"/>
        <v>5</v>
      </c>
    </row>
    <row r="6556" spans="1:13">
      <c r="A6556" s="88">
        <v>1</v>
      </c>
      <c r="B6556" s="69" t="s">
        <v>763</v>
      </c>
      <c r="C6556" s="167"/>
      <c r="D6556" s="155"/>
      <c r="E6556" s="155"/>
      <c r="F6556" s="89"/>
      <c r="G6556" s="100">
        <f>J6554*0.2</f>
        <v>21692927.875209719</v>
      </c>
      <c r="H6556" s="100">
        <f>G6556*1.02</f>
        <v>22126786.432713915</v>
      </c>
      <c r="I6556" s="100">
        <f>H6556*1.02</f>
        <v>22569322.161368195</v>
      </c>
      <c r="J6556" s="100">
        <f>SUM(G6556:I6556)</f>
        <v>66389036.469291821</v>
      </c>
      <c r="K6556" s="114"/>
      <c r="M6556" s="62">
        <f t="shared" si="525"/>
        <v>5</v>
      </c>
    </row>
    <row r="6557" spans="1:13">
      <c r="A6557" s="92"/>
      <c r="B6557" s="93" t="s">
        <v>2531</v>
      </c>
      <c r="C6557" s="168"/>
      <c r="D6557" s="171"/>
      <c r="E6557" s="171"/>
      <c r="F6557" s="169"/>
      <c r="G6557" s="169">
        <f>SUM(G6556:G6556)</f>
        <v>21692927.875209719</v>
      </c>
      <c r="H6557" s="169">
        <f>SUM(H6556:H6556)</f>
        <v>22126786.432713915</v>
      </c>
      <c r="I6557" s="169">
        <f>SUM(I6556:I6556)</f>
        <v>22569322.161368195</v>
      </c>
      <c r="J6557" s="169">
        <f>SUM(J6556:J6556)</f>
        <v>66389036.469291821</v>
      </c>
      <c r="K6557" s="385"/>
      <c r="M6557" s="62">
        <f t="shared" si="525"/>
        <v>5</v>
      </c>
    </row>
    <row r="6558" spans="1:13">
      <c r="A6558" s="88"/>
      <c r="B6558" s="69" t="s">
        <v>926</v>
      </c>
      <c r="C6558" s="167"/>
      <c r="D6558" s="155"/>
      <c r="E6558" s="155"/>
      <c r="F6558" s="155"/>
      <c r="G6558" s="100">
        <f>G6557+J6554</f>
        <v>130157567.2512583</v>
      </c>
      <c r="H6558" s="100">
        <f>G6558*1.02</f>
        <v>132760718.59628347</v>
      </c>
      <c r="I6558" s="100">
        <f>H6558*1.02</f>
        <v>135415932.96820915</v>
      </c>
      <c r="J6558" s="100">
        <f>SUM(G6558:I6558)</f>
        <v>398334218.8157509</v>
      </c>
      <c r="K6558" s="114"/>
      <c r="L6558" s="112"/>
      <c r="M6558" s="62">
        <f t="shared" si="525"/>
        <v>5</v>
      </c>
    </row>
    <row r="6559" spans="1:13">
      <c r="A6559" s="88"/>
      <c r="B6559" s="69" t="s">
        <v>2121</v>
      </c>
      <c r="C6559" s="167"/>
      <c r="D6559" s="155"/>
      <c r="E6559" s="155"/>
      <c r="F6559" s="155"/>
      <c r="G6559" s="155">
        <f>C6589</f>
        <v>13000000</v>
      </c>
      <c r="H6559" s="155">
        <f>D6589</f>
        <v>39800000</v>
      </c>
      <c r="I6559" s="155">
        <f>E6589</f>
        <v>39800000</v>
      </c>
      <c r="J6559" s="100">
        <f>SUM(G6559:I6559)</f>
        <v>92600000</v>
      </c>
      <c r="K6559" s="114"/>
      <c r="M6559" s="62">
        <f t="shared" si="525"/>
        <v>5</v>
      </c>
    </row>
    <row r="6560" spans="1:13" ht="13.5" thickBot="1">
      <c r="A6560" s="102"/>
      <c r="B6560" s="103" t="s">
        <v>2241</v>
      </c>
      <c r="C6560" s="172"/>
      <c r="D6560" s="173"/>
      <c r="E6560" s="173"/>
      <c r="F6560" s="174"/>
      <c r="G6560" s="174">
        <f>SUM(G6558:G6559)</f>
        <v>143157567.25125831</v>
      </c>
      <c r="H6560" s="174">
        <f>SUM(H6558:H6559)</f>
        <v>172560718.59628347</v>
      </c>
      <c r="I6560" s="174">
        <f>SUM(I6558:I6559)</f>
        <v>175215932.96820915</v>
      </c>
      <c r="J6560" s="174">
        <f>SUM(J6558:J6559)</f>
        <v>490934218.8157509</v>
      </c>
      <c r="K6560" s="385"/>
      <c r="M6560" s="62">
        <f t="shared" si="525"/>
        <v>5</v>
      </c>
    </row>
    <row r="6561" spans="1:13" ht="15.75" thickTop="1">
      <c r="C6561" s="175"/>
      <c r="D6561" s="165"/>
      <c r="E6561" s="165"/>
      <c r="F6561" s="165"/>
      <c r="G6561" s="165"/>
      <c r="H6561" s="165"/>
      <c r="I6561" s="165"/>
      <c r="J6561" s="584"/>
      <c r="K6561" s="584"/>
    </row>
    <row r="6562" spans="1:13" ht="15">
      <c r="C6562" s="175"/>
      <c r="D6562" s="164" t="s">
        <v>5434</v>
      </c>
      <c r="E6562" s="165"/>
      <c r="F6562" s="165"/>
      <c r="G6562" s="165"/>
      <c r="H6562" s="165"/>
      <c r="I6562" s="165"/>
      <c r="J6562" s="584"/>
      <c r="K6562" s="584"/>
      <c r="M6562" s="62">
        <f>IF(C6562&gt;6,3,5)</f>
        <v>5</v>
      </c>
    </row>
    <row r="6563" spans="1:13" ht="15">
      <c r="C6563" s="163"/>
      <c r="D6563" s="164" t="s">
        <v>716</v>
      </c>
      <c r="E6563" s="165"/>
      <c r="F6563" s="165"/>
      <c r="G6563" s="165"/>
      <c r="H6563" s="165"/>
      <c r="I6563" s="165"/>
      <c r="J6563" s="584"/>
      <c r="K6563" s="584"/>
      <c r="M6563" s="62">
        <f>IF(C6563&gt;6,3,5)</f>
        <v>5</v>
      </c>
    </row>
    <row r="6564" spans="1:13" ht="15">
      <c r="C6564" s="79" t="s">
        <v>1811</v>
      </c>
      <c r="D6564" s="164" t="s">
        <v>74</v>
      </c>
      <c r="E6564" s="165"/>
      <c r="F6564" s="165"/>
      <c r="G6564" s="165"/>
      <c r="H6564" s="165"/>
      <c r="I6564" s="165"/>
      <c r="J6564" s="584"/>
      <c r="K6564" s="584"/>
      <c r="M6564" s="62">
        <f>IF(C6564&gt;6,3,5)</f>
        <v>3</v>
      </c>
    </row>
    <row r="6565" spans="1:13" ht="15">
      <c r="C6565" s="79" t="s">
        <v>3073</v>
      </c>
      <c r="D6565" s="164" t="s">
        <v>164</v>
      </c>
      <c r="E6565" s="165"/>
      <c r="F6565" s="165"/>
      <c r="G6565" s="165"/>
      <c r="H6565" s="165"/>
      <c r="I6565" s="165"/>
      <c r="J6565" s="584"/>
      <c r="K6565" s="584"/>
      <c r="M6565" s="62">
        <f>IF(C6565&gt;6,3,5)</f>
        <v>3</v>
      </c>
    </row>
    <row r="6566" spans="1:13" ht="15">
      <c r="A6566" s="634" t="s">
        <v>1839</v>
      </c>
      <c r="B6566" s="635" t="s">
        <v>903</v>
      </c>
      <c r="C6566" s="1037" t="s">
        <v>4127</v>
      </c>
      <c r="D6566" s="1038"/>
      <c r="E6566" s="1039"/>
      <c r="F6566" s="635" t="s">
        <v>1684</v>
      </c>
      <c r="G6566" s="1037" t="s">
        <v>4132</v>
      </c>
      <c r="H6566" s="1038"/>
      <c r="I6566" s="1039"/>
      <c r="J6566" s="726"/>
      <c r="K6566" s="727"/>
    </row>
    <row r="6567" spans="1:13">
      <c r="A6567" s="636" t="s">
        <v>1620</v>
      </c>
      <c r="B6567" s="637"/>
      <c r="C6567" s="635" t="s">
        <v>1841</v>
      </c>
      <c r="D6567" s="635" t="s">
        <v>4133</v>
      </c>
      <c r="E6567" s="635" t="s">
        <v>4133</v>
      </c>
      <c r="F6567" s="1056" t="s">
        <v>4200</v>
      </c>
      <c r="G6567" s="634" t="s">
        <v>4135</v>
      </c>
      <c r="H6567" s="1051" t="s">
        <v>4182</v>
      </c>
      <c r="I6567" s="634" t="s">
        <v>4135</v>
      </c>
      <c r="J6567" s="728" t="s">
        <v>4136</v>
      </c>
      <c r="K6567" s="727"/>
    </row>
    <row r="6568" spans="1:13" ht="12.75" customHeight="1">
      <c r="A6568" s="638" t="s">
        <v>387</v>
      </c>
      <c r="B6568" s="639"/>
      <c r="C6568" s="638">
        <v>2015</v>
      </c>
      <c r="D6568" s="638">
        <v>2016</v>
      </c>
      <c r="E6568" s="638">
        <v>2017</v>
      </c>
      <c r="F6568" s="1057"/>
      <c r="G6568" s="638" t="s">
        <v>4304</v>
      </c>
      <c r="H6568" s="1052"/>
      <c r="I6568" s="638" t="s">
        <v>4303</v>
      </c>
      <c r="J6568" s="639"/>
      <c r="K6568" s="729"/>
    </row>
    <row r="6569" spans="1:13">
      <c r="A6569" s="768"/>
      <c r="B6569" s="768"/>
      <c r="C6569" s="838"/>
      <c r="D6569" s="838"/>
      <c r="E6569" s="838"/>
      <c r="F6569" s="838"/>
      <c r="G6569" s="838"/>
      <c r="H6569" s="838"/>
      <c r="I6569" s="838"/>
      <c r="J6569" s="838"/>
      <c r="K6569" s="839"/>
      <c r="M6569" s="62" t="e">
        <f>IF(#REF!&gt;6,3,5)</f>
        <v>#REF!</v>
      </c>
    </row>
    <row r="6570" spans="1:13">
      <c r="A6570" s="768">
        <v>2</v>
      </c>
      <c r="B6570" s="768" t="s">
        <v>768</v>
      </c>
      <c r="C6570" s="390">
        <v>3000000</v>
      </c>
      <c r="D6570" s="390">
        <v>6000000</v>
      </c>
      <c r="E6570" s="390">
        <v>6000000</v>
      </c>
      <c r="F6570" s="390">
        <f>SUM(C6570:E6570)</f>
        <v>15000000</v>
      </c>
      <c r="G6570" s="390">
        <v>1805000</v>
      </c>
      <c r="H6570" s="390">
        <v>2500000</v>
      </c>
      <c r="I6570" s="390">
        <f>7000000</f>
        <v>7000000</v>
      </c>
      <c r="J6570" s="390"/>
      <c r="K6570" s="734"/>
      <c r="M6570" s="62" t="e">
        <f>IF(#REF!&gt;6,3,5)</f>
        <v>#REF!</v>
      </c>
    </row>
    <row r="6571" spans="1:13">
      <c r="A6571" s="768">
        <f t="shared" ref="A6571:A6586" si="528">+A6570+1</f>
        <v>3</v>
      </c>
      <c r="B6571" s="768" t="s">
        <v>1696</v>
      </c>
      <c r="C6571" s="390" t="s">
        <v>1386</v>
      </c>
      <c r="D6571" s="390" t="s">
        <v>1386</v>
      </c>
      <c r="E6571" s="390" t="s">
        <v>1386</v>
      </c>
      <c r="F6571" s="390">
        <f t="shared" ref="F6571:F6586" si="529">SUM(C6571:E6571)</f>
        <v>0</v>
      </c>
      <c r="G6571" s="390"/>
      <c r="H6571" s="390" t="s">
        <v>1386</v>
      </c>
      <c r="I6571" s="390"/>
      <c r="J6571" s="390"/>
      <c r="K6571" s="734"/>
      <c r="M6571" s="62" t="e">
        <f>IF(#REF!&gt;6,3,5)</f>
        <v>#REF!</v>
      </c>
    </row>
    <row r="6572" spans="1:13">
      <c r="A6572" s="768">
        <f t="shared" si="528"/>
        <v>4</v>
      </c>
      <c r="B6572" s="768" t="s">
        <v>1701</v>
      </c>
      <c r="C6572" s="390" t="s">
        <v>1386</v>
      </c>
      <c r="D6572" s="390" t="s">
        <v>1386</v>
      </c>
      <c r="E6572" s="390" t="s">
        <v>1386</v>
      </c>
      <c r="F6572" s="390">
        <f t="shared" si="529"/>
        <v>0</v>
      </c>
      <c r="G6572" s="390"/>
      <c r="H6572" s="390" t="s">
        <v>1386</v>
      </c>
      <c r="I6572" s="390"/>
      <c r="J6572" s="390"/>
      <c r="K6572" s="734"/>
      <c r="M6572" s="62" t="e">
        <f>IF(#REF!&gt;6,3,5)</f>
        <v>#REF!</v>
      </c>
    </row>
    <row r="6573" spans="1:13">
      <c r="A6573" s="768">
        <f t="shared" si="528"/>
        <v>5</v>
      </c>
      <c r="B6573" s="768" t="s">
        <v>769</v>
      </c>
      <c r="C6573" s="390">
        <v>1000000</v>
      </c>
      <c r="D6573" s="390">
        <v>3000000</v>
      </c>
      <c r="E6573" s="390">
        <v>3000000</v>
      </c>
      <c r="F6573" s="390">
        <f t="shared" si="529"/>
        <v>7000000</v>
      </c>
      <c r="G6573" s="390">
        <v>540000</v>
      </c>
      <c r="H6573" s="390">
        <v>1000000</v>
      </c>
      <c r="I6573" s="390">
        <v>92200</v>
      </c>
      <c r="J6573" s="390"/>
      <c r="K6573" s="734"/>
      <c r="M6573" s="62" t="e">
        <f>IF(#REF!&gt;6,3,5)</f>
        <v>#REF!</v>
      </c>
    </row>
    <row r="6574" spans="1:13">
      <c r="A6574" s="768">
        <f t="shared" si="528"/>
        <v>6</v>
      </c>
      <c r="B6574" s="768" t="s">
        <v>722</v>
      </c>
      <c r="C6574" s="390">
        <v>1000000</v>
      </c>
      <c r="D6574" s="390">
        <v>3000000</v>
      </c>
      <c r="E6574" s="390">
        <v>3000000</v>
      </c>
      <c r="F6574" s="390">
        <f t="shared" si="529"/>
        <v>7000000</v>
      </c>
      <c r="G6574" s="390">
        <v>1449000</v>
      </c>
      <c r="H6574" s="390">
        <v>1000000</v>
      </c>
      <c r="I6574" s="390">
        <v>1039300</v>
      </c>
      <c r="J6574" s="390"/>
      <c r="K6574" s="734"/>
      <c r="M6574" s="62" t="e">
        <f>IF(#REF!&gt;6,3,5)</f>
        <v>#REF!</v>
      </c>
    </row>
    <row r="6575" spans="1:13" ht="25.5">
      <c r="A6575" s="768">
        <f t="shared" si="528"/>
        <v>7</v>
      </c>
      <c r="B6575" s="773" t="s">
        <v>1073</v>
      </c>
      <c r="C6575" s="390">
        <v>1500000</v>
      </c>
      <c r="D6575" s="390">
        <v>3500000</v>
      </c>
      <c r="E6575" s="390">
        <v>3500000</v>
      </c>
      <c r="F6575" s="390">
        <f t="shared" si="529"/>
        <v>8500000</v>
      </c>
      <c r="G6575" s="390">
        <v>1309000</v>
      </c>
      <c r="H6575" s="390">
        <v>1500000</v>
      </c>
      <c r="I6575" s="390">
        <v>673268</v>
      </c>
      <c r="J6575" s="390"/>
      <c r="K6575" s="734"/>
      <c r="M6575" s="62" t="e">
        <f>IF(#REF!&gt;6,3,5)</f>
        <v>#REF!</v>
      </c>
    </row>
    <row r="6576" spans="1:13">
      <c r="A6576" s="768">
        <f t="shared" si="528"/>
        <v>8</v>
      </c>
      <c r="B6576" s="768" t="s">
        <v>165</v>
      </c>
      <c r="C6576" s="390" t="s">
        <v>1386</v>
      </c>
      <c r="D6576" s="390" t="s">
        <v>1386</v>
      </c>
      <c r="E6576" s="390" t="s">
        <v>1386</v>
      </c>
      <c r="F6576" s="390">
        <f t="shared" si="529"/>
        <v>0</v>
      </c>
      <c r="G6576" s="390"/>
      <c r="H6576" s="390" t="s">
        <v>1386</v>
      </c>
      <c r="I6576" s="390"/>
      <c r="J6576" s="390"/>
      <c r="K6576" s="734"/>
      <c r="M6576" s="62" t="e">
        <f>IF(#REF!&gt;6,3,5)</f>
        <v>#REF!</v>
      </c>
    </row>
    <row r="6577" spans="1:13">
      <c r="A6577" s="768">
        <f t="shared" si="528"/>
        <v>9</v>
      </c>
      <c r="B6577" s="768" t="s">
        <v>2061</v>
      </c>
      <c r="C6577" s="390" t="s">
        <v>1386</v>
      </c>
      <c r="D6577" s="390" t="s">
        <v>1386</v>
      </c>
      <c r="E6577" s="390" t="s">
        <v>1386</v>
      </c>
      <c r="F6577" s="390">
        <f t="shared" si="529"/>
        <v>0</v>
      </c>
      <c r="G6577" s="390"/>
      <c r="H6577" s="390" t="s">
        <v>1386</v>
      </c>
      <c r="I6577" s="390"/>
      <c r="J6577" s="390"/>
      <c r="K6577" s="734"/>
      <c r="M6577" s="62" t="e">
        <f>IF(#REF!&gt;6,3,5)</f>
        <v>#REF!</v>
      </c>
    </row>
    <row r="6578" spans="1:13">
      <c r="A6578" s="768">
        <f t="shared" si="528"/>
        <v>10</v>
      </c>
      <c r="B6578" s="768" t="s">
        <v>1716</v>
      </c>
      <c r="C6578" s="390">
        <v>500000</v>
      </c>
      <c r="D6578" s="390">
        <v>6000000</v>
      </c>
      <c r="E6578" s="390">
        <v>6000000</v>
      </c>
      <c r="F6578" s="390">
        <f t="shared" si="529"/>
        <v>12500000</v>
      </c>
      <c r="G6578" s="390">
        <v>65000</v>
      </c>
      <c r="H6578" s="390">
        <v>300000</v>
      </c>
      <c r="I6578" s="390">
        <v>2547000</v>
      </c>
      <c r="J6578" s="390"/>
      <c r="K6578" s="734"/>
      <c r="M6578" s="62" t="e">
        <f>IF(#REF!&gt;6,3,5)</f>
        <v>#REF!</v>
      </c>
    </row>
    <row r="6579" spans="1:13" ht="25.5">
      <c r="A6579" s="768">
        <f t="shared" si="528"/>
        <v>11</v>
      </c>
      <c r="B6579" s="773" t="s">
        <v>764</v>
      </c>
      <c r="C6579" s="390">
        <v>100000</v>
      </c>
      <c r="D6579" s="390">
        <v>300000</v>
      </c>
      <c r="E6579" s="390">
        <v>300000</v>
      </c>
      <c r="F6579" s="390">
        <f t="shared" si="529"/>
        <v>700000</v>
      </c>
      <c r="G6579" s="390">
        <v>1511972</v>
      </c>
      <c r="H6579" s="390">
        <v>100000</v>
      </c>
      <c r="I6579" s="390">
        <v>34200</v>
      </c>
      <c r="J6579" s="390"/>
      <c r="K6579" s="734"/>
      <c r="M6579" s="62" t="e">
        <f>IF(#REF!&gt;6,3,5)</f>
        <v>#REF!</v>
      </c>
    </row>
    <row r="6580" spans="1:13">
      <c r="A6580" s="768">
        <f t="shared" si="528"/>
        <v>12</v>
      </c>
      <c r="B6580" s="768" t="s">
        <v>2688</v>
      </c>
      <c r="C6580" s="390">
        <v>4000000</v>
      </c>
      <c r="D6580" s="390">
        <v>6000000</v>
      </c>
      <c r="E6580" s="390">
        <v>6000000</v>
      </c>
      <c r="F6580" s="390">
        <f t="shared" si="529"/>
        <v>16000000</v>
      </c>
      <c r="G6580" s="390">
        <v>0</v>
      </c>
      <c r="H6580" s="390">
        <v>4000000</v>
      </c>
      <c r="I6580" s="390">
        <v>1575909</v>
      </c>
      <c r="J6580" s="390"/>
      <c r="K6580" s="734"/>
      <c r="M6580" s="62" t="e">
        <f>IF(#REF!&gt;6,3,5)</f>
        <v>#REF!</v>
      </c>
    </row>
    <row r="6581" spans="1:13">
      <c r="A6581" s="768">
        <f t="shared" si="528"/>
        <v>13</v>
      </c>
      <c r="B6581" s="768" t="s">
        <v>2249</v>
      </c>
      <c r="C6581" s="390">
        <v>100000</v>
      </c>
      <c r="D6581" s="390">
        <v>3000000</v>
      </c>
      <c r="E6581" s="390">
        <v>3000000</v>
      </c>
      <c r="F6581" s="390">
        <f t="shared" si="529"/>
        <v>6100000</v>
      </c>
      <c r="G6581" s="390">
        <v>0</v>
      </c>
      <c r="H6581" s="390">
        <v>100000</v>
      </c>
      <c r="I6581" s="390">
        <v>0</v>
      </c>
      <c r="J6581" s="390"/>
      <c r="K6581" s="734"/>
      <c r="M6581" s="62" t="e">
        <f>IF(#REF!&gt;6,3,5)</f>
        <v>#REF!</v>
      </c>
    </row>
    <row r="6582" spans="1:13">
      <c r="A6582" s="768">
        <f t="shared" si="528"/>
        <v>14</v>
      </c>
      <c r="B6582" s="768" t="s">
        <v>1683</v>
      </c>
      <c r="C6582" s="390">
        <v>800000</v>
      </c>
      <c r="D6582" s="390">
        <v>3000000</v>
      </c>
      <c r="E6582" s="390">
        <v>3000000</v>
      </c>
      <c r="F6582" s="390">
        <f t="shared" si="529"/>
        <v>6800000</v>
      </c>
      <c r="G6582" s="390">
        <v>0</v>
      </c>
      <c r="H6582" s="390">
        <v>800000</v>
      </c>
      <c r="I6582" s="390">
        <v>580000</v>
      </c>
      <c r="J6582" s="390"/>
      <c r="K6582" s="734"/>
      <c r="M6582" s="62" t="e">
        <f>IF(#REF!&gt;6,3,5)</f>
        <v>#REF!</v>
      </c>
    </row>
    <row r="6583" spans="1:13">
      <c r="A6583" s="768">
        <f t="shared" si="528"/>
        <v>15</v>
      </c>
      <c r="B6583" s="768" t="s">
        <v>166</v>
      </c>
      <c r="C6583" s="390" t="s">
        <v>1386</v>
      </c>
      <c r="D6583" s="390">
        <v>3000000</v>
      </c>
      <c r="E6583" s="390">
        <v>3000000</v>
      </c>
      <c r="F6583" s="390">
        <f t="shared" si="529"/>
        <v>6000000</v>
      </c>
      <c r="G6583" s="390">
        <v>0</v>
      </c>
      <c r="H6583" s="390" t="s">
        <v>1386</v>
      </c>
      <c r="I6583" s="390">
        <v>0</v>
      </c>
      <c r="J6583" s="390"/>
      <c r="K6583" s="734"/>
      <c r="M6583" s="62" t="e">
        <f>IF(#REF!&gt;6,3,5)</f>
        <v>#REF!</v>
      </c>
    </row>
    <row r="6584" spans="1:13">
      <c r="A6584" s="768">
        <f t="shared" si="528"/>
        <v>16</v>
      </c>
      <c r="B6584" s="768" t="s">
        <v>167</v>
      </c>
      <c r="C6584" s="390" t="s">
        <v>1386</v>
      </c>
      <c r="D6584" s="390" t="s">
        <v>1386</v>
      </c>
      <c r="E6584" s="390" t="s">
        <v>1386</v>
      </c>
      <c r="F6584" s="390">
        <f t="shared" si="529"/>
        <v>0</v>
      </c>
      <c r="G6584" s="390"/>
      <c r="H6584" s="390" t="s">
        <v>1386</v>
      </c>
      <c r="I6584" s="390"/>
      <c r="J6584" s="390"/>
      <c r="K6584" s="734"/>
      <c r="M6584" s="62" t="e">
        <f>IF(#REF!&gt;6,3,5)</f>
        <v>#REF!</v>
      </c>
    </row>
    <row r="6585" spans="1:13">
      <c r="A6585" s="768">
        <f t="shared" si="528"/>
        <v>17</v>
      </c>
      <c r="B6585" s="768" t="s">
        <v>2671</v>
      </c>
      <c r="C6585" s="390" t="s">
        <v>1386</v>
      </c>
      <c r="D6585" s="390" t="s">
        <v>1386</v>
      </c>
      <c r="E6585" s="390" t="s">
        <v>1386</v>
      </c>
      <c r="F6585" s="390">
        <f t="shared" si="529"/>
        <v>0</v>
      </c>
      <c r="G6585" s="390"/>
      <c r="H6585" s="390" t="s">
        <v>1386</v>
      </c>
      <c r="I6585" s="390"/>
      <c r="J6585" s="390"/>
      <c r="K6585" s="734"/>
      <c r="M6585" s="62" t="e">
        <f>IF(#REF!&gt;6,3,5)</f>
        <v>#REF!</v>
      </c>
    </row>
    <row r="6586" spans="1:13">
      <c r="A6586" s="768">
        <f t="shared" si="528"/>
        <v>18</v>
      </c>
      <c r="B6586" s="769" t="s">
        <v>8</v>
      </c>
      <c r="C6586" s="390">
        <v>1000000</v>
      </c>
      <c r="D6586" s="390">
        <v>3000000</v>
      </c>
      <c r="E6586" s="390">
        <v>3000000</v>
      </c>
      <c r="F6586" s="390">
        <f t="shared" si="529"/>
        <v>7000000</v>
      </c>
      <c r="G6586" s="390">
        <v>0</v>
      </c>
      <c r="H6586" s="390">
        <v>2500000</v>
      </c>
      <c r="I6586" s="390">
        <v>1200000</v>
      </c>
      <c r="J6586" s="390"/>
      <c r="K6586" s="734"/>
      <c r="M6586" s="62" t="e">
        <f>IF(#REF!&gt;6,3,5)</f>
        <v>#REF!</v>
      </c>
    </row>
    <row r="6587" spans="1:13">
      <c r="A6587" s="768"/>
      <c r="B6587" s="768"/>
      <c r="C6587" s="390"/>
      <c r="D6587" s="390"/>
      <c r="E6587" s="390"/>
      <c r="F6587" s="390"/>
      <c r="G6587" s="390"/>
      <c r="H6587" s="390"/>
      <c r="I6587" s="390"/>
      <c r="J6587" s="390"/>
      <c r="K6587" s="734"/>
      <c r="M6587" s="62" t="e">
        <f>IF(#REF!&gt;6,3,5)</f>
        <v>#REF!</v>
      </c>
    </row>
    <row r="6588" spans="1:13">
      <c r="A6588" s="768"/>
      <c r="B6588" s="768"/>
      <c r="C6588" s="390"/>
      <c r="D6588" s="390"/>
      <c r="E6588" s="390"/>
      <c r="F6588" s="390"/>
      <c r="G6588" s="390"/>
      <c r="H6588" s="390"/>
      <c r="I6588" s="390"/>
      <c r="J6588" s="390"/>
      <c r="K6588" s="734"/>
      <c r="M6588" s="62" t="e">
        <f>IF(#REF!&gt;6,3,5)</f>
        <v>#REF!</v>
      </c>
    </row>
    <row r="6589" spans="1:13">
      <c r="A6589" s="770"/>
      <c r="B6589" s="770" t="s">
        <v>2241</v>
      </c>
      <c r="C6589" s="739">
        <f t="shared" ref="C6589:I6589" si="530">SUM(C6569:C6588)</f>
        <v>13000000</v>
      </c>
      <c r="D6589" s="739">
        <f t="shared" si="530"/>
        <v>39800000</v>
      </c>
      <c r="E6589" s="739">
        <f t="shared" si="530"/>
        <v>39800000</v>
      </c>
      <c r="F6589" s="739">
        <f t="shared" si="530"/>
        <v>92600000</v>
      </c>
      <c r="G6589" s="739">
        <f>SUM(G6569:G6588)</f>
        <v>6679972</v>
      </c>
      <c r="H6589" s="739">
        <f t="shared" si="530"/>
        <v>13800000</v>
      </c>
      <c r="I6589" s="739">
        <f t="shared" si="530"/>
        <v>14741877</v>
      </c>
      <c r="J6589" s="739"/>
      <c r="K6589" s="740"/>
      <c r="M6589" s="62" t="e">
        <f>IF(#REF!&gt;6,3,5)</f>
        <v>#REF!</v>
      </c>
    </row>
    <row r="6590" spans="1:13">
      <c r="C6590" s="175"/>
      <c r="D6590" s="164" t="s">
        <v>5434</v>
      </c>
      <c r="E6590" s="165"/>
      <c r="F6590" s="165"/>
      <c r="G6590" s="62"/>
      <c r="H6590" s="62"/>
      <c r="I6590" s="62"/>
      <c r="M6590" s="62">
        <f t="shared" ref="M6590:M6603" si="531">IF(C6590&gt;6,3,5)</f>
        <v>5</v>
      </c>
    </row>
    <row r="6591" spans="1:13" ht="15">
      <c r="C6591" s="163"/>
      <c r="D6591" s="164" t="s">
        <v>1693</v>
      </c>
      <c r="E6591" s="165"/>
      <c r="F6591" s="165"/>
      <c r="G6591" s="165"/>
      <c r="H6591" s="165"/>
      <c r="I6591" s="165"/>
      <c r="J6591" s="584"/>
      <c r="K6591" s="584"/>
      <c r="M6591" s="62">
        <f t="shared" si="531"/>
        <v>5</v>
      </c>
    </row>
    <row r="6592" spans="1:13" ht="15">
      <c r="C6592" s="79" t="s">
        <v>1811</v>
      </c>
      <c r="D6592" s="164" t="s">
        <v>3716</v>
      </c>
      <c r="E6592" s="165"/>
      <c r="F6592" s="165"/>
      <c r="G6592" s="165"/>
      <c r="H6592" s="165"/>
      <c r="I6592" s="165"/>
      <c r="J6592" s="584"/>
      <c r="K6592" s="584"/>
      <c r="M6592" s="62">
        <f t="shared" si="531"/>
        <v>3</v>
      </c>
    </row>
    <row r="6593" spans="1:13" ht="15.75" thickBot="1">
      <c r="C6593" s="79" t="s">
        <v>3073</v>
      </c>
      <c r="D6593" s="164" t="s">
        <v>2996</v>
      </c>
      <c r="E6593" s="62"/>
      <c r="F6593" s="165"/>
      <c r="G6593" s="165"/>
      <c r="H6593" s="165"/>
      <c r="I6593" s="165"/>
      <c r="J6593" s="584"/>
      <c r="K6593" s="584"/>
    </row>
    <row r="6594" spans="1:13" ht="15.75" thickTop="1">
      <c r="A6594" s="1047" t="s">
        <v>2791</v>
      </c>
      <c r="B6594" s="1049" t="s">
        <v>4126</v>
      </c>
      <c r="C6594" s="1049" t="s">
        <v>854</v>
      </c>
      <c r="D6594" s="1040" t="s">
        <v>4127</v>
      </c>
      <c r="E6594" s="1041"/>
      <c r="F6594" s="1041"/>
      <c r="G6594" s="1040" t="s">
        <v>904</v>
      </c>
      <c r="H6594" s="1041"/>
      <c r="I6594" s="1042"/>
      <c r="J6594" s="1035" t="s">
        <v>855</v>
      </c>
      <c r="K6594" s="389"/>
    </row>
    <row r="6595" spans="1:13" ht="26.25" thickBot="1">
      <c r="A6595" s="1048"/>
      <c r="B6595" s="1050"/>
      <c r="C6595" s="1050"/>
      <c r="D6595" s="285" t="s">
        <v>5505</v>
      </c>
      <c r="E6595" s="285" t="s">
        <v>4485</v>
      </c>
      <c r="F6595" s="285" t="s">
        <v>4486</v>
      </c>
      <c r="G6595" s="287" t="s">
        <v>4487</v>
      </c>
      <c r="H6595" s="285" t="s">
        <v>4488</v>
      </c>
      <c r="I6595" s="287" t="s">
        <v>4489</v>
      </c>
      <c r="J6595" s="1036"/>
      <c r="K6595" s="712"/>
    </row>
    <row r="6596" spans="1:13" ht="13.5" thickTop="1">
      <c r="A6596" s="88"/>
      <c r="B6596" s="90" t="s">
        <v>800</v>
      </c>
      <c r="C6596" s="167"/>
      <c r="D6596" s="155"/>
      <c r="E6596" s="155"/>
      <c r="F6596" s="155"/>
      <c r="G6596" s="155"/>
      <c r="H6596" s="155"/>
      <c r="I6596" s="155"/>
      <c r="J6596" s="713"/>
      <c r="K6596" s="711"/>
      <c r="M6596" s="62">
        <f t="shared" si="531"/>
        <v>5</v>
      </c>
    </row>
    <row r="6597" spans="1:13">
      <c r="A6597" s="88">
        <v>1</v>
      </c>
      <c r="B6597" s="69" t="s">
        <v>507</v>
      </c>
      <c r="C6597" s="167">
        <v>7</v>
      </c>
      <c r="D6597" s="155">
        <v>2</v>
      </c>
      <c r="E6597" s="155">
        <v>2</v>
      </c>
      <c r="F6597" s="155">
        <v>2</v>
      </c>
      <c r="G6597" s="155"/>
      <c r="H6597" s="155">
        <v>2</v>
      </c>
      <c r="I6597" s="155">
        <v>1</v>
      </c>
      <c r="J6597" s="710">
        <f>(VLOOKUP($C6597,[2]Sheet1!$A$2:$P$18,$M6597+1)/12)*12*D6597</f>
        <v>615413.40480000013</v>
      </c>
      <c r="K6597" s="711"/>
      <c r="M6597" s="62">
        <f t="shared" si="531"/>
        <v>3</v>
      </c>
    </row>
    <row r="6598" spans="1:13">
      <c r="A6598" s="88">
        <f>A6597+1</f>
        <v>2</v>
      </c>
      <c r="B6598" s="69" t="s">
        <v>508</v>
      </c>
      <c r="C6598" s="167">
        <v>6</v>
      </c>
      <c r="D6598" s="155">
        <v>3</v>
      </c>
      <c r="E6598" s="155">
        <v>3</v>
      </c>
      <c r="F6598" s="155">
        <v>3</v>
      </c>
      <c r="G6598" s="155"/>
      <c r="H6598" s="155">
        <v>3</v>
      </c>
      <c r="I6598" s="155">
        <v>3</v>
      </c>
      <c r="J6598" s="710">
        <f>(VLOOKUP($C6598,[2]Sheet1!$A$2:$P$18,$M6598+1)/12)*12*D6598</f>
        <v>714298.1367910949</v>
      </c>
      <c r="K6598" s="711"/>
      <c r="M6598" s="62">
        <f t="shared" si="531"/>
        <v>5</v>
      </c>
    </row>
    <row r="6599" spans="1:13">
      <c r="A6599" s="88">
        <f t="shared" ref="A6599:A6618" si="532">A6598+1</f>
        <v>3</v>
      </c>
      <c r="B6599" s="69" t="s">
        <v>1626</v>
      </c>
      <c r="C6599" s="167">
        <v>7</v>
      </c>
      <c r="D6599" s="155">
        <v>2</v>
      </c>
      <c r="E6599" s="155">
        <v>2</v>
      </c>
      <c r="F6599" s="155">
        <v>2</v>
      </c>
      <c r="G6599" s="155"/>
      <c r="H6599" s="155">
        <v>2</v>
      </c>
      <c r="I6599" s="155">
        <v>0</v>
      </c>
      <c r="J6599" s="710">
        <f>(VLOOKUP($C6599,[2]Sheet1!$A$2:$P$18,$M6599+1)/12)*12*D6599</f>
        <v>615413.40480000013</v>
      </c>
      <c r="K6599" s="711"/>
      <c r="M6599" s="62">
        <f t="shared" si="531"/>
        <v>3</v>
      </c>
    </row>
    <row r="6600" spans="1:13">
      <c r="A6600" s="88">
        <f t="shared" si="532"/>
        <v>4</v>
      </c>
      <c r="B6600" s="69" t="s">
        <v>3896</v>
      </c>
      <c r="C6600" s="167">
        <v>6</v>
      </c>
      <c r="D6600" s="155">
        <v>2</v>
      </c>
      <c r="E6600" s="155">
        <v>2</v>
      </c>
      <c r="F6600" s="155">
        <v>1</v>
      </c>
      <c r="G6600" s="155"/>
      <c r="H6600" s="155">
        <v>1</v>
      </c>
      <c r="I6600" s="155">
        <v>2</v>
      </c>
      <c r="J6600" s="710">
        <f>(VLOOKUP($C6600,[2]Sheet1!$A$2:$P$18,$M6600+1)/12)*12*D6600</f>
        <v>476198.75786072994</v>
      </c>
      <c r="K6600" s="711"/>
      <c r="M6600" s="62">
        <f t="shared" si="531"/>
        <v>5</v>
      </c>
    </row>
    <row r="6601" spans="1:13">
      <c r="A6601" s="88">
        <f t="shared" si="532"/>
        <v>5</v>
      </c>
      <c r="B6601" s="69" t="s">
        <v>3846</v>
      </c>
      <c r="C6601" s="167">
        <v>6</v>
      </c>
      <c r="D6601" s="155">
        <v>2</v>
      </c>
      <c r="E6601" s="155">
        <v>2</v>
      </c>
      <c r="F6601" s="155">
        <v>2</v>
      </c>
      <c r="G6601" s="155"/>
      <c r="H6601" s="155">
        <v>2</v>
      </c>
      <c r="I6601" s="155"/>
      <c r="J6601" s="710">
        <f>(VLOOKUP($C6601,[2]Sheet1!$A$2:$P$18,$M6601+1)/12)*12*D6601</f>
        <v>476198.75786072994</v>
      </c>
      <c r="K6601" s="711"/>
      <c r="M6601" s="62">
        <f t="shared" si="531"/>
        <v>5</v>
      </c>
    </row>
    <row r="6602" spans="1:13">
      <c r="A6602" s="88">
        <f t="shared" si="532"/>
        <v>6</v>
      </c>
      <c r="B6602" s="69" t="s">
        <v>3847</v>
      </c>
      <c r="C6602" s="167">
        <v>5</v>
      </c>
      <c r="D6602" s="155">
        <v>1</v>
      </c>
      <c r="E6602" s="155">
        <v>1</v>
      </c>
      <c r="F6602" s="155">
        <v>1</v>
      </c>
      <c r="G6602" s="155"/>
      <c r="H6602" s="155">
        <v>1</v>
      </c>
      <c r="I6602" s="155">
        <v>2</v>
      </c>
      <c r="J6602" s="710">
        <f>(VLOOKUP($C6602,[2]Sheet1!$A$2:$P$18,$M6602+1)/12)*12*D6602</f>
        <v>229569.77893036499</v>
      </c>
      <c r="K6602" s="711"/>
      <c r="M6602" s="62">
        <f t="shared" si="531"/>
        <v>5</v>
      </c>
    </row>
    <row r="6603" spans="1:13">
      <c r="A6603" s="88">
        <f t="shared" si="532"/>
        <v>7</v>
      </c>
      <c r="B6603" s="69" t="s">
        <v>2336</v>
      </c>
      <c r="C6603" s="167">
        <v>4</v>
      </c>
      <c r="D6603" s="155">
        <v>3</v>
      </c>
      <c r="E6603" s="155">
        <v>3</v>
      </c>
      <c r="F6603" s="155">
        <v>3</v>
      </c>
      <c r="G6603" s="155"/>
      <c r="H6603" s="155">
        <v>3</v>
      </c>
      <c r="I6603" s="155">
        <v>5</v>
      </c>
      <c r="J6603" s="710">
        <f>(VLOOKUP($C6603,[2]Sheet1!$A$2:$P$18,$M6603+1)/12)*12*D6603</f>
        <v>673628.93679109495</v>
      </c>
      <c r="K6603" s="711"/>
      <c r="M6603" s="62">
        <f t="shared" si="531"/>
        <v>5</v>
      </c>
    </row>
    <row r="6604" spans="1:13">
      <c r="A6604" s="88">
        <f t="shared" si="532"/>
        <v>8</v>
      </c>
      <c r="B6604" s="69" t="s">
        <v>1069</v>
      </c>
      <c r="C6604" s="167">
        <v>3</v>
      </c>
      <c r="D6604" s="155">
        <v>4</v>
      </c>
      <c r="E6604" s="155">
        <v>4</v>
      </c>
      <c r="F6604" s="155">
        <v>1</v>
      </c>
      <c r="G6604" s="155"/>
      <c r="H6604" s="155">
        <v>1</v>
      </c>
      <c r="I6604" s="155"/>
      <c r="J6604" s="710">
        <f>(VLOOKUP($C6604,[2]Sheet1!$A$2:$P$18,$M6604+1)/12)*12*D6604</f>
        <v>877344.71572145994</v>
      </c>
      <c r="K6604" s="711"/>
      <c r="M6604" s="62">
        <f t="shared" ref="M6604:M6641" si="533">IF(C6604&gt;6,3,5)</f>
        <v>5</v>
      </c>
    </row>
    <row r="6605" spans="1:13">
      <c r="A6605" s="88">
        <f t="shared" si="532"/>
        <v>9</v>
      </c>
      <c r="B6605" s="69" t="s">
        <v>1749</v>
      </c>
      <c r="C6605" s="167">
        <v>6</v>
      </c>
      <c r="D6605" s="155">
        <v>1</v>
      </c>
      <c r="E6605" s="155">
        <v>1</v>
      </c>
      <c r="F6605" s="155">
        <v>1</v>
      </c>
      <c r="G6605" s="155"/>
      <c r="H6605" s="155">
        <v>1</v>
      </c>
      <c r="I6605" s="155"/>
      <c r="J6605" s="710">
        <f>(VLOOKUP($C6605,[2]Sheet1!$A$2:$P$18,$M6605+1)/12)*12*D6605</f>
        <v>238099.37893036497</v>
      </c>
      <c r="K6605" s="711"/>
      <c r="M6605" s="62">
        <f t="shared" si="533"/>
        <v>5</v>
      </c>
    </row>
    <row r="6606" spans="1:13">
      <c r="A6606" s="88">
        <f t="shared" si="532"/>
        <v>10</v>
      </c>
      <c r="B6606" s="69" t="s">
        <v>3796</v>
      </c>
      <c r="C6606" s="167">
        <v>3</v>
      </c>
      <c r="D6606" s="155">
        <v>3</v>
      </c>
      <c r="E6606" s="155">
        <v>3</v>
      </c>
      <c r="F6606" s="155">
        <v>1</v>
      </c>
      <c r="G6606" s="155"/>
      <c r="H6606" s="155">
        <v>1</v>
      </c>
      <c r="I6606" s="155">
        <v>1</v>
      </c>
      <c r="J6606" s="710">
        <f>(VLOOKUP($C6606,[2]Sheet1!$A$2:$P$18,$M6606+1)/12)*12*D6606</f>
        <v>658008.53679109493</v>
      </c>
      <c r="K6606" s="711"/>
      <c r="M6606" s="62">
        <f t="shared" si="533"/>
        <v>5</v>
      </c>
    </row>
    <row r="6607" spans="1:13">
      <c r="A6607" s="88">
        <f t="shared" si="532"/>
        <v>11</v>
      </c>
      <c r="B6607" s="69" t="s">
        <v>3858</v>
      </c>
      <c r="C6607" s="167">
        <v>2</v>
      </c>
      <c r="D6607" s="155">
        <v>9</v>
      </c>
      <c r="E6607" s="155">
        <v>9</v>
      </c>
      <c r="F6607" s="155">
        <v>5</v>
      </c>
      <c r="G6607" s="155"/>
      <c r="H6607" s="155">
        <v>5</v>
      </c>
      <c r="I6607" s="155">
        <v>7</v>
      </c>
      <c r="J6607" s="710">
        <f>(VLOOKUP($C6607,[2]Sheet1!$A$2:$P$18,$M6607+1)/12)*12*D6607</f>
        <v>1931916.4103732852</v>
      </c>
      <c r="K6607" s="711"/>
      <c r="M6607" s="62">
        <f t="shared" si="533"/>
        <v>5</v>
      </c>
    </row>
    <row r="6608" spans="1:13">
      <c r="A6608" s="88">
        <f t="shared" si="532"/>
        <v>12</v>
      </c>
      <c r="B6608" s="69" t="s">
        <v>2179</v>
      </c>
      <c r="C6608" s="167">
        <v>5</v>
      </c>
      <c r="D6608" s="155">
        <v>2</v>
      </c>
      <c r="E6608" s="155">
        <v>2</v>
      </c>
      <c r="F6608" s="155">
        <v>1</v>
      </c>
      <c r="G6608" s="155"/>
      <c r="H6608" s="155">
        <v>1</v>
      </c>
      <c r="I6608" s="155"/>
      <c r="J6608" s="710">
        <f>(VLOOKUP($C6608,[2]Sheet1!$A$2:$P$18,$M6608+1)/12)*12*D6608</f>
        <v>459139.55786072998</v>
      </c>
      <c r="K6608" s="711"/>
      <c r="M6608" s="62">
        <f t="shared" si="533"/>
        <v>5</v>
      </c>
    </row>
    <row r="6609" spans="1:13">
      <c r="A6609" s="88">
        <f t="shared" si="532"/>
        <v>13</v>
      </c>
      <c r="B6609" s="69" t="s">
        <v>2542</v>
      </c>
      <c r="C6609" s="167">
        <v>4</v>
      </c>
      <c r="D6609" s="155">
        <v>2</v>
      </c>
      <c r="E6609" s="155">
        <v>2</v>
      </c>
      <c r="F6609" s="155">
        <v>2</v>
      </c>
      <c r="G6609" s="155"/>
      <c r="H6609" s="155">
        <v>2</v>
      </c>
      <c r="I6609" s="155">
        <v>12</v>
      </c>
      <c r="J6609" s="710">
        <f>(VLOOKUP($C6609,[2]Sheet1!$A$2:$P$18,$M6609+1)/12)*12*D6609</f>
        <v>449085.95786073001</v>
      </c>
      <c r="K6609" s="711"/>
      <c r="M6609" s="62">
        <f t="shared" si="533"/>
        <v>5</v>
      </c>
    </row>
    <row r="6610" spans="1:13">
      <c r="A6610" s="88">
        <f t="shared" si="532"/>
        <v>14</v>
      </c>
      <c r="B6610" s="69" t="s">
        <v>2543</v>
      </c>
      <c r="C6610" s="167">
        <v>2</v>
      </c>
      <c r="D6610" s="155">
        <v>6</v>
      </c>
      <c r="E6610" s="155">
        <v>6</v>
      </c>
      <c r="F6610" s="155">
        <v>4</v>
      </c>
      <c r="G6610" s="155"/>
      <c r="H6610" s="155">
        <v>4</v>
      </c>
      <c r="I6610" s="155">
        <v>7</v>
      </c>
      <c r="J6610" s="710">
        <f>(VLOOKUP($C6610,[2]Sheet1!$A$2:$P$18,$M6610+1)/12)*12*D6610</f>
        <v>1287944.2735821903</v>
      </c>
      <c r="K6610" s="711"/>
      <c r="M6610" s="62">
        <f t="shared" si="533"/>
        <v>5</v>
      </c>
    </row>
    <row r="6611" spans="1:13">
      <c r="A6611" s="88">
        <f t="shared" si="532"/>
        <v>15</v>
      </c>
      <c r="B6611" s="69" t="s">
        <v>3675</v>
      </c>
      <c r="C6611" s="167">
        <v>3</v>
      </c>
      <c r="D6611" s="155">
        <v>5</v>
      </c>
      <c r="E6611" s="155">
        <v>5</v>
      </c>
      <c r="F6611" s="155">
        <v>2</v>
      </c>
      <c r="G6611" s="155"/>
      <c r="H6611" s="155">
        <v>2</v>
      </c>
      <c r="I6611" s="155">
        <v>1</v>
      </c>
      <c r="J6611" s="710">
        <f>(VLOOKUP($C6611,[2]Sheet1!$A$2:$P$18,$M6611+1)/12)*12*D6611</f>
        <v>1096680.8946518248</v>
      </c>
      <c r="K6611" s="711"/>
      <c r="M6611" s="62">
        <f t="shared" si="533"/>
        <v>5</v>
      </c>
    </row>
    <row r="6612" spans="1:13">
      <c r="A6612" s="88">
        <f t="shared" si="532"/>
        <v>16</v>
      </c>
      <c r="B6612" s="69" t="s">
        <v>4233</v>
      </c>
      <c r="C6612" s="167">
        <v>4</v>
      </c>
      <c r="D6612" s="155">
        <v>5</v>
      </c>
      <c r="E6612" s="155">
        <v>5</v>
      </c>
      <c r="F6612" s="155">
        <v>2</v>
      </c>
      <c r="G6612" s="155"/>
      <c r="H6612" s="155">
        <v>2</v>
      </c>
      <c r="I6612" s="155">
        <v>1</v>
      </c>
      <c r="J6612" s="710">
        <f>(VLOOKUP($C6612,[2]Sheet1!$A$2:$P$18,$M6612+1)/12)*12*D6612</f>
        <v>1122714.8946518251</v>
      </c>
      <c r="K6612" s="711"/>
      <c r="M6612" s="62">
        <f>IF(C6612&gt;6,3,5)</f>
        <v>5</v>
      </c>
    </row>
    <row r="6613" spans="1:13">
      <c r="A6613" s="88">
        <f t="shared" si="532"/>
        <v>17</v>
      </c>
      <c r="B6613" s="69" t="s">
        <v>4233</v>
      </c>
      <c r="C6613" s="167">
        <v>3</v>
      </c>
      <c r="D6613" s="155">
        <v>5</v>
      </c>
      <c r="E6613" s="155">
        <v>5</v>
      </c>
      <c r="F6613" s="155">
        <v>2</v>
      </c>
      <c r="G6613" s="155"/>
      <c r="H6613" s="155">
        <v>2</v>
      </c>
      <c r="I6613" s="155">
        <v>6</v>
      </c>
      <c r="J6613" s="710">
        <f>(VLOOKUP($C6613,[2]Sheet1!$A$2:$P$18,$M6613+1)/12)*12*D6613</f>
        <v>1096680.8946518248</v>
      </c>
      <c r="K6613" s="711"/>
      <c r="M6613" s="62">
        <f>IF(C6613&gt;6,3,5)</f>
        <v>5</v>
      </c>
    </row>
    <row r="6614" spans="1:13">
      <c r="A6614" s="88">
        <f t="shared" si="532"/>
        <v>18</v>
      </c>
      <c r="B6614" s="69" t="s">
        <v>3861</v>
      </c>
      <c r="C6614" s="167">
        <v>2</v>
      </c>
      <c r="D6614" s="155">
        <v>5</v>
      </c>
      <c r="E6614" s="155">
        <v>5</v>
      </c>
      <c r="F6614" s="155">
        <v>2</v>
      </c>
      <c r="G6614" s="155"/>
      <c r="H6614" s="155">
        <v>2</v>
      </c>
      <c r="I6614" s="155">
        <v>9</v>
      </c>
      <c r="J6614" s="710">
        <f>(VLOOKUP($C6614,[2]Sheet1!$A$2:$P$18,$M6614+1)/12)*12*D6614</f>
        <v>1073286.8946518251</v>
      </c>
      <c r="K6614" s="711"/>
      <c r="M6614" s="62">
        <f>IF(C6614&gt;6,3,5)</f>
        <v>5</v>
      </c>
    </row>
    <row r="6615" spans="1:13">
      <c r="A6615" s="88"/>
      <c r="B6615" s="90" t="s">
        <v>2521</v>
      </c>
      <c r="C6615" s="167"/>
      <c r="D6615" s="155"/>
      <c r="E6615" s="155"/>
      <c r="F6615" s="155"/>
      <c r="G6615" s="155"/>
      <c r="H6615" s="155"/>
      <c r="I6615" s="155"/>
      <c r="J6615" s="710"/>
      <c r="K6615" s="711"/>
      <c r="M6615" s="62">
        <f t="shared" si="533"/>
        <v>5</v>
      </c>
    </row>
    <row r="6616" spans="1:13">
      <c r="A6616" s="88">
        <v>16</v>
      </c>
      <c r="B6616" s="69" t="s">
        <v>2492</v>
      </c>
      <c r="C6616" s="167">
        <v>7</v>
      </c>
      <c r="D6616" s="155">
        <v>4</v>
      </c>
      <c r="E6616" s="155">
        <v>4</v>
      </c>
      <c r="F6616" s="155">
        <v>4</v>
      </c>
      <c r="G6616" s="155"/>
      <c r="H6616" s="155">
        <v>4</v>
      </c>
      <c r="I6616" s="155"/>
      <c r="J6616" s="710">
        <f>(VLOOKUP($C6616,[2]Sheet1!$A$2:$P$18,$M6616+1)/12)*12*D6616</f>
        <v>1230826.8096000003</v>
      </c>
      <c r="K6616" s="711"/>
      <c r="M6616" s="62">
        <f t="shared" si="533"/>
        <v>3</v>
      </c>
    </row>
    <row r="6617" spans="1:13">
      <c r="A6617" s="88">
        <f t="shared" si="532"/>
        <v>17</v>
      </c>
      <c r="B6617" s="69" t="s">
        <v>2445</v>
      </c>
      <c r="C6617" s="167">
        <v>6</v>
      </c>
      <c r="D6617" s="155">
        <v>2</v>
      </c>
      <c r="E6617" s="155">
        <v>2</v>
      </c>
      <c r="F6617" s="155">
        <v>2</v>
      </c>
      <c r="G6617" s="155"/>
      <c r="H6617" s="155">
        <v>2</v>
      </c>
      <c r="I6617" s="155">
        <v>2</v>
      </c>
      <c r="J6617" s="710">
        <f>(VLOOKUP($C6617,[2]Sheet1!$A$2:$P$18,$M6617+1)/12)*12*D6617</f>
        <v>476198.75786072994</v>
      </c>
      <c r="K6617" s="711"/>
      <c r="M6617" s="62">
        <f t="shared" si="533"/>
        <v>5</v>
      </c>
    </row>
    <row r="6618" spans="1:13">
      <c r="A6618" s="88">
        <f t="shared" si="532"/>
        <v>18</v>
      </c>
      <c r="B6618" s="69" t="s">
        <v>4234</v>
      </c>
      <c r="C6618" s="167">
        <v>5</v>
      </c>
      <c r="D6618" s="155">
        <v>0</v>
      </c>
      <c r="E6618" s="155">
        <v>0</v>
      </c>
      <c r="F6618" s="155">
        <v>0</v>
      </c>
      <c r="G6618" s="155"/>
      <c r="H6618" s="155">
        <v>0</v>
      </c>
      <c r="I6618" s="155">
        <v>3</v>
      </c>
      <c r="J6618" s="710">
        <f>(VLOOKUP($C6618,[2]Sheet1!$A$2:$P$18,$M6618+1)/12)*12*D6618</f>
        <v>0</v>
      </c>
      <c r="K6618" s="711"/>
      <c r="M6618" s="62">
        <f t="shared" si="533"/>
        <v>5</v>
      </c>
    </row>
    <row r="6619" spans="1:13">
      <c r="A6619" s="88"/>
      <c r="B6619" s="90" t="s">
        <v>3857</v>
      </c>
      <c r="C6619" s="167"/>
      <c r="D6619" s="155"/>
      <c r="E6619" s="155"/>
      <c r="F6619" s="155"/>
      <c r="G6619" s="155"/>
      <c r="H6619" s="155"/>
      <c r="I6619" s="155"/>
      <c r="J6619" s="710"/>
      <c r="K6619" s="711"/>
      <c r="M6619" s="62">
        <f t="shared" si="533"/>
        <v>5</v>
      </c>
    </row>
    <row r="6620" spans="1:13">
      <c r="A6620" s="88">
        <f>+A6618+1</f>
        <v>19</v>
      </c>
      <c r="B6620" s="69" t="s">
        <v>1463</v>
      </c>
      <c r="C6620" s="167">
        <v>6</v>
      </c>
      <c r="D6620" s="155">
        <v>1</v>
      </c>
      <c r="E6620" s="155">
        <v>1</v>
      </c>
      <c r="F6620" s="155">
        <v>1</v>
      </c>
      <c r="G6620" s="155"/>
      <c r="H6620" s="155">
        <v>1</v>
      </c>
      <c r="I6620" s="155"/>
      <c r="J6620" s="710">
        <f>(VLOOKUP($C6620,[2]Sheet1!$A$2:$P$18,$M6620+1)/12)*12*D6620</f>
        <v>238099.37893036497</v>
      </c>
      <c r="K6620" s="711"/>
      <c r="M6620" s="62">
        <f t="shared" si="533"/>
        <v>5</v>
      </c>
    </row>
    <row r="6621" spans="1:13">
      <c r="A6621" s="88">
        <f>+A6620+1</f>
        <v>20</v>
      </c>
      <c r="B6621" s="69" t="s">
        <v>3877</v>
      </c>
      <c r="C6621" s="167">
        <v>5</v>
      </c>
      <c r="D6621" s="155">
        <v>0</v>
      </c>
      <c r="E6621" s="155">
        <v>0</v>
      </c>
      <c r="F6621" s="155">
        <v>0</v>
      </c>
      <c r="G6621" s="155"/>
      <c r="H6621" s="155">
        <v>0</v>
      </c>
      <c r="I6621" s="155"/>
      <c r="J6621" s="710">
        <f>(VLOOKUP($C6621,[2]Sheet1!$A$2:$P$18,$M6621+1)/12)*12*D6621</f>
        <v>0</v>
      </c>
      <c r="K6621" s="711"/>
      <c r="M6621" s="62">
        <f t="shared" si="533"/>
        <v>5</v>
      </c>
    </row>
    <row r="6622" spans="1:13">
      <c r="A6622" s="88"/>
      <c r="B6622" s="90" t="s">
        <v>2161</v>
      </c>
      <c r="C6622" s="167"/>
      <c r="D6622" s="155"/>
      <c r="E6622" s="155"/>
      <c r="F6622" s="155"/>
      <c r="G6622" s="155"/>
      <c r="H6622" s="155"/>
      <c r="I6622" s="155"/>
      <c r="J6622" s="710"/>
      <c r="K6622" s="711"/>
      <c r="M6622" s="62">
        <f t="shared" si="533"/>
        <v>5</v>
      </c>
    </row>
    <row r="6623" spans="1:13">
      <c r="A6623" s="88">
        <f>+A6621+1</f>
        <v>21</v>
      </c>
      <c r="B6623" s="69" t="s">
        <v>2116</v>
      </c>
      <c r="C6623" s="167">
        <v>13</v>
      </c>
      <c r="D6623" s="155">
        <v>0</v>
      </c>
      <c r="E6623" s="155">
        <v>0</v>
      </c>
      <c r="F6623" s="155">
        <v>0</v>
      </c>
      <c r="G6623" s="155"/>
      <c r="H6623" s="155">
        <v>0</v>
      </c>
      <c r="I6623" s="155"/>
      <c r="J6623" s="710">
        <f>(VLOOKUP($C6623,[2]Sheet1!$A$2:$P$18,$M6623+1)/12)*12*D6623</f>
        <v>0</v>
      </c>
      <c r="K6623" s="711"/>
      <c r="M6623" s="62">
        <f t="shared" si="533"/>
        <v>3</v>
      </c>
    </row>
    <row r="6624" spans="1:13">
      <c r="A6624" s="88">
        <f>+A6623+1</f>
        <v>22</v>
      </c>
      <c r="B6624" s="69" t="s">
        <v>2894</v>
      </c>
      <c r="C6624" s="167">
        <v>9</v>
      </c>
      <c r="D6624" s="155">
        <v>0</v>
      </c>
      <c r="E6624" s="155">
        <v>0</v>
      </c>
      <c r="F6624" s="155">
        <v>0</v>
      </c>
      <c r="G6624" s="155"/>
      <c r="H6624" s="155">
        <v>0</v>
      </c>
      <c r="I6624" s="155"/>
      <c r="J6624" s="710">
        <f>(VLOOKUP($C6624,[2]Sheet1!$A$2:$P$18,$M6624+1)/12)*12*D6624</f>
        <v>0</v>
      </c>
      <c r="K6624" s="711"/>
      <c r="M6624" s="62">
        <f t="shared" si="533"/>
        <v>3</v>
      </c>
    </row>
    <row r="6625" spans="1:13">
      <c r="A6625" s="88">
        <f>+A6624+1</f>
        <v>23</v>
      </c>
      <c r="B6625" s="69" t="s">
        <v>1329</v>
      </c>
      <c r="C6625" s="167">
        <v>4</v>
      </c>
      <c r="D6625" s="155">
        <v>0</v>
      </c>
      <c r="E6625" s="155">
        <v>0</v>
      </c>
      <c r="F6625" s="155">
        <v>0</v>
      </c>
      <c r="G6625" s="155"/>
      <c r="H6625" s="155">
        <v>0</v>
      </c>
      <c r="I6625" s="155"/>
      <c r="J6625" s="710">
        <f>(VLOOKUP($C6625,[2]Sheet1!$A$2:$P$18,$M6625+1)/12)*12*D6625</f>
        <v>0</v>
      </c>
      <c r="K6625" s="711"/>
      <c r="M6625" s="62">
        <f t="shared" si="533"/>
        <v>5</v>
      </c>
    </row>
    <row r="6626" spans="1:13">
      <c r="A6626" s="88"/>
      <c r="B6626" s="90" t="s">
        <v>3292</v>
      </c>
      <c r="C6626" s="167"/>
      <c r="D6626" s="155"/>
      <c r="E6626" s="155"/>
      <c r="F6626" s="155"/>
      <c r="G6626" s="155"/>
      <c r="H6626" s="155"/>
      <c r="I6626" s="155"/>
      <c r="J6626" s="710"/>
      <c r="K6626" s="711"/>
      <c r="M6626" s="62">
        <f t="shared" si="533"/>
        <v>5</v>
      </c>
    </row>
    <row r="6627" spans="1:13">
      <c r="A6627" s="88">
        <v>24</v>
      </c>
      <c r="B6627" s="69" t="s">
        <v>3532</v>
      </c>
      <c r="C6627" s="167">
        <v>16</v>
      </c>
      <c r="D6627" s="155">
        <v>1</v>
      </c>
      <c r="E6627" s="155">
        <v>1</v>
      </c>
      <c r="F6627" s="155">
        <v>1</v>
      </c>
      <c r="G6627" s="155"/>
      <c r="H6627" s="155">
        <v>1</v>
      </c>
      <c r="I6627" s="155"/>
      <c r="J6627" s="710">
        <f>(VLOOKUP($C6627,[2]Sheet1!$A$2:$P$18,$M6627+1)/12)*12*D6627</f>
        <v>677281.26084</v>
      </c>
      <c r="K6627" s="711"/>
      <c r="M6627" s="62">
        <f t="shared" si="533"/>
        <v>3</v>
      </c>
    </row>
    <row r="6628" spans="1:13">
      <c r="A6628" s="88">
        <f t="shared" ref="A6628:A6649" si="534">+A6627+1</f>
        <v>25</v>
      </c>
      <c r="B6628" s="69" t="s">
        <v>1256</v>
      </c>
      <c r="C6628" s="167">
        <v>15</v>
      </c>
      <c r="D6628" s="155">
        <v>3</v>
      </c>
      <c r="E6628" s="155">
        <v>3</v>
      </c>
      <c r="F6628" s="155">
        <v>1</v>
      </c>
      <c r="G6628" s="155"/>
      <c r="H6628" s="155">
        <v>1</v>
      </c>
      <c r="I6628" s="155"/>
      <c r="J6628" s="710">
        <f>(VLOOKUP($C6628,[2]Sheet1!$A$2:$P$18,$M6628+1)/12)*12*D6628</f>
        <v>1974995.69976</v>
      </c>
      <c r="K6628" s="711"/>
      <c r="M6628" s="62">
        <f t="shared" si="533"/>
        <v>3</v>
      </c>
    </row>
    <row r="6629" spans="1:13">
      <c r="A6629" s="88">
        <f t="shared" si="534"/>
        <v>26</v>
      </c>
      <c r="B6629" s="69" t="s">
        <v>3295</v>
      </c>
      <c r="C6629" s="167">
        <v>14</v>
      </c>
      <c r="D6629" s="155">
        <v>3</v>
      </c>
      <c r="E6629" s="155">
        <v>3</v>
      </c>
      <c r="F6629" s="155">
        <v>1</v>
      </c>
      <c r="G6629" s="155"/>
      <c r="H6629" s="155">
        <v>1</v>
      </c>
      <c r="I6629" s="155"/>
      <c r="J6629" s="710">
        <f>(VLOOKUP($C6629,[2]Sheet1!$A$2:$P$18,$M6629+1)/12)*12*D6629</f>
        <v>2007298.2247200001</v>
      </c>
      <c r="K6629" s="711"/>
      <c r="M6629" s="62">
        <f t="shared" si="533"/>
        <v>3</v>
      </c>
    </row>
    <row r="6630" spans="1:13">
      <c r="A6630" s="88">
        <f t="shared" si="534"/>
        <v>27</v>
      </c>
      <c r="B6630" s="69" t="s">
        <v>3296</v>
      </c>
      <c r="C6630" s="167">
        <v>13</v>
      </c>
      <c r="D6630" s="155">
        <v>2</v>
      </c>
      <c r="E6630" s="155">
        <v>2</v>
      </c>
      <c r="F6630" s="155">
        <v>1</v>
      </c>
      <c r="G6630" s="155"/>
      <c r="H6630" s="155">
        <v>1</v>
      </c>
      <c r="I6630" s="155"/>
      <c r="J6630" s="710">
        <f>(VLOOKUP($C6630,[2]Sheet1!$A$2:$P$18,$M6630+1)/12)*12*D6630</f>
        <v>1257519.07608</v>
      </c>
      <c r="K6630" s="711"/>
      <c r="M6630" s="62">
        <f t="shared" si="533"/>
        <v>3</v>
      </c>
    </row>
    <row r="6631" spans="1:13">
      <c r="A6631" s="88">
        <f t="shared" si="534"/>
        <v>28</v>
      </c>
      <c r="B6631" s="69" t="s">
        <v>3297</v>
      </c>
      <c r="C6631" s="167">
        <v>10</v>
      </c>
      <c r="D6631" s="155">
        <v>1</v>
      </c>
      <c r="E6631" s="155">
        <v>1</v>
      </c>
      <c r="F6631" s="155">
        <v>1</v>
      </c>
      <c r="G6631" s="155"/>
      <c r="H6631" s="155">
        <v>1</v>
      </c>
      <c r="I6631" s="155"/>
      <c r="J6631" s="710">
        <f>(VLOOKUP($C6631,[2]Sheet1!$A$2:$P$18,$M6631+1)/12)*12*D6631</f>
        <v>483974.5687200001</v>
      </c>
      <c r="K6631" s="711"/>
      <c r="M6631" s="62">
        <f t="shared" si="533"/>
        <v>3</v>
      </c>
    </row>
    <row r="6632" spans="1:13" ht="13.5" thickBot="1">
      <c r="A6632" s="88">
        <f t="shared" si="534"/>
        <v>29</v>
      </c>
      <c r="B6632" s="69" t="s">
        <v>3298</v>
      </c>
      <c r="C6632" s="167">
        <v>9</v>
      </c>
      <c r="D6632" s="155">
        <v>3</v>
      </c>
      <c r="E6632" s="155">
        <v>3</v>
      </c>
      <c r="F6632" s="155">
        <v>1</v>
      </c>
      <c r="G6632" s="155"/>
      <c r="H6632" s="155">
        <v>1</v>
      </c>
      <c r="I6632" s="155"/>
      <c r="J6632" s="710">
        <f>(VLOOKUP($C6632,[2]Sheet1!$A$2:$P$18,$M6632+1)/12)*12*D6632</f>
        <v>1229045.7185999998</v>
      </c>
      <c r="K6632" s="711"/>
      <c r="M6632" s="62">
        <f t="shared" si="533"/>
        <v>3</v>
      </c>
    </row>
    <row r="6633" spans="1:13" ht="15.75" thickTop="1">
      <c r="A6633" s="1047" t="s">
        <v>2791</v>
      </c>
      <c r="B6633" s="1049" t="s">
        <v>4126</v>
      </c>
      <c r="C6633" s="1049" t="s">
        <v>854</v>
      </c>
      <c r="D6633" s="1040" t="s">
        <v>4127</v>
      </c>
      <c r="E6633" s="1041"/>
      <c r="F6633" s="1041"/>
      <c r="G6633" s="1040" t="s">
        <v>904</v>
      </c>
      <c r="H6633" s="1041"/>
      <c r="I6633" s="1042"/>
      <c r="J6633" s="1035" t="s">
        <v>855</v>
      </c>
      <c r="K6633" s="389"/>
    </row>
    <row r="6634" spans="1:13" ht="26.25" thickBot="1">
      <c r="A6634" s="1048"/>
      <c r="B6634" s="1050"/>
      <c r="C6634" s="1050"/>
      <c r="D6634" s="285" t="s">
        <v>5505</v>
      </c>
      <c r="E6634" s="285" t="s">
        <v>4485</v>
      </c>
      <c r="F6634" s="285" t="s">
        <v>4486</v>
      </c>
      <c r="G6634" s="287" t="s">
        <v>4487</v>
      </c>
      <c r="H6634" s="285" t="s">
        <v>4488</v>
      </c>
      <c r="I6634" s="287" t="s">
        <v>4489</v>
      </c>
      <c r="J6634" s="1036"/>
      <c r="K6634" s="712"/>
    </row>
    <row r="6635" spans="1:13" ht="13.5" thickTop="1">
      <c r="A6635" s="88">
        <f>+A6632+1</f>
        <v>30</v>
      </c>
      <c r="B6635" s="69" t="s">
        <v>3299</v>
      </c>
      <c r="C6635" s="167">
        <v>8</v>
      </c>
      <c r="D6635" s="155">
        <v>2</v>
      </c>
      <c r="E6635" s="155">
        <v>2</v>
      </c>
      <c r="F6635" s="155">
        <v>1</v>
      </c>
      <c r="G6635" s="155"/>
      <c r="H6635" s="155">
        <v>1</v>
      </c>
      <c r="I6635" s="155"/>
      <c r="J6635" s="710">
        <f>(VLOOKUP($C6635,[2]Sheet1!$A$2:$P$18,$M6635+1)/12)*12*D6635</f>
        <v>684282.54816000001</v>
      </c>
      <c r="K6635" s="711"/>
      <c r="M6635" s="62">
        <f t="shared" si="533"/>
        <v>3</v>
      </c>
    </row>
    <row r="6636" spans="1:13">
      <c r="A6636" s="88">
        <f t="shared" si="534"/>
        <v>31</v>
      </c>
      <c r="B6636" s="69" t="s">
        <v>3300</v>
      </c>
      <c r="C6636" s="167">
        <v>14</v>
      </c>
      <c r="D6636" s="155">
        <v>10</v>
      </c>
      <c r="E6636" s="155">
        <v>10</v>
      </c>
      <c r="F6636" s="155">
        <v>2</v>
      </c>
      <c r="G6636" s="155"/>
      <c r="H6636" s="155">
        <v>2</v>
      </c>
      <c r="I6636" s="155"/>
      <c r="J6636" s="710">
        <f>(VLOOKUP($C6636,[2]Sheet1!$A$2:$P$18,$M6636+1)/12)*12*D6636</f>
        <v>6690994.0823999997</v>
      </c>
      <c r="K6636" s="711"/>
      <c r="M6636" s="62">
        <f t="shared" si="533"/>
        <v>3</v>
      </c>
    </row>
    <row r="6637" spans="1:13">
      <c r="A6637" s="88">
        <f t="shared" si="534"/>
        <v>32</v>
      </c>
      <c r="B6637" s="69" t="s">
        <v>3301</v>
      </c>
      <c r="C6637" s="167">
        <v>13</v>
      </c>
      <c r="D6637" s="155">
        <v>7</v>
      </c>
      <c r="E6637" s="155">
        <v>7</v>
      </c>
      <c r="F6637" s="155">
        <v>2</v>
      </c>
      <c r="G6637" s="155"/>
      <c r="H6637" s="155">
        <v>2</v>
      </c>
      <c r="I6637" s="155"/>
      <c r="J6637" s="710">
        <f>(VLOOKUP($C6637,[2]Sheet1!$A$2:$P$18,$M6637+1)/12)*12*D6637</f>
        <v>4401316.7662800001</v>
      </c>
      <c r="K6637" s="711"/>
      <c r="M6637" s="62">
        <f t="shared" si="533"/>
        <v>3</v>
      </c>
    </row>
    <row r="6638" spans="1:13">
      <c r="A6638" s="88">
        <f t="shared" si="534"/>
        <v>33</v>
      </c>
      <c r="B6638" s="69" t="s">
        <v>3302</v>
      </c>
      <c r="C6638" s="167">
        <v>12</v>
      </c>
      <c r="D6638" s="155">
        <v>9</v>
      </c>
      <c r="E6638" s="155">
        <v>9</v>
      </c>
      <c r="F6638" s="155">
        <v>2</v>
      </c>
      <c r="G6638" s="155"/>
      <c r="H6638" s="155">
        <v>2</v>
      </c>
      <c r="I6638" s="155"/>
      <c r="J6638" s="710">
        <f>(VLOOKUP($C6638,[2]Sheet1!$A$2:$P$18,$M6638+1)/12)*12*D6638</f>
        <v>4974165.4834800018</v>
      </c>
      <c r="K6638" s="711"/>
      <c r="M6638" s="62">
        <f t="shared" si="533"/>
        <v>3</v>
      </c>
    </row>
    <row r="6639" spans="1:13">
      <c r="A6639" s="88">
        <f>+A6638+1</f>
        <v>34</v>
      </c>
      <c r="B6639" s="69" t="s">
        <v>2911</v>
      </c>
      <c r="C6639" s="167">
        <v>10</v>
      </c>
      <c r="D6639" s="155">
        <v>8</v>
      </c>
      <c r="E6639" s="155">
        <v>8</v>
      </c>
      <c r="F6639" s="155"/>
      <c r="G6639" s="155"/>
      <c r="H6639" s="155">
        <v>3</v>
      </c>
      <c r="I6639" s="155"/>
      <c r="J6639" s="710">
        <f>(VLOOKUP($C6639,[2]Sheet1!$A$2:$P$18,$M6639+1)/12)*12*D6639</f>
        <v>3871796.5497600008</v>
      </c>
      <c r="K6639" s="711"/>
      <c r="M6639" s="62">
        <f t="shared" si="533"/>
        <v>3</v>
      </c>
    </row>
    <row r="6640" spans="1:13">
      <c r="A6640" s="88">
        <f t="shared" si="534"/>
        <v>35</v>
      </c>
      <c r="B6640" s="69" t="s">
        <v>3065</v>
      </c>
      <c r="C6640" s="167">
        <v>9</v>
      </c>
      <c r="D6640" s="155">
        <v>9</v>
      </c>
      <c r="E6640" s="155">
        <v>9</v>
      </c>
      <c r="F6640" s="155"/>
      <c r="G6640" s="155"/>
      <c r="H6640" s="155">
        <v>3</v>
      </c>
      <c r="I6640" s="155"/>
      <c r="J6640" s="710">
        <f>(VLOOKUP($C6640,[2]Sheet1!$A$2:$P$18,$M6640+1)/12)*12*D6640</f>
        <v>3687137.1557999998</v>
      </c>
      <c r="K6640" s="711"/>
      <c r="M6640" s="62">
        <f t="shared" si="533"/>
        <v>3</v>
      </c>
    </row>
    <row r="6641" spans="1:13">
      <c r="A6641" s="88">
        <f>+A6640+1</f>
        <v>36</v>
      </c>
      <c r="B6641" s="69" t="s">
        <v>50</v>
      </c>
      <c r="C6641" s="167">
        <v>8</v>
      </c>
      <c r="D6641" s="155">
        <v>6</v>
      </c>
      <c r="E6641" s="155">
        <v>6</v>
      </c>
      <c r="F6641" s="155"/>
      <c r="G6641" s="155"/>
      <c r="H6641" s="155">
        <v>3</v>
      </c>
      <c r="I6641" s="155"/>
      <c r="J6641" s="710">
        <f>(VLOOKUP($C6641,[2]Sheet1!$A$2:$P$18,$M6641+1)/12)*12*D6641</f>
        <v>2052847.64448</v>
      </c>
      <c r="K6641" s="711"/>
      <c r="M6641" s="62">
        <f t="shared" si="533"/>
        <v>3</v>
      </c>
    </row>
    <row r="6642" spans="1:13">
      <c r="A6642" s="88">
        <f t="shared" si="534"/>
        <v>37</v>
      </c>
      <c r="B6642" s="69" t="s">
        <v>3066</v>
      </c>
      <c r="C6642" s="167">
        <v>9</v>
      </c>
      <c r="D6642" s="155">
        <v>5</v>
      </c>
      <c r="E6642" s="155">
        <v>5</v>
      </c>
      <c r="F6642" s="155"/>
      <c r="G6642" s="155"/>
      <c r="H6642" s="155">
        <v>2</v>
      </c>
      <c r="I6642" s="155"/>
      <c r="J6642" s="710">
        <f>(VLOOKUP($C6642,[2]Sheet1!$A$2:$P$18,$M6642+1)/12)*12*D6642</f>
        <v>2048409.531</v>
      </c>
      <c r="K6642" s="711"/>
      <c r="M6642" s="62">
        <f t="shared" ref="M6642:M6659" si="535">IF(C6642&gt;6,3,5)</f>
        <v>3</v>
      </c>
    </row>
    <row r="6643" spans="1:13">
      <c r="A6643" s="88">
        <f t="shared" si="534"/>
        <v>38</v>
      </c>
      <c r="B6643" s="69" t="s">
        <v>1431</v>
      </c>
      <c r="C6643" s="167">
        <v>8</v>
      </c>
      <c r="D6643" s="155">
        <v>0</v>
      </c>
      <c r="E6643" s="155">
        <v>0</v>
      </c>
      <c r="F6643" s="155"/>
      <c r="G6643" s="155"/>
      <c r="H6643" s="155">
        <v>0</v>
      </c>
      <c r="I6643" s="155"/>
      <c r="J6643" s="710">
        <f>(VLOOKUP($C6643,[2]Sheet1!$A$2:$P$18,$M6643+1)/12)*12*D6643</f>
        <v>0</v>
      </c>
      <c r="K6643" s="711"/>
      <c r="M6643" s="62">
        <f t="shared" si="535"/>
        <v>3</v>
      </c>
    </row>
    <row r="6644" spans="1:13">
      <c r="A6644" s="88">
        <f t="shared" si="534"/>
        <v>39</v>
      </c>
      <c r="B6644" s="69" t="s">
        <v>1432</v>
      </c>
      <c r="C6644" s="167">
        <v>8</v>
      </c>
      <c r="D6644" s="155">
        <v>0</v>
      </c>
      <c r="E6644" s="155">
        <v>0</v>
      </c>
      <c r="F6644" s="155"/>
      <c r="G6644" s="155"/>
      <c r="H6644" s="155">
        <v>0</v>
      </c>
      <c r="I6644" s="155"/>
      <c r="J6644" s="710">
        <f>(VLOOKUP($C6644,[2]Sheet1!$A$2:$P$18,$M6644+1)/12)*12*D6644</f>
        <v>0</v>
      </c>
      <c r="K6644" s="711"/>
      <c r="M6644" s="62">
        <f t="shared" si="535"/>
        <v>3</v>
      </c>
    </row>
    <row r="6645" spans="1:13">
      <c r="A6645" s="88">
        <f t="shared" si="534"/>
        <v>40</v>
      </c>
      <c r="B6645" s="69" t="s">
        <v>274</v>
      </c>
      <c r="C6645" s="167">
        <v>4</v>
      </c>
      <c r="D6645" s="155">
        <v>0</v>
      </c>
      <c r="E6645" s="155">
        <v>0</v>
      </c>
      <c r="F6645" s="155"/>
      <c r="G6645" s="155"/>
      <c r="H6645" s="155">
        <v>0</v>
      </c>
      <c r="I6645" s="155"/>
      <c r="J6645" s="710">
        <f>(VLOOKUP($C6645,[2]Sheet1!$A$2:$P$18,$M6645+1)/12)*12*D6645</f>
        <v>0</v>
      </c>
      <c r="K6645" s="711"/>
      <c r="M6645" s="62">
        <f t="shared" si="535"/>
        <v>5</v>
      </c>
    </row>
    <row r="6646" spans="1:13">
      <c r="A6646" s="88">
        <f t="shared" si="534"/>
        <v>41</v>
      </c>
      <c r="B6646" s="69" t="s">
        <v>3148</v>
      </c>
      <c r="C6646" s="167">
        <v>6</v>
      </c>
      <c r="D6646" s="155">
        <v>0</v>
      </c>
      <c r="E6646" s="155">
        <v>0</v>
      </c>
      <c r="F6646" s="155"/>
      <c r="G6646" s="155"/>
      <c r="H6646" s="155">
        <v>0</v>
      </c>
      <c r="I6646" s="155"/>
      <c r="J6646" s="710">
        <f>(VLOOKUP($C6646,[2]Sheet1!$A$2:$P$18,$M6646+1)/12)*12*D6646</f>
        <v>0</v>
      </c>
      <c r="K6646" s="711"/>
      <c r="M6646" s="62">
        <f t="shared" si="535"/>
        <v>5</v>
      </c>
    </row>
    <row r="6647" spans="1:13">
      <c r="A6647" s="88">
        <f t="shared" si="534"/>
        <v>42</v>
      </c>
      <c r="B6647" s="69" t="s">
        <v>3305</v>
      </c>
      <c r="C6647" s="167">
        <v>4</v>
      </c>
      <c r="D6647" s="155">
        <v>0</v>
      </c>
      <c r="E6647" s="155">
        <v>0</v>
      </c>
      <c r="F6647" s="155"/>
      <c r="G6647" s="155"/>
      <c r="H6647" s="155">
        <v>0</v>
      </c>
      <c r="I6647" s="155"/>
      <c r="J6647" s="710">
        <f>(VLOOKUP($C6647,[2]Sheet1!$A$2:$P$18,$M6647+1)/12)*12*D6647</f>
        <v>0</v>
      </c>
      <c r="K6647" s="711"/>
      <c r="M6647" s="62">
        <f t="shared" si="535"/>
        <v>5</v>
      </c>
    </row>
    <row r="6648" spans="1:13">
      <c r="A6648" s="88">
        <f>+A6647+1</f>
        <v>43</v>
      </c>
      <c r="B6648" s="69" t="s">
        <v>276</v>
      </c>
      <c r="C6648" s="167">
        <v>3</v>
      </c>
      <c r="D6648" s="155">
        <v>0</v>
      </c>
      <c r="E6648" s="155">
        <v>0</v>
      </c>
      <c r="F6648" s="155"/>
      <c r="G6648" s="155"/>
      <c r="H6648" s="155">
        <v>0</v>
      </c>
      <c r="I6648" s="155"/>
      <c r="J6648" s="710">
        <f>(VLOOKUP($C6648,[2]Sheet1!$A$2:$P$18,$M6648+1)/12)*12*D6648</f>
        <v>0</v>
      </c>
      <c r="K6648" s="711"/>
      <c r="M6648" s="62">
        <f t="shared" si="535"/>
        <v>5</v>
      </c>
    </row>
    <row r="6649" spans="1:13">
      <c r="A6649" s="88">
        <f t="shared" si="534"/>
        <v>44</v>
      </c>
      <c r="B6649" s="69" t="s">
        <v>270</v>
      </c>
      <c r="C6649" s="167">
        <v>2</v>
      </c>
      <c r="D6649" s="155">
        <v>0</v>
      </c>
      <c r="E6649" s="155">
        <v>0</v>
      </c>
      <c r="F6649" s="155"/>
      <c r="G6649" s="155"/>
      <c r="H6649" s="155">
        <v>0</v>
      </c>
      <c r="I6649" s="155"/>
      <c r="J6649" s="710">
        <f>(VLOOKUP($C6649,[2]Sheet1!$A$2:$P$18,$M6649+1)/12)*12*D6649</f>
        <v>0</v>
      </c>
      <c r="K6649" s="711"/>
      <c r="M6649" s="62">
        <f t="shared" si="535"/>
        <v>5</v>
      </c>
    </row>
    <row r="6650" spans="1:13">
      <c r="A6650" s="88"/>
      <c r="B6650" s="90" t="s">
        <v>3691</v>
      </c>
      <c r="C6650" s="167"/>
      <c r="D6650" s="155"/>
      <c r="E6650" s="155"/>
      <c r="F6650" s="155"/>
      <c r="G6650" s="155"/>
      <c r="H6650" s="155"/>
      <c r="I6650" s="155"/>
      <c r="J6650" s="710"/>
      <c r="K6650" s="711"/>
      <c r="M6650" s="62">
        <f t="shared" si="535"/>
        <v>5</v>
      </c>
    </row>
    <row r="6651" spans="1:13">
      <c r="A6651" s="88">
        <v>45</v>
      </c>
      <c r="B6651" s="69" t="s">
        <v>3532</v>
      </c>
      <c r="C6651" s="167">
        <v>16</v>
      </c>
      <c r="D6651" s="155">
        <v>0</v>
      </c>
      <c r="E6651" s="155">
        <v>0</v>
      </c>
      <c r="F6651" s="155"/>
      <c r="G6651" s="155"/>
      <c r="H6651" s="155">
        <v>0</v>
      </c>
      <c r="I6651" s="155"/>
      <c r="J6651" s="710">
        <f>(VLOOKUP($C6651,[2]Sheet1!$A$2:$P$18,$M6651+1)/12)*12*D6651</f>
        <v>0</v>
      </c>
      <c r="K6651" s="711"/>
      <c r="M6651" s="62">
        <f t="shared" si="535"/>
        <v>3</v>
      </c>
    </row>
    <row r="6652" spans="1:13">
      <c r="A6652" s="88">
        <f t="shared" ref="A6652:A6658" si="536">+A6651+1</f>
        <v>46</v>
      </c>
      <c r="B6652" s="69" t="s">
        <v>1256</v>
      </c>
      <c r="C6652" s="167">
        <v>15</v>
      </c>
      <c r="D6652" s="155">
        <v>0</v>
      </c>
      <c r="E6652" s="155">
        <v>0</v>
      </c>
      <c r="F6652" s="155"/>
      <c r="G6652" s="155"/>
      <c r="H6652" s="155">
        <v>0</v>
      </c>
      <c r="I6652" s="155"/>
      <c r="J6652" s="710">
        <f>(VLOOKUP($C6652,[2]Sheet1!$A$2:$P$18,$M6652+1)/12)*12*D6652</f>
        <v>0</v>
      </c>
      <c r="K6652" s="711"/>
      <c r="M6652" s="62">
        <f t="shared" si="535"/>
        <v>3</v>
      </c>
    </row>
    <row r="6653" spans="1:13">
      <c r="A6653" s="88">
        <f t="shared" si="536"/>
        <v>47</v>
      </c>
      <c r="B6653" s="69" t="s">
        <v>3533</v>
      </c>
      <c r="C6653" s="167">
        <v>14</v>
      </c>
      <c r="D6653" s="155">
        <v>1</v>
      </c>
      <c r="E6653" s="155">
        <v>1</v>
      </c>
      <c r="F6653" s="155"/>
      <c r="G6653" s="155"/>
      <c r="H6653" s="155">
        <v>1</v>
      </c>
      <c r="I6653" s="155"/>
      <c r="J6653" s="710">
        <f>(VLOOKUP($C6653,[2]Sheet1!$A$2:$P$18,$M6653+1)/12)*12*D6653</f>
        <v>669099.40824000002</v>
      </c>
      <c r="K6653" s="711"/>
      <c r="M6653" s="62">
        <f t="shared" si="535"/>
        <v>3</v>
      </c>
    </row>
    <row r="6654" spans="1:13">
      <c r="A6654" s="88">
        <f t="shared" si="536"/>
        <v>48</v>
      </c>
      <c r="B6654" s="69" t="s">
        <v>1734</v>
      </c>
      <c r="C6654" s="167">
        <v>13</v>
      </c>
      <c r="D6654" s="155">
        <v>1</v>
      </c>
      <c r="E6654" s="155">
        <v>1</v>
      </c>
      <c r="F6654" s="155"/>
      <c r="G6654" s="155"/>
      <c r="H6654" s="155">
        <v>1</v>
      </c>
      <c r="I6654" s="155"/>
      <c r="J6654" s="710">
        <f>(VLOOKUP($C6654,[2]Sheet1!$A$2:$P$18,$M6654+1)/12)*12*D6654</f>
        <v>628759.53804000001</v>
      </c>
      <c r="K6654" s="711"/>
      <c r="M6654" s="62">
        <f t="shared" si="535"/>
        <v>3</v>
      </c>
    </row>
    <row r="6655" spans="1:13">
      <c r="A6655" s="88">
        <f t="shared" si="536"/>
        <v>49</v>
      </c>
      <c r="B6655" s="69" t="s">
        <v>870</v>
      </c>
      <c r="C6655" s="167">
        <v>12</v>
      </c>
      <c r="D6655" s="155">
        <v>1</v>
      </c>
      <c r="E6655" s="155">
        <v>1</v>
      </c>
      <c r="F6655" s="155"/>
      <c r="G6655" s="155"/>
      <c r="H6655" s="155">
        <v>1</v>
      </c>
      <c r="I6655" s="155"/>
      <c r="J6655" s="710">
        <f>(VLOOKUP($C6655,[2]Sheet1!$A$2:$P$18,$M6655+1)/12)*12*D6655</f>
        <v>552685.0537200002</v>
      </c>
      <c r="K6655" s="711"/>
      <c r="M6655" s="62">
        <f t="shared" si="535"/>
        <v>3</v>
      </c>
    </row>
    <row r="6656" spans="1:13">
      <c r="A6656" s="88">
        <f t="shared" si="536"/>
        <v>50</v>
      </c>
      <c r="B6656" s="69" t="s">
        <v>3429</v>
      </c>
      <c r="C6656" s="167">
        <v>10</v>
      </c>
      <c r="D6656" s="155">
        <v>1</v>
      </c>
      <c r="E6656" s="155">
        <v>1</v>
      </c>
      <c r="F6656" s="155"/>
      <c r="G6656" s="155"/>
      <c r="H6656" s="155">
        <v>0</v>
      </c>
      <c r="I6656" s="155"/>
      <c r="J6656" s="710">
        <f>(VLOOKUP($C6656,[2]Sheet1!$A$2:$P$18,$M6656+1)/12)*12*D6656</f>
        <v>483974.5687200001</v>
      </c>
      <c r="K6656" s="711"/>
      <c r="M6656" s="62">
        <f t="shared" si="535"/>
        <v>3</v>
      </c>
    </row>
    <row r="6657" spans="1:13">
      <c r="A6657" s="88">
        <f t="shared" si="536"/>
        <v>51</v>
      </c>
      <c r="B6657" s="69" t="s">
        <v>3293</v>
      </c>
      <c r="C6657" s="167">
        <v>9</v>
      </c>
      <c r="D6657" s="155">
        <v>1</v>
      </c>
      <c r="E6657" s="155">
        <v>1</v>
      </c>
      <c r="F6657" s="155"/>
      <c r="G6657" s="155"/>
      <c r="H6657" s="155">
        <v>0</v>
      </c>
      <c r="I6657" s="155"/>
      <c r="J6657" s="710">
        <f>(VLOOKUP($C6657,[2]Sheet1!$A$2:$P$18,$M6657+1)/12)*12*D6657</f>
        <v>409681.90619999997</v>
      </c>
      <c r="K6657" s="711"/>
      <c r="M6657" s="62">
        <f t="shared" si="535"/>
        <v>3</v>
      </c>
    </row>
    <row r="6658" spans="1:13">
      <c r="A6658" s="88">
        <f t="shared" si="536"/>
        <v>52</v>
      </c>
      <c r="B6658" s="69" t="s">
        <v>3294</v>
      </c>
      <c r="C6658" s="167">
        <v>8</v>
      </c>
      <c r="D6658" s="155">
        <v>1</v>
      </c>
      <c r="E6658" s="155">
        <v>1</v>
      </c>
      <c r="F6658" s="155"/>
      <c r="G6658" s="155"/>
      <c r="H6658" s="155">
        <v>1</v>
      </c>
      <c r="I6658" s="155"/>
      <c r="J6658" s="710">
        <f>(VLOOKUP($C6658,[2]Sheet1!$A$2:$P$18,$M6658+1)/12)*12*D6658</f>
        <v>342141.27408</v>
      </c>
      <c r="K6658" s="711"/>
      <c r="M6658" s="62">
        <f t="shared" si="535"/>
        <v>3</v>
      </c>
    </row>
    <row r="6659" spans="1:13">
      <c r="A6659" s="88"/>
      <c r="B6659" s="90" t="s">
        <v>3987</v>
      </c>
      <c r="C6659" s="167"/>
      <c r="D6659" s="155"/>
      <c r="E6659" s="155"/>
      <c r="F6659" s="155"/>
      <c r="G6659" s="155"/>
      <c r="H6659" s="155"/>
      <c r="I6659" s="155"/>
      <c r="J6659" s="710"/>
      <c r="K6659" s="711"/>
      <c r="M6659" s="62">
        <f t="shared" si="535"/>
        <v>5</v>
      </c>
    </row>
    <row r="6660" spans="1:13">
      <c r="A6660" s="88">
        <v>53</v>
      </c>
      <c r="B6660" s="69" t="s">
        <v>3532</v>
      </c>
      <c r="C6660" s="167">
        <v>16</v>
      </c>
      <c r="D6660" s="155">
        <v>1</v>
      </c>
      <c r="E6660" s="155">
        <v>1</v>
      </c>
      <c r="F6660" s="155"/>
      <c r="G6660" s="155"/>
      <c r="H6660" s="155">
        <v>1</v>
      </c>
      <c r="I6660" s="155"/>
      <c r="J6660" s="710">
        <f>(VLOOKUP($C6660,[2]Sheet1!$A$2:$P$18,$M6660+1)/12)*12*D6660</f>
        <v>677281.26084</v>
      </c>
      <c r="K6660" s="711"/>
      <c r="M6660" s="62">
        <f t="shared" ref="M6660:M6681" si="537">IF(C6660&gt;6,3,5)</f>
        <v>3</v>
      </c>
    </row>
    <row r="6661" spans="1:13">
      <c r="A6661" s="88">
        <f t="shared" ref="A6661:A6669" si="538">+A6660+1</f>
        <v>54</v>
      </c>
      <c r="B6661" s="69" t="s">
        <v>1256</v>
      </c>
      <c r="C6661" s="167">
        <v>15</v>
      </c>
      <c r="D6661" s="155">
        <v>3</v>
      </c>
      <c r="E6661" s="155">
        <v>3</v>
      </c>
      <c r="F6661" s="155"/>
      <c r="G6661" s="155"/>
      <c r="H6661" s="155">
        <v>1</v>
      </c>
      <c r="I6661" s="155"/>
      <c r="J6661" s="710">
        <f>(VLOOKUP($C6661,[2]Sheet1!$A$2:$P$18,$M6661+1)/12)*12*D6661</f>
        <v>1974995.69976</v>
      </c>
      <c r="K6661" s="711"/>
      <c r="M6661" s="62">
        <f t="shared" si="537"/>
        <v>3</v>
      </c>
    </row>
    <row r="6662" spans="1:13">
      <c r="A6662" s="88">
        <f t="shared" si="538"/>
        <v>55</v>
      </c>
      <c r="B6662" s="69" t="s">
        <v>2654</v>
      </c>
      <c r="C6662" s="167">
        <v>14</v>
      </c>
      <c r="D6662" s="155">
        <v>2</v>
      </c>
      <c r="E6662" s="155">
        <v>2</v>
      </c>
      <c r="F6662" s="155"/>
      <c r="G6662" s="155"/>
      <c r="H6662" s="155">
        <v>1</v>
      </c>
      <c r="I6662" s="155"/>
      <c r="J6662" s="710">
        <f>(VLOOKUP($C6662,[2]Sheet1!$A$2:$P$18,$M6662+1)/12)*12*D6662</f>
        <v>1338198.81648</v>
      </c>
      <c r="K6662" s="711"/>
      <c r="M6662" s="62">
        <f t="shared" si="537"/>
        <v>3</v>
      </c>
    </row>
    <row r="6663" spans="1:13">
      <c r="A6663" s="88">
        <f t="shared" si="538"/>
        <v>56</v>
      </c>
      <c r="B6663" s="69" t="s">
        <v>2655</v>
      </c>
      <c r="C6663" s="167">
        <v>13</v>
      </c>
      <c r="D6663" s="155">
        <v>2</v>
      </c>
      <c r="E6663" s="155">
        <v>2</v>
      </c>
      <c r="F6663" s="155"/>
      <c r="G6663" s="155"/>
      <c r="H6663" s="155">
        <v>1</v>
      </c>
      <c r="I6663" s="155"/>
      <c r="J6663" s="710">
        <f>(VLOOKUP($C6663,[2]Sheet1!$A$2:$P$18,$M6663+1)/12)*12*D6663</f>
        <v>1257519.07608</v>
      </c>
      <c r="K6663" s="711"/>
      <c r="M6663" s="62">
        <f t="shared" si="537"/>
        <v>3</v>
      </c>
    </row>
    <row r="6664" spans="1:13">
      <c r="A6664" s="88">
        <f t="shared" si="538"/>
        <v>57</v>
      </c>
      <c r="B6664" s="69" t="s">
        <v>2656</v>
      </c>
      <c r="C6664" s="167">
        <v>12</v>
      </c>
      <c r="D6664" s="155">
        <v>1</v>
      </c>
      <c r="E6664" s="155">
        <v>1</v>
      </c>
      <c r="F6664" s="155"/>
      <c r="G6664" s="155"/>
      <c r="H6664" s="155">
        <v>1</v>
      </c>
      <c r="I6664" s="155"/>
      <c r="J6664" s="710">
        <f>(VLOOKUP($C6664,[2]Sheet1!$A$2:$P$18,$M6664+1)/12)*12*D6664</f>
        <v>552685.0537200002</v>
      </c>
      <c r="K6664" s="711"/>
      <c r="M6664" s="62">
        <f t="shared" si="537"/>
        <v>3</v>
      </c>
    </row>
    <row r="6665" spans="1:13">
      <c r="A6665" s="88">
        <f t="shared" si="538"/>
        <v>58</v>
      </c>
      <c r="B6665" s="69" t="s">
        <v>3441</v>
      </c>
      <c r="C6665" s="167">
        <v>10</v>
      </c>
      <c r="D6665" s="155">
        <v>3</v>
      </c>
      <c r="E6665" s="155">
        <v>3</v>
      </c>
      <c r="F6665" s="155"/>
      <c r="G6665" s="155"/>
      <c r="H6665" s="155">
        <v>2</v>
      </c>
      <c r="I6665" s="155"/>
      <c r="J6665" s="710">
        <f>(VLOOKUP($C6665,[2]Sheet1!$A$2:$P$18,$M6665+1)/12)*12*D6665</f>
        <v>1451923.7061600003</v>
      </c>
      <c r="K6665" s="711"/>
      <c r="M6665" s="62">
        <f t="shared" si="537"/>
        <v>3</v>
      </c>
    </row>
    <row r="6666" spans="1:13">
      <c r="A6666" s="88">
        <f t="shared" si="538"/>
        <v>59</v>
      </c>
      <c r="B6666" s="69" t="s">
        <v>3442</v>
      </c>
      <c r="C6666" s="167">
        <v>9</v>
      </c>
      <c r="D6666" s="155">
        <v>3</v>
      </c>
      <c r="E6666" s="155">
        <v>3</v>
      </c>
      <c r="F6666" s="155"/>
      <c r="G6666" s="155"/>
      <c r="H6666" s="155">
        <v>1</v>
      </c>
      <c r="I6666" s="155"/>
      <c r="J6666" s="710">
        <f>(VLOOKUP($C6666,[2]Sheet1!$A$2:$P$18,$M6666+1)/12)*12*D6666</f>
        <v>1229045.7185999998</v>
      </c>
      <c r="K6666" s="711"/>
      <c r="M6666" s="62">
        <f t="shared" si="537"/>
        <v>3</v>
      </c>
    </row>
    <row r="6667" spans="1:13">
      <c r="A6667" s="88">
        <f t="shared" si="538"/>
        <v>60</v>
      </c>
      <c r="B6667" s="69" t="s">
        <v>3443</v>
      </c>
      <c r="C6667" s="167">
        <v>8</v>
      </c>
      <c r="D6667" s="155">
        <v>5</v>
      </c>
      <c r="E6667" s="155">
        <v>5</v>
      </c>
      <c r="F6667" s="155"/>
      <c r="G6667" s="155"/>
      <c r="H6667" s="155">
        <v>1</v>
      </c>
      <c r="I6667" s="155"/>
      <c r="J6667" s="710">
        <f>(VLOOKUP($C6667,[2]Sheet1!$A$2:$P$18,$M6667+1)/12)*12*D6667</f>
        <v>1710706.3703999999</v>
      </c>
      <c r="K6667" s="711"/>
      <c r="M6667" s="62">
        <f t="shared" si="537"/>
        <v>3</v>
      </c>
    </row>
    <row r="6668" spans="1:13">
      <c r="A6668" s="88">
        <f t="shared" si="538"/>
        <v>61</v>
      </c>
      <c r="B6668" s="69" t="s">
        <v>3444</v>
      </c>
      <c r="C6668" s="167">
        <v>7</v>
      </c>
      <c r="D6668" s="155">
        <v>4</v>
      </c>
      <c r="E6668" s="155">
        <v>4</v>
      </c>
      <c r="F6668" s="155"/>
      <c r="G6668" s="155"/>
      <c r="H6668" s="155">
        <v>2</v>
      </c>
      <c r="I6668" s="155"/>
      <c r="J6668" s="710">
        <f>(VLOOKUP($C6668,[2]Sheet1!$A$2:$P$18,$M6668+1)/12)*12*D6668</f>
        <v>1230826.8096000003</v>
      </c>
      <c r="K6668" s="711"/>
      <c r="M6668" s="62">
        <f t="shared" si="537"/>
        <v>3</v>
      </c>
    </row>
    <row r="6669" spans="1:13">
      <c r="A6669" s="88">
        <f t="shared" si="538"/>
        <v>62</v>
      </c>
      <c r="B6669" s="69" t="s">
        <v>3445</v>
      </c>
      <c r="C6669" s="167">
        <v>6</v>
      </c>
      <c r="D6669" s="155">
        <v>10</v>
      </c>
      <c r="E6669" s="155">
        <v>10</v>
      </c>
      <c r="F6669" s="155"/>
      <c r="G6669" s="155"/>
      <c r="H6669" s="155">
        <v>4</v>
      </c>
      <c r="I6669" s="155"/>
      <c r="J6669" s="710">
        <f>(VLOOKUP($C6669,[2]Sheet1!$A$2:$P$18,$M6669+1)/12)*12*D6669</f>
        <v>2380993.7893036497</v>
      </c>
      <c r="K6669" s="711"/>
      <c r="M6669" s="62">
        <f t="shared" si="537"/>
        <v>5</v>
      </c>
    </row>
    <row r="6670" spans="1:13">
      <c r="A6670" s="92"/>
      <c r="B6670" s="93" t="s">
        <v>1684</v>
      </c>
      <c r="C6670" s="168"/>
      <c r="D6670" s="169">
        <f t="shared" ref="D6670:J6670" si="539">SUM(D6596:D6669)</f>
        <v>178</v>
      </c>
      <c r="E6670" s="169">
        <f t="shared" si="539"/>
        <v>178</v>
      </c>
      <c r="F6670" s="169">
        <f t="shared" si="539"/>
        <v>57</v>
      </c>
      <c r="G6670" s="169">
        <f>SUM(G6596:G6669)</f>
        <v>0</v>
      </c>
      <c r="H6670" s="169">
        <f t="shared" si="539"/>
        <v>87</v>
      </c>
      <c r="I6670" s="169">
        <f t="shared" si="539"/>
        <v>62</v>
      </c>
      <c r="J6670" s="169">
        <f t="shared" si="539"/>
        <v>68968330.893975914</v>
      </c>
      <c r="K6670" s="385"/>
      <c r="M6670" s="62">
        <f t="shared" si="537"/>
        <v>5</v>
      </c>
    </row>
    <row r="6671" spans="1:13">
      <c r="A6671" s="170"/>
      <c r="B6671" s="97" t="s">
        <v>1199</v>
      </c>
      <c r="C6671" s="167"/>
      <c r="D6671" s="155"/>
      <c r="E6671" s="155"/>
      <c r="F6671" s="99"/>
      <c r="G6671" s="240" t="s">
        <v>243</v>
      </c>
      <c r="H6671" s="240" t="s">
        <v>4130</v>
      </c>
      <c r="I6671" s="240" t="s">
        <v>4202</v>
      </c>
      <c r="J6671" s="241" t="s">
        <v>4200</v>
      </c>
      <c r="K6671" s="375"/>
      <c r="M6671" s="62">
        <f t="shared" si="537"/>
        <v>5</v>
      </c>
    </row>
    <row r="6672" spans="1:13">
      <c r="A6672" s="88">
        <v>2</v>
      </c>
      <c r="B6672" s="69" t="s">
        <v>763</v>
      </c>
      <c r="C6672" s="167"/>
      <c r="D6672" s="155"/>
      <c r="E6672" s="155"/>
      <c r="F6672" s="89"/>
      <c r="G6672" s="100">
        <f>J6670*0.2</f>
        <v>13793666.178795183</v>
      </c>
      <c r="H6672" s="100">
        <f>G6672*1.02</f>
        <v>14069539.502371088</v>
      </c>
      <c r="I6672" s="100">
        <f>H6672*1.02</f>
        <v>14350930.29241851</v>
      </c>
      <c r="J6672" s="100">
        <f>SUM(G6672:I6672)</f>
        <v>42214135.973584779</v>
      </c>
      <c r="K6672" s="114"/>
      <c r="M6672" s="62">
        <f t="shared" si="537"/>
        <v>5</v>
      </c>
    </row>
    <row r="6673" spans="1:13">
      <c r="A6673" s="92"/>
      <c r="B6673" s="93" t="s">
        <v>2531</v>
      </c>
      <c r="C6673" s="168"/>
      <c r="D6673" s="171"/>
      <c r="E6673" s="171"/>
      <c r="F6673" s="169"/>
      <c r="G6673" s="169">
        <f>SUM(G6672:G6672)</f>
        <v>13793666.178795183</v>
      </c>
      <c r="H6673" s="169">
        <f>SUM(H6672:H6672)</f>
        <v>14069539.502371088</v>
      </c>
      <c r="I6673" s="169">
        <f>SUM(I6672:I6672)</f>
        <v>14350930.29241851</v>
      </c>
      <c r="J6673" s="169">
        <f>SUM(J6672:J6672)</f>
        <v>42214135.973584779</v>
      </c>
      <c r="K6673" s="385"/>
      <c r="M6673" s="62">
        <f t="shared" si="537"/>
        <v>5</v>
      </c>
    </row>
    <row r="6674" spans="1:13">
      <c r="A6674" s="88"/>
      <c r="B6674" s="69" t="s">
        <v>926</v>
      </c>
      <c r="C6674" s="167"/>
      <c r="D6674" s="155"/>
      <c r="E6674" s="155"/>
      <c r="F6674" s="155"/>
      <c r="G6674" s="100">
        <f>G6673+J6670</f>
        <v>82761997.072771102</v>
      </c>
      <c r="H6674" s="100">
        <f>G6674*1.02</f>
        <v>84417237.014226526</v>
      </c>
      <c r="I6674" s="100">
        <f>H6674*1.02</f>
        <v>86105581.754511058</v>
      </c>
      <c r="J6674" s="100">
        <f>SUM(G6674:I6674)</f>
        <v>253284815.84150869</v>
      </c>
      <c r="K6674" s="114"/>
      <c r="L6674" s="112"/>
      <c r="M6674" s="62">
        <f t="shared" si="537"/>
        <v>5</v>
      </c>
    </row>
    <row r="6675" spans="1:13">
      <c r="A6675" s="88"/>
      <c r="B6675" s="69" t="s">
        <v>2121</v>
      </c>
      <c r="C6675" s="167"/>
      <c r="D6675" s="155"/>
      <c r="E6675" s="155"/>
      <c r="F6675" s="155"/>
      <c r="G6675" s="155">
        <f>C6702</f>
        <v>12500000</v>
      </c>
      <c r="H6675" s="155">
        <f>D6702</f>
        <v>12000000</v>
      </c>
      <c r="I6675" s="155">
        <f>E6702</f>
        <v>12000000</v>
      </c>
      <c r="J6675" s="100">
        <f>SUM(G6675:I6675)</f>
        <v>36500000</v>
      </c>
      <c r="K6675" s="114"/>
      <c r="M6675" s="62">
        <f t="shared" si="537"/>
        <v>5</v>
      </c>
    </row>
    <row r="6676" spans="1:13" ht="13.5" thickBot="1">
      <c r="A6676" s="102"/>
      <c r="B6676" s="103" t="s">
        <v>2241</v>
      </c>
      <c r="C6676" s="172"/>
      <c r="D6676" s="173"/>
      <c r="E6676" s="173"/>
      <c r="F6676" s="174"/>
      <c r="G6676" s="174">
        <f>SUM(G6674:G6675)</f>
        <v>95261997.072771102</v>
      </c>
      <c r="H6676" s="174">
        <f>SUM(H6674:H6675)</f>
        <v>96417237.014226526</v>
      </c>
      <c r="I6676" s="174">
        <f>SUM(I6674:I6675)</f>
        <v>98105581.754511058</v>
      </c>
      <c r="J6676" s="174">
        <f>SUM(J6674:J6675)</f>
        <v>289784815.84150869</v>
      </c>
      <c r="K6676" s="385"/>
      <c r="M6676" s="62">
        <f t="shared" si="537"/>
        <v>5</v>
      </c>
    </row>
    <row r="6677" spans="1:13" ht="13.5" thickTop="1">
      <c r="C6677" s="163"/>
      <c r="D6677" s="164"/>
      <c r="E6677" s="164"/>
      <c r="F6677" s="165"/>
      <c r="G6677" s="165"/>
      <c r="H6677" s="165"/>
      <c r="I6677" s="165"/>
      <c r="J6677" s="165"/>
      <c r="K6677" s="165"/>
      <c r="M6677" s="62">
        <f t="shared" si="537"/>
        <v>5</v>
      </c>
    </row>
    <row r="6678" spans="1:13" ht="15">
      <c r="C6678" s="175"/>
      <c r="D6678" s="164" t="s">
        <v>5434</v>
      </c>
      <c r="E6678" s="165"/>
      <c r="F6678" s="165"/>
      <c r="G6678" s="165"/>
      <c r="H6678" s="165"/>
      <c r="I6678" s="165"/>
      <c r="J6678" s="584"/>
      <c r="K6678" s="584"/>
      <c r="M6678" s="62">
        <f t="shared" si="537"/>
        <v>5</v>
      </c>
    </row>
    <row r="6679" spans="1:13" ht="15">
      <c r="C6679" s="163"/>
      <c r="D6679" s="164" t="s">
        <v>716</v>
      </c>
      <c r="E6679" s="165"/>
      <c r="F6679" s="165"/>
      <c r="G6679" s="165"/>
      <c r="H6679" s="165"/>
      <c r="I6679" s="165"/>
      <c r="J6679" s="584"/>
      <c r="K6679" s="584"/>
      <c r="M6679" s="62">
        <f t="shared" si="537"/>
        <v>5</v>
      </c>
    </row>
    <row r="6680" spans="1:13" ht="15">
      <c r="C6680" s="79" t="s">
        <v>1811</v>
      </c>
      <c r="D6680" s="164" t="s">
        <v>3715</v>
      </c>
      <c r="E6680" s="165"/>
      <c r="F6680" s="165"/>
      <c r="G6680" s="165"/>
      <c r="H6680" s="165"/>
      <c r="I6680" s="165"/>
      <c r="J6680" s="584"/>
      <c r="K6680" s="584"/>
      <c r="M6680" s="62">
        <f t="shared" si="537"/>
        <v>3</v>
      </c>
    </row>
    <row r="6681" spans="1:13" ht="15">
      <c r="C6681" s="79" t="s">
        <v>3073</v>
      </c>
      <c r="D6681" s="164" t="s">
        <v>2996</v>
      </c>
      <c r="E6681" s="165"/>
      <c r="F6681" s="165"/>
      <c r="G6681" s="165"/>
      <c r="H6681" s="165"/>
      <c r="I6681" s="165"/>
      <c r="J6681" s="584"/>
      <c r="K6681" s="584"/>
      <c r="M6681" s="62">
        <f t="shared" si="537"/>
        <v>3</v>
      </c>
    </row>
    <row r="6682" spans="1:13" ht="15">
      <c r="A6682" s="634" t="s">
        <v>1839</v>
      </c>
      <c r="B6682" s="635" t="s">
        <v>903</v>
      </c>
      <c r="C6682" s="1037" t="s">
        <v>4127</v>
      </c>
      <c r="D6682" s="1038"/>
      <c r="E6682" s="1039"/>
      <c r="F6682" s="635" t="s">
        <v>1684</v>
      </c>
      <c r="G6682" s="1037" t="s">
        <v>4132</v>
      </c>
      <c r="H6682" s="1038"/>
      <c r="I6682" s="1039"/>
      <c r="J6682" s="726"/>
      <c r="K6682" s="727"/>
    </row>
    <row r="6683" spans="1:13">
      <c r="A6683" s="636" t="s">
        <v>1620</v>
      </c>
      <c r="B6683" s="637"/>
      <c r="C6683" s="635" t="s">
        <v>1841</v>
      </c>
      <c r="D6683" s="635" t="s">
        <v>4133</v>
      </c>
      <c r="E6683" s="635" t="s">
        <v>4133</v>
      </c>
      <c r="F6683" s="1056" t="s">
        <v>4200</v>
      </c>
      <c r="G6683" s="634" t="s">
        <v>4135</v>
      </c>
      <c r="H6683" s="1051" t="s">
        <v>4182</v>
      </c>
      <c r="I6683" s="634" t="s">
        <v>4135</v>
      </c>
      <c r="J6683" s="728" t="s">
        <v>4136</v>
      </c>
      <c r="K6683" s="727"/>
    </row>
    <row r="6684" spans="1:13" ht="12.75" customHeight="1">
      <c r="A6684" s="638" t="s">
        <v>387</v>
      </c>
      <c r="B6684" s="639"/>
      <c r="C6684" s="638">
        <v>2015</v>
      </c>
      <c r="D6684" s="638">
        <v>2016</v>
      </c>
      <c r="E6684" s="638">
        <v>2017</v>
      </c>
      <c r="F6684" s="1057"/>
      <c r="G6684" s="638" t="s">
        <v>4304</v>
      </c>
      <c r="H6684" s="1052"/>
      <c r="I6684" s="638" t="s">
        <v>4303</v>
      </c>
      <c r="J6684" s="639"/>
      <c r="K6684" s="729"/>
    </row>
    <row r="6685" spans="1:13">
      <c r="A6685" s="768"/>
      <c r="B6685" s="768"/>
      <c r="C6685" s="838"/>
      <c r="D6685" s="838"/>
      <c r="E6685" s="838"/>
      <c r="F6685" s="838"/>
      <c r="G6685" s="838"/>
      <c r="H6685" s="838"/>
      <c r="I6685" s="838"/>
      <c r="J6685" s="838"/>
      <c r="K6685" s="839"/>
      <c r="M6685" s="62" t="e">
        <f>IF(#REF!&gt;6,3,5)</f>
        <v>#REF!</v>
      </c>
    </row>
    <row r="6686" spans="1:13">
      <c r="A6686" s="768">
        <v>2</v>
      </c>
      <c r="B6686" s="773" t="s">
        <v>768</v>
      </c>
      <c r="C6686" s="390">
        <v>3000000</v>
      </c>
      <c r="D6686" s="390">
        <v>3000000</v>
      </c>
      <c r="E6686" s="390">
        <v>3000000</v>
      </c>
      <c r="F6686" s="390">
        <f>SUM(C6686:E6686)</f>
        <v>9000000</v>
      </c>
      <c r="G6686" s="390">
        <v>779250</v>
      </c>
      <c r="H6686" s="390">
        <v>3000000</v>
      </c>
      <c r="I6686" s="390">
        <v>2304000</v>
      </c>
      <c r="J6686" s="390"/>
      <c r="K6686" s="734"/>
      <c r="M6686" s="62" t="e">
        <f>IF(#REF!&gt;6,3,5)</f>
        <v>#REF!</v>
      </c>
    </row>
    <row r="6687" spans="1:13">
      <c r="A6687" s="768">
        <f t="shared" ref="A6687:A6700" si="540">+A6686+1</f>
        <v>3</v>
      </c>
      <c r="B6687" s="773" t="s">
        <v>1696</v>
      </c>
      <c r="C6687" s="390" t="s">
        <v>1386</v>
      </c>
      <c r="D6687" s="390" t="s">
        <v>1386</v>
      </c>
      <c r="E6687" s="390" t="s">
        <v>1386</v>
      </c>
      <c r="F6687" s="390">
        <f t="shared" ref="F6687:F6700" si="541">SUM(C6687:E6687)</f>
        <v>0</v>
      </c>
      <c r="G6687" s="390"/>
      <c r="H6687" s="390" t="s">
        <v>1386</v>
      </c>
      <c r="I6687" s="390"/>
      <c r="J6687" s="390"/>
      <c r="K6687" s="734"/>
      <c r="M6687" s="62" t="e">
        <f>IF(#REF!&gt;6,3,5)</f>
        <v>#REF!</v>
      </c>
    </row>
    <row r="6688" spans="1:13">
      <c r="A6688" s="768">
        <f t="shared" si="540"/>
        <v>4</v>
      </c>
      <c r="B6688" s="773" t="s">
        <v>1701</v>
      </c>
      <c r="C6688" s="390" t="s">
        <v>1386</v>
      </c>
      <c r="D6688" s="390" t="s">
        <v>1386</v>
      </c>
      <c r="E6688" s="390" t="s">
        <v>1386</v>
      </c>
      <c r="F6688" s="390">
        <f t="shared" si="541"/>
        <v>0</v>
      </c>
      <c r="G6688" s="390"/>
      <c r="H6688" s="390" t="s">
        <v>1386</v>
      </c>
      <c r="I6688" s="390"/>
      <c r="J6688" s="390"/>
      <c r="K6688" s="734"/>
      <c r="M6688" s="62" t="e">
        <f>IF(#REF!&gt;6,3,5)</f>
        <v>#REF!</v>
      </c>
    </row>
    <row r="6689" spans="1:13">
      <c r="A6689" s="768">
        <f t="shared" si="540"/>
        <v>5</v>
      </c>
      <c r="B6689" s="773" t="s">
        <v>769</v>
      </c>
      <c r="C6689" s="390">
        <v>800000</v>
      </c>
      <c r="D6689" s="390">
        <v>500000</v>
      </c>
      <c r="E6689" s="390">
        <v>500000</v>
      </c>
      <c r="F6689" s="390">
        <f t="shared" si="541"/>
        <v>1800000</v>
      </c>
      <c r="G6689" s="390">
        <v>274350</v>
      </c>
      <c r="H6689" s="390">
        <v>500000</v>
      </c>
      <c r="I6689" s="390">
        <v>136675</v>
      </c>
      <c r="J6689" s="390"/>
      <c r="K6689" s="734"/>
      <c r="M6689" s="62" t="e">
        <f>IF(#REF!&gt;6,3,5)</f>
        <v>#REF!</v>
      </c>
    </row>
    <row r="6690" spans="1:13">
      <c r="A6690" s="768">
        <f t="shared" si="540"/>
        <v>6</v>
      </c>
      <c r="B6690" s="773" t="s">
        <v>722</v>
      </c>
      <c r="C6690" s="390">
        <v>1000000</v>
      </c>
      <c r="D6690" s="390">
        <v>1000000</v>
      </c>
      <c r="E6690" s="390">
        <v>1000000</v>
      </c>
      <c r="F6690" s="390">
        <f t="shared" si="541"/>
        <v>3000000</v>
      </c>
      <c r="G6690" s="390">
        <v>385000</v>
      </c>
      <c r="H6690" s="390">
        <v>1000000</v>
      </c>
      <c r="I6690" s="390">
        <v>677100</v>
      </c>
      <c r="J6690" s="390"/>
      <c r="K6690" s="734"/>
      <c r="M6690" s="62" t="e">
        <f>IF(#REF!&gt;6,3,5)</f>
        <v>#REF!</v>
      </c>
    </row>
    <row r="6691" spans="1:13" ht="25.5">
      <c r="A6691" s="768">
        <f t="shared" si="540"/>
        <v>7</v>
      </c>
      <c r="B6691" s="773" t="s">
        <v>1073</v>
      </c>
      <c r="C6691" s="390">
        <v>2000000</v>
      </c>
      <c r="D6691" s="390">
        <v>2000000</v>
      </c>
      <c r="E6691" s="390">
        <v>2000000</v>
      </c>
      <c r="F6691" s="390">
        <f t="shared" si="541"/>
        <v>6000000</v>
      </c>
      <c r="G6691" s="390">
        <v>321500</v>
      </c>
      <c r="H6691" s="390">
        <v>2000000</v>
      </c>
      <c r="I6691" s="390">
        <v>1186000</v>
      </c>
      <c r="J6691" s="390"/>
      <c r="K6691" s="734"/>
      <c r="M6691" s="62" t="e">
        <f>IF(#REF!&gt;6,3,5)</f>
        <v>#REF!</v>
      </c>
    </row>
    <row r="6692" spans="1:13">
      <c r="A6692" s="768">
        <f t="shared" si="540"/>
        <v>8</v>
      </c>
      <c r="B6692" s="773" t="s">
        <v>165</v>
      </c>
      <c r="C6692" s="390" t="s">
        <v>1386</v>
      </c>
      <c r="D6692" s="390" t="s">
        <v>1386</v>
      </c>
      <c r="E6692" s="390" t="s">
        <v>1386</v>
      </c>
      <c r="F6692" s="390">
        <f t="shared" si="541"/>
        <v>0</v>
      </c>
      <c r="G6692" s="390"/>
      <c r="H6692" s="390" t="s">
        <v>1386</v>
      </c>
      <c r="I6692" s="390"/>
      <c r="J6692" s="390"/>
      <c r="K6692" s="734"/>
      <c r="M6692" s="62" t="e">
        <f>IF(#REF!&gt;6,3,5)</f>
        <v>#REF!</v>
      </c>
    </row>
    <row r="6693" spans="1:13">
      <c r="A6693" s="768">
        <f t="shared" si="540"/>
        <v>9</v>
      </c>
      <c r="B6693" s="773" t="s">
        <v>2061</v>
      </c>
      <c r="C6693" s="390" t="s">
        <v>1386</v>
      </c>
      <c r="D6693" s="390" t="s">
        <v>1386</v>
      </c>
      <c r="E6693" s="390" t="s">
        <v>1386</v>
      </c>
      <c r="F6693" s="390">
        <f t="shared" si="541"/>
        <v>0</v>
      </c>
      <c r="G6693" s="390"/>
      <c r="H6693" s="390" t="s">
        <v>1386</v>
      </c>
      <c r="I6693" s="390"/>
      <c r="J6693" s="390"/>
      <c r="K6693" s="734"/>
      <c r="M6693" s="62" t="e">
        <f>IF(#REF!&gt;6,3,5)</f>
        <v>#REF!</v>
      </c>
    </row>
    <row r="6694" spans="1:13">
      <c r="A6694" s="768">
        <f t="shared" si="540"/>
        <v>10</v>
      </c>
      <c r="B6694" s="773" t="s">
        <v>1716</v>
      </c>
      <c r="C6694" s="390">
        <v>1000000</v>
      </c>
      <c r="D6694" s="390">
        <v>600000</v>
      </c>
      <c r="E6694" s="390">
        <v>600000</v>
      </c>
      <c r="F6694" s="390">
        <f t="shared" si="541"/>
        <v>2200000</v>
      </c>
      <c r="G6694" s="390">
        <v>480000</v>
      </c>
      <c r="H6694" s="390">
        <v>600000</v>
      </c>
      <c r="I6694" s="390">
        <v>0</v>
      </c>
      <c r="J6694" s="390"/>
      <c r="K6694" s="734"/>
      <c r="M6694" s="62" t="e">
        <f>IF(#REF!&gt;6,3,5)</f>
        <v>#REF!</v>
      </c>
    </row>
    <row r="6695" spans="1:13" ht="25.5">
      <c r="A6695" s="768">
        <f t="shared" si="540"/>
        <v>11</v>
      </c>
      <c r="B6695" s="773" t="s">
        <v>764</v>
      </c>
      <c r="C6695" s="390">
        <v>100000</v>
      </c>
      <c r="D6695" s="390">
        <v>500000</v>
      </c>
      <c r="E6695" s="390">
        <v>500000</v>
      </c>
      <c r="F6695" s="390">
        <f t="shared" si="541"/>
        <v>1100000</v>
      </c>
      <c r="G6695" s="390">
        <v>304200</v>
      </c>
      <c r="H6695" s="390">
        <v>500000</v>
      </c>
      <c r="I6695" s="390">
        <v>397630</v>
      </c>
      <c r="J6695" s="390"/>
      <c r="K6695" s="734"/>
      <c r="M6695" s="62" t="e">
        <f>IF(#REF!&gt;6,3,5)</f>
        <v>#REF!</v>
      </c>
    </row>
    <row r="6696" spans="1:13">
      <c r="A6696" s="768">
        <f t="shared" si="540"/>
        <v>12</v>
      </c>
      <c r="B6696" s="773" t="s">
        <v>2688</v>
      </c>
      <c r="C6696" s="390">
        <v>2500000</v>
      </c>
      <c r="D6696" s="390">
        <v>3200000</v>
      </c>
      <c r="E6696" s="390">
        <v>3200000</v>
      </c>
      <c r="F6696" s="390">
        <f t="shared" si="541"/>
        <v>8900000</v>
      </c>
      <c r="G6696" s="390">
        <v>1613071</v>
      </c>
      <c r="H6696" s="390">
        <v>3200000</v>
      </c>
      <c r="I6696" s="390">
        <v>2699631.4</v>
      </c>
      <c r="J6696" s="390"/>
      <c r="K6696" s="734"/>
      <c r="M6696" s="62" t="e">
        <f>IF(#REF!&gt;6,3,5)</f>
        <v>#REF!</v>
      </c>
    </row>
    <row r="6697" spans="1:13">
      <c r="A6697" s="768">
        <f t="shared" si="540"/>
        <v>13</v>
      </c>
      <c r="B6697" s="773" t="s">
        <v>2249</v>
      </c>
      <c r="C6697" s="390">
        <v>100000</v>
      </c>
      <c r="D6697" s="390">
        <v>100000</v>
      </c>
      <c r="E6697" s="390">
        <v>100000</v>
      </c>
      <c r="F6697" s="390">
        <f t="shared" si="541"/>
        <v>300000</v>
      </c>
      <c r="G6697" s="390">
        <v>470000</v>
      </c>
      <c r="H6697" s="390">
        <v>100000</v>
      </c>
      <c r="I6697" s="390">
        <v>0</v>
      </c>
      <c r="J6697" s="390"/>
      <c r="K6697" s="734"/>
      <c r="M6697" s="62" t="e">
        <f>IF(#REF!&gt;6,3,5)</f>
        <v>#REF!</v>
      </c>
    </row>
    <row r="6698" spans="1:13">
      <c r="A6698" s="768">
        <f t="shared" si="540"/>
        <v>14</v>
      </c>
      <c r="B6698" s="773" t="s">
        <v>1683</v>
      </c>
      <c r="C6698" s="390">
        <v>1000000</v>
      </c>
      <c r="D6698" s="390">
        <v>700000</v>
      </c>
      <c r="E6698" s="390">
        <v>700000</v>
      </c>
      <c r="F6698" s="390">
        <f t="shared" si="541"/>
        <v>2400000</v>
      </c>
      <c r="G6698" s="390"/>
      <c r="H6698" s="390">
        <v>700000</v>
      </c>
      <c r="I6698" s="390">
        <v>58600</v>
      </c>
      <c r="J6698" s="390"/>
      <c r="K6698" s="734"/>
      <c r="M6698" s="62" t="e">
        <f>IF(#REF!&gt;6,3,5)</f>
        <v>#REF!</v>
      </c>
    </row>
    <row r="6699" spans="1:13">
      <c r="A6699" s="768">
        <f t="shared" si="540"/>
        <v>15</v>
      </c>
      <c r="B6699" s="773" t="s">
        <v>167</v>
      </c>
      <c r="C6699" s="390" t="s">
        <v>1386</v>
      </c>
      <c r="D6699" s="390" t="s">
        <v>1386</v>
      </c>
      <c r="E6699" s="390" t="s">
        <v>1386</v>
      </c>
      <c r="F6699" s="390">
        <f t="shared" si="541"/>
        <v>0</v>
      </c>
      <c r="G6699" s="390"/>
      <c r="H6699" s="390" t="s">
        <v>1386</v>
      </c>
      <c r="I6699" s="390"/>
      <c r="J6699" s="390"/>
      <c r="K6699" s="734"/>
      <c r="M6699" s="62" t="e">
        <f>IF(#REF!&gt;6,3,5)</f>
        <v>#REF!</v>
      </c>
    </row>
    <row r="6700" spans="1:13" ht="25.5">
      <c r="A6700" s="768">
        <f t="shared" si="540"/>
        <v>16</v>
      </c>
      <c r="B6700" s="773" t="s">
        <v>1772</v>
      </c>
      <c r="C6700" s="390">
        <v>1000000</v>
      </c>
      <c r="D6700" s="390">
        <v>400000</v>
      </c>
      <c r="E6700" s="390">
        <v>400000</v>
      </c>
      <c r="F6700" s="390">
        <f t="shared" si="541"/>
        <v>1800000</v>
      </c>
      <c r="G6700" s="390">
        <v>251000</v>
      </c>
      <c r="H6700" s="390">
        <v>400000</v>
      </c>
      <c r="I6700" s="390">
        <v>0</v>
      </c>
      <c r="J6700" s="390"/>
      <c r="K6700" s="734"/>
      <c r="M6700" s="62" t="e">
        <f>IF(#REF!&gt;6,3,5)</f>
        <v>#REF!</v>
      </c>
    </row>
    <row r="6701" spans="1:13">
      <c r="A6701" s="768"/>
      <c r="B6701" s="768"/>
      <c r="C6701" s="390"/>
      <c r="D6701" s="390"/>
      <c r="E6701" s="390"/>
      <c r="F6701" s="390"/>
      <c r="G6701" s="390"/>
      <c r="H6701" s="390"/>
      <c r="I6701" s="390"/>
      <c r="J6701" s="390"/>
      <c r="K6701" s="734"/>
      <c r="M6701" s="62" t="e">
        <f>IF(#REF!&gt;6,3,5)</f>
        <v>#REF!</v>
      </c>
    </row>
    <row r="6702" spans="1:13">
      <c r="A6702" s="770"/>
      <c r="B6702" s="770" t="s">
        <v>2241</v>
      </c>
      <c r="C6702" s="739">
        <f t="shared" ref="C6702:I6702" si="542">SUM(C6685:C6701)</f>
        <v>12500000</v>
      </c>
      <c r="D6702" s="739">
        <f t="shared" si="542"/>
        <v>12000000</v>
      </c>
      <c r="E6702" s="739">
        <f t="shared" si="542"/>
        <v>12000000</v>
      </c>
      <c r="F6702" s="739">
        <f t="shared" si="542"/>
        <v>36500000</v>
      </c>
      <c r="G6702" s="739">
        <f>SUM(G6685:G6701)</f>
        <v>4878371</v>
      </c>
      <c r="H6702" s="739">
        <f t="shared" si="542"/>
        <v>12000000</v>
      </c>
      <c r="I6702" s="739">
        <f t="shared" si="542"/>
        <v>7459636.4000000004</v>
      </c>
      <c r="J6702" s="739"/>
      <c r="K6702" s="740"/>
      <c r="M6702" s="62" t="e">
        <f>IF(#REF!&gt;6,3,5)</f>
        <v>#REF!</v>
      </c>
    </row>
    <row r="6703" spans="1:13" ht="15">
      <c r="C6703" s="175"/>
      <c r="D6703" s="164" t="s">
        <v>5434</v>
      </c>
      <c r="E6703" s="165"/>
      <c r="F6703" s="165"/>
      <c r="G6703" s="165"/>
      <c r="H6703" s="165"/>
      <c r="I6703" s="165"/>
      <c r="J6703" s="584"/>
      <c r="K6703" s="584"/>
      <c r="M6703" s="62">
        <f t="shared" ref="M6703:M6749" si="543">IF(C6703&gt;6,3,5)</f>
        <v>5</v>
      </c>
    </row>
    <row r="6704" spans="1:13" ht="15">
      <c r="C6704" s="163"/>
      <c r="D6704" s="164" t="s">
        <v>1693</v>
      </c>
      <c r="E6704" s="165"/>
      <c r="F6704" s="165"/>
      <c r="G6704" s="165"/>
      <c r="H6704" s="165"/>
      <c r="I6704" s="165"/>
      <c r="J6704" s="584"/>
      <c r="K6704" s="584"/>
      <c r="M6704" s="62">
        <f t="shared" si="543"/>
        <v>5</v>
      </c>
    </row>
    <row r="6705" spans="1:13" ht="15">
      <c r="C6705" s="79" t="s">
        <v>1811</v>
      </c>
      <c r="D6705" s="164" t="s">
        <v>3717</v>
      </c>
      <c r="E6705" s="165"/>
      <c r="F6705" s="165"/>
      <c r="G6705" s="165"/>
      <c r="H6705" s="165"/>
      <c r="I6705" s="165"/>
      <c r="J6705" s="584"/>
      <c r="K6705" s="584"/>
      <c r="M6705" s="62">
        <f t="shared" si="543"/>
        <v>3</v>
      </c>
    </row>
    <row r="6706" spans="1:13" ht="15.75" thickBot="1">
      <c r="C6706" s="79" t="s">
        <v>3073</v>
      </c>
      <c r="D6706" s="164" t="s">
        <v>2675</v>
      </c>
      <c r="E6706" s="165"/>
      <c r="F6706" s="165"/>
      <c r="G6706" s="165"/>
      <c r="H6706" s="165"/>
      <c r="I6706" s="165"/>
      <c r="J6706" s="584"/>
      <c r="K6706" s="584"/>
      <c r="M6706" s="62">
        <f t="shared" si="543"/>
        <v>3</v>
      </c>
    </row>
    <row r="6707" spans="1:13" ht="15.75" thickTop="1">
      <c r="A6707" s="1047" t="s">
        <v>2791</v>
      </c>
      <c r="B6707" s="1049" t="s">
        <v>4126</v>
      </c>
      <c r="C6707" s="1049" t="s">
        <v>854</v>
      </c>
      <c r="D6707" s="1040" t="s">
        <v>4127</v>
      </c>
      <c r="E6707" s="1041"/>
      <c r="F6707" s="1041"/>
      <c r="G6707" s="1040" t="s">
        <v>904</v>
      </c>
      <c r="H6707" s="1041"/>
      <c r="I6707" s="1042"/>
      <c r="J6707" s="1035" t="s">
        <v>855</v>
      </c>
      <c r="K6707" s="389"/>
    </row>
    <row r="6708" spans="1:13" ht="26.25" thickBot="1">
      <c r="A6708" s="1048"/>
      <c r="B6708" s="1050"/>
      <c r="C6708" s="1050"/>
      <c r="D6708" s="285" t="s">
        <v>5505</v>
      </c>
      <c r="E6708" s="285" t="s">
        <v>4485</v>
      </c>
      <c r="F6708" s="285" t="s">
        <v>4486</v>
      </c>
      <c r="G6708" s="287" t="s">
        <v>4487</v>
      </c>
      <c r="H6708" s="285" t="s">
        <v>4488</v>
      </c>
      <c r="I6708" s="287" t="s">
        <v>4489</v>
      </c>
      <c r="J6708" s="1036"/>
      <c r="K6708" s="712"/>
    </row>
    <row r="6709" spans="1:13" ht="13.5" thickTop="1">
      <c r="A6709" s="88"/>
      <c r="B6709" s="90" t="s">
        <v>800</v>
      </c>
      <c r="C6709" s="167"/>
      <c r="D6709" s="155"/>
      <c r="E6709" s="155"/>
      <c r="F6709" s="155"/>
      <c r="G6709" s="155"/>
      <c r="H6709" s="155"/>
      <c r="I6709" s="155"/>
      <c r="J6709" s="713"/>
      <c r="K6709" s="711"/>
      <c r="M6709" s="62">
        <f t="shared" si="543"/>
        <v>5</v>
      </c>
    </row>
    <row r="6710" spans="1:13">
      <c r="A6710" s="88">
        <v>1</v>
      </c>
      <c r="B6710" s="69" t="s">
        <v>1392</v>
      </c>
      <c r="C6710" s="167">
        <v>7</v>
      </c>
      <c r="D6710" s="155">
        <v>1</v>
      </c>
      <c r="E6710" s="155">
        <v>1</v>
      </c>
      <c r="F6710" s="155">
        <v>1</v>
      </c>
      <c r="G6710" s="155"/>
      <c r="H6710" s="155">
        <v>1</v>
      </c>
      <c r="I6710" s="155"/>
      <c r="J6710" s="710">
        <f>(VLOOKUP($C6710,[2]Sheet1!$A$2:$P$18,$M6710+1)/12)*12*D6710</f>
        <v>307706.70240000007</v>
      </c>
      <c r="K6710" s="711"/>
      <c r="M6710" s="62">
        <f t="shared" si="543"/>
        <v>3</v>
      </c>
    </row>
    <row r="6711" spans="1:13">
      <c r="A6711" s="88">
        <v>2</v>
      </c>
      <c r="B6711" s="69" t="s">
        <v>3718</v>
      </c>
      <c r="C6711" s="167">
        <v>6</v>
      </c>
      <c r="D6711" s="155">
        <v>2</v>
      </c>
      <c r="E6711" s="155">
        <v>3</v>
      </c>
      <c r="F6711" s="155">
        <v>3</v>
      </c>
      <c r="G6711" s="155"/>
      <c r="H6711" s="155">
        <v>3</v>
      </c>
      <c r="I6711" s="155">
        <v>2</v>
      </c>
      <c r="J6711" s="710">
        <f>(VLOOKUP($C6711,[2]Sheet1!$A$2:$P$18,$M6711+1)/12)*12*D6711</f>
        <v>476198.75786072994</v>
      </c>
      <c r="K6711" s="711"/>
      <c r="M6711" s="62">
        <f t="shared" si="543"/>
        <v>5</v>
      </c>
    </row>
    <row r="6712" spans="1:13">
      <c r="A6712" s="88">
        <f t="shared" ref="A6712:A6722" si="544">+A6711+1</f>
        <v>3</v>
      </c>
      <c r="B6712" s="69" t="s">
        <v>3446</v>
      </c>
      <c r="C6712" s="167">
        <v>3</v>
      </c>
      <c r="D6712" s="155"/>
      <c r="E6712" s="155">
        <v>7</v>
      </c>
      <c r="F6712" s="155">
        <v>7</v>
      </c>
      <c r="G6712" s="155"/>
      <c r="H6712" s="155">
        <v>7</v>
      </c>
      <c r="I6712" s="155"/>
      <c r="J6712" s="710">
        <f>(VLOOKUP($C6712,[2]Sheet1!$A$2:$P$18,$M6712+1)/12)*12*D6712</f>
        <v>0</v>
      </c>
      <c r="K6712" s="711"/>
      <c r="M6712" s="62">
        <f t="shared" si="543"/>
        <v>5</v>
      </c>
    </row>
    <row r="6713" spans="1:13">
      <c r="A6713" s="88">
        <f t="shared" si="544"/>
        <v>4</v>
      </c>
      <c r="B6713" s="69" t="s">
        <v>2597</v>
      </c>
      <c r="C6713" s="167">
        <v>4</v>
      </c>
      <c r="D6713" s="155"/>
      <c r="E6713" s="155">
        <v>1</v>
      </c>
      <c r="F6713" s="155">
        <v>1</v>
      </c>
      <c r="G6713" s="155"/>
      <c r="H6713" s="155">
        <v>1</v>
      </c>
      <c r="I6713" s="155"/>
      <c r="J6713" s="710">
        <f>(VLOOKUP($C6713,[2]Sheet1!$A$2:$P$18,$M6713+1)/12)*12*D6713</f>
        <v>0</v>
      </c>
      <c r="K6713" s="711"/>
      <c r="M6713" s="62">
        <f t="shared" si="543"/>
        <v>5</v>
      </c>
    </row>
    <row r="6714" spans="1:13">
      <c r="A6714" s="88"/>
      <c r="B6714" s="69" t="s">
        <v>2597</v>
      </c>
      <c r="C6714" s="167">
        <v>3</v>
      </c>
      <c r="D6714" s="155">
        <v>6</v>
      </c>
      <c r="E6714" s="155">
        <v>6</v>
      </c>
      <c r="F6714" s="155">
        <v>6</v>
      </c>
      <c r="G6714" s="155"/>
      <c r="H6714" s="155">
        <v>6</v>
      </c>
      <c r="I6714" s="155">
        <v>6</v>
      </c>
      <c r="J6714" s="710">
        <f>(VLOOKUP($C6714,[2]Sheet1!$A$2:$P$18,$M6714+1)/12)*12*D6714</f>
        <v>1316017.0735821899</v>
      </c>
      <c r="K6714" s="711"/>
      <c r="M6714" s="62">
        <f t="shared" si="543"/>
        <v>5</v>
      </c>
    </row>
    <row r="6715" spans="1:13">
      <c r="A6715" s="88">
        <f>+A6713+1</f>
        <v>5</v>
      </c>
      <c r="B6715" s="69" t="s">
        <v>3719</v>
      </c>
      <c r="C6715" s="167">
        <v>5</v>
      </c>
      <c r="D6715" s="155">
        <v>0</v>
      </c>
      <c r="E6715" s="155">
        <v>2</v>
      </c>
      <c r="F6715" s="155">
        <v>2</v>
      </c>
      <c r="G6715" s="155"/>
      <c r="H6715" s="155">
        <v>2</v>
      </c>
      <c r="I6715" s="155">
        <v>0</v>
      </c>
      <c r="J6715" s="710">
        <f>(VLOOKUP($C6715,[2]Sheet1!$A$2:$P$18,$M6715+1)/12)*12*D6715</f>
        <v>0</v>
      </c>
      <c r="K6715" s="711"/>
      <c r="M6715" s="62">
        <f t="shared" si="543"/>
        <v>5</v>
      </c>
    </row>
    <row r="6716" spans="1:13">
      <c r="A6716" s="88">
        <f>+A6714+1</f>
        <v>1</v>
      </c>
      <c r="B6716" s="69" t="s">
        <v>3720</v>
      </c>
      <c r="C6716" s="167">
        <v>3</v>
      </c>
      <c r="D6716" s="155">
        <v>2</v>
      </c>
      <c r="E6716" s="155">
        <v>5</v>
      </c>
      <c r="F6716" s="155">
        <v>5</v>
      </c>
      <c r="G6716" s="155"/>
      <c r="H6716" s="155">
        <v>5</v>
      </c>
      <c r="I6716" s="155">
        <v>2</v>
      </c>
      <c r="J6716" s="710">
        <f>(VLOOKUP($C6716,[2]Sheet1!$A$2:$P$18,$M6716+1)/12)*12*D6716</f>
        <v>438672.35786072997</v>
      </c>
      <c r="K6716" s="711"/>
      <c r="M6716" s="62">
        <f>IF(C6716&gt;6,3,5)</f>
        <v>5</v>
      </c>
    </row>
    <row r="6717" spans="1:13">
      <c r="A6717" s="88">
        <f>+A6715+1</f>
        <v>6</v>
      </c>
      <c r="B6717" s="69" t="s">
        <v>3896</v>
      </c>
      <c r="C6717" s="167">
        <v>6</v>
      </c>
      <c r="D6717" s="155"/>
      <c r="E6717" s="155">
        <v>2</v>
      </c>
      <c r="F6717" s="155">
        <v>2</v>
      </c>
      <c r="G6717" s="155"/>
      <c r="H6717" s="155">
        <v>2</v>
      </c>
      <c r="I6717" s="155"/>
      <c r="J6717" s="710">
        <f>(VLOOKUP($C6717,[2]Sheet1!$A$2:$P$18,$M6717+1)/12)*12*D6717</f>
        <v>0</v>
      </c>
      <c r="K6717" s="711"/>
      <c r="M6717" s="62">
        <f t="shared" si="543"/>
        <v>5</v>
      </c>
    </row>
    <row r="6718" spans="1:13">
      <c r="A6718" s="88">
        <f t="shared" si="544"/>
        <v>7</v>
      </c>
      <c r="B6718" s="69" t="s">
        <v>3796</v>
      </c>
      <c r="C6718" s="167">
        <v>3</v>
      </c>
      <c r="D6718" s="155"/>
      <c r="E6718" s="155">
        <v>1</v>
      </c>
      <c r="F6718" s="155">
        <v>1</v>
      </c>
      <c r="G6718" s="155"/>
      <c r="H6718" s="155">
        <v>1</v>
      </c>
      <c r="I6718" s="155"/>
      <c r="J6718" s="710">
        <f>(VLOOKUP($C6718,[2]Sheet1!$A$2:$P$18,$M6718+1)/12)*12*D6718</f>
        <v>0</v>
      </c>
      <c r="K6718" s="711"/>
      <c r="M6718" s="62">
        <f t="shared" si="543"/>
        <v>5</v>
      </c>
    </row>
    <row r="6719" spans="1:13">
      <c r="A6719" s="88">
        <f t="shared" si="544"/>
        <v>8</v>
      </c>
      <c r="B6719" s="69" t="s">
        <v>3675</v>
      </c>
      <c r="C6719" s="167">
        <v>3</v>
      </c>
      <c r="D6719" s="155"/>
      <c r="E6719" s="155">
        <v>1</v>
      </c>
      <c r="F6719" s="155">
        <v>1</v>
      </c>
      <c r="G6719" s="155"/>
      <c r="H6719" s="155">
        <v>1</v>
      </c>
      <c r="I6719" s="155"/>
      <c r="J6719" s="710">
        <f>(VLOOKUP($C6719,[2]Sheet1!$A$2:$P$18,$M6719+1)/12)*12*D6719</f>
        <v>0</v>
      </c>
      <c r="K6719" s="711"/>
      <c r="M6719" s="62">
        <f t="shared" si="543"/>
        <v>5</v>
      </c>
    </row>
    <row r="6720" spans="1:13">
      <c r="A6720" s="88">
        <f>+A6719+1</f>
        <v>9</v>
      </c>
      <c r="B6720" s="69" t="s">
        <v>2172</v>
      </c>
      <c r="C6720" s="167">
        <v>3</v>
      </c>
      <c r="D6720" s="155"/>
      <c r="E6720" s="155">
        <v>1</v>
      </c>
      <c r="F6720" s="155">
        <v>1</v>
      </c>
      <c r="G6720" s="155"/>
      <c r="H6720" s="155">
        <v>1</v>
      </c>
      <c r="I6720" s="155"/>
      <c r="J6720" s="710">
        <f>(VLOOKUP($C6720,[2]Sheet1!$A$2:$P$18,$M6720+1)/12)*12*D6720</f>
        <v>0</v>
      </c>
      <c r="K6720" s="711"/>
      <c r="M6720" s="62">
        <f>IF(C6720&gt;6,3,5)</f>
        <v>5</v>
      </c>
    </row>
    <row r="6721" spans="1:13">
      <c r="A6721" s="88">
        <v>10</v>
      </c>
      <c r="B6721" s="69" t="s">
        <v>2172</v>
      </c>
      <c r="C6721" s="167">
        <v>2</v>
      </c>
      <c r="D6721" s="155">
        <v>2</v>
      </c>
      <c r="E6721" s="155">
        <v>7</v>
      </c>
      <c r="F6721" s="155">
        <v>7</v>
      </c>
      <c r="G6721" s="155"/>
      <c r="H6721" s="155">
        <v>7</v>
      </c>
      <c r="I6721" s="155">
        <v>2</v>
      </c>
      <c r="J6721" s="710">
        <f>(VLOOKUP($C6721,[2]Sheet1!$A$2:$P$18,$M6721+1)/12)*12*D6721</f>
        <v>429314.75786073005</v>
      </c>
      <c r="K6721" s="711"/>
      <c r="M6721" s="62">
        <f t="shared" si="543"/>
        <v>5</v>
      </c>
    </row>
    <row r="6722" spans="1:13">
      <c r="A6722" s="88">
        <f t="shared" si="544"/>
        <v>11</v>
      </c>
      <c r="B6722" s="69" t="s">
        <v>2543</v>
      </c>
      <c r="C6722" s="167">
        <v>3</v>
      </c>
      <c r="D6722" s="155"/>
      <c r="E6722" s="155">
        <v>12</v>
      </c>
      <c r="F6722" s="155">
        <v>12</v>
      </c>
      <c r="G6722" s="155"/>
      <c r="H6722" s="155">
        <v>12</v>
      </c>
      <c r="I6722" s="155"/>
      <c r="J6722" s="710">
        <f>(VLOOKUP($C6722,[2]Sheet1!$A$2:$P$18,$M6722+1)/12)*12*D6722</f>
        <v>0</v>
      </c>
      <c r="K6722" s="711"/>
      <c r="M6722" s="62">
        <f t="shared" si="543"/>
        <v>5</v>
      </c>
    </row>
    <row r="6723" spans="1:13">
      <c r="A6723" s="88">
        <v>12</v>
      </c>
      <c r="B6723" s="69" t="s">
        <v>2543</v>
      </c>
      <c r="C6723" s="167">
        <v>2</v>
      </c>
      <c r="D6723" s="155"/>
      <c r="E6723" s="155">
        <v>7</v>
      </c>
      <c r="F6723" s="155">
        <v>7</v>
      </c>
      <c r="G6723" s="155"/>
      <c r="H6723" s="155">
        <v>7</v>
      </c>
      <c r="I6723" s="155"/>
      <c r="J6723" s="710">
        <f>(VLOOKUP($C6723,[2]Sheet1!$A$2:$P$18,$M6723+1)/12)*12*D6723</f>
        <v>0</v>
      </c>
      <c r="K6723" s="711"/>
      <c r="M6723" s="62">
        <f>IF(C6723&gt;6,3,5)</f>
        <v>5</v>
      </c>
    </row>
    <row r="6724" spans="1:13">
      <c r="A6724" s="88">
        <v>13</v>
      </c>
      <c r="B6724" s="69" t="s">
        <v>3861</v>
      </c>
      <c r="C6724" s="167">
        <v>2</v>
      </c>
      <c r="D6724" s="155">
        <v>8</v>
      </c>
      <c r="E6724" s="155">
        <v>9</v>
      </c>
      <c r="F6724" s="155">
        <v>9</v>
      </c>
      <c r="G6724" s="155"/>
      <c r="H6724" s="155">
        <v>9</v>
      </c>
      <c r="I6724" s="155">
        <v>8</v>
      </c>
      <c r="J6724" s="710">
        <f>(VLOOKUP($C6724,[2]Sheet1!$A$2:$P$18,$M6724+1)/12)*12*D6724</f>
        <v>1717259.0314429202</v>
      </c>
      <c r="K6724" s="711"/>
      <c r="M6724" s="62">
        <f>IF(C6724&gt;6,3,5)</f>
        <v>5</v>
      </c>
    </row>
    <row r="6725" spans="1:13">
      <c r="A6725" s="88"/>
      <c r="B6725" s="90" t="s">
        <v>2521</v>
      </c>
      <c r="C6725" s="167"/>
      <c r="D6725" s="155"/>
      <c r="E6725" s="155"/>
      <c r="F6725" s="155"/>
      <c r="G6725" s="155"/>
      <c r="H6725" s="155"/>
      <c r="I6725" s="155"/>
      <c r="J6725" s="710"/>
      <c r="K6725" s="711"/>
      <c r="M6725" s="62">
        <f t="shared" si="543"/>
        <v>5</v>
      </c>
    </row>
    <row r="6726" spans="1:13">
      <c r="A6726" s="88">
        <v>14</v>
      </c>
      <c r="B6726" s="69" t="s">
        <v>2492</v>
      </c>
      <c r="C6726" s="167">
        <v>7</v>
      </c>
      <c r="D6726" s="155"/>
      <c r="E6726" s="155">
        <v>0</v>
      </c>
      <c r="F6726" s="155">
        <v>0</v>
      </c>
      <c r="G6726" s="155"/>
      <c r="H6726" s="155">
        <v>0</v>
      </c>
      <c r="I6726" s="155"/>
      <c r="J6726" s="710">
        <f>(VLOOKUP($C6726,[2]Sheet1!$A$2:$P$18,$M6726+1)/12)*12*D6726</f>
        <v>0</v>
      </c>
      <c r="K6726" s="711"/>
      <c r="M6726" s="62">
        <f t="shared" si="543"/>
        <v>3</v>
      </c>
    </row>
    <row r="6727" spans="1:13">
      <c r="A6727" s="88">
        <f>+A6726+1</f>
        <v>15</v>
      </c>
      <c r="B6727" s="69" t="s">
        <v>1982</v>
      </c>
      <c r="C6727" s="167">
        <v>6</v>
      </c>
      <c r="D6727" s="155">
        <v>1</v>
      </c>
      <c r="E6727" s="155">
        <v>2</v>
      </c>
      <c r="F6727" s="155">
        <v>2</v>
      </c>
      <c r="G6727" s="155"/>
      <c r="H6727" s="155">
        <v>2</v>
      </c>
      <c r="I6727" s="155">
        <v>1</v>
      </c>
      <c r="J6727" s="710">
        <f>(VLOOKUP($C6727,[2]Sheet1!$A$2:$P$18,$M6727+1)/12)*12*D6727</f>
        <v>238099.37893036497</v>
      </c>
      <c r="K6727" s="711"/>
      <c r="M6727" s="62">
        <f t="shared" si="543"/>
        <v>5</v>
      </c>
    </row>
    <row r="6728" spans="1:13">
      <c r="A6728" s="88">
        <f>+A6727+1</f>
        <v>16</v>
      </c>
      <c r="B6728" s="69" t="s">
        <v>799</v>
      </c>
      <c r="C6728" s="167">
        <v>5</v>
      </c>
      <c r="D6728" s="155"/>
      <c r="E6728" s="155">
        <v>2</v>
      </c>
      <c r="F6728" s="155">
        <v>2</v>
      </c>
      <c r="G6728" s="155"/>
      <c r="H6728" s="155">
        <v>2</v>
      </c>
      <c r="I6728" s="155"/>
      <c r="J6728" s="710">
        <f>(VLOOKUP($C6728,[2]Sheet1!$A$2:$P$18,$M6728+1)/12)*12*D6728</f>
        <v>0</v>
      </c>
      <c r="K6728" s="711"/>
      <c r="M6728" s="62">
        <f t="shared" si="543"/>
        <v>5</v>
      </c>
    </row>
    <row r="6729" spans="1:13">
      <c r="A6729" s="88">
        <f>+A6728+1</f>
        <v>17</v>
      </c>
      <c r="B6729" s="69" t="s">
        <v>2360</v>
      </c>
      <c r="C6729" s="167">
        <v>3</v>
      </c>
      <c r="D6729" s="155">
        <v>2</v>
      </c>
      <c r="E6729" s="155">
        <v>1</v>
      </c>
      <c r="F6729" s="155">
        <v>1</v>
      </c>
      <c r="G6729" s="155"/>
      <c r="H6729" s="155">
        <v>1</v>
      </c>
      <c r="I6729" s="155">
        <v>2</v>
      </c>
      <c r="J6729" s="710">
        <f>(VLOOKUP($C6729,[2]Sheet1!$A$2:$P$18,$M6729+1)/12)*12*D6729</f>
        <v>438672.35786072997</v>
      </c>
      <c r="K6729" s="711"/>
      <c r="M6729" s="62">
        <f t="shared" si="543"/>
        <v>5</v>
      </c>
    </row>
    <row r="6730" spans="1:13">
      <c r="A6730" s="88"/>
      <c r="B6730" s="90" t="s">
        <v>3857</v>
      </c>
      <c r="C6730" s="167"/>
      <c r="D6730" s="155"/>
      <c r="E6730" s="155"/>
      <c r="F6730" s="155"/>
      <c r="G6730" s="155"/>
      <c r="H6730" s="155"/>
      <c r="I6730" s="155"/>
      <c r="J6730" s="710"/>
      <c r="K6730" s="711"/>
      <c r="M6730" s="62">
        <f t="shared" si="543"/>
        <v>5</v>
      </c>
    </row>
    <row r="6731" spans="1:13">
      <c r="A6731" s="88">
        <f>+A6729+1</f>
        <v>18</v>
      </c>
      <c r="B6731" s="69" t="s">
        <v>3447</v>
      </c>
      <c r="C6731" s="167">
        <v>6</v>
      </c>
      <c r="D6731" s="155"/>
      <c r="E6731" s="155">
        <v>1</v>
      </c>
      <c r="F6731" s="155">
        <v>1</v>
      </c>
      <c r="G6731" s="155"/>
      <c r="H6731" s="155">
        <v>1</v>
      </c>
      <c r="I6731" s="155"/>
      <c r="J6731" s="710">
        <f>(VLOOKUP($C6731,[2]Sheet1!$A$2:$P$18,$M6731+1)/12)*12*D6731</f>
        <v>0</v>
      </c>
      <c r="K6731" s="711"/>
      <c r="M6731" s="62">
        <f t="shared" si="543"/>
        <v>5</v>
      </c>
    </row>
    <row r="6732" spans="1:13">
      <c r="A6732" s="88">
        <f>+A6731+1</f>
        <v>19</v>
      </c>
      <c r="B6732" s="69" t="s">
        <v>2416</v>
      </c>
      <c r="C6732" s="167">
        <v>5</v>
      </c>
      <c r="D6732" s="155"/>
      <c r="E6732" s="155">
        <v>0</v>
      </c>
      <c r="F6732" s="155">
        <v>0</v>
      </c>
      <c r="G6732" s="155"/>
      <c r="H6732" s="155">
        <v>0</v>
      </c>
      <c r="I6732" s="155"/>
      <c r="J6732" s="710">
        <f>(VLOOKUP($C6732,[2]Sheet1!$A$2:$P$18,$M6732+1)/12)*12*D6732</f>
        <v>0</v>
      </c>
      <c r="K6732" s="711"/>
      <c r="M6732" s="62">
        <f t="shared" si="543"/>
        <v>5</v>
      </c>
    </row>
    <row r="6733" spans="1:13">
      <c r="A6733" s="88">
        <f>+A6732+1</f>
        <v>20</v>
      </c>
      <c r="B6733" s="69" t="s">
        <v>3877</v>
      </c>
      <c r="C6733" s="167">
        <v>4</v>
      </c>
      <c r="D6733" s="155"/>
      <c r="E6733" s="155">
        <v>1</v>
      </c>
      <c r="F6733" s="155">
        <v>1</v>
      </c>
      <c r="G6733" s="155"/>
      <c r="H6733" s="155">
        <v>1</v>
      </c>
      <c r="I6733" s="155"/>
      <c r="J6733" s="710">
        <f>(VLOOKUP($C6733,[2]Sheet1!$A$2:$P$18,$M6733+1)/12)*12*D6733</f>
        <v>0</v>
      </c>
      <c r="K6733" s="711"/>
      <c r="M6733" s="62">
        <f t="shared" si="543"/>
        <v>5</v>
      </c>
    </row>
    <row r="6734" spans="1:13">
      <c r="A6734" s="88">
        <f>+A6733+1</f>
        <v>21</v>
      </c>
      <c r="B6734" s="69" t="s">
        <v>3721</v>
      </c>
      <c r="C6734" s="167">
        <v>7</v>
      </c>
      <c r="D6734" s="155">
        <v>0</v>
      </c>
      <c r="E6734" s="155">
        <v>0</v>
      </c>
      <c r="F6734" s="155">
        <v>0</v>
      </c>
      <c r="G6734" s="155"/>
      <c r="H6734" s="155">
        <v>0</v>
      </c>
      <c r="I6734" s="155"/>
      <c r="J6734" s="710">
        <f>(VLOOKUP($C6734,[2]Sheet1!$A$2:$P$18,$M6734+1)/12)*12*D6734</f>
        <v>0</v>
      </c>
      <c r="K6734" s="711"/>
      <c r="M6734" s="62">
        <f t="shared" si="543"/>
        <v>3</v>
      </c>
    </row>
    <row r="6735" spans="1:13">
      <c r="A6735" s="88">
        <f>+A6734+1</f>
        <v>22</v>
      </c>
      <c r="B6735" s="69" t="s">
        <v>3722</v>
      </c>
      <c r="C6735" s="167">
        <v>5</v>
      </c>
      <c r="D6735" s="155">
        <v>0</v>
      </c>
      <c r="E6735" s="155">
        <v>0</v>
      </c>
      <c r="F6735" s="155">
        <v>0</v>
      </c>
      <c r="G6735" s="155"/>
      <c r="H6735" s="155">
        <v>0</v>
      </c>
      <c r="I6735" s="155"/>
      <c r="J6735" s="710">
        <f>(VLOOKUP($C6735,[2]Sheet1!$A$2:$P$18,$M6735+1)/12)*12*D6735</f>
        <v>0</v>
      </c>
      <c r="K6735" s="711"/>
      <c r="M6735" s="62">
        <f t="shared" si="543"/>
        <v>5</v>
      </c>
    </row>
    <row r="6736" spans="1:13">
      <c r="A6736" s="88"/>
      <c r="B6736" s="90" t="s">
        <v>1585</v>
      </c>
      <c r="C6736" s="167"/>
      <c r="D6736" s="155"/>
      <c r="E6736" s="155"/>
      <c r="F6736" s="155"/>
      <c r="G6736" s="155"/>
      <c r="H6736" s="155"/>
      <c r="I6736" s="155"/>
      <c r="J6736" s="710"/>
      <c r="K6736" s="711"/>
      <c r="M6736" s="62">
        <f t="shared" si="543"/>
        <v>5</v>
      </c>
    </row>
    <row r="6737" spans="1:13">
      <c r="A6737" s="88">
        <f>+A6735+1</f>
        <v>23</v>
      </c>
      <c r="B6737" s="69" t="s">
        <v>3532</v>
      </c>
      <c r="C6737" s="167">
        <v>16</v>
      </c>
      <c r="D6737" s="155">
        <v>0</v>
      </c>
      <c r="E6737" s="155">
        <v>0</v>
      </c>
      <c r="F6737" s="155">
        <v>0</v>
      </c>
      <c r="G6737" s="155"/>
      <c r="H6737" s="155">
        <v>0</v>
      </c>
      <c r="I6737" s="155"/>
      <c r="J6737" s="710">
        <f>(VLOOKUP($C6737,[2]Sheet1!$A$2:$P$18,$M6737+1)/12)*12*D6737</f>
        <v>0</v>
      </c>
      <c r="K6737" s="711"/>
      <c r="M6737" s="62">
        <f t="shared" si="543"/>
        <v>3</v>
      </c>
    </row>
    <row r="6738" spans="1:13">
      <c r="A6738" s="88">
        <f t="shared" ref="A6738:A6745" si="545">+A6737+1</f>
        <v>24</v>
      </c>
      <c r="B6738" s="69" t="s">
        <v>1256</v>
      </c>
      <c r="C6738" s="167">
        <v>15</v>
      </c>
      <c r="D6738" s="155">
        <v>0</v>
      </c>
      <c r="E6738" s="155">
        <v>0</v>
      </c>
      <c r="F6738" s="155">
        <v>0</v>
      </c>
      <c r="G6738" s="155"/>
      <c r="H6738" s="155">
        <v>0</v>
      </c>
      <c r="I6738" s="155"/>
      <c r="J6738" s="710">
        <f>(VLOOKUP($C6738,[2]Sheet1!$A$2:$P$18,$M6738+1)/12)*12*D6738</f>
        <v>0</v>
      </c>
      <c r="K6738" s="711"/>
      <c r="M6738" s="62">
        <f t="shared" si="543"/>
        <v>3</v>
      </c>
    </row>
    <row r="6739" spans="1:13">
      <c r="A6739" s="88">
        <f t="shared" si="545"/>
        <v>25</v>
      </c>
      <c r="B6739" s="69" t="s">
        <v>3533</v>
      </c>
      <c r="C6739" s="167">
        <v>14</v>
      </c>
      <c r="D6739" s="155">
        <v>1</v>
      </c>
      <c r="E6739" s="155">
        <v>1</v>
      </c>
      <c r="F6739" s="155">
        <v>1</v>
      </c>
      <c r="G6739" s="155"/>
      <c r="H6739" s="155">
        <v>1</v>
      </c>
      <c r="I6739" s="155">
        <v>0</v>
      </c>
      <c r="J6739" s="710">
        <f>(VLOOKUP($C6739,[2]Sheet1!$A$2:$P$18,$M6739+1)/12)*12*D6739</f>
        <v>669099.40824000002</v>
      </c>
      <c r="K6739" s="711"/>
      <c r="M6739" s="62">
        <f t="shared" si="543"/>
        <v>3</v>
      </c>
    </row>
    <row r="6740" spans="1:13">
      <c r="A6740" s="88">
        <f t="shared" si="545"/>
        <v>26</v>
      </c>
      <c r="B6740" s="69" t="s">
        <v>2325</v>
      </c>
      <c r="C6740" s="167">
        <v>13</v>
      </c>
      <c r="D6740" s="155">
        <v>1</v>
      </c>
      <c r="E6740" s="155">
        <v>1</v>
      </c>
      <c r="F6740" s="155">
        <v>1</v>
      </c>
      <c r="G6740" s="155"/>
      <c r="H6740" s="155">
        <v>1</v>
      </c>
      <c r="I6740" s="155"/>
      <c r="J6740" s="710">
        <f>(VLOOKUP($C6740,[2]Sheet1!$A$2:$P$18,$M6740+1)/12)*12*D6740</f>
        <v>628759.53804000001</v>
      </c>
      <c r="K6740" s="711"/>
      <c r="M6740" s="62">
        <f t="shared" si="543"/>
        <v>3</v>
      </c>
    </row>
    <row r="6741" spans="1:13">
      <c r="A6741" s="88">
        <f t="shared" si="545"/>
        <v>27</v>
      </c>
      <c r="B6741" s="69" t="s">
        <v>3969</v>
      </c>
      <c r="C6741" s="167">
        <v>12</v>
      </c>
      <c r="D6741" s="155">
        <v>1</v>
      </c>
      <c r="E6741" s="155">
        <v>1</v>
      </c>
      <c r="F6741" s="155">
        <v>1</v>
      </c>
      <c r="G6741" s="155"/>
      <c r="H6741" s="155">
        <v>1</v>
      </c>
      <c r="I6741" s="155"/>
      <c r="J6741" s="710">
        <f>(VLOOKUP($C6741,[2]Sheet1!$A$2:$P$18,$M6741+1)/12)*12*D6741</f>
        <v>552685.0537200002</v>
      </c>
      <c r="K6741" s="711"/>
      <c r="M6741" s="62">
        <f t="shared" si="543"/>
        <v>3</v>
      </c>
    </row>
    <row r="6742" spans="1:13">
      <c r="A6742" s="88">
        <f t="shared" si="545"/>
        <v>28</v>
      </c>
      <c r="B6742" s="69" t="s">
        <v>1587</v>
      </c>
      <c r="C6742" s="167">
        <v>8</v>
      </c>
      <c r="D6742" s="155">
        <v>1</v>
      </c>
      <c r="E6742" s="155">
        <v>1</v>
      </c>
      <c r="F6742" s="155">
        <v>1</v>
      </c>
      <c r="G6742" s="155"/>
      <c r="H6742" s="155">
        <v>1</v>
      </c>
      <c r="I6742" s="155"/>
      <c r="J6742" s="710">
        <f>(VLOOKUP($C6742,[2]Sheet1!$A$2:$P$18,$M6742+1)/12)*12*D6742</f>
        <v>342141.27408</v>
      </c>
      <c r="K6742" s="711"/>
      <c r="M6742" s="62">
        <f t="shared" si="543"/>
        <v>3</v>
      </c>
    </row>
    <row r="6743" spans="1:13">
      <c r="A6743" s="88">
        <f t="shared" si="545"/>
        <v>29</v>
      </c>
      <c r="B6743" s="69" t="s">
        <v>1262</v>
      </c>
      <c r="C6743" s="167">
        <v>9</v>
      </c>
      <c r="D6743" s="155">
        <v>3</v>
      </c>
      <c r="E6743" s="155">
        <v>3</v>
      </c>
      <c r="F6743" s="155">
        <v>3</v>
      </c>
      <c r="G6743" s="155"/>
      <c r="H6743" s="155">
        <v>3</v>
      </c>
      <c r="I6743" s="155"/>
      <c r="J6743" s="710">
        <f>(VLOOKUP($C6743,[2]Sheet1!$A$2:$P$18,$M6743+1)/12)*12*D6743</f>
        <v>1229045.7185999998</v>
      </c>
      <c r="K6743" s="711"/>
      <c r="M6743" s="62">
        <f t="shared" si="543"/>
        <v>3</v>
      </c>
    </row>
    <row r="6744" spans="1:13">
      <c r="A6744" s="88">
        <f t="shared" si="545"/>
        <v>30</v>
      </c>
      <c r="B6744" s="69" t="s">
        <v>3972</v>
      </c>
      <c r="C6744" s="167">
        <v>7</v>
      </c>
      <c r="D6744" s="155">
        <v>5</v>
      </c>
      <c r="E6744" s="155">
        <v>5</v>
      </c>
      <c r="F6744" s="155">
        <v>5</v>
      </c>
      <c r="G6744" s="155"/>
      <c r="H6744" s="155">
        <v>5</v>
      </c>
      <c r="I6744" s="155"/>
      <c r="J6744" s="710">
        <f>(VLOOKUP($C6744,[2]Sheet1!$A$2:$P$18,$M6744+1)/12)*12*D6744</f>
        <v>1538533.5120000003</v>
      </c>
      <c r="K6744" s="711"/>
      <c r="M6744" s="62">
        <f t="shared" si="543"/>
        <v>3</v>
      </c>
    </row>
    <row r="6745" spans="1:13" ht="13.5" thickBot="1">
      <c r="A6745" s="88">
        <f t="shared" si="545"/>
        <v>31</v>
      </c>
      <c r="B6745" s="69" t="s">
        <v>3974</v>
      </c>
      <c r="C6745" s="167">
        <v>6</v>
      </c>
      <c r="D6745" s="155">
        <v>7</v>
      </c>
      <c r="E6745" s="155">
        <v>7</v>
      </c>
      <c r="F6745" s="155">
        <v>7</v>
      </c>
      <c r="G6745" s="155"/>
      <c r="H6745" s="155">
        <v>7</v>
      </c>
      <c r="I6745" s="155"/>
      <c r="J6745" s="710">
        <f>(VLOOKUP($C6745,[2]Sheet1!$A$2:$P$18,$M6745+1)/12)*12*D6745</f>
        <v>1666695.6525125548</v>
      </c>
      <c r="K6745" s="711"/>
      <c r="M6745" s="62">
        <f t="shared" si="543"/>
        <v>5</v>
      </c>
    </row>
    <row r="6746" spans="1:13" ht="15.75" thickTop="1">
      <c r="A6746" s="1047" t="s">
        <v>2791</v>
      </c>
      <c r="B6746" s="1049" t="s">
        <v>4126</v>
      </c>
      <c r="C6746" s="1049" t="s">
        <v>854</v>
      </c>
      <c r="D6746" s="1040" t="s">
        <v>4127</v>
      </c>
      <c r="E6746" s="1041"/>
      <c r="F6746" s="1041"/>
      <c r="G6746" s="1040" t="s">
        <v>904</v>
      </c>
      <c r="H6746" s="1041"/>
      <c r="I6746" s="1042"/>
      <c r="J6746" s="1035" t="s">
        <v>855</v>
      </c>
      <c r="K6746" s="389"/>
    </row>
    <row r="6747" spans="1:13" ht="26.25" thickBot="1">
      <c r="A6747" s="1048"/>
      <c r="B6747" s="1050"/>
      <c r="C6747" s="1050"/>
      <c r="D6747" s="285" t="s">
        <v>5505</v>
      </c>
      <c r="E6747" s="285" t="s">
        <v>4485</v>
      </c>
      <c r="F6747" s="285" t="s">
        <v>4486</v>
      </c>
      <c r="G6747" s="287" t="s">
        <v>4487</v>
      </c>
      <c r="H6747" s="285" t="s">
        <v>4488</v>
      </c>
      <c r="I6747" s="287" t="s">
        <v>4489</v>
      </c>
      <c r="J6747" s="1036"/>
      <c r="K6747" s="712"/>
    </row>
    <row r="6748" spans="1:13" ht="13.5" thickTop="1">
      <c r="A6748" s="88">
        <f>+A6745+1</f>
        <v>32</v>
      </c>
      <c r="B6748" s="69" t="s">
        <v>1141</v>
      </c>
      <c r="C6748" s="167">
        <v>3</v>
      </c>
      <c r="D6748" s="155">
        <v>8</v>
      </c>
      <c r="E6748" s="155">
        <v>8</v>
      </c>
      <c r="F6748" s="155">
        <v>8</v>
      </c>
      <c r="G6748" s="155"/>
      <c r="H6748" s="155">
        <v>8</v>
      </c>
      <c r="I6748" s="155"/>
      <c r="J6748" s="710">
        <f>(VLOOKUP($C6748,[2]Sheet1!$A$2:$P$18,$M6748+1)/12)*12*D6748</f>
        <v>1754689.4314429199</v>
      </c>
      <c r="K6748" s="711"/>
      <c r="M6748" s="62">
        <f t="shared" si="543"/>
        <v>5</v>
      </c>
    </row>
    <row r="6749" spans="1:13">
      <c r="A6749" s="88">
        <f>+A6748+1</f>
        <v>33</v>
      </c>
      <c r="B6749" s="69" t="s">
        <v>3270</v>
      </c>
      <c r="C6749" s="167">
        <v>12</v>
      </c>
      <c r="D6749" s="155">
        <v>6</v>
      </c>
      <c r="E6749" s="155">
        <v>6</v>
      </c>
      <c r="F6749" s="155">
        <v>6</v>
      </c>
      <c r="G6749" s="155"/>
      <c r="H6749" s="155">
        <v>6</v>
      </c>
      <c r="I6749" s="155"/>
      <c r="J6749" s="710">
        <f>(VLOOKUP($C6749,[2]Sheet1!$A$2:$P$18,$M6749+1)/12)*12*D6749</f>
        <v>3316110.3223200012</v>
      </c>
      <c r="K6749" s="711"/>
      <c r="M6749" s="62">
        <f t="shared" si="543"/>
        <v>3</v>
      </c>
    </row>
    <row r="6750" spans="1:13">
      <c r="A6750" s="88"/>
      <c r="B6750" s="90" t="s">
        <v>2829</v>
      </c>
      <c r="C6750" s="167"/>
      <c r="D6750" s="155"/>
      <c r="E6750" s="155"/>
      <c r="F6750" s="155"/>
      <c r="G6750" s="155"/>
      <c r="H6750" s="155"/>
      <c r="I6750" s="155"/>
      <c r="J6750" s="710"/>
      <c r="K6750" s="711"/>
      <c r="M6750" s="62">
        <f t="shared" ref="M6750:M6827" si="546">IF(C6750&gt;6,3,5)</f>
        <v>5</v>
      </c>
    </row>
    <row r="6751" spans="1:13">
      <c r="A6751" s="88">
        <f>+A6749+1</f>
        <v>34</v>
      </c>
      <c r="B6751" s="69" t="s">
        <v>1590</v>
      </c>
      <c r="C6751" s="167">
        <v>15</v>
      </c>
      <c r="D6751" s="155">
        <v>1</v>
      </c>
      <c r="E6751" s="155">
        <v>1</v>
      </c>
      <c r="F6751" s="155">
        <v>1</v>
      </c>
      <c r="G6751" s="155"/>
      <c r="H6751" s="155">
        <v>1</v>
      </c>
      <c r="I6751" s="155"/>
      <c r="J6751" s="710">
        <f>(VLOOKUP($C6751,[2]Sheet1!$A$2:$P$18,$M6751+1)/12)*12*D6751</f>
        <v>658331.89992</v>
      </c>
      <c r="K6751" s="711"/>
      <c r="M6751" s="62">
        <f t="shared" si="546"/>
        <v>3</v>
      </c>
    </row>
    <row r="6752" spans="1:13">
      <c r="A6752" s="88">
        <f t="shared" ref="A6752:A6761" si="547">+A6751+1</f>
        <v>35</v>
      </c>
      <c r="B6752" s="69" t="s">
        <v>2138</v>
      </c>
      <c r="C6752" s="167">
        <v>14</v>
      </c>
      <c r="D6752" s="155">
        <v>1</v>
      </c>
      <c r="E6752" s="155">
        <v>1</v>
      </c>
      <c r="F6752" s="155">
        <v>1</v>
      </c>
      <c r="G6752" s="155"/>
      <c r="H6752" s="155">
        <v>1</v>
      </c>
      <c r="I6752" s="155"/>
      <c r="J6752" s="710">
        <f>(VLOOKUP($C6752,[2]Sheet1!$A$2:$P$18,$M6752+1)/12)*12*D6752</f>
        <v>669099.40824000002</v>
      </c>
      <c r="K6752" s="711"/>
      <c r="M6752" s="62">
        <f t="shared" si="546"/>
        <v>3</v>
      </c>
    </row>
    <row r="6753" spans="1:13">
      <c r="A6753" s="88">
        <f t="shared" si="547"/>
        <v>36</v>
      </c>
      <c r="B6753" s="69" t="s">
        <v>2292</v>
      </c>
      <c r="C6753" s="167">
        <v>13</v>
      </c>
      <c r="D6753" s="155">
        <v>2</v>
      </c>
      <c r="E6753" s="155">
        <v>2</v>
      </c>
      <c r="F6753" s="155">
        <v>2</v>
      </c>
      <c r="G6753" s="155"/>
      <c r="H6753" s="155">
        <v>2</v>
      </c>
      <c r="I6753" s="155"/>
      <c r="J6753" s="710">
        <f>(VLOOKUP($C6753,[2]Sheet1!$A$2:$P$18,$M6753+1)/12)*12*D6753</f>
        <v>1257519.07608</v>
      </c>
      <c r="K6753" s="711"/>
      <c r="M6753" s="62">
        <f t="shared" si="546"/>
        <v>3</v>
      </c>
    </row>
    <row r="6754" spans="1:13">
      <c r="A6754" s="88">
        <f t="shared" si="547"/>
        <v>37</v>
      </c>
      <c r="B6754" s="69" t="s">
        <v>2293</v>
      </c>
      <c r="C6754" s="167">
        <v>13</v>
      </c>
      <c r="D6754" s="155">
        <v>1</v>
      </c>
      <c r="E6754" s="155">
        <v>1</v>
      </c>
      <c r="F6754" s="155">
        <v>1</v>
      </c>
      <c r="G6754" s="155"/>
      <c r="H6754" s="155">
        <v>1</v>
      </c>
      <c r="I6754" s="155"/>
      <c r="J6754" s="710">
        <f>(VLOOKUP($C6754,[2]Sheet1!$A$2:$P$18,$M6754+1)/12)*12*D6754</f>
        <v>628759.53804000001</v>
      </c>
      <c r="K6754" s="711"/>
      <c r="M6754" s="62">
        <f t="shared" si="546"/>
        <v>3</v>
      </c>
    </row>
    <row r="6755" spans="1:13">
      <c r="A6755" s="88">
        <f t="shared" si="547"/>
        <v>38</v>
      </c>
      <c r="B6755" s="69" t="s">
        <v>2294</v>
      </c>
      <c r="C6755" s="167">
        <v>12</v>
      </c>
      <c r="D6755" s="155">
        <v>2</v>
      </c>
      <c r="E6755" s="155">
        <v>2</v>
      </c>
      <c r="F6755" s="155">
        <v>2</v>
      </c>
      <c r="G6755" s="155"/>
      <c r="H6755" s="155">
        <v>2</v>
      </c>
      <c r="I6755" s="155"/>
      <c r="J6755" s="710">
        <f>(VLOOKUP($C6755,[2]Sheet1!$A$2:$P$18,$M6755+1)/12)*12*D6755</f>
        <v>1105370.1074400004</v>
      </c>
      <c r="K6755" s="711"/>
      <c r="M6755" s="62">
        <f t="shared" si="546"/>
        <v>3</v>
      </c>
    </row>
    <row r="6756" spans="1:13">
      <c r="A6756" s="88">
        <f t="shared" si="547"/>
        <v>39</v>
      </c>
      <c r="B6756" s="69" t="s">
        <v>2295</v>
      </c>
      <c r="C6756" s="167">
        <v>10</v>
      </c>
      <c r="D6756" s="155">
        <v>3</v>
      </c>
      <c r="E6756" s="155">
        <v>3</v>
      </c>
      <c r="F6756" s="155">
        <v>3</v>
      </c>
      <c r="G6756" s="155"/>
      <c r="H6756" s="155">
        <v>3</v>
      </c>
      <c r="I6756" s="155"/>
      <c r="J6756" s="710">
        <f>(VLOOKUP($C6756,[2]Sheet1!$A$2:$P$18,$M6756+1)/12)*12*D6756</f>
        <v>1451923.7061600003</v>
      </c>
      <c r="K6756" s="711"/>
      <c r="M6756" s="62">
        <f t="shared" si="546"/>
        <v>3</v>
      </c>
    </row>
    <row r="6757" spans="1:13">
      <c r="A6757" s="88">
        <f t="shared" si="547"/>
        <v>40</v>
      </c>
      <c r="B6757" s="69" t="s">
        <v>2296</v>
      </c>
      <c r="C6757" s="167">
        <v>9</v>
      </c>
      <c r="D6757" s="155">
        <v>4</v>
      </c>
      <c r="E6757" s="155">
        <v>4</v>
      </c>
      <c r="F6757" s="155">
        <v>4</v>
      </c>
      <c r="G6757" s="155"/>
      <c r="H6757" s="155">
        <v>4</v>
      </c>
      <c r="I6757" s="155"/>
      <c r="J6757" s="710">
        <f>(VLOOKUP($C6757,[2]Sheet1!$A$2:$P$18,$M6757+1)/12)*12*D6757</f>
        <v>1638727.6247999999</v>
      </c>
      <c r="K6757" s="711"/>
      <c r="M6757" s="62">
        <f t="shared" si="546"/>
        <v>3</v>
      </c>
    </row>
    <row r="6758" spans="1:13">
      <c r="A6758" s="88">
        <f t="shared" si="547"/>
        <v>41</v>
      </c>
      <c r="B6758" s="69" t="s">
        <v>4053</v>
      </c>
      <c r="C6758" s="167">
        <v>7</v>
      </c>
      <c r="D6758" s="155">
        <v>9</v>
      </c>
      <c r="E6758" s="155">
        <v>9</v>
      </c>
      <c r="F6758" s="155">
        <v>9</v>
      </c>
      <c r="G6758" s="155"/>
      <c r="H6758" s="155">
        <v>9</v>
      </c>
      <c r="I6758" s="155"/>
      <c r="J6758" s="710">
        <f>(VLOOKUP($C6758,[2]Sheet1!$A$2:$P$18,$M6758+1)/12)*12*D6758</f>
        <v>2769360.3216000004</v>
      </c>
      <c r="K6758" s="711"/>
      <c r="M6758" s="62">
        <f t="shared" si="546"/>
        <v>3</v>
      </c>
    </row>
    <row r="6759" spans="1:13">
      <c r="A6759" s="88">
        <f t="shared" si="547"/>
        <v>42</v>
      </c>
      <c r="B6759" s="69" t="s">
        <v>1334</v>
      </c>
      <c r="C6759" s="167">
        <v>6</v>
      </c>
      <c r="D6759" s="155">
        <v>3</v>
      </c>
      <c r="E6759" s="155">
        <v>3</v>
      </c>
      <c r="F6759" s="155">
        <v>3</v>
      </c>
      <c r="G6759" s="155"/>
      <c r="H6759" s="155">
        <v>3</v>
      </c>
      <c r="I6759" s="155"/>
      <c r="J6759" s="710">
        <f>(VLOOKUP($C6759,[2]Sheet1!$A$2:$P$18,$M6759+1)/12)*12*D6759</f>
        <v>714298.1367910949</v>
      </c>
      <c r="K6759" s="711"/>
      <c r="M6759" s="62">
        <f t="shared" si="546"/>
        <v>5</v>
      </c>
    </row>
    <row r="6760" spans="1:13">
      <c r="A6760" s="88">
        <f t="shared" si="547"/>
        <v>43</v>
      </c>
      <c r="B6760" s="69" t="s">
        <v>1711</v>
      </c>
      <c r="C6760" s="167">
        <v>5</v>
      </c>
      <c r="D6760" s="155">
        <v>2</v>
      </c>
      <c r="E6760" s="155">
        <v>2</v>
      </c>
      <c r="F6760" s="155">
        <v>2</v>
      </c>
      <c r="G6760" s="155"/>
      <c r="H6760" s="155">
        <v>2</v>
      </c>
      <c r="I6760" s="155"/>
      <c r="J6760" s="710">
        <f>(VLOOKUP($C6760,[2]Sheet1!$A$2:$P$18,$M6760+1)/12)*12*D6760</f>
        <v>459139.55786072998</v>
      </c>
      <c r="K6760" s="711"/>
      <c r="M6760" s="62">
        <f t="shared" si="546"/>
        <v>5</v>
      </c>
    </row>
    <row r="6761" spans="1:13">
      <c r="A6761" s="88">
        <f t="shared" si="547"/>
        <v>44</v>
      </c>
      <c r="B6761" s="69" t="s">
        <v>1335</v>
      </c>
      <c r="C6761" s="167">
        <v>4</v>
      </c>
      <c r="D6761" s="155">
        <v>12</v>
      </c>
      <c r="E6761" s="155">
        <v>12</v>
      </c>
      <c r="F6761" s="155">
        <v>12</v>
      </c>
      <c r="G6761" s="155"/>
      <c r="H6761" s="155">
        <v>12</v>
      </c>
      <c r="I6761" s="155"/>
      <c r="J6761" s="710">
        <f>(VLOOKUP($C6761,[2]Sheet1!$A$2:$P$18,$M6761+1)/12)*12*D6761</f>
        <v>2694515.7471643798</v>
      </c>
      <c r="K6761" s="711"/>
      <c r="M6761" s="62">
        <f t="shared" si="546"/>
        <v>5</v>
      </c>
    </row>
    <row r="6762" spans="1:13">
      <c r="A6762" s="88"/>
      <c r="B6762" s="90" t="s">
        <v>1330</v>
      </c>
      <c r="C6762" s="167"/>
      <c r="D6762" s="155"/>
      <c r="E6762" s="155"/>
      <c r="F6762" s="155"/>
      <c r="G6762" s="155"/>
      <c r="H6762" s="155"/>
      <c r="I6762" s="155"/>
      <c r="J6762" s="710"/>
      <c r="K6762" s="711"/>
      <c r="M6762" s="62">
        <f t="shared" si="546"/>
        <v>5</v>
      </c>
    </row>
    <row r="6763" spans="1:13">
      <c r="A6763" s="88">
        <v>15</v>
      </c>
      <c r="B6763" s="69" t="s">
        <v>3532</v>
      </c>
      <c r="C6763" s="167">
        <v>16</v>
      </c>
      <c r="D6763" s="155">
        <v>0</v>
      </c>
      <c r="E6763" s="155">
        <v>0</v>
      </c>
      <c r="F6763" s="155">
        <v>0</v>
      </c>
      <c r="G6763" s="155"/>
      <c r="H6763" s="155">
        <v>0</v>
      </c>
      <c r="I6763" s="155"/>
      <c r="J6763" s="710">
        <f>(VLOOKUP($C6763,[2]Sheet1!$A$2:$P$18,$M6763+1)/12)*12*D6763</f>
        <v>0</v>
      </c>
      <c r="K6763" s="711"/>
      <c r="M6763" s="62">
        <f t="shared" si="546"/>
        <v>3</v>
      </c>
    </row>
    <row r="6764" spans="1:13">
      <c r="A6764" s="88">
        <f t="shared" ref="A6764:A6769" si="548">+A6763+1</f>
        <v>16</v>
      </c>
      <c r="B6764" s="69" t="s">
        <v>1256</v>
      </c>
      <c r="C6764" s="167">
        <v>15</v>
      </c>
      <c r="D6764" s="155">
        <v>1</v>
      </c>
      <c r="E6764" s="155">
        <v>1</v>
      </c>
      <c r="F6764" s="155">
        <v>1</v>
      </c>
      <c r="G6764" s="155"/>
      <c r="H6764" s="155">
        <v>1</v>
      </c>
      <c r="I6764" s="155"/>
      <c r="J6764" s="710">
        <f>(VLOOKUP($C6764,[2]Sheet1!$A$2:$P$18,$M6764+1)/12)*12*D6764</f>
        <v>658331.89992</v>
      </c>
      <c r="K6764" s="711"/>
      <c r="M6764" s="62">
        <f t="shared" si="546"/>
        <v>3</v>
      </c>
    </row>
    <row r="6765" spans="1:13">
      <c r="A6765" s="88">
        <f t="shared" si="548"/>
        <v>17</v>
      </c>
      <c r="B6765" s="69" t="s">
        <v>3533</v>
      </c>
      <c r="C6765" s="167">
        <v>14</v>
      </c>
      <c r="D6765" s="155">
        <v>3</v>
      </c>
      <c r="E6765" s="155">
        <v>3</v>
      </c>
      <c r="F6765" s="155">
        <v>3</v>
      </c>
      <c r="G6765" s="155"/>
      <c r="H6765" s="155">
        <v>3</v>
      </c>
      <c r="I6765" s="155"/>
      <c r="J6765" s="710">
        <f>(VLOOKUP($C6765,[2]Sheet1!$A$2:$P$18,$M6765+1)/12)*12*D6765</f>
        <v>2007298.2247200001</v>
      </c>
      <c r="K6765" s="711"/>
      <c r="M6765" s="62">
        <f t="shared" si="546"/>
        <v>3</v>
      </c>
    </row>
    <row r="6766" spans="1:13">
      <c r="A6766" s="88">
        <f t="shared" si="548"/>
        <v>18</v>
      </c>
      <c r="B6766" s="69" t="s">
        <v>2056</v>
      </c>
      <c r="C6766" s="167">
        <v>12</v>
      </c>
      <c r="D6766" s="155">
        <v>4</v>
      </c>
      <c r="E6766" s="155">
        <v>4</v>
      </c>
      <c r="F6766" s="155">
        <v>4</v>
      </c>
      <c r="G6766" s="155"/>
      <c r="H6766" s="155">
        <v>4</v>
      </c>
      <c r="I6766" s="155"/>
      <c r="J6766" s="710">
        <f>(VLOOKUP($C6766,[2]Sheet1!$A$2:$P$18,$M6766+1)/12)*12*D6766</f>
        <v>2210740.2148800008</v>
      </c>
      <c r="K6766" s="711"/>
      <c r="M6766" s="62">
        <f t="shared" si="546"/>
        <v>3</v>
      </c>
    </row>
    <row r="6767" spans="1:13">
      <c r="A6767" s="88">
        <f t="shared" si="548"/>
        <v>19</v>
      </c>
      <c r="B6767" s="69" t="s">
        <v>1902</v>
      </c>
      <c r="C6767" s="167">
        <v>10</v>
      </c>
      <c r="D6767" s="155">
        <v>2</v>
      </c>
      <c r="E6767" s="155">
        <v>2</v>
      </c>
      <c r="F6767" s="155">
        <v>2</v>
      </c>
      <c r="G6767" s="155"/>
      <c r="H6767" s="155">
        <v>2</v>
      </c>
      <c r="I6767" s="155"/>
      <c r="J6767" s="710">
        <f>(VLOOKUP($C6767,[2]Sheet1!$A$2:$P$18,$M6767+1)/12)*12*D6767</f>
        <v>967949.1374400002</v>
      </c>
      <c r="K6767" s="711"/>
      <c r="M6767" s="62">
        <f t="shared" si="546"/>
        <v>3</v>
      </c>
    </row>
    <row r="6768" spans="1:13">
      <c r="A6768" s="88">
        <f t="shared" si="548"/>
        <v>20</v>
      </c>
      <c r="B6768" s="69" t="s">
        <v>905</v>
      </c>
      <c r="C6768" s="167">
        <v>3</v>
      </c>
      <c r="D6768" s="155">
        <v>7</v>
      </c>
      <c r="E6768" s="155">
        <v>7</v>
      </c>
      <c r="F6768" s="155">
        <v>7</v>
      </c>
      <c r="G6768" s="155"/>
      <c r="H6768" s="155">
        <v>7</v>
      </c>
      <c r="I6768" s="155"/>
      <c r="J6768" s="710">
        <f>(VLOOKUP($C6768,[2]Sheet1!$A$2:$P$18,$M6768+1)/12)*12*D6768</f>
        <v>1535353.2525125549</v>
      </c>
      <c r="K6768" s="711"/>
      <c r="M6768" s="62">
        <f t="shared" si="546"/>
        <v>5</v>
      </c>
    </row>
    <row r="6769" spans="1:13">
      <c r="A6769" s="88">
        <f t="shared" si="548"/>
        <v>21</v>
      </c>
      <c r="B6769" s="69" t="s">
        <v>1755</v>
      </c>
      <c r="C6769" s="167">
        <v>2</v>
      </c>
      <c r="D6769" s="155">
        <v>20</v>
      </c>
      <c r="E6769" s="155">
        <v>20</v>
      </c>
      <c r="F6769" s="155">
        <v>20</v>
      </c>
      <c r="G6769" s="155"/>
      <c r="H6769" s="155">
        <v>20</v>
      </c>
      <c r="I6769" s="155"/>
      <c r="J6769" s="710">
        <f>(VLOOKUP($C6769,[2]Sheet1!$A$2:$P$18,$M6769+1)/12)*12*D6769</f>
        <v>4293147.5786073003</v>
      </c>
      <c r="K6769" s="711"/>
      <c r="M6769" s="62">
        <f t="shared" si="546"/>
        <v>5</v>
      </c>
    </row>
    <row r="6770" spans="1:13">
      <c r="A6770" s="88"/>
      <c r="B6770" s="90" t="s">
        <v>614</v>
      </c>
      <c r="C6770" s="167"/>
      <c r="D6770" s="155"/>
      <c r="E6770" s="155"/>
      <c r="F6770" s="155"/>
      <c r="G6770" s="155"/>
      <c r="H6770" s="155"/>
      <c r="I6770" s="155"/>
      <c r="J6770" s="710"/>
      <c r="K6770" s="711"/>
      <c r="M6770" s="62">
        <f t="shared" si="546"/>
        <v>5</v>
      </c>
    </row>
    <row r="6771" spans="1:13">
      <c r="A6771" s="88">
        <f>A6769+1</f>
        <v>22</v>
      </c>
      <c r="B6771" s="69" t="s">
        <v>615</v>
      </c>
      <c r="C6771" s="167">
        <v>14</v>
      </c>
      <c r="D6771" s="155">
        <v>3</v>
      </c>
      <c r="E6771" s="155">
        <v>3</v>
      </c>
      <c r="F6771" s="155">
        <v>3</v>
      </c>
      <c r="G6771" s="155"/>
      <c r="H6771" s="155">
        <v>3</v>
      </c>
      <c r="I6771" s="155"/>
      <c r="J6771" s="710">
        <f>(VLOOKUP($C6771,[2]Sheet1!$A$2:$P$18,$M6771+1)/12)*12*D6771</f>
        <v>2007298.2247200001</v>
      </c>
      <c r="K6771" s="711"/>
      <c r="M6771" s="62">
        <f t="shared" si="546"/>
        <v>3</v>
      </c>
    </row>
    <row r="6772" spans="1:13">
      <c r="A6772" s="88">
        <f t="shared" ref="A6772:A6782" si="549">+A6771+1</f>
        <v>23</v>
      </c>
      <c r="B6772" s="69" t="s">
        <v>616</v>
      </c>
      <c r="C6772" s="167">
        <v>13</v>
      </c>
      <c r="D6772" s="155">
        <v>4</v>
      </c>
      <c r="E6772" s="155">
        <v>4</v>
      </c>
      <c r="F6772" s="155">
        <v>4</v>
      </c>
      <c r="G6772" s="155"/>
      <c r="H6772" s="155">
        <v>4</v>
      </c>
      <c r="I6772" s="155"/>
      <c r="J6772" s="710">
        <f>(VLOOKUP($C6772,[2]Sheet1!$A$2:$P$18,$M6772+1)/12)*12*D6772</f>
        <v>2515038.1521600001</v>
      </c>
      <c r="K6772" s="711"/>
      <c r="M6772" s="62">
        <f t="shared" si="546"/>
        <v>3</v>
      </c>
    </row>
    <row r="6773" spans="1:13">
      <c r="A6773" s="88">
        <f t="shared" si="549"/>
        <v>24</v>
      </c>
      <c r="B6773" s="69" t="s">
        <v>617</v>
      </c>
      <c r="C6773" s="167">
        <v>12</v>
      </c>
      <c r="D6773" s="155">
        <v>2</v>
      </c>
      <c r="E6773" s="155">
        <v>2</v>
      </c>
      <c r="F6773" s="155">
        <v>2</v>
      </c>
      <c r="G6773" s="155"/>
      <c r="H6773" s="155">
        <v>2</v>
      </c>
      <c r="I6773" s="155"/>
      <c r="J6773" s="710">
        <f>(VLOOKUP($C6773,[2]Sheet1!$A$2:$P$18,$M6773+1)/12)*12*D6773</f>
        <v>1105370.1074400004</v>
      </c>
      <c r="K6773" s="711"/>
      <c r="M6773" s="62">
        <f t="shared" si="546"/>
        <v>3</v>
      </c>
    </row>
    <row r="6774" spans="1:13">
      <c r="A6774" s="88">
        <f t="shared" si="549"/>
        <v>25</v>
      </c>
      <c r="B6774" s="69" t="s">
        <v>835</v>
      </c>
      <c r="C6774" s="167">
        <v>10</v>
      </c>
      <c r="D6774" s="155">
        <v>1</v>
      </c>
      <c r="E6774" s="155">
        <v>1</v>
      </c>
      <c r="F6774" s="155">
        <v>1</v>
      </c>
      <c r="G6774" s="155"/>
      <c r="H6774" s="155">
        <v>1</v>
      </c>
      <c r="I6774" s="155"/>
      <c r="J6774" s="710">
        <f>(VLOOKUP($C6774,[2]Sheet1!$A$2:$P$18,$M6774+1)/12)*12*D6774</f>
        <v>483974.5687200001</v>
      </c>
      <c r="K6774" s="711"/>
      <c r="M6774" s="62">
        <f t="shared" si="546"/>
        <v>3</v>
      </c>
    </row>
    <row r="6775" spans="1:13">
      <c r="A6775" s="88">
        <f t="shared" si="549"/>
        <v>26</v>
      </c>
      <c r="B6775" s="69" t="s">
        <v>69</v>
      </c>
      <c r="C6775" s="167">
        <v>9</v>
      </c>
      <c r="D6775" s="155">
        <v>0</v>
      </c>
      <c r="E6775" s="155">
        <v>0</v>
      </c>
      <c r="F6775" s="155">
        <v>0</v>
      </c>
      <c r="G6775" s="155"/>
      <c r="H6775" s="155">
        <v>0</v>
      </c>
      <c r="I6775" s="155"/>
      <c r="J6775" s="710">
        <f>(VLOOKUP($C6775,[2]Sheet1!$A$2:$P$18,$M6775+1)/12)*12*D6775</f>
        <v>0</v>
      </c>
      <c r="K6775" s="711"/>
      <c r="M6775" s="62">
        <f t="shared" si="546"/>
        <v>3</v>
      </c>
    </row>
    <row r="6776" spans="1:13">
      <c r="A6776" s="88">
        <f t="shared" si="549"/>
        <v>27</v>
      </c>
      <c r="B6776" s="69" t="s">
        <v>2094</v>
      </c>
      <c r="C6776" s="167">
        <v>8</v>
      </c>
      <c r="D6776" s="155">
        <v>0</v>
      </c>
      <c r="E6776" s="155">
        <v>0</v>
      </c>
      <c r="F6776" s="155">
        <v>0</v>
      </c>
      <c r="G6776" s="155"/>
      <c r="H6776" s="155">
        <v>0</v>
      </c>
      <c r="I6776" s="155"/>
      <c r="J6776" s="710">
        <f>(VLOOKUP($C6776,[2]Sheet1!$A$2:$P$18,$M6776+1)/12)*12*D6776</f>
        <v>0</v>
      </c>
      <c r="K6776" s="711"/>
      <c r="M6776" s="62">
        <f t="shared" si="546"/>
        <v>3</v>
      </c>
    </row>
    <row r="6777" spans="1:13">
      <c r="A6777" s="88">
        <f t="shared" si="549"/>
        <v>28</v>
      </c>
      <c r="B6777" s="69" t="s">
        <v>1515</v>
      </c>
      <c r="C6777" s="167">
        <v>7</v>
      </c>
      <c r="D6777" s="155">
        <v>2</v>
      </c>
      <c r="E6777" s="155">
        <v>2</v>
      </c>
      <c r="F6777" s="155">
        <v>2</v>
      </c>
      <c r="G6777" s="155"/>
      <c r="H6777" s="155">
        <v>2</v>
      </c>
      <c r="I6777" s="155"/>
      <c r="J6777" s="710">
        <f>(VLOOKUP($C6777,[2]Sheet1!$A$2:$P$18,$M6777+1)/12)*12*D6777</f>
        <v>615413.40480000013</v>
      </c>
      <c r="K6777" s="711"/>
      <c r="M6777" s="62">
        <f t="shared" si="546"/>
        <v>3</v>
      </c>
    </row>
    <row r="6778" spans="1:13">
      <c r="A6778" s="88">
        <f t="shared" si="549"/>
        <v>29</v>
      </c>
      <c r="B6778" s="69" t="s">
        <v>1516</v>
      </c>
      <c r="C6778" s="167">
        <v>6</v>
      </c>
      <c r="D6778" s="155">
        <v>1</v>
      </c>
      <c r="E6778" s="155">
        <v>1</v>
      </c>
      <c r="F6778" s="155">
        <v>1</v>
      </c>
      <c r="G6778" s="155"/>
      <c r="H6778" s="155">
        <v>1</v>
      </c>
      <c r="I6778" s="155"/>
      <c r="J6778" s="710">
        <f>(VLOOKUP($C6778,[2]Sheet1!$A$2:$P$18,$M6778+1)/12)*12*D6778</f>
        <v>238099.37893036497</v>
      </c>
      <c r="K6778" s="711"/>
      <c r="M6778" s="62">
        <f t="shared" si="546"/>
        <v>5</v>
      </c>
    </row>
    <row r="6779" spans="1:13">
      <c r="A6779" s="88">
        <f t="shared" si="549"/>
        <v>30</v>
      </c>
      <c r="B6779" s="69" t="s">
        <v>1517</v>
      </c>
      <c r="C6779" s="167">
        <v>5</v>
      </c>
      <c r="D6779" s="155">
        <v>1</v>
      </c>
      <c r="E6779" s="155">
        <v>1</v>
      </c>
      <c r="F6779" s="155">
        <v>1</v>
      </c>
      <c r="G6779" s="155"/>
      <c r="H6779" s="155">
        <v>1</v>
      </c>
      <c r="I6779" s="155"/>
      <c r="J6779" s="710">
        <f>(VLOOKUP($C6779,[2]Sheet1!$A$2:$P$18,$M6779+1)/12)*12*D6779</f>
        <v>229569.77893036499</v>
      </c>
      <c r="K6779" s="711"/>
      <c r="M6779" s="62">
        <f t="shared" si="546"/>
        <v>5</v>
      </c>
    </row>
    <row r="6780" spans="1:13">
      <c r="A6780" s="88">
        <f t="shared" si="549"/>
        <v>31</v>
      </c>
      <c r="B6780" s="69" t="s">
        <v>1518</v>
      </c>
      <c r="C6780" s="167">
        <v>4</v>
      </c>
      <c r="D6780" s="155">
        <v>1</v>
      </c>
      <c r="E6780" s="155">
        <v>1</v>
      </c>
      <c r="F6780" s="155">
        <v>1</v>
      </c>
      <c r="G6780" s="155"/>
      <c r="H6780" s="155">
        <v>1</v>
      </c>
      <c r="I6780" s="155"/>
      <c r="J6780" s="710">
        <f>(VLOOKUP($C6780,[2]Sheet1!$A$2:$P$18,$M6780+1)/12)*12*D6780</f>
        <v>224542.978930365</v>
      </c>
      <c r="K6780" s="711"/>
      <c r="M6780" s="62">
        <f t="shared" si="546"/>
        <v>5</v>
      </c>
    </row>
    <row r="6781" spans="1:13">
      <c r="A6781" s="88">
        <f t="shared" si="549"/>
        <v>32</v>
      </c>
      <c r="B6781" s="69" t="s">
        <v>1519</v>
      </c>
      <c r="C6781" s="167">
        <v>3</v>
      </c>
      <c r="D6781" s="155">
        <v>2</v>
      </c>
      <c r="E6781" s="155">
        <v>2</v>
      </c>
      <c r="F6781" s="155">
        <v>2</v>
      </c>
      <c r="G6781" s="155"/>
      <c r="H6781" s="155">
        <v>2</v>
      </c>
      <c r="I6781" s="155"/>
      <c r="J6781" s="710">
        <f>(VLOOKUP($C6781,[2]Sheet1!$A$2:$P$18,$M6781+1)/12)*12*D6781</f>
        <v>438672.35786072997</v>
      </c>
      <c r="K6781" s="711"/>
      <c r="M6781" s="62">
        <f t="shared" si="546"/>
        <v>5</v>
      </c>
    </row>
    <row r="6782" spans="1:13">
      <c r="A6782" s="88">
        <f t="shared" si="549"/>
        <v>33</v>
      </c>
      <c r="B6782" s="69" t="s">
        <v>834</v>
      </c>
      <c r="C6782" s="167">
        <v>3</v>
      </c>
      <c r="D6782" s="155">
        <v>3</v>
      </c>
      <c r="E6782" s="155">
        <v>3</v>
      </c>
      <c r="F6782" s="155">
        <v>3</v>
      </c>
      <c r="G6782" s="155"/>
      <c r="H6782" s="155">
        <v>3</v>
      </c>
      <c r="I6782" s="155"/>
      <c r="J6782" s="710">
        <f>(VLOOKUP($C6782,[2]Sheet1!$A$2:$P$18,$M6782+1)/12)*12*D6782</f>
        <v>658008.53679109493</v>
      </c>
      <c r="K6782" s="711"/>
      <c r="M6782" s="62">
        <f t="shared" si="546"/>
        <v>5</v>
      </c>
    </row>
    <row r="6783" spans="1:13">
      <c r="A6783" s="88"/>
      <c r="B6783" s="90" t="s">
        <v>4097</v>
      </c>
      <c r="C6783" s="167"/>
      <c r="D6783" s="155"/>
      <c r="E6783" s="155"/>
      <c r="F6783" s="155"/>
      <c r="G6783" s="155"/>
      <c r="H6783" s="155"/>
      <c r="I6783" s="155"/>
      <c r="J6783" s="710"/>
      <c r="K6783" s="711"/>
      <c r="M6783" s="62">
        <f t="shared" si="546"/>
        <v>5</v>
      </c>
    </row>
    <row r="6784" spans="1:13">
      <c r="A6784" s="88">
        <f>1+A6782</f>
        <v>34</v>
      </c>
      <c r="B6784" s="69" t="s">
        <v>3532</v>
      </c>
      <c r="C6784" s="167">
        <v>16</v>
      </c>
      <c r="D6784" s="155">
        <v>1</v>
      </c>
      <c r="E6784" s="155">
        <v>1</v>
      </c>
      <c r="F6784" s="155">
        <v>1</v>
      </c>
      <c r="G6784" s="155"/>
      <c r="H6784" s="155">
        <v>1</v>
      </c>
      <c r="I6784" s="155"/>
      <c r="J6784" s="710">
        <f>(VLOOKUP($C6784,[2]Sheet1!$A$2:$P$18,$M6784+1)/12)*12*D6784</f>
        <v>677281.26084</v>
      </c>
      <c r="K6784" s="711"/>
      <c r="M6784" s="62">
        <f>IF(C6784&gt;6,3,5)</f>
        <v>3</v>
      </c>
    </row>
    <row r="6785" spans="1:13">
      <c r="A6785" s="88">
        <f>A6784+1</f>
        <v>35</v>
      </c>
      <c r="B6785" s="69" t="s">
        <v>1256</v>
      </c>
      <c r="C6785" s="167">
        <v>15</v>
      </c>
      <c r="D6785" s="155">
        <v>1</v>
      </c>
      <c r="E6785" s="155">
        <v>1</v>
      </c>
      <c r="F6785" s="155">
        <v>1</v>
      </c>
      <c r="G6785" s="155"/>
      <c r="H6785" s="155">
        <v>1</v>
      </c>
      <c r="I6785" s="155"/>
      <c r="J6785" s="710">
        <f>(VLOOKUP($C6785,[2]Sheet1!$A$2:$P$18,$M6785+1)/12)*12*D6785</f>
        <v>658331.89992</v>
      </c>
      <c r="K6785" s="711"/>
      <c r="M6785" s="62">
        <f>IF(C6785&gt;6,3,5)</f>
        <v>3</v>
      </c>
    </row>
    <row r="6786" spans="1:13">
      <c r="A6786" s="88">
        <f>A6785+1</f>
        <v>36</v>
      </c>
      <c r="B6786" s="69" t="s">
        <v>1125</v>
      </c>
      <c r="C6786" s="167">
        <v>14</v>
      </c>
      <c r="D6786" s="155">
        <v>1</v>
      </c>
      <c r="E6786" s="155">
        <v>1</v>
      </c>
      <c r="F6786" s="155">
        <v>1</v>
      </c>
      <c r="G6786" s="155"/>
      <c r="H6786" s="155">
        <v>1</v>
      </c>
      <c r="I6786" s="155"/>
      <c r="J6786" s="710">
        <f>(VLOOKUP($C6786,[2]Sheet1!$A$2:$P$18,$M6786+1)/12)*12*D6786</f>
        <v>669099.40824000002</v>
      </c>
      <c r="K6786" s="711"/>
      <c r="M6786" s="62">
        <f t="shared" ref="M6786:M6818" si="550">IF(C6786&gt;6,3,5)</f>
        <v>3</v>
      </c>
    </row>
    <row r="6787" spans="1:13">
      <c r="A6787" s="88">
        <f>+A6786+1</f>
        <v>37</v>
      </c>
      <c r="B6787" s="69" t="s">
        <v>2674</v>
      </c>
      <c r="C6787" s="167">
        <v>13</v>
      </c>
      <c r="D6787" s="155">
        <v>1</v>
      </c>
      <c r="E6787" s="155">
        <v>1</v>
      </c>
      <c r="F6787" s="155">
        <v>1</v>
      </c>
      <c r="G6787" s="155"/>
      <c r="H6787" s="155">
        <v>1</v>
      </c>
      <c r="I6787" s="155"/>
      <c r="J6787" s="710">
        <f>(VLOOKUP($C6787,[2]Sheet1!$A$2:$P$18,$M6787+1)/12)*12*D6787</f>
        <v>628759.53804000001</v>
      </c>
      <c r="K6787" s="711"/>
      <c r="M6787" s="62">
        <f t="shared" si="550"/>
        <v>3</v>
      </c>
    </row>
    <row r="6788" spans="1:13" ht="13.5" thickBot="1">
      <c r="A6788" s="88">
        <f>+A6787+1</f>
        <v>38</v>
      </c>
      <c r="B6788" s="69" t="s">
        <v>1449</v>
      </c>
      <c r="C6788" s="167">
        <v>12</v>
      </c>
      <c r="D6788" s="155">
        <v>1</v>
      </c>
      <c r="E6788" s="155">
        <v>1</v>
      </c>
      <c r="F6788" s="155">
        <v>1</v>
      </c>
      <c r="G6788" s="155"/>
      <c r="H6788" s="155">
        <v>1</v>
      </c>
      <c r="I6788" s="155"/>
      <c r="J6788" s="710">
        <f>(VLOOKUP($C6788,[2]Sheet1!$A$2:$P$18,$M6788+1)/12)*12*D6788</f>
        <v>552685.0537200002</v>
      </c>
      <c r="K6788" s="711"/>
      <c r="M6788" s="62">
        <f t="shared" si="550"/>
        <v>3</v>
      </c>
    </row>
    <row r="6789" spans="1:13" ht="15.75" thickTop="1">
      <c r="A6789" s="1047" t="s">
        <v>2791</v>
      </c>
      <c r="B6789" s="1049" t="s">
        <v>4126</v>
      </c>
      <c r="C6789" s="1049" t="s">
        <v>854</v>
      </c>
      <c r="D6789" s="1040" t="s">
        <v>4127</v>
      </c>
      <c r="E6789" s="1041"/>
      <c r="F6789" s="1041"/>
      <c r="G6789" s="1040" t="s">
        <v>904</v>
      </c>
      <c r="H6789" s="1041"/>
      <c r="I6789" s="1042"/>
      <c r="J6789" s="1035" t="s">
        <v>855</v>
      </c>
      <c r="K6789" s="389"/>
    </row>
    <row r="6790" spans="1:13" ht="26.25" thickBot="1">
      <c r="A6790" s="1048"/>
      <c r="B6790" s="1050"/>
      <c r="C6790" s="1050"/>
      <c r="D6790" s="285" t="s">
        <v>5505</v>
      </c>
      <c r="E6790" s="285" t="s">
        <v>4485</v>
      </c>
      <c r="F6790" s="285" t="s">
        <v>4486</v>
      </c>
      <c r="G6790" s="287" t="s">
        <v>4487</v>
      </c>
      <c r="H6790" s="285" t="s">
        <v>4488</v>
      </c>
      <c r="I6790" s="287" t="s">
        <v>4489</v>
      </c>
      <c r="J6790" s="1036"/>
      <c r="K6790" s="712"/>
    </row>
    <row r="6791" spans="1:13" ht="13.5" thickTop="1">
      <c r="A6791" s="88">
        <f>+A6788+1</f>
        <v>39</v>
      </c>
      <c r="B6791" s="69" t="s">
        <v>1450</v>
      </c>
      <c r="C6791" s="167">
        <v>12</v>
      </c>
      <c r="D6791" s="155">
        <v>1</v>
      </c>
      <c r="E6791" s="155">
        <v>1</v>
      </c>
      <c r="F6791" s="155">
        <v>1</v>
      </c>
      <c r="G6791" s="155"/>
      <c r="H6791" s="155">
        <v>1</v>
      </c>
      <c r="I6791" s="155"/>
      <c r="J6791" s="710">
        <f>(VLOOKUP($C6791,[2]Sheet1!$A$2:$P$18,$M6791+1)/12)*12*D6791</f>
        <v>552685.0537200002</v>
      </c>
      <c r="K6791" s="711"/>
      <c r="M6791" s="62">
        <f t="shared" si="550"/>
        <v>3</v>
      </c>
    </row>
    <row r="6792" spans="1:13">
      <c r="A6792" s="88">
        <f>+A6791+1</f>
        <v>40</v>
      </c>
      <c r="B6792" s="69" t="s">
        <v>2151</v>
      </c>
      <c r="C6792" s="167">
        <v>10</v>
      </c>
      <c r="D6792" s="155">
        <v>2</v>
      </c>
      <c r="E6792" s="155">
        <v>2</v>
      </c>
      <c r="F6792" s="155">
        <v>2</v>
      </c>
      <c r="G6792" s="155"/>
      <c r="H6792" s="155">
        <v>2</v>
      </c>
      <c r="I6792" s="155"/>
      <c r="J6792" s="710">
        <f>(VLOOKUP($C6792,[2]Sheet1!$A$2:$P$18,$M6792+1)/12)*12*D6792</f>
        <v>967949.1374400002</v>
      </c>
      <c r="K6792" s="711"/>
      <c r="M6792" s="62">
        <f t="shared" si="550"/>
        <v>3</v>
      </c>
    </row>
    <row r="6793" spans="1:13">
      <c r="A6793" s="88">
        <f>+A6791+1</f>
        <v>40</v>
      </c>
      <c r="B6793" s="69" t="s">
        <v>2152</v>
      </c>
      <c r="C6793" s="167">
        <v>9</v>
      </c>
      <c r="D6793" s="155">
        <v>2</v>
      </c>
      <c r="E6793" s="155">
        <v>2</v>
      </c>
      <c r="F6793" s="155">
        <v>2</v>
      </c>
      <c r="G6793" s="155"/>
      <c r="H6793" s="155">
        <v>2</v>
      </c>
      <c r="I6793" s="155"/>
      <c r="J6793" s="710">
        <f>(VLOOKUP($C6793,[2]Sheet1!$A$2:$P$18,$M6793+1)/12)*12*D6793</f>
        <v>819363.81239999994</v>
      </c>
      <c r="K6793" s="711"/>
      <c r="M6793" s="62">
        <f t="shared" si="550"/>
        <v>3</v>
      </c>
    </row>
    <row r="6794" spans="1:13">
      <c r="A6794" s="88">
        <f>+A6792+1</f>
        <v>41</v>
      </c>
      <c r="B6794" s="69" t="s">
        <v>2153</v>
      </c>
      <c r="C6794" s="167">
        <v>8</v>
      </c>
      <c r="D6794" s="155">
        <v>0</v>
      </c>
      <c r="E6794" s="155">
        <v>0</v>
      </c>
      <c r="F6794" s="155">
        <v>0</v>
      </c>
      <c r="G6794" s="155"/>
      <c r="H6794" s="155">
        <v>0</v>
      </c>
      <c r="I6794" s="155"/>
      <c r="J6794" s="710">
        <f>(VLOOKUP($C6794,[2]Sheet1!$A$2:$P$18,$M6794+1)/12)*12*D6794</f>
        <v>0</v>
      </c>
      <c r="K6794" s="711"/>
      <c r="M6794" s="62">
        <f t="shared" si="550"/>
        <v>3</v>
      </c>
    </row>
    <row r="6795" spans="1:13">
      <c r="A6795" s="88">
        <f>+A6793+1</f>
        <v>41</v>
      </c>
      <c r="B6795" s="69" t="s">
        <v>69</v>
      </c>
      <c r="C6795" s="167">
        <v>9</v>
      </c>
      <c r="D6795" s="155">
        <v>0</v>
      </c>
      <c r="E6795" s="155">
        <v>0</v>
      </c>
      <c r="F6795" s="155">
        <v>0</v>
      </c>
      <c r="G6795" s="155"/>
      <c r="H6795" s="155">
        <v>0</v>
      </c>
      <c r="I6795" s="155"/>
      <c r="J6795" s="710">
        <f>(VLOOKUP($C6795,[2]Sheet1!$A$2:$P$18,$M6795+1)/12)*12*D6795</f>
        <v>0</v>
      </c>
      <c r="K6795" s="711"/>
      <c r="M6795" s="62">
        <f t="shared" si="550"/>
        <v>3</v>
      </c>
    </row>
    <row r="6796" spans="1:13">
      <c r="A6796" s="88">
        <f>+A6795+1</f>
        <v>42</v>
      </c>
      <c r="B6796" s="69" t="s">
        <v>2094</v>
      </c>
      <c r="C6796" s="167">
        <v>8</v>
      </c>
      <c r="D6796" s="155">
        <v>1</v>
      </c>
      <c r="E6796" s="155">
        <v>1</v>
      </c>
      <c r="F6796" s="155">
        <v>1</v>
      </c>
      <c r="G6796" s="155"/>
      <c r="H6796" s="155">
        <v>1</v>
      </c>
      <c r="I6796" s="155"/>
      <c r="J6796" s="710">
        <f>(VLOOKUP($C6796,[2]Sheet1!$A$2:$P$18,$M6796+1)/12)*12*D6796</f>
        <v>342141.27408</v>
      </c>
      <c r="K6796" s="711"/>
      <c r="M6796" s="62">
        <f t="shared" si="550"/>
        <v>3</v>
      </c>
    </row>
    <row r="6797" spans="1:13">
      <c r="A6797" s="88">
        <f>+A6796+1</f>
        <v>43</v>
      </c>
      <c r="B6797" s="69" t="s">
        <v>2154</v>
      </c>
      <c r="C6797" s="167">
        <v>7</v>
      </c>
      <c r="D6797" s="155">
        <v>2</v>
      </c>
      <c r="E6797" s="155">
        <v>2</v>
      </c>
      <c r="F6797" s="155">
        <v>2</v>
      </c>
      <c r="G6797" s="155"/>
      <c r="H6797" s="155">
        <v>2</v>
      </c>
      <c r="I6797" s="155"/>
      <c r="J6797" s="710">
        <f>(VLOOKUP($C6797,[2]Sheet1!$A$2:$P$18,$M6797+1)/12)*12*D6797</f>
        <v>615413.40480000013</v>
      </c>
      <c r="K6797" s="711"/>
      <c r="M6797" s="62">
        <f t="shared" si="550"/>
        <v>3</v>
      </c>
    </row>
    <row r="6798" spans="1:13">
      <c r="A6798" s="88">
        <f>+A6797+1</f>
        <v>44</v>
      </c>
      <c r="B6798" s="69" t="s">
        <v>707</v>
      </c>
      <c r="C6798" s="167">
        <v>6</v>
      </c>
      <c r="D6798" s="155">
        <v>1</v>
      </c>
      <c r="E6798" s="155">
        <v>1</v>
      </c>
      <c r="F6798" s="155">
        <v>1</v>
      </c>
      <c r="G6798" s="155"/>
      <c r="H6798" s="155">
        <v>1</v>
      </c>
      <c r="I6798" s="155"/>
      <c r="J6798" s="710">
        <f>(VLOOKUP($C6798,[2]Sheet1!$A$2:$P$18,$M6798+1)/12)*12*D6798</f>
        <v>238099.37893036497</v>
      </c>
      <c r="K6798" s="711"/>
      <c r="M6798" s="62">
        <f t="shared" si="550"/>
        <v>5</v>
      </c>
    </row>
    <row r="6799" spans="1:13">
      <c r="A6799" s="88">
        <f>+A6798+1</f>
        <v>45</v>
      </c>
      <c r="B6799" s="69" t="s">
        <v>707</v>
      </c>
      <c r="C6799" s="167">
        <v>4</v>
      </c>
      <c r="D6799" s="155">
        <v>0</v>
      </c>
      <c r="E6799" s="155">
        <v>0</v>
      </c>
      <c r="F6799" s="155">
        <v>0</v>
      </c>
      <c r="G6799" s="155"/>
      <c r="H6799" s="155">
        <v>0</v>
      </c>
      <c r="I6799" s="155"/>
      <c r="J6799" s="710">
        <f>(VLOOKUP($C6799,[2]Sheet1!$A$2:$P$18,$M6799+1)/12)*12*D6799</f>
        <v>0</v>
      </c>
      <c r="K6799" s="711"/>
      <c r="M6799" s="62">
        <f t="shared" si="550"/>
        <v>5</v>
      </c>
    </row>
    <row r="6800" spans="1:13">
      <c r="A6800" s="88"/>
      <c r="B6800" s="90" t="s">
        <v>2491</v>
      </c>
      <c r="C6800" s="69"/>
      <c r="D6800" s="89"/>
      <c r="E6800" s="89"/>
      <c r="F6800" s="89"/>
      <c r="G6800" s="89"/>
      <c r="H6800" s="89"/>
      <c r="I6800" s="89"/>
      <c r="J6800" s="710"/>
      <c r="K6800" s="711"/>
      <c r="M6800" s="62">
        <f t="shared" si="550"/>
        <v>5</v>
      </c>
    </row>
    <row r="6801" spans="1:13">
      <c r="A6801" s="88">
        <f>+A6799+1</f>
        <v>46</v>
      </c>
      <c r="B6801" s="69" t="s">
        <v>3532</v>
      </c>
      <c r="C6801" s="69">
        <v>16</v>
      </c>
      <c r="D6801" s="89">
        <v>1</v>
      </c>
      <c r="E6801" s="89">
        <v>1</v>
      </c>
      <c r="F6801" s="89">
        <v>1</v>
      </c>
      <c r="G6801" s="89"/>
      <c r="H6801" s="89">
        <v>1</v>
      </c>
      <c r="I6801" s="89"/>
      <c r="J6801" s="710">
        <f>(VLOOKUP($C6801,[2]Sheet1!$A$2:$P$18,$M6801+1)/12)*12*D6801</f>
        <v>677281.26084</v>
      </c>
      <c r="K6801" s="711"/>
      <c r="M6801" s="62">
        <f t="shared" si="550"/>
        <v>3</v>
      </c>
    </row>
    <row r="6802" spans="1:13">
      <c r="A6802" s="88">
        <f>+A6801+1</f>
        <v>47</v>
      </c>
      <c r="B6802" s="69" t="s">
        <v>1256</v>
      </c>
      <c r="C6802" s="69">
        <v>15</v>
      </c>
      <c r="D6802" s="89">
        <v>4</v>
      </c>
      <c r="E6802" s="89">
        <v>4</v>
      </c>
      <c r="F6802" s="89">
        <v>4</v>
      </c>
      <c r="G6802" s="89"/>
      <c r="H6802" s="89">
        <v>4</v>
      </c>
      <c r="I6802" s="89"/>
      <c r="J6802" s="710">
        <f>(VLOOKUP($C6802,[2]Sheet1!$A$2:$P$18,$M6802+1)/12)*12*D6802</f>
        <v>2633327.59968</v>
      </c>
      <c r="K6802" s="711"/>
      <c r="M6802" s="62">
        <f t="shared" si="550"/>
        <v>3</v>
      </c>
    </row>
    <row r="6803" spans="1:13">
      <c r="A6803" s="88">
        <f>+A6802+1</f>
        <v>48</v>
      </c>
      <c r="B6803" s="69" t="s">
        <v>2486</v>
      </c>
      <c r="C6803" s="69">
        <v>14</v>
      </c>
      <c r="D6803" s="89">
        <v>10</v>
      </c>
      <c r="E6803" s="89">
        <v>10</v>
      </c>
      <c r="F6803" s="89">
        <v>10</v>
      </c>
      <c r="G6803" s="89"/>
      <c r="H6803" s="89">
        <v>10</v>
      </c>
      <c r="I6803" s="89"/>
      <c r="J6803" s="710">
        <f>(VLOOKUP($C6803,[2]Sheet1!$A$2:$P$18,$M6803+1)/12)*12*D6803</f>
        <v>6690994.0823999997</v>
      </c>
      <c r="K6803" s="711"/>
      <c r="M6803" s="62">
        <f t="shared" si="550"/>
        <v>3</v>
      </c>
    </row>
    <row r="6804" spans="1:13">
      <c r="A6804" s="88">
        <f>+A6803+1</f>
        <v>49</v>
      </c>
      <c r="B6804" s="69" t="s">
        <v>2487</v>
      </c>
      <c r="C6804" s="69">
        <v>13</v>
      </c>
      <c r="D6804" s="89">
        <v>2</v>
      </c>
      <c r="E6804" s="89">
        <v>2</v>
      </c>
      <c r="F6804" s="89">
        <v>2</v>
      </c>
      <c r="G6804" s="89"/>
      <c r="H6804" s="89">
        <v>2</v>
      </c>
      <c r="I6804" s="89"/>
      <c r="J6804" s="710">
        <f>(VLOOKUP($C6804,[2]Sheet1!$A$2:$P$18,$M6804+1)/12)*12*D6804</f>
        <v>1257519.07608</v>
      </c>
      <c r="K6804" s="711"/>
      <c r="M6804" s="62">
        <f t="shared" si="550"/>
        <v>3</v>
      </c>
    </row>
    <row r="6805" spans="1:13">
      <c r="A6805" s="88">
        <f>+A6804+1</f>
        <v>50</v>
      </c>
      <c r="B6805" s="69" t="s">
        <v>2488</v>
      </c>
      <c r="C6805" s="69">
        <v>12</v>
      </c>
      <c r="D6805" s="89">
        <v>2</v>
      </c>
      <c r="E6805" s="89">
        <v>2</v>
      </c>
      <c r="F6805" s="89">
        <v>2</v>
      </c>
      <c r="G6805" s="89"/>
      <c r="H6805" s="89">
        <v>2</v>
      </c>
      <c r="I6805" s="89"/>
      <c r="J6805" s="710">
        <f>(VLOOKUP($C6805,[2]Sheet1!$A$2:$P$18,$M6805+1)/12)*12*D6805</f>
        <v>1105370.1074400004</v>
      </c>
      <c r="K6805" s="711"/>
      <c r="M6805" s="62">
        <f t="shared" si="550"/>
        <v>3</v>
      </c>
    </row>
    <row r="6806" spans="1:13">
      <c r="A6806" s="88">
        <f t="shared" ref="A6806:A6818" si="551">+A6805+1</f>
        <v>51</v>
      </c>
      <c r="B6806" s="69" t="s">
        <v>2489</v>
      </c>
      <c r="C6806" s="69">
        <v>10</v>
      </c>
      <c r="D6806" s="89">
        <v>2</v>
      </c>
      <c r="E6806" s="89">
        <v>2</v>
      </c>
      <c r="F6806" s="89">
        <v>2</v>
      </c>
      <c r="G6806" s="89"/>
      <c r="H6806" s="89">
        <v>2</v>
      </c>
      <c r="I6806" s="89"/>
      <c r="J6806" s="710">
        <f>(VLOOKUP($C6806,[2]Sheet1!$A$2:$P$18,$M6806+1)/12)*12*D6806</f>
        <v>967949.1374400002</v>
      </c>
      <c r="K6806" s="711"/>
      <c r="M6806" s="62">
        <f t="shared" si="550"/>
        <v>3</v>
      </c>
    </row>
    <row r="6807" spans="1:13">
      <c r="A6807" s="88">
        <f t="shared" si="551"/>
        <v>52</v>
      </c>
      <c r="B6807" s="69" t="s">
        <v>2490</v>
      </c>
      <c r="C6807" s="69">
        <v>9</v>
      </c>
      <c r="D6807" s="89">
        <v>6</v>
      </c>
      <c r="E6807" s="89">
        <v>6</v>
      </c>
      <c r="F6807" s="89">
        <v>6</v>
      </c>
      <c r="G6807" s="89"/>
      <c r="H6807" s="89">
        <v>6</v>
      </c>
      <c r="I6807" s="89"/>
      <c r="J6807" s="710">
        <f>(VLOOKUP($C6807,[2]Sheet1!$A$2:$P$18,$M6807+1)/12)*12*D6807</f>
        <v>2458091.4371999996</v>
      </c>
      <c r="K6807" s="711"/>
      <c r="M6807" s="62">
        <f t="shared" si="550"/>
        <v>3</v>
      </c>
    </row>
    <row r="6808" spans="1:13">
      <c r="A6808" s="88">
        <f t="shared" si="551"/>
        <v>53</v>
      </c>
      <c r="B6808" s="69" t="s">
        <v>1174</v>
      </c>
      <c r="C6808" s="69">
        <v>8</v>
      </c>
      <c r="D6808" s="89">
        <v>1</v>
      </c>
      <c r="E6808" s="89">
        <v>1</v>
      </c>
      <c r="F6808" s="89">
        <v>1</v>
      </c>
      <c r="G6808" s="89"/>
      <c r="H6808" s="89">
        <v>1</v>
      </c>
      <c r="I6808" s="89"/>
      <c r="J6808" s="710">
        <f>(VLOOKUP($C6808,[2]Sheet1!$A$2:$P$18,$M6808+1)/12)*12*D6808</f>
        <v>342141.27408</v>
      </c>
      <c r="K6808" s="711"/>
      <c r="M6808" s="62">
        <f t="shared" si="550"/>
        <v>3</v>
      </c>
    </row>
    <row r="6809" spans="1:13">
      <c r="A6809" s="88">
        <f t="shared" si="551"/>
        <v>54</v>
      </c>
      <c r="B6809" s="69" t="s">
        <v>1175</v>
      </c>
      <c r="C6809" s="69">
        <v>13</v>
      </c>
      <c r="D6809" s="89">
        <v>2</v>
      </c>
      <c r="E6809" s="89">
        <v>2</v>
      </c>
      <c r="F6809" s="89">
        <v>2</v>
      </c>
      <c r="G6809" s="89"/>
      <c r="H6809" s="89">
        <v>2</v>
      </c>
      <c r="I6809" s="89"/>
      <c r="J6809" s="710">
        <f>(VLOOKUP($C6809,[2]Sheet1!$A$2:$P$18,$M6809+1)/12)*12*D6809</f>
        <v>1257519.07608</v>
      </c>
      <c r="K6809" s="711"/>
      <c r="M6809" s="62">
        <f t="shared" si="550"/>
        <v>3</v>
      </c>
    </row>
    <row r="6810" spans="1:13">
      <c r="A6810" s="88">
        <f t="shared" si="551"/>
        <v>55</v>
      </c>
      <c r="B6810" s="69" t="s">
        <v>3633</v>
      </c>
      <c r="C6810" s="69">
        <v>12</v>
      </c>
      <c r="D6810" s="89">
        <v>2</v>
      </c>
      <c r="E6810" s="89">
        <v>2</v>
      </c>
      <c r="F6810" s="89">
        <v>2</v>
      </c>
      <c r="G6810" s="89"/>
      <c r="H6810" s="89">
        <v>2</v>
      </c>
      <c r="I6810" s="89"/>
      <c r="J6810" s="710">
        <f>(VLOOKUP($C6810,[2]Sheet1!$A$2:$P$18,$M6810+1)/12)*12*D6810</f>
        <v>1105370.1074400004</v>
      </c>
      <c r="K6810" s="711"/>
      <c r="M6810" s="62">
        <f t="shared" si="550"/>
        <v>3</v>
      </c>
    </row>
    <row r="6811" spans="1:13">
      <c r="A6811" s="88">
        <f t="shared" si="551"/>
        <v>56</v>
      </c>
      <c r="B6811" s="69" t="s">
        <v>2657</v>
      </c>
      <c r="C6811" s="69">
        <v>10</v>
      </c>
      <c r="D6811" s="89">
        <v>2</v>
      </c>
      <c r="E6811" s="89">
        <v>2</v>
      </c>
      <c r="F6811" s="89">
        <v>2</v>
      </c>
      <c r="G6811" s="89"/>
      <c r="H6811" s="89">
        <v>2</v>
      </c>
      <c r="I6811" s="89"/>
      <c r="J6811" s="710">
        <f>(VLOOKUP($C6811,[2]Sheet1!$A$2:$P$18,$M6811+1)/12)*12*D6811</f>
        <v>967949.1374400002</v>
      </c>
      <c r="K6811" s="711"/>
      <c r="M6811" s="62">
        <f t="shared" si="550"/>
        <v>3</v>
      </c>
    </row>
    <row r="6812" spans="1:13">
      <c r="A6812" s="88">
        <f t="shared" si="551"/>
        <v>57</v>
      </c>
      <c r="B6812" s="69" t="s">
        <v>2658</v>
      </c>
      <c r="C6812" s="69">
        <v>9</v>
      </c>
      <c r="D6812" s="89">
        <v>2</v>
      </c>
      <c r="E6812" s="89">
        <v>2</v>
      </c>
      <c r="F6812" s="89">
        <v>2</v>
      </c>
      <c r="G6812" s="89"/>
      <c r="H6812" s="89">
        <v>2</v>
      </c>
      <c r="I6812" s="89"/>
      <c r="J6812" s="710">
        <f>(VLOOKUP($C6812,[2]Sheet1!$A$2:$P$18,$M6812+1)/12)*12*D6812</f>
        <v>819363.81239999994</v>
      </c>
      <c r="K6812" s="711"/>
      <c r="M6812" s="62">
        <f t="shared" si="550"/>
        <v>3</v>
      </c>
    </row>
    <row r="6813" spans="1:13">
      <c r="A6813" s="88">
        <f t="shared" si="551"/>
        <v>58</v>
      </c>
      <c r="B6813" s="69" t="s">
        <v>2659</v>
      </c>
      <c r="C6813" s="69">
        <v>12</v>
      </c>
      <c r="D6813" s="89">
        <v>5</v>
      </c>
      <c r="E6813" s="89">
        <v>5</v>
      </c>
      <c r="F6813" s="89">
        <v>5</v>
      </c>
      <c r="G6813" s="89"/>
      <c r="H6813" s="89">
        <v>5</v>
      </c>
      <c r="I6813" s="89"/>
      <c r="J6813" s="710">
        <f>(VLOOKUP($C6813,[2]Sheet1!$A$2:$P$18,$M6813+1)/12)*12*D6813</f>
        <v>2763425.268600001</v>
      </c>
      <c r="K6813" s="711"/>
      <c r="M6813" s="62">
        <f t="shared" si="550"/>
        <v>3</v>
      </c>
    </row>
    <row r="6814" spans="1:13">
      <c r="A6814" s="88">
        <f t="shared" si="551"/>
        <v>59</v>
      </c>
      <c r="B6814" s="69" t="s">
        <v>2660</v>
      </c>
      <c r="C6814" s="69">
        <v>7</v>
      </c>
      <c r="D6814" s="89">
        <v>4</v>
      </c>
      <c r="E6814" s="89">
        <v>4</v>
      </c>
      <c r="F6814" s="89">
        <v>4</v>
      </c>
      <c r="G6814" s="89"/>
      <c r="H6814" s="89">
        <v>4</v>
      </c>
      <c r="I6814" s="89"/>
      <c r="J6814" s="710">
        <f>(VLOOKUP($C6814,[2]Sheet1!$A$2:$P$18,$M6814+1)/12)*12*D6814</f>
        <v>1230826.8096000003</v>
      </c>
      <c r="K6814" s="711"/>
      <c r="M6814" s="62">
        <f t="shared" si="550"/>
        <v>3</v>
      </c>
    </row>
    <row r="6815" spans="1:13">
      <c r="A6815" s="88">
        <f t="shared" si="551"/>
        <v>60</v>
      </c>
      <c r="B6815" s="69" t="s">
        <v>2661</v>
      </c>
      <c r="C6815" s="69">
        <v>6</v>
      </c>
      <c r="D6815" s="89">
        <v>3</v>
      </c>
      <c r="E6815" s="89">
        <v>3</v>
      </c>
      <c r="F6815" s="89">
        <v>3</v>
      </c>
      <c r="G6815" s="89"/>
      <c r="H6815" s="89">
        <v>3</v>
      </c>
      <c r="I6815" s="89"/>
      <c r="J6815" s="710">
        <f>(VLOOKUP($C6815,[2]Sheet1!$A$2:$P$18,$M6815+1)/12)*12*D6815</f>
        <v>714298.1367910949</v>
      </c>
      <c r="K6815" s="711"/>
      <c r="M6815" s="62">
        <f t="shared" si="550"/>
        <v>5</v>
      </c>
    </row>
    <row r="6816" spans="1:13">
      <c r="A6816" s="88">
        <f t="shared" si="551"/>
        <v>61</v>
      </c>
      <c r="B6816" s="69" t="s">
        <v>2346</v>
      </c>
      <c r="C6816" s="69">
        <v>5</v>
      </c>
      <c r="D6816" s="89">
        <v>1</v>
      </c>
      <c r="E6816" s="89">
        <v>1</v>
      </c>
      <c r="F6816" s="89">
        <v>1</v>
      </c>
      <c r="G6816" s="89"/>
      <c r="H6816" s="89">
        <v>1</v>
      </c>
      <c r="I6816" s="89"/>
      <c r="J6816" s="710">
        <f>(VLOOKUP($C6816,[2]Sheet1!$A$2:$P$18,$M6816+1)/12)*12*D6816</f>
        <v>229569.77893036499</v>
      </c>
      <c r="K6816" s="711"/>
      <c r="M6816" s="62">
        <f t="shared" si="550"/>
        <v>5</v>
      </c>
    </row>
    <row r="6817" spans="1:13">
      <c r="A6817" s="88">
        <f t="shared" si="551"/>
        <v>62</v>
      </c>
      <c r="B6817" s="69" t="s">
        <v>2347</v>
      </c>
      <c r="C6817" s="69">
        <v>4</v>
      </c>
      <c r="D6817" s="89">
        <v>4</v>
      </c>
      <c r="E6817" s="89">
        <v>4</v>
      </c>
      <c r="F6817" s="89">
        <v>4</v>
      </c>
      <c r="G6817" s="89"/>
      <c r="H6817" s="89">
        <v>4</v>
      </c>
      <c r="I6817" s="89"/>
      <c r="J6817" s="710">
        <f>(VLOOKUP($C6817,[2]Sheet1!$A$2:$P$18,$M6817+1)/12)*12*D6817</f>
        <v>898171.91572146001</v>
      </c>
      <c r="K6817" s="711"/>
      <c r="M6817" s="62">
        <f t="shared" si="550"/>
        <v>5</v>
      </c>
    </row>
    <row r="6818" spans="1:13">
      <c r="A6818" s="88">
        <f t="shared" si="551"/>
        <v>63</v>
      </c>
      <c r="B6818" s="69" t="s">
        <v>2348</v>
      </c>
      <c r="C6818" s="69">
        <v>3</v>
      </c>
      <c r="D6818" s="89">
        <v>8</v>
      </c>
      <c r="E6818" s="89">
        <v>8</v>
      </c>
      <c r="F6818" s="89">
        <v>8</v>
      </c>
      <c r="G6818" s="89"/>
      <c r="H6818" s="89">
        <v>8</v>
      </c>
      <c r="I6818" s="89"/>
      <c r="J6818" s="710">
        <f>(VLOOKUP($C6818,[2]Sheet1!$A$2:$P$18,$M6818+1)/12)*12*D6818</f>
        <v>1754689.4314429199</v>
      </c>
      <c r="K6818" s="711"/>
      <c r="M6818" s="62">
        <f t="shared" si="550"/>
        <v>5</v>
      </c>
    </row>
    <row r="6819" spans="1:13">
      <c r="A6819" s="92"/>
      <c r="B6819" s="93" t="s">
        <v>1684</v>
      </c>
      <c r="C6819" s="168"/>
      <c r="D6819" s="169">
        <f t="shared" ref="D6819:J6819" si="552">SUM(D6709:D6769)</f>
        <v>134</v>
      </c>
      <c r="E6819" s="169">
        <f t="shared" si="552"/>
        <v>182</v>
      </c>
      <c r="F6819" s="169">
        <f t="shared" si="552"/>
        <v>182</v>
      </c>
      <c r="G6819" s="169">
        <f>SUM(G6709:G6769)</f>
        <v>0</v>
      </c>
      <c r="H6819" s="169">
        <f t="shared" si="552"/>
        <v>182</v>
      </c>
      <c r="I6819" s="169">
        <f t="shared" si="552"/>
        <v>23</v>
      </c>
      <c r="J6819" s="169">
        <f t="shared" si="552"/>
        <v>42779565.760929935</v>
      </c>
      <c r="K6819" s="385"/>
      <c r="M6819" s="62">
        <f t="shared" si="546"/>
        <v>5</v>
      </c>
    </row>
    <row r="6820" spans="1:13">
      <c r="A6820" s="170"/>
      <c r="B6820" s="97"/>
      <c r="C6820" s="167"/>
      <c r="D6820" s="155"/>
      <c r="E6820" s="155"/>
      <c r="F6820" s="155"/>
      <c r="G6820" s="155"/>
      <c r="H6820" s="155"/>
      <c r="I6820" s="155"/>
      <c r="J6820" s="155"/>
      <c r="K6820" s="386"/>
      <c r="M6820" s="62">
        <f t="shared" si="546"/>
        <v>5</v>
      </c>
    </row>
    <row r="6821" spans="1:13">
      <c r="A6821" s="170"/>
      <c r="B6821" s="97" t="s">
        <v>1199</v>
      </c>
      <c r="C6821" s="167"/>
      <c r="D6821" s="155"/>
      <c r="E6821" s="155"/>
      <c r="F6821" s="99"/>
      <c r="G6821" s="240" t="s">
        <v>243</v>
      </c>
      <c r="H6821" s="240" t="s">
        <v>4130</v>
      </c>
      <c r="I6821" s="240" t="s">
        <v>4202</v>
      </c>
      <c r="J6821" s="241" t="s">
        <v>4200</v>
      </c>
      <c r="K6821" s="375"/>
      <c r="M6821" s="62">
        <f t="shared" si="546"/>
        <v>5</v>
      </c>
    </row>
    <row r="6822" spans="1:13">
      <c r="A6822" s="88">
        <v>1</v>
      </c>
      <c r="B6822" s="69" t="s">
        <v>763</v>
      </c>
      <c r="C6822" s="167"/>
      <c r="D6822" s="155"/>
      <c r="E6822" s="155"/>
      <c r="F6822" s="89"/>
      <c r="G6822" s="100">
        <f>J6819*0.2</f>
        <v>8555913.1521859877</v>
      </c>
      <c r="H6822" s="100">
        <f>G6822*1.02</f>
        <v>8727031.415229708</v>
      </c>
      <c r="I6822" s="100">
        <f>H6822*1.02</f>
        <v>8901572.0435343031</v>
      </c>
      <c r="J6822" s="100">
        <f>SUM(G6822:I6822)</f>
        <v>26184516.610950001</v>
      </c>
      <c r="K6822" s="114"/>
      <c r="M6822" s="62">
        <f t="shared" si="546"/>
        <v>5</v>
      </c>
    </row>
    <row r="6823" spans="1:13">
      <c r="A6823" s="92"/>
      <c r="B6823" s="93" t="s">
        <v>2531</v>
      </c>
      <c r="C6823" s="168"/>
      <c r="D6823" s="171"/>
      <c r="E6823" s="171"/>
      <c r="F6823" s="169"/>
      <c r="G6823" s="169">
        <f>SUM(G6822:G6822)</f>
        <v>8555913.1521859877</v>
      </c>
      <c r="H6823" s="169">
        <f>SUM(H6822:H6822)</f>
        <v>8727031.415229708</v>
      </c>
      <c r="I6823" s="169">
        <f>SUM(I6822:I6822)</f>
        <v>8901572.0435343031</v>
      </c>
      <c r="J6823" s="169">
        <f>SUM(J6822:J6822)</f>
        <v>26184516.610950001</v>
      </c>
      <c r="K6823" s="385"/>
      <c r="M6823" s="62">
        <f t="shared" si="546"/>
        <v>5</v>
      </c>
    </row>
    <row r="6824" spans="1:13">
      <c r="A6824" s="88"/>
      <c r="B6824" s="69"/>
      <c r="C6824" s="167"/>
      <c r="D6824" s="155"/>
      <c r="E6824" s="155"/>
      <c r="F6824" s="155"/>
      <c r="G6824" s="155"/>
      <c r="H6824" s="155"/>
      <c r="I6824" s="155"/>
      <c r="J6824" s="155"/>
      <c r="K6824" s="386"/>
      <c r="M6824" s="62">
        <f t="shared" si="546"/>
        <v>5</v>
      </c>
    </row>
    <row r="6825" spans="1:13">
      <c r="A6825" s="88"/>
      <c r="B6825" s="69" t="s">
        <v>926</v>
      </c>
      <c r="C6825" s="167"/>
      <c r="D6825" s="155"/>
      <c r="E6825" s="155"/>
      <c r="F6825" s="155"/>
      <c r="G6825" s="100">
        <f>G6823+J6819</f>
        <v>51335478.913115919</v>
      </c>
      <c r="H6825" s="100">
        <f>G6825*1.02</f>
        <v>52362188.49137824</v>
      </c>
      <c r="I6825" s="100">
        <f>H6825*1.02</f>
        <v>53409432.261205807</v>
      </c>
      <c r="J6825" s="100">
        <f>SUM(G6825:I6825)</f>
        <v>157107099.66569996</v>
      </c>
      <c r="K6825" s="114"/>
      <c r="L6825" s="112"/>
      <c r="M6825" s="62">
        <f t="shared" si="546"/>
        <v>5</v>
      </c>
    </row>
    <row r="6826" spans="1:13">
      <c r="A6826" s="88"/>
      <c r="B6826" s="69" t="s">
        <v>2121</v>
      </c>
      <c r="C6826" s="167"/>
      <c r="D6826" s="155"/>
      <c r="E6826" s="155"/>
      <c r="F6826" s="155"/>
      <c r="G6826" s="155">
        <f>C6853</f>
        <v>14000000</v>
      </c>
      <c r="H6826" s="155">
        <f>D6853</f>
        <v>18700000</v>
      </c>
      <c r="I6826" s="155">
        <f>E6853</f>
        <v>19000000</v>
      </c>
      <c r="J6826" s="100">
        <f>SUM(G6826:I6826)</f>
        <v>51700000</v>
      </c>
      <c r="K6826" s="114"/>
      <c r="M6826" s="62">
        <f t="shared" si="546"/>
        <v>5</v>
      </c>
    </row>
    <row r="6827" spans="1:13" ht="13.5" thickBot="1">
      <c r="A6827" s="102"/>
      <c r="B6827" s="103" t="s">
        <v>2241</v>
      </c>
      <c r="C6827" s="172"/>
      <c r="D6827" s="173"/>
      <c r="E6827" s="173"/>
      <c r="F6827" s="174"/>
      <c r="G6827" s="174">
        <f>SUM(G6825:G6826)</f>
        <v>65335478.913115919</v>
      </c>
      <c r="H6827" s="174">
        <f>SUM(H6825:H6826)</f>
        <v>71062188.491378248</v>
      </c>
      <c r="I6827" s="174">
        <f>SUM(I6825:I6826)</f>
        <v>72409432.261205807</v>
      </c>
      <c r="J6827" s="174">
        <f>SUM(J6825:J6826)</f>
        <v>208807099.66569996</v>
      </c>
      <c r="K6827" s="385"/>
      <c r="M6827" s="62">
        <f t="shared" si="546"/>
        <v>5</v>
      </c>
    </row>
    <row r="6828" spans="1:13" ht="13.5" thickTop="1">
      <c r="C6828" s="163"/>
      <c r="D6828" s="164"/>
      <c r="E6828" s="164"/>
      <c r="F6828" s="165"/>
      <c r="G6828" s="165"/>
      <c r="H6828" s="165"/>
      <c r="I6828" s="165"/>
      <c r="J6828" s="165"/>
      <c r="K6828" s="165"/>
    </row>
    <row r="6829" spans="1:13" ht="15">
      <c r="C6829" s="175"/>
      <c r="D6829" s="164" t="s">
        <v>5434</v>
      </c>
      <c r="E6829" s="165"/>
      <c r="F6829" s="165"/>
      <c r="G6829" s="165"/>
      <c r="H6829" s="165"/>
      <c r="I6829" s="165"/>
      <c r="J6829" s="584"/>
      <c r="K6829" s="584"/>
      <c r="M6829" s="62">
        <f>IF(C6829&gt;6,3,5)</f>
        <v>5</v>
      </c>
    </row>
    <row r="6830" spans="1:13" ht="15">
      <c r="C6830" s="163"/>
      <c r="D6830" s="164" t="s">
        <v>716</v>
      </c>
      <c r="E6830" s="165"/>
      <c r="F6830" s="165"/>
      <c r="G6830" s="165"/>
      <c r="H6830" s="165"/>
      <c r="I6830" s="165"/>
      <c r="J6830" s="584"/>
      <c r="K6830" s="584"/>
      <c r="M6830" s="62">
        <f>IF(C6830&gt;6,3,5)</f>
        <v>5</v>
      </c>
    </row>
    <row r="6831" spans="1:13" ht="15">
      <c r="C6831" s="79" t="s">
        <v>1811</v>
      </c>
      <c r="D6831" s="164" t="s">
        <v>3717</v>
      </c>
      <c r="E6831" s="165"/>
      <c r="F6831" s="165"/>
      <c r="G6831" s="165"/>
      <c r="H6831" s="165"/>
      <c r="I6831" s="165"/>
      <c r="J6831" s="584"/>
      <c r="K6831" s="584"/>
      <c r="M6831" s="62">
        <f>IF(C6831&gt;6,3,5)</f>
        <v>3</v>
      </c>
    </row>
    <row r="6832" spans="1:13" ht="15">
      <c r="C6832" s="79" t="s">
        <v>3073</v>
      </c>
      <c r="D6832" s="164" t="s">
        <v>2675</v>
      </c>
      <c r="E6832" s="165"/>
      <c r="F6832" s="165"/>
      <c r="G6832" s="165"/>
      <c r="H6832" s="165"/>
      <c r="I6832" s="165"/>
      <c r="J6832" s="584"/>
      <c r="K6832" s="584"/>
      <c r="M6832" s="62">
        <f>IF(C6832&gt;6,3,5)</f>
        <v>3</v>
      </c>
    </row>
    <row r="6833" spans="1:13" ht="15">
      <c r="A6833" s="634" t="s">
        <v>1839</v>
      </c>
      <c r="B6833" s="635" t="s">
        <v>903</v>
      </c>
      <c r="C6833" s="1037" t="s">
        <v>4127</v>
      </c>
      <c r="D6833" s="1038"/>
      <c r="E6833" s="1039"/>
      <c r="F6833" s="635" t="s">
        <v>1684</v>
      </c>
      <c r="G6833" s="1037" t="s">
        <v>4132</v>
      </c>
      <c r="H6833" s="1038"/>
      <c r="I6833" s="1039"/>
      <c r="J6833" s="726"/>
      <c r="K6833" s="727"/>
    </row>
    <row r="6834" spans="1:13">
      <c r="A6834" s="636" t="s">
        <v>1620</v>
      </c>
      <c r="B6834" s="637"/>
      <c r="C6834" s="635" t="s">
        <v>1841</v>
      </c>
      <c r="D6834" s="635" t="s">
        <v>4133</v>
      </c>
      <c r="E6834" s="635" t="s">
        <v>4133</v>
      </c>
      <c r="F6834" s="1056" t="s">
        <v>4200</v>
      </c>
      <c r="G6834" s="634" t="s">
        <v>4135</v>
      </c>
      <c r="H6834" s="1051" t="s">
        <v>4182</v>
      </c>
      <c r="I6834" s="634" t="s">
        <v>4135</v>
      </c>
      <c r="J6834" s="728" t="s">
        <v>4136</v>
      </c>
      <c r="K6834" s="727"/>
    </row>
    <row r="6835" spans="1:13" ht="12.75" customHeight="1">
      <c r="A6835" s="638"/>
      <c r="B6835" s="639"/>
      <c r="C6835" s="638">
        <v>2015</v>
      </c>
      <c r="D6835" s="638">
        <v>2016</v>
      </c>
      <c r="E6835" s="638">
        <v>2017</v>
      </c>
      <c r="F6835" s="1057"/>
      <c r="G6835" s="638" t="s">
        <v>4304</v>
      </c>
      <c r="H6835" s="1052"/>
      <c r="I6835" s="638" t="s">
        <v>4303</v>
      </c>
      <c r="J6835" s="639"/>
      <c r="K6835" s="729"/>
    </row>
    <row r="6836" spans="1:13">
      <c r="A6836" s="768"/>
      <c r="B6836" s="768"/>
      <c r="C6836" s="782"/>
      <c r="D6836" s="782"/>
      <c r="E6836" s="782"/>
      <c r="F6836" s="782"/>
      <c r="G6836" s="782"/>
      <c r="H6836" s="782"/>
      <c r="I6836" s="782"/>
      <c r="J6836" s="782"/>
      <c r="K6836" s="783"/>
      <c r="M6836" s="62" t="e">
        <f>IF(#REF!&gt;6,3,5)</f>
        <v>#REF!</v>
      </c>
    </row>
    <row r="6837" spans="1:13">
      <c r="A6837" s="788">
        <v>2</v>
      </c>
      <c r="B6837" s="788" t="s">
        <v>768</v>
      </c>
      <c r="C6837" s="774">
        <v>3000000</v>
      </c>
      <c r="D6837" s="774">
        <v>3000000</v>
      </c>
      <c r="E6837" s="774">
        <v>3000000</v>
      </c>
      <c r="F6837" s="774">
        <f>SUM(C6837:E6837)</f>
        <v>9000000</v>
      </c>
      <c r="G6837" s="774">
        <v>350000</v>
      </c>
      <c r="H6837" s="774">
        <v>3000000</v>
      </c>
      <c r="I6837" s="774">
        <v>0</v>
      </c>
      <c r="J6837" s="774"/>
      <c r="K6837" s="776"/>
      <c r="M6837" s="62" t="e">
        <f>IF(#REF!&gt;6,3,5)</f>
        <v>#REF!</v>
      </c>
    </row>
    <row r="6838" spans="1:13">
      <c r="A6838" s="788">
        <f t="shared" ref="A6838:A6851" si="553">+A6837+1</f>
        <v>3</v>
      </c>
      <c r="B6838" s="788" t="s">
        <v>1696</v>
      </c>
      <c r="C6838" s="840" t="s">
        <v>1386</v>
      </c>
      <c r="D6838" s="840" t="s">
        <v>1386</v>
      </c>
      <c r="E6838" s="840" t="s">
        <v>1386</v>
      </c>
      <c r="F6838" s="774">
        <f t="shared" ref="F6838:F6851" si="554">SUM(C6838:E6838)</f>
        <v>0</v>
      </c>
      <c r="G6838" s="840"/>
      <c r="H6838" s="840" t="s">
        <v>1386</v>
      </c>
      <c r="I6838" s="840"/>
      <c r="J6838" s="774"/>
      <c r="K6838" s="776"/>
      <c r="M6838" s="62" t="e">
        <f>IF(#REF!&gt;6,3,5)</f>
        <v>#REF!</v>
      </c>
    </row>
    <row r="6839" spans="1:13">
      <c r="A6839" s="788">
        <f t="shared" si="553"/>
        <v>4</v>
      </c>
      <c r="B6839" s="788" t="s">
        <v>1701</v>
      </c>
      <c r="C6839" s="840" t="s">
        <v>1386</v>
      </c>
      <c r="D6839" s="840" t="s">
        <v>1386</v>
      </c>
      <c r="E6839" s="840" t="s">
        <v>1386</v>
      </c>
      <c r="F6839" s="774">
        <f t="shared" si="554"/>
        <v>0</v>
      </c>
      <c r="G6839" s="840"/>
      <c r="H6839" s="840" t="s">
        <v>1386</v>
      </c>
      <c r="I6839" s="840"/>
      <c r="J6839" s="774"/>
      <c r="K6839" s="776"/>
      <c r="M6839" s="62" t="e">
        <f>IF(#REF!&gt;6,3,5)</f>
        <v>#REF!</v>
      </c>
    </row>
    <row r="6840" spans="1:13">
      <c r="A6840" s="788">
        <f t="shared" si="553"/>
        <v>5</v>
      </c>
      <c r="B6840" s="788" t="s">
        <v>769</v>
      </c>
      <c r="C6840" s="774">
        <v>1000000</v>
      </c>
      <c r="D6840" s="774">
        <v>1000000</v>
      </c>
      <c r="E6840" s="774">
        <v>1000000</v>
      </c>
      <c r="F6840" s="774">
        <f t="shared" si="554"/>
        <v>3000000</v>
      </c>
      <c r="G6840" s="774"/>
      <c r="H6840" s="774">
        <v>1000000</v>
      </c>
      <c r="I6840" s="840">
        <v>212000</v>
      </c>
      <c r="J6840" s="774"/>
      <c r="K6840" s="776"/>
      <c r="M6840" s="62" t="e">
        <f>IF(#REF!&gt;6,3,5)</f>
        <v>#REF!</v>
      </c>
    </row>
    <row r="6841" spans="1:13">
      <c r="A6841" s="788">
        <f t="shared" si="553"/>
        <v>6</v>
      </c>
      <c r="B6841" s="788" t="s">
        <v>2997</v>
      </c>
      <c r="C6841" s="840">
        <v>1000000</v>
      </c>
      <c r="D6841" s="840">
        <v>2000000</v>
      </c>
      <c r="E6841" s="840">
        <v>2000000</v>
      </c>
      <c r="F6841" s="774">
        <f t="shared" si="554"/>
        <v>5000000</v>
      </c>
      <c r="G6841" s="840">
        <v>199980</v>
      </c>
      <c r="H6841" s="840">
        <v>2000000</v>
      </c>
      <c r="I6841" s="840">
        <v>745000</v>
      </c>
      <c r="J6841" s="774"/>
      <c r="K6841" s="776"/>
      <c r="M6841" s="62" t="e">
        <f>IF(#REF!&gt;6,3,5)</f>
        <v>#REF!</v>
      </c>
    </row>
    <row r="6842" spans="1:13">
      <c r="A6842" s="788">
        <f t="shared" si="553"/>
        <v>7</v>
      </c>
      <c r="B6842" s="788" t="s">
        <v>1073</v>
      </c>
      <c r="C6842" s="840">
        <v>3000000</v>
      </c>
      <c r="D6842" s="840">
        <v>3000000</v>
      </c>
      <c r="E6842" s="840">
        <v>3000000</v>
      </c>
      <c r="F6842" s="774">
        <f t="shared" si="554"/>
        <v>9000000</v>
      </c>
      <c r="G6842" s="840">
        <v>547111</v>
      </c>
      <c r="H6842" s="840">
        <v>3000000</v>
      </c>
      <c r="I6842" s="840">
        <v>2961000</v>
      </c>
      <c r="J6842" s="774"/>
      <c r="K6842" s="776"/>
      <c r="M6842" s="62" t="e">
        <f>IF(#REF!&gt;6,3,5)</f>
        <v>#REF!</v>
      </c>
    </row>
    <row r="6843" spans="1:13">
      <c r="A6843" s="788">
        <f t="shared" si="553"/>
        <v>8</v>
      </c>
      <c r="B6843" s="788" t="s">
        <v>165</v>
      </c>
      <c r="C6843" s="840" t="s">
        <v>1386</v>
      </c>
      <c r="D6843" s="840" t="s">
        <v>1386</v>
      </c>
      <c r="E6843" s="840" t="s">
        <v>1386</v>
      </c>
      <c r="F6843" s="774">
        <f t="shared" si="554"/>
        <v>0</v>
      </c>
      <c r="G6843" s="840"/>
      <c r="H6843" s="840" t="s">
        <v>1386</v>
      </c>
      <c r="I6843" s="840"/>
      <c r="J6843" s="774"/>
      <c r="K6843" s="776"/>
      <c r="M6843" s="62" t="e">
        <f>IF(#REF!&gt;6,3,5)</f>
        <v>#REF!</v>
      </c>
    </row>
    <row r="6844" spans="1:13">
      <c r="A6844" s="788">
        <f t="shared" si="553"/>
        <v>9</v>
      </c>
      <c r="B6844" s="788" t="s">
        <v>2061</v>
      </c>
      <c r="C6844" s="840" t="s">
        <v>1386</v>
      </c>
      <c r="D6844" s="840" t="s">
        <v>1386</v>
      </c>
      <c r="E6844" s="840" t="s">
        <v>1386</v>
      </c>
      <c r="F6844" s="774">
        <f t="shared" si="554"/>
        <v>0</v>
      </c>
      <c r="G6844" s="840"/>
      <c r="H6844" s="840" t="s">
        <v>1386</v>
      </c>
      <c r="I6844" s="840"/>
      <c r="J6844" s="774"/>
      <c r="K6844" s="776"/>
      <c r="M6844" s="62" t="e">
        <f>IF(#REF!&gt;6,3,5)</f>
        <v>#REF!</v>
      </c>
    </row>
    <row r="6845" spans="1:13">
      <c r="A6845" s="788">
        <f t="shared" si="553"/>
        <v>10</v>
      </c>
      <c r="B6845" s="788" t="s">
        <v>1716</v>
      </c>
      <c r="C6845" s="840">
        <v>1000000</v>
      </c>
      <c r="D6845" s="840">
        <v>500000</v>
      </c>
      <c r="E6845" s="840">
        <v>500000</v>
      </c>
      <c r="F6845" s="774">
        <f t="shared" si="554"/>
        <v>2000000</v>
      </c>
      <c r="G6845" s="840"/>
      <c r="H6845" s="840">
        <v>500000</v>
      </c>
      <c r="I6845" s="840"/>
      <c r="J6845" s="774"/>
      <c r="K6845" s="776"/>
      <c r="M6845" s="62" t="e">
        <f>IF(#REF!&gt;6,3,5)</f>
        <v>#REF!</v>
      </c>
    </row>
    <row r="6846" spans="1:13">
      <c r="A6846" s="788">
        <f t="shared" si="553"/>
        <v>11</v>
      </c>
      <c r="B6846" s="788" t="s">
        <v>764</v>
      </c>
      <c r="C6846" s="840">
        <v>100000</v>
      </c>
      <c r="D6846" s="840">
        <v>100000</v>
      </c>
      <c r="E6846" s="840">
        <v>100000</v>
      </c>
      <c r="F6846" s="774">
        <f t="shared" si="554"/>
        <v>300000</v>
      </c>
      <c r="G6846" s="840"/>
      <c r="H6846" s="840">
        <v>100000</v>
      </c>
      <c r="I6846" s="840"/>
      <c r="J6846" s="774"/>
      <c r="K6846" s="776"/>
      <c r="M6846" s="62" t="e">
        <f>IF(#REF!&gt;6,3,5)</f>
        <v>#REF!</v>
      </c>
    </row>
    <row r="6847" spans="1:13">
      <c r="A6847" s="788">
        <f t="shared" si="553"/>
        <v>12</v>
      </c>
      <c r="B6847" s="788" t="s">
        <v>2688</v>
      </c>
      <c r="C6847" s="840">
        <v>2500000</v>
      </c>
      <c r="D6847" s="840">
        <v>3000000</v>
      </c>
      <c r="E6847" s="840">
        <v>3000000</v>
      </c>
      <c r="F6847" s="774">
        <f t="shared" si="554"/>
        <v>8500000</v>
      </c>
      <c r="G6847" s="840">
        <v>702500</v>
      </c>
      <c r="H6847" s="840">
        <v>3000000</v>
      </c>
      <c r="I6847" s="840">
        <v>2693012.6</v>
      </c>
      <c r="J6847" s="774"/>
      <c r="K6847" s="776"/>
      <c r="M6847" s="62" t="e">
        <f>IF(#REF!&gt;6,3,5)</f>
        <v>#REF!</v>
      </c>
    </row>
    <row r="6848" spans="1:13">
      <c r="A6848" s="788">
        <f t="shared" si="553"/>
        <v>13</v>
      </c>
      <c r="B6848" s="788" t="s">
        <v>3927</v>
      </c>
      <c r="C6848" s="840">
        <v>100000</v>
      </c>
      <c r="D6848" s="840">
        <v>100000</v>
      </c>
      <c r="E6848" s="840">
        <v>100000</v>
      </c>
      <c r="F6848" s="774">
        <f t="shared" si="554"/>
        <v>300000</v>
      </c>
      <c r="G6848" s="840">
        <v>60000</v>
      </c>
      <c r="H6848" s="840">
        <v>100000</v>
      </c>
      <c r="I6848" s="840">
        <v>0</v>
      </c>
      <c r="J6848" s="774"/>
      <c r="K6848" s="776"/>
      <c r="M6848" s="62" t="e">
        <f>IF(#REF!&gt;6,3,5)</f>
        <v>#REF!</v>
      </c>
    </row>
    <row r="6849" spans="1:13">
      <c r="A6849" s="788">
        <f t="shared" si="553"/>
        <v>14</v>
      </c>
      <c r="B6849" s="788" t="s">
        <v>2228</v>
      </c>
      <c r="C6849" s="840">
        <v>300000</v>
      </c>
      <c r="D6849" s="840">
        <v>300000</v>
      </c>
      <c r="E6849" s="840">
        <v>300000</v>
      </c>
      <c r="F6849" s="774">
        <f t="shared" si="554"/>
        <v>900000</v>
      </c>
      <c r="G6849" s="840"/>
      <c r="H6849" s="840">
        <v>300000</v>
      </c>
      <c r="I6849" s="840"/>
      <c r="J6849" s="774"/>
      <c r="K6849" s="776"/>
      <c r="M6849" s="62" t="e">
        <f>IF(#REF!&gt;6,3,5)</f>
        <v>#REF!</v>
      </c>
    </row>
    <row r="6850" spans="1:13">
      <c r="A6850" s="788">
        <f t="shared" si="553"/>
        <v>15</v>
      </c>
      <c r="B6850" s="788" t="s">
        <v>2621</v>
      </c>
      <c r="C6850" s="840">
        <v>500000</v>
      </c>
      <c r="D6850" s="840">
        <v>500000</v>
      </c>
      <c r="E6850" s="840">
        <v>500000</v>
      </c>
      <c r="F6850" s="774">
        <f t="shared" si="554"/>
        <v>1500000</v>
      </c>
      <c r="G6850" s="840">
        <v>400000</v>
      </c>
      <c r="H6850" s="840">
        <v>500000</v>
      </c>
      <c r="I6850" s="840">
        <v>0</v>
      </c>
      <c r="J6850" s="774"/>
      <c r="K6850" s="776"/>
      <c r="M6850" s="62" t="e">
        <f>IF(#REF!&gt;6,3,5)</f>
        <v>#REF!</v>
      </c>
    </row>
    <row r="6851" spans="1:13">
      <c r="A6851" s="788">
        <f t="shared" si="553"/>
        <v>16</v>
      </c>
      <c r="B6851" s="788" t="s">
        <v>144</v>
      </c>
      <c r="C6851" s="840">
        <v>1500000</v>
      </c>
      <c r="D6851" s="840">
        <v>5200000</v>
      </c>
      <c r="E6851" s="840">
        <v>5500000</v>
      </c>
      <c r="F6851" s="774">
        <f t="shared" si="554"/>
        <v>12200000</v>
      </c>
      <c r="G6851" s="840"/>
      <c r="H6851" s="840">
        <v>500000</v>
      </c>
      <c r="I6851" s="840"/>
      <c r="J6851" s="840"/>
      <c r="K6851" s="841"/>
      <c r="M6851" s="62" t="e">
        <f>IF(#REF!&gt;6,3,5)</f>
        <v>#REF!</v>
      </c>
    </row>
    <row r="6852" spans="1:13">
      <c r="B6852" s="788"/>
      <c r="C6852" s="840"/>
      <c r="D6852" s="840"/>
      <c r="E6852" s="840"/>
      <c r="F6852" s="840"/>
      <c r="G6852" s="840"/>
      <c r="H6852" s="840"/>
      <c r="I6852" s="840"/>
      <c r="J6852" s="840"/>
      <c r="K6852" s="841"/>
      <c r="M6852" s="62" t="e">
        <f>IF(#REF!&gt;6,3,5)</f>
        <v>#REF!</v>
      </c>
    </row>
    <row r="6853" spans="1:13">
      <c r="A6853" s="770"/>
      <c r="B6853" s="770" t="s">
        <v>2241</v>
      </c>
      <c r="C6853" s="842">
        <f t="shared" ref="C6853:I6853" si="555">SUM(C6837:C6852)</f>
        <v>14000000</v>
      </c>
      <c r="D6853" s="842">
        <f t="shared" si="555"/>
        <v>18700000</v>
      </c>
      <c r="E6853" s="842">
        <f t="shared" si="555"/>
        <v>19000000</v>
      </c>
      <c r="F6853" s="842">
        <f t="shared" si="555"/>
        <v>51700000</v>
      </c>
      <c r="G6853" s="842">
        <f>SUM(G6837:G6852)</f>
        <v>2259591</v>
      </c>
      <c r="H6853" s="842">
        <f t="shared" si="555"/>
        <v>14000000</v>
      </c>
      <c r="I6853" s="842">
        <f t="shared" si="555"/>
        <v>6611012.5999999996</v>
      </c>
      <c r="J6853" s="842"/>
      <c r="K6853" s="843"/>
      <c r="M6853" s="62" t="e">
        <f>IF(#REF!&gt;6,3,5)</f>
        <v>#REF!</v>
      </c>
    </row>
    <row r="6854" spans="1:13">
      <c r="D6854" s="62"/>
      <c r="E6854" s="62"/>
      <c r="F6854" s="62"/>
      <c r="G6854" s="62"/>
      <c r="H6854" s="62"/>
      <c r="I6854" s="62"/>
    </row>
    <row r="6855" spans="1:13">
      <c r="C6855" s="175"/>
      <c r="D6855" s="164" t="s">
        <v>5434</v>
      </c>
      <c r="E6855" s="165"/>
      <c r="F6855" s="165"/>
      <c r="G6855" s="62"/>
      <c r="H6855" s="62"/>
      <c r="I6855" s="62"/>
    </row>
    <row r="6856" spans="1:13">
      <c r="C6856" s="163"/>
      <c r="D6856" s="164" t="s">
        <v>1693</v>
      </c>
      <c r="E6856" s="165"/>
      <c r="F6856" s="165"/>
      <c r="G6856" s="62"/>
      <c r="H6856" s="62"/>
      <c r="I6856" s="62"/>
    </row>
    <row r="6857" spans="1:13">
      <c r="C6857" s="79" t="s">
        <v>1811</v>
      </c>
      <c r="D6857" s="164" t="s">
        <v>3276</v>
      </c>
      <c r="E6857" s="165"/>
      <c r="F6857" s="165"/>
      <c r="G6857" s="62"/>
      <c r="H6857" s="62"/>
      <c r="I6857" s="62"/>
    </row>
    <row r="6858" spans="1:13" ht="13.5" thickBot="1">
      <c r="C6858" s="79" t="s">
        <v>3073</v>
      </c>
      <c r="D6858" s="164" t="s">
        <v>4235</v>
      </c>
      <c r="E6858" s="165"/>
      <c r="F6858" s="165"/>
      <c r="G6858" s="62"/>
      <c r="H6858" s="62"/>
      <c r="I6858" s="62"/>
    </row>
    <row r="6859" spans="1:13" ht="15.75" thickTop="1">
      <c r="A6859" s="1047" t="s">
        <v>2791</v>
      </c>
      <c r="B6859" s="1049" t="s">
        <v>4126</v>
      </c>
      <c r="C6859" s="1049" t="s">
        <v>854</v>
      </c>
      <c r="D6859" s="1040" t="s">
        <v>4127</v>
      </c>
      <c r="E6859" s="1041"/>
      <c r="F6859" s="1041"/>
      <c r="G6859" s="1040" t="s">
        <v>904</v>
      </c>
      <c r="H6859" s="1041"/>
      <c r="I6859" s="1042"/>
      <c r="J6859" s="1035" t="s">
        <v>855</v>
      </c>
      <c r="K6859" s="389"/>
    </row>
    <row r="6860" spans="1:13" ht="26.25" thickBot="1">
      <c r="A6860" s="1048"/>
      <c r="B6860" s="1050"/>
      <c r="C6860" s="1050"/>
      <c r="D6860" s="285" t="s">
        <v>5505</v>
      </c>
      <c r="E6860" s="285" t="s">
        <v>4485</v>
      </c>
      <c r="F6860" s="285" t="s">
        <v>4486</v>
      </c>
      <c r="G6860" s="287" t="s">
        <v>4487</v>
      </c>
      <c r="H6860" s="285" t="s">
        <v>4488</v>
      </c>
      <c r="I6860" s="287" t="s">
        <v>4489</v>
      </c>
      <c r="J6860" s="1036"/>
      <c r="K6860" s="712"/>
    </row>
    <row r="6861" spans="1:13" ht="13.5" thickTop="1">
      <c r="A6861" s="88"/>
      <c r="B6861" s="90" t="s">
        <v>800</v>
      </c>
      <c r="C6861" s="167"/>
      <c r="D6861" s="713"/>
      <c r="E6861" s="62"/>
      <c r="F6861" s="155"/>
      <c r="G6861" s="155"/>
      <c r="H6861" s="155"/>
      <c r="I6861" s="155"/>
    </row>
    <row r="6862" spans="1:13">
      <c r="A6862" s="88">
        <v>1</v>
      </c>
      <c r="B6862" s="69" t="s">
        <v>1392</v>
      </c>
      <c r="C6862" s="167">
        <v>7</v>
      </c>
      <c r="D6862" s="155">
        <v>1</v>
      </c>
      <c r="E6862" s="155">
        <v>1</v>
      </c>
      <c r="F6862" s="155">
        <v>1</v>
      </c>
      <c r="G6862" s="155">
        <v>1</v>
      </c>
      <c r="H6862" s="155">
        <v>1</v>
      </c>
      <c r="I6862" s="155">
        <v>1</v>
      </c>
      <c r="J6862" s="710">
        <f>(VLOOKUP($C6862,[2]Sheet1!$A$2:$P$18,$M6862+1)/12)*12*D6862</f>
        <v>307706.70240000007</v>
      </c>
      <c r="K6862" s="711"/>
      <c r="M6862" s="62">
        <f t="shared" ref="M6862:M6919" si="556">IF(C6862&gt;6,3,5)</f>
        <v>3</v>
      </c>
    </row>
    <row r="6863" spans="1:13">
      <c r="A6863" s="88">
        <v>2</v>
      </c>
      <c r="B6863" s="69" t="s">
        <v>3433</v>
      </c>
      <c r="C6863" s="167">
        <v>6</v>
      </c>
      <c r="D6863" s="155">
        <v>3</v>
      </c>
      <c r="E6863" s="155">
        <v>4</v>
      </c>
      <c r="F6863" s="155">
        <v>2</v>
      </c>
      <c r="G6863" s="155">
        <v>2</v>
      </c>
      <c r="H6863" s="155">
        <v>2</v>
      </c>
      <c r="I6863" s="155">
        <v>3</v>
      </c>
      <c r="J6863" s="710">
        <f>(VLOOKUP($C6863,[2]Sheet1!$A$2:$P$18,$M6863+1)/12)*12*D6863</f>
        <v>714298.1367910949</v>
      </c>
      <c r="K6863" s="711"/>
      <c r="M6863" s="62">
        <f t="shared" si="556"/>
        <v>5</v>
      </c>
    </row>
    <row r="6864" spans="1:13">
      <c r="A6864" s="88">
        <f t="shared" ref="A6864:A6873" si="557">+A6863+1</f>
        <v>3</v>
      </c>
      <c r="B6864" s="69" t="s">
        <v>3446</v>
      </c>
      <c r="C6864" s="167">
        <v>3</v>
      </c>
      <c r="D6864" s="155">
        <v>7</v>
      </c>
      <c r="E6864" s="155">
        <v>3</v>
      </c>
      <c r="F6864" s="155">
        <v>5</v>
      </c>
      <c r="G6864" s="155">
        <v>5</v>
      </c>
      <c r="H6864" s="155">
        <v>2</v>
      </c>
      <c r="I6864" s="155">
        <v>7</v>
      </c>
      <c r="J6864" s="710">
        <f>(VLOOKUP($C6864,[2]Sheet1!$A$2:$P$18,$M6864+1)/12)*12*D6864</f>
        <v>1535353.2525125549</v>
      </c>
      <c r="K6864" s="711"/>
      <c r="M6864" s="62">
        <f t="shared" si="556"/>
        <v>5</v>
      </c>
    </row>
    <row r="6865" spans="1:13">
      <c r="A6865" s="88">
        <f t="shared" si="557"/>
        <v>4</v>
      </c>
      <c r="B6865" s="69" t="s">
        <v>2597</v>
      </c>
      <c r="C6865" s="167">
        <v>4</v>
      </c>
      <c r="D6865" s="155">
        <v>1</v>
      </c>
      <c r="E6865" s="155">
        <v>15</v>
      </c>
      <c r="F6865" s="155">
        <v>1</v>
      </c>
      <c r="G6865" s="155">
        <v>1</v>
      </c>
      <c r="H6865" s="155">
        <v>7</v>
      </c>
      <c r="I6865" s="155">
        <v>1</v>
      </c>
      <c r="J6865" s="710">
        <f>(VLOOKUP($C6865,[2]Sheet1!$A$2:$P$18,$M6865+1)/12)*12*D6865</f>
        <v>224542.978930365</v>
      </c>
      <c r="K6865" s="711"/>
      <c r="M6865" s="62">
        <f t="shared" si="556"/>
        <v>5</v>
      </c>
    </row>
    <row r="6866" spans="1:13">
      <c r="A6866" s="88">
        <f t="shared" si="557"/>
        <v>5</v>
      </c>
      <c r="B6866" s="69" t="s">
        <v>2597</v>
      </c>
      <c r="C6866" s="167">
        <v>3</v>
      </c>
      <c r="D6866" s="155">
        <v>1</v>
      </c>
      <c r="E6866" s="155">
        <v>15</v>
      </c>
      <c r="F6866" s="155">
        <v>1</v>
      </c>
      <c r="G6866" s="155">
        <v>1</v>
      </c>
      <c r="H6866" s="155">
        <v>6</v>
      </c>
      <c r="I6866" s="155">
        <v>1</v>
      </c>
      <c r="J6866" s="710">
        <f>(VLOOKUP($C6866,[2]Sheet1!$A$2:$P$18,$M6866+1)/12)*12*D6866</f>
        <v>219336.17893036499</v>
      </c>
      <c r="K6866" s="711"/>
      <c r="M6866" s="62">
        <f>IF(C6866&gt;6,3,5)</f>
        <v>5</v>
      </c>
    </row>
    <row r="6867" spans="1:13">
      <c r="A6867" s="88">
        <f t="shared" si="557"/>
        <v>6</v>
      </c>
      <c r="B6867" s="69" t="s">
        <v>1749</v>
      </c>
      <c r="C6867" s="167">
        <v>5</v>
      </c>
      <c r="D6867" s="155">
        <v>0</v>
      </c>
      <c r="E6867" s="155">
        <v>1</v>
      </c>
      <c r="F6867" s="155">
        <v>2</v>
      </c>
      <c r="G6867" s="155">
        <v>2</v>
      </c>
      <c r="H6867" s="155">
        <v>2</v>
      </c>
      <c r="I6867" s="155">
        <v>0</v>
      </c>
      <c r="J6867" s="710">
        <f>(VLOOKUP($C6867,[2]Sheet1!$A$2:$P$18,$M6867+1)/12)*12*D6867</f>
        <v>0</v>
      </c>
      <c r="K6867" s="711"/>
      <c r="M6867" s="62">
        <f t="shared" si="556"/>
        <v>5</v>
      </c>
    </row>
    <row r="6868" spans="1:13">
      <c r="A6868" s="88">
        <f t="shared" si="557"/>
        <v>7</v>
      </c>
      <c r="B6868" s="69" t="s">
        <v>3896</v>
      </c>
      <c r="C6868" s="167">
        <v>6</v>
      </c>
      <c r="D6868" s="155">
        <v>2</v>
      </c>
      <c r="E6868" s="155">
        <v>1</v>
      </c>
      <c r="F6868" s="155">
        <v>2</v>
      </c>
      <c r="G6868" s="155">
        <v>2</v>
      </c>
      <c r="H6868" s="155">
        <v>2</v>
      </c>
      <c r="I6868" s="155">
        <v>2</v>
      </c>
      <c r="J6868" s="710">
        <f>(VLOOKUP($C6868,[2]Sheet1!$A$2:$P$18,$M6868+1)/12)*12*D6868</f>
        <v>476198.75786072994</v>
      </c>
      <c r="K6868" s="711"/>
      <c r="M6868" s="62">
        <f t="shared" si="556"/>
        <v>5</v>
      </c>
    </row>
    <row r="6869" spans="1:13">
      <c r="A6869" s="88">
        <f t="shared" si="557"/>
        <v>8</v>
      </c>
      <c r="B6869" s="69" t="s">
        <v>3796</v>
      </c>
      <c r="C6869" s="167">
        <v>3</v>
      </c>
      <c r="D6869" s="155">
        <v>2</v>
      </c>
      <c r="E6869" s="155">
        <v>1</v>
      </c>
      <c r="F6869" s="155">
        <v>2</v>
      </c>
      <c r="G6869" s="155">
        <v>2</v>
      </c>
      <c r="H6869" s="155">
        <v>1</v>
      </c>
      <c r="I6869" s="155">
        <v>2</v>
      </c>
      <c r="J6869" s="710">
        <f>(VLOOKUP($C6869,[2]Sheet1!$A$2:$P$18,$M6869+1)/12)*12*D6869</f>
        <v>438672.35786072997</v>
      </c>
      <c r="K6869" s="711"/>
      <c r="M6869" s="62">
        <f t="shared" si="556"/>
        <v>5</v>
      </c>
    </row>
    <row r="6870" spans="1:13">
      <c r="A6870" s="88">
        <f t="shared" si="557"/>
        <v>9</v>
      </c>
      <c r="B6870" s="69" t="s">
        <v>3675</v>
      </c>
      <c r="C6870" s="167">
        <v>3</v>
      </c>
      <c r="D6870" s="155">
        <v>5</v>
      </c>
      <c r="E6870" s="155">
        <v>3</v>
      </c>
      <c r="F6870" s="155">
        <v>5</v>
      </c>
      <c r="G6870" s="155">
        <v>5</v>
      </c>
      <c r="H6870" s="155">
        <v>0</v>
      </c>
      <c r="I6870" s="155">
        <v>5</v>
      </c>
      <c r="J6870" s="710">
        <f>(VLOOKUP($C6870,[2]Sheet1!$A$2:$P$18,$M6870+1)/12)*12*D6870</f>
        <v>1096680.8946518248</v>
      </c>
      <c r="K6870" s="711"/>
      <c r="M6870" s="62">
        <f t="shared" si="556"/>
        <v>5</v>
      </c>
    </row>
    <row r="6871" spans="1:13">
      <c r="A6871" s="88">
        <f>+A6870+1</f>
        <v>10</v>
      </c>
      <c r="B6871" s="69" t="s">
        <v>2171</v>
      </c>
      <c r="C6871" s="167">
        <v>3</v>
      </c>
      <c r="D6871" s="155">
        <v>2</v>
      </c>
      <c r="E6871" s="155">
        <v>3</v>
      </c>
      <c r="F6871" s="155">
        <v>2</v>
      </c>
      <c r="G6871" s="155">
        <v>2</v>
      </c>
      <c r="H6871" s="155">
        <v>1</v>
      </c>
      <c r="I6871" s="155">
        <v>2</v>
      </c>
      <c r="J6871" s="710">
        <f>(VLOOKUP($C6871,[2]Sheet1!$A$2:$P$18,$M6871+1)/12)*12*D6871</f>
        <v>438672.35786072997</v>
      </c>
      <c r="K6871" s="711"/>
      <c r="M6871" s="62">
        <f t="shared" si="556"/>
        <v>5</v>
      </c>
    </row>
    <row r="6872" spans="1:13">
      <c r="A6872" s="88">
        <v>10</v>
      </c>
      <c r="B6872" s="69" t="s">
        <v>2172</v>
      </c>
      <c r="C6872" s="167">
        <v>2</v>
      </c>
      <c r="D6872" s="155">
        <v>10</v>
      </c>
      <c r="E6872" s="155">
        <v>20</v>
      </c>
      <c r="F6872" s="155">
        <v>10</v>
      </c>
      <c r="G6872" s="155">
        <v>10</v>
      </c>
      <c r="H6872" s="155">
        <v>7</v>
      </c>
      <c r="I6872" s="155">
        <v>10</v>
      </c>
      <c r="J6872" s="710">
        <f>(VLOOKUP($C6872,[2]Sheet1!$A$2:$P$18,$M6872+1)/12)*12*D6872</f>
        <v>2146573.7893036501</v>
      </c>
      <c r="K6872" s="711"/>
      <c r="M6872" s="62">
        <f t="shared" si="556"/>
        <v>5</v>
      </c>
    </row>
    <row r="6873" spans="1:13">
      <c r="A6873" s="88">
        <f t="shared" si="557"/>
        <v>11</v>
      </c>
      <c r="B6873" s="69" t="s">
        <v>2543</v>
      </c>
      <c r="C6873" s="167">
        <v>3</v>
      </c>
      <c r="D6873" s="155">
        <v>5</v>
      </c>
      <c r="E6873" s="155">
        <v>10</v>
      </c>
      <c r="F6873" s="155">
        <v>5</v>
      </c>
      <c r="G6873" s="155">
        <v>5</v>
      </c>
      <c r="H6873" s="155">
        <v>12</v>
      </c>
      <c r="I6873" s="155">
        <v>5</v>
      </c>
      <c r="J6873" s="710">
        <f>(VLOOKUP($C6873,[2]Sheet1!$A$2:$P$18,$M6873+1)/12)*12*D6873</f>
        <v>1096680.8946518248</v>
      </c>
      <c r="K6873" s="711"/>
      <c r="M6873" s="62">
        <f t="shared" si="556"/>
        <v>5</v>
      </c>
    </row>
    <row r="6874" spans="1:13">
      <c r="A6874" s="88">
        <v>12</v>
      </c>
      <c r="B6874" s="69" t="s">
        <v>2543</v>
      </c>
      <c r="C6874" s="167">
        <v>2</v>
      </c>
      <c r="D6874" s="155">
        <v>3</v>
      </c>
      <c r="E6874" s="155">
        <v>10</v>
      </c>
      <c r="F6874" s="155">
        <v>3</v>
      </c>
      <c r="G6874" s="155">
        <v>3</v>
      </c>
      <c r="H6874" s="155">
        <v>7</v>
      </c>
      <c r="I6874" s="155">
        <v>3</v>
      </c>
      <c r="J6874" s="710">
        <f>(VLOOKUP($C6874,[2]Sheet1!$A$2:$P$18,$M6874+1)/12)*12*D6874</f>
        <v>643972.13679109514</v>
      </c>
      <c r="K6874" s="711"/>
      <c r="M6874" s="62">
        <f t="shared" si="556"/>
        <v>5</v>
      </c>
    </row>
    <row r="6875" spans="1:13">
      <c r="A6875" s="88">
        <v>13</v>
      </c>
      <c r="B6875" s="69" t="s">
        <v>3861</v>
      </c>
      <c r="C6875" s="167">
        <v>2</v>
      </c>
      <c r="D6875" s="155">
        <v>5</v>
      </c>
      <c r="E6875" s="155">
        <v>10</v>
      </c>
      <c r="F6875" s="155">
        <v>5</v>
      </c>
      <c r="G6875" s="155">
        <v>5</v>
      </c>
      <c r="H6875" s="155">
        <v>9</v>
      </c>
      <c r="I6875" s="155">
        <v>5</v>
      </c>
      <c r="J6875" s="710">
        <f>(VLOOKUP($C6875,[2]Sheet1!$A$2:$P$18,$M6875+1)/12)*12*D6875</f>
        <v>1073286.8946518251</v>
      </c>
      <c r="K6875" s="711"/>
      <c r="M6875" s="62">
        <f t="shared" si="556"/>
        <v>5</v>
      </c>
    </row>
    <row r="6876" spans="1:13">
      <c r="A6876" s="88">
        <v>14</v>
      </c>
      <c r="B6876" s="69" t="s">
        <v>3675</v>
      </c>
      <c r="C6876" s="167">
        <v>3</v>
      </c>
      <c r="D6876" s="155">
        <v>5</v>
      </c>
      <c r="E6876" s="155">
        <v>10</v>
      </c>
      <c r="F6876" s="155">
        <v>5</v>
      </c>
      <c r="G6876" s="155">
        <v>5</v>
      </c>
      <c r="H6876" s="155">
        <v>1</v>
      </c>
      <c r="I6876" s="155">
        <v>5</v>
      </c>
      <c r="J6876" s="710">
        <f>(VLOOKUP($C6876,[2]Sheet1!$A$2:$P$18,$M6876+1)/12)*12*D6876</f>
        <v>1096680.8946518248</v>
      </c>
      <c r="K6876" s="711"/>
      <c r="M6876" s="62">
        <f>IF(C6876&gt;6,3,5)</f>
        <v>5</v>
      </c>
    </row>
    <row r="6877" spans="1:13">
      <c r="A6877" s="88"/>
      <c r="B6877" s="90" t="s">
        <v>2521</v>
      </c>
      <c r="C6877" s="167"/>
      <c r="D6877" s="155"/>
      <c r="E6877" s="155"/>
      <c r="F6877" s="155"/>
      <c r="G6877" s="155"/>
      <c r="H6877" s="155"/>
      <c r="I6877" s="155"/>
      <c r="J6877" s="710"/>
      <c r="K6877" s="711"/>
      <c r="M6877" s="62">
        <f t="shared" si="556"/>
        <v>5</v>
      </c>
    </row>
    <row r="6878" spans="1:13">
      <c r="A6878" s="88">
        <v>15</v>
      </c>
      <c r="B6878" s="69" t="s">
        <v>2492</v>
      </c>
      <c r="C6878" s="167">
        <v>7</v>
      </c>
      <c r="D6878" s="155">
        <v>3</v>
      </c>
      <c r="E6878" s="155">
        <v>5</v>
      </c>
      <c r="F6878" s="155">
        <v>3</v>
      </c>
      <c r="G6878" s="155">
        <v>3</v>
      </c>
      <c r="H6878" s="155">
        <v>0</v>
      </c>
      <c r="I6878" s="155">
        <v>3</v>
      </c>
      <c r="J6878" s="710">
        <f>(VLOOKUP($C6878,[2]Sheet1!$A$2:$P$18,$M6878+1)/12)*12*D6878</f>
        <v>923120.1072000002</v>
      </c>
      <c r="K6878" s="711"/>
      <c r="M6878" s="62">
        <f t="shared" si="556"/>
        <v>3</v>
      </c>
    </row>
    <row r="6879" spans="1:13">
      <c r="A6879" s="88">
        <f>+A6878+1</f>
        <v>16</v>
      </c>
      <c r="B6879" s="69" t="s">
        <v>1982</v>
      </c>
      <c r="C6879" s="167">
        <v>6</v>
      </c>
      <c r="D6879" s="155">
        <v>2</v>
      </c>
      <c r="E6879" s="155">
        <v>5</v>
      </c>
      <c r="F6879" s="155">
        <v>2</v>
      </c>
      <c r="G6879" s="155">
        <v>2</v>
      </c>
      <c r="H6879" s="155">
        <v>2</v>
      </c>
      <c r="I6879" s="155">
        <v>2</v>
      </c>
      <c r="J6879" s="710">
        <f>(VLOOKUP($C6879,[2]Sheet1!$A$2:$P$18,$M6879+1)/12)*12*D6879</f>
        <v>476198.75786072994</v>
      </c>
      <c r="K6879" s="711"/>
      <c r="M6879" s="62">
        <f t="shared" si="556"/>
        <v>5</v>
      </c>
    </row>
    <row r="6880" spans="1:13">
      <c r="A6880" s="88">
        <f>+A6879+1</f>
        <v>17</v>
      </c>
      <c r="B6880" s="69" t="s">
        <v>799</v>
      </c>
      <c r="C6880" s="167">
        <v>5</v>
      </c>
      <c r="D6880" s="155">
        <v>2</v>
      </c>
      <c r="E6880" s="155">
        <v>2</v>
      </c>
      <c r="F6880" s="155">
        <v>2</v>
      </c>
      <c r="G6880" s="155">
        <v>2</v>
      </c>
      <c r="H6880" s="155">
        <v>2</v>
      </c>
      <c r="I6880" s="155">
        <v>2</v>
      </c>
      <c r="J6880" s="710">
        <f>(VLOOKUP($C6880,[2]Sheet1!$A$2:$P$18,$M6880+1)/12)*12*D6880</f>
        <v>459139.55786072998</v>
      </c>
      <c r="K6880" s="711"/>
      <c r="M6880" s="62">
        <f t="shared" si="556"/>
        <v>5</v>
      </c>
    </row>
    <row r="6881" spans="1:13">
      <c r="A6881" s="88">
        <f>+A6880+1</f>
        <v>18</v>
      </c>
      <c r="B6881" s="69" t="s">
        <v>2360</v>
      </c>
      <c r="C6881" s="167">
        <v>4</v>
      </c>
      <c r="D6881" s="155">
        <v>1</v>
      </c>
      <c r="E6881" s="155">
        <v>1</v>
      </c>
      <c r="F6881" s="155">
        <v>1</v>
      </c>
      <c r="G6881" s="155">
        <v>1</v>
      </c>
      <c r="H6881" s="155">
        <v>1</v>
      </c>
      <c r="I6881" s="155">
        <v>1</v>
      </c>
      <c r="J6881" s="710">
        <f>(VLOOKUP($C6881,[2]Sheet1!$A$2:$P$18,$M6881+1)/12)*12*D6881</f>
        <v>224542.978930365</v>
      </c>
      <c r="K6881" s="711"/>
      <c r="M6881" s="62">
        <f t="shared" si="556"/>
        <v>5</v>
      </c>
    </row>
    <row r="6882" spans="1:13">
      <c r="A6882" s="88"/>
      <c r="B6882" s="90" t="s">
        <v>3857</v>
      </c>
      <c r="C6882" s="167"/>
      <c r="D6882" s="155"/>
      <c r="E6882" s="155"/>
      <c r="F6882" s="155"/>
      <c r="G6882" s="155"/>
      <c r="H6882" s="155"/>
      <c r="I6882" s="155"/>
      <c r="J6882" s="710"/>
      <c r="K6882" s="711"/>
      <c r="M6882" s="62">
        <f t="shared" si="556"/>
        <v>5</v>
      </c>
    </row>
    <row r="6883" spans="1:13">
      <c r="A6883" s="88">
        <f>+A6881+1</f>
        <v>19</v>
      </c>
      <c r="B6883" s="69" t="s">
        <v>3447</v>
      </c>
      <c r="C6883" s="167">
        <v>6</v>
      </c>
      <c r="D6883" s="155">
        <v>1</v>
      </c>
      <c r="E6883" s="155">
        <v>1</v>
      </c>
      <c r="F6883" s="155">
        <v>1</v>
      </c>
      <c r="G6883" s="155">
        <v>1</v>
      </c>
      <c r="H6883" s="155">
        <v>1</v>
      </c>
      <c r="I6883" s="155">
        <v>1</v>
      </c>
      <c r="J6883" s="710">
        <f>(VLOOKUP($C6883,[2]Sheet1!$A$2:$P$18,$M6883+1)/12)*12*D6883</f>
        <v>238099.37893036497</v>
      </c>
      <c r="K6883" s="711"/>
      <c r="M6883" s="62">
        <f t="shared" si="556"/>
        <v>5</v>
      </c>
    </row>
    <row r="6884" spans="1:13">
      <c r="A6884" s="88">
        <f>+A6883+1</f>
        <v>20</v>
      </c>
      <c r="B6884" s="69" t="s">
        <v>2416</v>
      </c>
      <c r="C6884" s="167">
        <v>5</v>
      </c>
      <c r="D6884" s="155">
        <v>1</v>
      </c>
      <c r="E6884" s="155">
        <v>1</v>
      </c>
      <c r="F6884" s="155">
        <v>1</v>
      </c>
      <c r="G6884" s="155">
        <v>1</v>
      </c>
      <c r="H6884" s="155">
        <v>1</v>
      </c>
      <c r="I6884" s="155">
        <v>1</v>
      </c>
      <c r="J6884" s="710">
        <f>(VLOOKUP($C6884,[2]Sheet1!$A$2:$P$18,$M6884+1)/12)*12*D6884</f>
        <v>229569.77893036499</v>
      </c>
      <c r="K6884" s="711"/>
      <c r="M6884" s="62">
        <f t="shared" si="556"/>
        <v>5</v>
      </c>
    </row>
    <row r="6885" spans="1:13">
      <c r="A6885" s="88">
        <f>+A6884+1</f>
        <v>21</v>
      </c>
      <c r="B6885" s="69" t="s">
        <v>3877</v>
      </c>
      <c r="C6885" s="167">
        <v>4</v>
      </c>
      <c r="D6885" s="155">
        <v>2</v>
      </c>
      <c r="E6885" s="155">
        <v>2</v>
      </c>
      <c r="F6885" s="155">
        <v>2</v>
      </c>
      <c r="G6885" s="155">
        <v>2</v>
      </c>
      <c r="H6885" s="155">
        <v>2</v>
      </c>
      <c r="I6885" s="155">
        <v>2</v>
      </c>
      <c r="J6885" s="710">
        <f>(VLOOKUP($C6885,[2]Sheet1!$A$2:$P$18,$M6885+1)/12)*12*D6885</f>
        <v>449085.95786073001</v>
      </c>
      <c r="K6885" s="711"/>
      <c r="M6885" s="62">
        <f t="shared" si="556"/>
        <v>5</v>
      </c>
    </row>
    <row r="6886" spans="1:13">
      <c r="A6886" s="88">
        <f>+A6885+1</f>
        <v>22</v>
      </c>
      <c r="B6886" s="69" t="s">
        <v>3434</v>
      </c>
      <c r="C6886" s="167">
        <v>7</v>
      </c>
      <c r="D6886" s="155">
        <v>2</v>
      </c>
      <c r="E6886" s="155">
        <v>2</v>
      </c>
      <c r="F6886" s="155">
        <v>2</v>
      </c>
      <c r="G6886" s="155">
        <v>2</v>
      </c>
      <c r="H6886" s="155">
        <v>2</v>
      </c>
      <c r="I6886" s="155">
        <v>2</v>
      </c>
      <c r="J6886" s="710">
        <f>(VLOOKUP($C6886,[2]Sheet1!$A$2:$P$18,$M6886+1)/12)*12*D6886</f>
        <v>615413.40480000013</v>
      </c>
      <c r="K6886" s="711"/>
      <c r="M6886" s="62">
        <f t="shared" si="556"/>
        <v>3</v>
      </c>
    </row>
    <row r="6887" spans="1:13">
      <c r="A6887" s="88">
        <f>+A6886+1</f>
        <v>23</v>
      </c>
      <c r="B6887" s="69" t="s">
        <v>3435</v>
      </c>
      <c r="C6887" s="167">
        <v>5</v>
      </c>
      <c r="D6887" s="155">
        <v>3</v>
      </c>
      <c r="E6887" s="155">
        <v>3</v>
      </c>
      <c r="F6887" s="155">
        <v>3</v>
      </c>
      <c r="G6887" s="155">
        <v>3</v>
      </c>
      <c r="H6887" s="155">
        <v>3</v>
      </c>
      <c r="I6887" s="155">
        <v>3</v>
      </c>
      <c r="J6887" s="710">
        <f>(VLOOKUP($C6887,[2]Sheet1!$A$2:$P$18,$M6887+1)/12)*12*D6887</f>
        <v>688709.33679109497</v>
      </c>
      <c r="K6887" s="711"/>
      <c r="M6887" s="62">
        <f t="shared" si="556"/>
        <v>5</v>
      </c>
    </row>
    <row r="6888" spans="1:13">
      <c r="A6888" s="88"/>
      <c r="B6888" s="90" t="s">
        <v>1585</v>
      </c>
      <c r="C6888" s="167"/>
      <c r="D6888" s="155"/>
      <c r="E6888" s="155"/>
      <c r="F6888" s="155"/>
      <c r="G6888" s="155"/>
      <c r="H6888" s="155"/>
      <c r="I6888" s="155"/>
      <c r="J6888" s="710"/>
      <c r="K6888" s="711"/>
      <c r="M6888" s="62">
        <f t="shared" si="556"/>
        <v>5</v>
      </c>
    </row>
    <row r="6889" spans="1:13">
      <c r="A6889" s="88"/>
      <c r="B6889" s="90" t="s">
        <v>1586</v>
      </c>
      <c r="C6889" s="167"/>
      <c r="D6889" s="155"/>
      <c r="E6889" s="155"/>
      <c r="F6889" s="155"/>
      <c r="G6889" s="155"/>
      <c r="H6889" s="155"/>
      <c r="I6889" s="155"/>
      <c r="J6889" s="710"/>
      <c r="K6889" s="711"/>
      <c r="M6889" s="62">
        <f t="shared" si="556"/>
        <v>5</v>
      </c>
    </row>
    <row r="6890" spans="1:13">
      <c r="A6890" s="88">
        <f>+A6887+1</f>
        <v>24</v>
      </c>
      <c r="B6890" s="69" t="s">
        <v>3532</v>
      </c>
      <c r="C6890" s="167">
        <v>16</v>
      </c>
      <c r="D6890" s="155">
        <v>0</v>
      </c>
      <c r="E6890" s="155">
        <v>1</v>
      </c>
      <c r="F6890" s="155">
        <v>0</v>
      </c>
      <c r="G6890" s="155">
        <v>0</v>
      </c>
      <c r="H6890" s="155">
        <v>0</v>
      </c>
      <c r="I6890" s="155">
        <v>0</v>
      </c>
      <c r="J6890" s="710">
        <f>(VLOOKUP($C6890,[2]Sheet1!$A$2:$P$18,$M6890+1)/12)*12*D6890</f>
        <v>0</v>
      </c>
      <c r="K6890" s="711"/>
      <c r="M6890" s="62">
        <f t="shared" si="556"/>
        <v>3</v>
      </c>
    </row>
    <row r="6891" spans="1:13">
      <c r="A6891" s="88">
        <f t="shared" ref="A6891:A6902" si="558">+A6890+1</f>
        <v>25</v>
      </c>
      <c r="B6891" s="69" t="s">
        <v>1256</v>
      </c>
      <c r="C6891" s="167">
        <v>15</v>
      </c>
      <c r="D6891" s="155">
        <v>0</v>
      </c>
      <c r="E6891" s="155">
        <v>1</v>
      </c>
      <c r="F6891" s="155">
        <v>0</v>
      </c>
      <c r="G6891" s="155">
        <v>0</v>
      </c>
      <c r="H6891" s="155">
        <v>0</v>
      </c>
      <c r="I6891" s="155">
        <v>0</v>
      </c>
      <c r="J6891" s="710">
        <f>(VLOOKUP($C6891,[2]Sheet1!$A$2:$P$18,$M6891+1)/12)*12*D6891</f>
        <v>0</v>
      </c>
      <c r="K6891" s="711"/>
      <c r="M6891" s="62">
        <f t="shared" si="556"/>
        <v>3</v>
      </c>
    </row>
    <row r="6892" spans="1:13">
      <c r="A6892" s="88">
        <f t="shared" si="558"/>
        <v>26</v>
      </c>
      <c r="B6892" s="69" t="s">
        <v>3533</v>
      </c>
      <c r="C6892" s="167">
        <v>14</v>
      </c>
      <c r="D6892" s="155">
        <v>0</v>
      </c>
      <c r="E6892" s="155">
        <v>0</v>
      </c>
      <c r="F6892" s="155">
        <v>1</v>
      </c>
      <c r="G6892" s="155">
        <v>1</v>
      </c>
      <c r="H6892" s="155">
        <v>1</v>
      </c>
      <c r="I6892" s="155">
        <v>0</v>
      </c>
      <c r="J6892" s="710">
        <f>(VLOOKUP($C6892,[2]Sheet1!$A$2:$P$18,$M6892+1)/12)*12*D6892</f>
        <v>0</v>
      </c>
      <c r="K6892" s="711"/>
      <c r="M6892" s="62">
        <f t="shared" si="556"/>
        <v>3</v>
      </c>
    </row>
    <row r="6893" spans="1:13">
      <c r="A6893" s="88">
        <f t="shared" si="558"/>
        <v>27</v>
      </c>
      <c r="B6893" s="69" t="s">
        <v>2325</v>
      </c>
      <c r="C6893" s="167">
        <v>13</v>
      </c>
      <c r="D6893" s="155">
        <v>1</v>
      </c>
      <c r="E6893" s="155">
        <v>0</v>
      </c>
      <c r="F6893" s="155">
        <v>1</v>
      </c>
      <c r="G6893" s="155">
        <v>1</v>
      </c>
      <c r="H6893" s="155">
        <v>1</v>
      </c>
      <c r="I6893" s="155">
        <v>0</v>
      </c>
      <c r="J6893" s="710">
        <f>(VLOOKUP($C6893,[2]Sheet1!$A$2:$P$18,$M6893+1)/12)*12*D6893</f>
        <v>628759.53804000001</v>
      </c>
      <c r="K6893" s="711"/>
      <c r="M6893" s="62">
        <f t="shared" si="556"/>
        <v>3</v>
      </c>
    </row>
    <row r="6894" spans="1:13">
      <c r="A6894" s="88">
        <f t="shared" si="558"/>
        <v>28</v>
      </c>
      <c r="B6894" s="69" t="s">
        <v>3969</v>
      </c>
      <c r="C6894" s="167">
        <v>12</v>
      </c>
      <c r="D6894" s="155">
        <v>1</v>
      </c>
      <c r="E6894" s="155">
        <v>1</v>
      </c>
      <c r="F6894" s="155">
        <v>1</v>
      </c>
      <c r="G6894" s="155">
        <v>1</v>
      </c>
      <c r="H6894" s="155">
        <v>1</v>
      </c>
      <c r="I6894" s="155">
        <v>1</v>
      </c>
      <c r="J6894" s="710">
        <f>(VLOOKUP($C6894,[2]Sheet1!$A$2:$P$18,$M6894+1)/12)*12*D6894</f>
        <v>552685.0537200002</v>
      </c>
      <c r="K6894" s="711"/>
      <c r="M6894" s="62">
        <f t="shared" si="556"/>
        <v>3</v>
      </c>
    </row>
    <row r="6895" spans="1:13">
      <c r="A6895" s="88">
        <f t="shared" si="558"/>
        <v>29</v>
      </c>
      <c r="B6895" s="69" t="s">
        <v>1587</v>
      </c>
      <c r="C6895" s="167">
        <v>8</v>
      </c>
      <c r="D6895" s="155">
        <v>1</v>
      </c>
      <c r="E6895" s="155">
        <v>1</v>
      </c>
      <c r="F6895" s="155">
        <v>0</v>
      </c>
      <c r="G6895" s="155">
        <v>0</v>
      </c>
      <c r="H6895" s="155">
        <v>1</v>
      </c>
      <c r="I6895" s="155">
        <v>1</v>
      </c>
      <c r="J6895" s="710">
        <f>(VLOOKUP($C6895,[2]Sheet1!$A$2:$P$18,$M6895+1)/12)*12*D6895</f>
        <v>342141.27408</v>
      </c>
      <c r="K6895" s="711"/>
      <c r="M6895" s="62">
        <f t="shared" si="556"/>
        <v>3</v>
      </c>
    </row>
    <row r="6896" spans="1:13">
      <c r="A6896" s="88">
        <f t="shared" si="558"/>
        <v>30</v>
      </c>
      <c r="B6896" s="69" t="s">
        <v>1262</v>
      </c>
      <c r="C6896" s="167">
        <v>9</v>
      </c>
      <c r="D6896" s="155">
        <v>3</v>
      </c>
      <c r="E6896" s="155">
        <v>3</v>
      </c>
      <c r="F6896" s="155">
        <v>3</v>
      </c>
      <c r="G6896" s="155">
        <v>3</v>
      </c>
      <c r="H6896" s="155">
        <v>3</v>
      </c>
      <c r="I6896" s="155">
        <v>3</v>
      </c>
      <c r="J6896" s="710">
        <f>(VLOOKUP($C6896,[2]Sheet1!$A$2:$P$18,$M6896+1)/12)*12*D6896</f>
        <v>1229045.7185999998</v>
      </c>
      <c r="K6896" s="711"/>
      <c r="M6896" s="62">
        <f t="shared" si="556"/>
        <v>3</v>
      </c>
    </row>
    <row r="6897" spans="1:13" ht="13.5" thickBot="1">
      <c r="A6897" s="88">
        <f t="shared" si="558"/>
        <v>31</v>
      </c>
      <c r="B6897" s="69" t="s">
        <v>3972</v>
      </c>
      <c r="C6897" s="167">
        <v>7</v>
      </c>
      <c r="D6897" s="155">
        <v>5</v>
      </c>
      <c r="E6897" s="155">
        <v>5</v>
      </c>
      <c r="F6897" s="155">
        <v>4</v>
      </c>
      <c r="G6897" s="155">
        <v>4</v>
      </c>
      <c r="H6897" s="155">
        <v>5</v>
      </c>
      <c r="I6897" s="155">
        <v>5</v>
      </c>
      <c r="J6897" s="710">
        <f>(VLOOKUP($C6897,[2]Sheet1!$A$2:$P$18,$M6897+1)/12)*12*D6897</f>
        <v>1538533.5120000003</v>
      </c>
      <c r="K6897" s="711"/>
      <c r="M6897" s="62">
        <f t="shared" si="556"/>
        <v>3</v>
      </c>
    </row>
    <row r="6898" spans="1:13" ht="15.75" thickTop="1">
      <c r="A6898" s="1047" t="s">
        <v>2791</v>
      </c>
      <c r="B6898" s="1049" t="s">
        <v>4126</v>
      </c>
      <c r="C6898" s="1049" t="s">
        <v>854</v>
      </c>
      <c r="D6898" s="1040" t="s">
        <v>4127</v>
      </c>
      <c r="E6898" s="1041"/>
      <c r="F6898" s="1041"/>
      <c r="G6898" s="1040" t="s">
        <v>904</v>
      </c>
      <c r="H6898" s="1041"/>
      <c r="I6898" s="1042"/>
      <c r="J6898" s="1035" t="s">
        <v>855</v>
      </c>
      <c r="K6898" s="389"/>
    </row>
    <row r="6899" spans="1:13" ht="26.25" thickBot="1">
      <c r="A6899" s="1048"/>
      <c r="B6899" s="1050"/>
      <c r="C6899" s="1050"/>
      <c r="D6899" s="285" t="s">
        <v>5505</v>
      </c>
      <c r="E6899" s="285" t="s">
        <v>4485</v>
      </c>
      <c r="F6899" s="285" t="s">
        <v>4486</v>
      </c>
      <c r="G6899" s="287" t="s">
        <v>4487</v>
      </c>
      <c r="H6899" s="285" t="s">
        <v>4488</v>
      </c>
      <c r="I6899" s="287" t="s">
        <v>4489</v>
      </c>
      <c r="J6899" s="1036"/>
      <c r="K6899" s="712"/>
    </row>
    <row r="6900" spans="1:13" ht="13.5" thickTop="1">
      <c r="A6900" s="88">
        <f>+A6897+1</f>
        <v>32</v>
      </c>
      <c r="B6900" s="69" t="s">
        <v>3974</v>
      </c>
      <c r="C6900" s="167">
        <v>6</v>
      </c>
      <c r="D6900" s="155">
        <v>10</v>
      </c>
      <c r="E6900" s="155">
        <v>10</v>
      </c>
      <c r="F6900" s="155">
        <v>7</v>
      </c>
      <c r="G6900" s="155">
        <v>7</v>
      </c>
      <c r="H6900" s="155">
        <v>7</v>
      </c>
      <c r="I6900" s="155">
        <v>10</v>
      </c>
      <c r="J6900" s="710">
        <f>(VLOOKUP($C6900,[2]Sheet1!$A$2:$P$18,$M6900+1)/12)*12*D6900</f>
        <v>2380993.7893036497</v>
      </c>
      <c r="K6900" s="711"/>
      <c r="M6900" s="62">
        <f t="shared" si="556"/>
        <v>5</v>
      </c>
    </row>
    <row r="6901" spans="1:13">
      <c r="A6901" s="88">
        <f>+A6900+1</f>
        <v>33</v>
      </c>
      <c r="B6901" s="69" t="s">
        <v>1141</v>
      </c>
      <c r="C6901" s="167">
        <v>3</v>
      </c>
      <c r="D6901" s="155">
        <v>10</v>
      </c>
      <c r="E6901" s="155">
        <v>10</v>
      </c>
      <c r="F6901" s="155">
        <v>8</v>
      </c>
      <c r="G6901" s="155">
        <v>8</v>
      </c>
      <c r="H6901" s="155">
        <v>8</v>
      </c>
      <c r="I6901" s="155">
        <v>10</v>
      </c>
      <c r="J6901" s="710">
        <f>(VLOOKUP($C6901,[2]Sheet1!$A$2:$P$18,$M6901+1)/12)*12*D6901</f>
        <v>2193361.7893036497</v>
      </c>
      <c r="K6901" s="711"/>
      <c r="M6901" s="62">
        <f t="shared" si="556"/>
        <v>5</v>
      </c>
    </row>
    <row r="6902" spans="1:13">
      <c r="A6902" s="88">
        <f t="shared" si="558"/>
        <v>34</v>
      </c>
      <c r="B6902" s="69" t="s">
        <v>3270</v>
      </c>
      <c r="C6902" s="167">
        <v>12</v>
      </c>
      <c r="D6902" s="155">
        <v>6</v>
      </c>
      <c r="E6902" s="155">
        <v>6</v>
      </c>
      <c r="F6902" s="155">
        <v>6</v>
      </c>
      <c r="G6902" s="155">
        <v>6</v>
      </c>
      <c r="H6902" s="155">
        <v>6</v>
      </c>
      <c r="I6902" s="155">
        <v>6</v>
      </c>
      <c r="J6902" s="710">
        <f>(VLOOKUP($C6902,[2]Sheet1!$A$2:$P$18,$M6902+1)/12)*12*D6902</f>
        <v>3316110.3223200012</v>
      </c>
      <c r="K6902" s="711"/>
      <c r="M6902" s="62">
        <f t="shared" si="556"/>
        <v>3</v>
      </c>
    </row>
    <row r="6903" spans="1:13">
      <c r="A6903" s="88"/>
      <c r="B6903" s="90" t="s">
        <v>2829</v>
      </c>
      <c r="C6903" s="167"/>
      <c r="D6903" s="155"/>
      <c r="E6903" s="155"/>
      <c r="F6903" s="155"/>
      <c r="G6903" s="155"/>
      <c r="H6903" s="155"/>
      <c r="I6903" s="155"/>
      <c r="J6903" s="713"/>
      <c r="K6903" s="711"/>
      <c r="M6903" s="62">
        <f t="shared" si="556"/>
        <v>5</v>
      </c>
    </row>
    <row r="6904" spans="1:13">
      <c r="A6904" s="88">
        <f>+A6902+1</f>
        <v>35</v>
      </c>
      <c r="B6904" s="69" t="s">
        <v>1590</v>
      </c>
      <c r="C6904" s="167">
        <v>15</v>
      </c>
      <c r="D6904" s="155">
        <v>0</v>
      </c>
      <c r="E6904" s="155">
        <v>1</v>
      </c>
      <c r="F6904" s="155">
        <v>1</v>
      </c>
      <c r="G6904" s="155">
        <v>1</v>
      </c>
      <c r="H6904" s="155">
        <v>1</v>
      </c>
      <c r="I6904" s="155">
        <v>0</v>
      </c>
      <c r="J6904" s="710">
        <f>(VLOOKUP($C6904,[2]Sheet1!$A$2:$P$18,$M6904+1)/12)*12*D6904</f>
        <v>0</v>
      </c>
      <c r="K6904" s="711"/>
      <c r="M6904" s="62">
        <f t="shared" si="556"/>
        <v>3</v>
      </c>
    </row>
    <row r="6905" spans="1:13">
      <c r="A6905" s="88">
        <f t="shared" ref="A6905:A6914" si="559">+A6904+1</f>
        <v>36</v>
      </c>
      <c r="B6905" s="69" t="s">
        <v>2138</v>
      </c>
      <c r="C6905" s="167">
        <v>14</v>
      </c>
      <c r="D6905" s="155">
        <v>1</v>
      </c>
      <c r="E6905" s="155">
        <v>1</v>
      </c>
      <c r="F6905" s="155">
        <v>1</v>
      </c>
      <c r="G6905" s="155">
        <v>1</v>
      </c>
      <c r="H6905" s="155">
        <v>1</v>
      </c>
      <c r="I6905" s="155">
        <v>0</v>
      </c>
      <c r="J6905" s="710">
        <f>(VLOOKUP($C6905,[2]Sheet1!$A$2:$P$18,$M6905+1)/12)*12*D6905</f>
        <v>669099.40824000002</v>
      </c>
      <c r="K6905" s="711"/>
      <c r="M6905" s="62">
        <f t="shared" si="556"/>
        <v>3</v>
      </c>
    </row>
    <row r="6906" spans="1:13">
      <c r="A6906" s="88">
        <f t="shared" si="559"/>
        <v>37</v>
      </c>
      <c r="B6906" s="69" t="s">
        <v>2292</v>
      </c>
      <c r="C6906" s="167">
        <v>13</v>
      </c>
      <c r="D6906" s="155">
        <v>2</v>
      </c>
      <c r="E6906" s="155">
        <v>2</v>
      </c>
      <c r="F6906" s="155">
        <v>1</v>
      </c>
      <c r="G6906" s="155">
        <v>1</v>
      </c>
      <c r="H6906" s="155">
        <v>2</v>
      </c>
      <c r="I6906" s="155">
        <v>2</v>
      </c>
      <c r="J6906" s="710">
        <f>(VLOOKUP($C6906,[2]Sheet1!$A$2:$P$18,$M6906+1)/12)*12*D6906</f>
        <v>1257519.07608</v>
      </c>
      <c r="K6906" s="711"/>
      <c r="M6906" s="62">
        <f t="shared" si="556"/>
        <v>3</v>
      </c>
    </row>
    <row r="6907" spans="1:13">
      <c r="A6907" s="88">
        <f>+A6906+1</f>
        <v>38</v>
      </c>
      <c r="B6907" s="69" t="s">
        <v>2293</v>
      </c>
      <c r="C6907" s="167">
        <v>13</v>
      </c>
      <c r="D6907" s="155">
        <v>1</v>
      </c>
      <c r="E6907" s="155">
        <v>1</v>
      </c>
      <c r="F6907" s="155">
        <v>2</v>
      </c>
      <c r="G6907" s="155">
        <v>2</v>
      </c>
      <c r="H6907" s="155">
        <v>1</v>
      </c>
      <c r="I6907" s="155">
        <v>1</v>
      </c>
      <c r="J6907" s="710">
        <f>(VLOOKUP($C6907,[2]Sheet1!$A$2:$P$18,$M6907+1)/12)*12*D6907</f>
        <v>628759.53804000001</v>
      </c>
      <c r="K6907" s="711"/>
      <c r="M6907" s="62">
        <f t="shared" si="556"/>
        <v>3</v>
      </c>
    </row>
    <row r="6908" spans="1:13">
      <c r="A6908" s="88">
        <f t="shared" si="559"/>
        <v>39</v>
      </c>
      <c r="B6908" s="69" t="s">
        <v>2294</v>
      </c>
      <c r="C6908" s="167">
        <v>12</v>
      </c>
      <c r="D6908" s="155">
        <v>1</v>
      </c>
      <c r="E6908" s="155">
        <v>2</v>
      </c>
      <c r="F6908" s="155">
        <v>1</v>
      </c>
      <c r="G6908" s="155">
        <v>1</v>
      </c>
      <c r="H6908" s="155">
        <v>2</v>
      </c>
      <c r="I6908" s="155">
        <v>1</v>
      </c>
      <c r="J6908" s="710">
        <f>(VLOOKUP($C6908,[2]Sheet1!$A$2:$P$18,$M6908+1)/12)*12*D6908</f>
        <v>552685.0537200002</v>
      </c>
      <c r="K6908" s="711"/>
      <c r="M6908" s="62">
        <f t="shared" si="556"/>
        <v>3</v>
      </c>
    </row>
    <row r="6909" spans="1:13">
      <c r="A6909" s="88">
        <f t="shared" si="559"/>
        <v>40</v>
      </c>
      <c r="B6909" s="69" t="s">
        <v>2295</v>
      </c>
      <c r="C6909" s="167">
        <v>10</v>
      </c>
      <c r="D6909" s="155">
        <v>3</v>
      </c>
      <c r="E6909" s="155">
        <v>3</v>
      </c>
      <c r="F6909" s="155">
        <v>2</v>
      </c>
      <c r="G6909" s="155">
        <v>2</v>
      </c>
      <c r="H6909" s="155">
        <v>3</v>
      </c>
      <c r="I6909" s="155">
        <v>3</v>
      </c>
      <c r="J6909" s="710">
        <f>(VLOOKUP($C6909,[2]Sheet1!$A$2:$P$18,$M6909+1)/12)*12*D6909</f>
        <v>1451923.7061600003</v>
      </c>
      <c r="K6909" s="711"/>
      <c r="M6909" s="62">
        <f t="shared" si="556"/>
        <v>3</v>
      </c>
    </row>
    <row r="6910" spans="1:13">
      <c r="A6910" s="88">
        <f t="shared" si="559"/>
        <v>41</v>
      </c>
      <c r="B6910" s="69" t="s">
        <v>2296</v>
      </c>
      <c r="C6910" s="167">
        <v>9</v>
      </c>
      <c r="D6910" s="155">
        <v>6</v>
      </c>
      <c r="E6910" s="155">
        <v>6</v>
      </c>
      <c r="F6910" s="155">
        <v>4</v>
      </c>
      <c r="G6910" s="155">
        <v>4</v>
      </c>
      <c r="H6910" s="155">
        <v>4</v>
      </c>
      <c r="I6910" s="155">
        <v>6</v>
      </c>
      <c r="J6910" s="710">
        <f>(VLOOKUP($C6910,[2]Sheet1!$A$2:$P$18,$M6910+1)/12)*12*D6910</f>
        <v>2458091.4371999996</v>
      </c>
      <c r="K6910" s="711"/>
      <c r="M6910" s="62">
        <f t="shared" si="556"/>
        <v>3</v>
      </c>
    </row>
    <row r="6911" spans="1:13">
      <c r="A6911" s="88">
        <f t="shared" si="559"/>
        <v>42</v>
      </c>
      <c r="B6911" s="69" t="s">
        <v>4053</v>
      </c>
      <c r="C6911" s="167">
        <v>7</v>
      </c>
      <c r="D6911" s="155">
        <v>15</v>
      </c>
      <c r="E6911" s="155">
        <v>15</v>
      </c>
      <c r="F6911" s="155">
        <v>9</v>
      </c>
      <c r="G6911" s="155">
        <v>9</v>
      </c>
      <c r="H6911" s="155">
        <v>9</v>
      </c>
      <c r="I6911" s="155">
        <v>15</v>
      </c>
      <c r="J6911" s="710">
        <f>(VLOOKUP($C6911,[2]Sheet1!$A$2:$P$18,$M6911+1)/12)*12*D6911</f>
        <v>4615600.5360000012</v>
      </c>
      <c r="K6911" s="711"/>
      <c r="M6911" s="62">
        <f t="shared" si="556"/>
        <v>3</v>
      </c>
    </row>
    <row r="6912" spans="1:13">
      <c r="A6912" s="88">
        <f t="shared" si="559"/>
        <v>43</v>
      </c>
      <c r="B6912" s="69" t="s">
        <v>1334</v>
      </c>
      <c r="C6912" s="167">
        <v>6</v>
      </c>
      <c r="D6912" s="155">
        <v>3</v>
      </c>
      <c r="E6912" s="155">
        <v>3</v>
      </c>
      <c r="F6912" s="155">
        <v>3</v>
      </c>
      <c r="G6912" s="155">
        <v>3</v>
      </c>
      <c r="H6912" s="155">
        <v>3</v>
      </c>
      <c r="I6912" s="155">
        <v>3</v>
      </c>
      <c r="J6912" s="710">
        <f>(VLOOKUP($C6912,[2]Sheet1!$A$2:$P$18,$M6912+1)/12)*12*D6912</f>
        <v>714298.1367910949</v>
      </c>
      <c r="K6912" s="711"/>
      <c r="M6912" s="62">
        <f t="shared" si="556"/>
        <v>5</v>
      </c>
    </row>
    <row r="6913" spans="1:13">
      <c r="A6913" s="88">
        <f t="shared" si="559"/>
        <v>44</v>
      </c>
      <c r="B6913" s="69" t="s">
        <v>1711</v>
      </c>
      <c r="C6913" s="167">
        <v>5</v>
      </c>
      <c r="D6913" s="155">
        <v>2</v>
      </c>
      <c r="E6913" s="155">
        <v>2</v>
      </c>
      <c r="F6913" s="155">
        <v>2</v>
      </c>
      <c r="G6913" s="155">
        <v>2</v>
      </c>
      <c r="H6913" s="155">
        <v>2</v>
      </c>
      <c r="I6913" s="155">
        <v>2</v>
      </c>
      <c r="J6913" s="710">
        <f>(VLOOKUP($C6913,[2]Sheet1!$A$2:$P$18,$M6913+1)/12)*12*D6913</f>
        <v>459139.55786072998</v>
      </c>
      <c r="K6913" s="711"/>
      <c r="M6913" s="62">
        <f t="shared" si="556"/>
        <v>5</v>
      </c>
    </row>
    <row r="6914" spans="1:13">
      <c r="A6914" s="88">
        <f t="shared" si="559"/>
        <v>45</v>
      </c>
      <c r="B6914" s="69" t="s">
        <v>1335</v>
      </c>
      <c r="C6914" s="167">
        <v>4</v>
      </c>
      <c r="D6914" s="155">
        <v>20</v>
      </c>
      <c r="E6914" s="155">
        <v>20</v>
      </c>
      <c r="F6914" s="155">
        <v>12</v>
      </c>
      <c r="G6914" s="155">
        <v>12</v>
      </c>
      <c r="H6914" s="155">
        <v>12</v>
      </c>
      <c r="I6914" s="155">
        <v>20</v>
      </c>
      <c r="J6914" s="710">
        <f>(VLOOKUP($C6914,[2]Sheet1!$A$2:$P$18,$M6914+1)/12)*12*D6914</f>
        <v>4490859.5786073003</v>
      </c>
      <c r="K6914" s="711"/>
      <c r="M6914" s="62">
        <f t="shared" si="556"/>
        <v>5</v>
      </c>
    </row>
    <row r="6915" spans="1:13">
      <c r="A6915" s="88"/>
      <c r="B6915" s="69"/>
      <c r="C6915" s="167"/>
      <c r="D6915" s="155"/>
      <c r="E6915" s="155"/>
      <c r="F6915" s="155"/>
      <c r="G6915" s="155"/>
      <c r="H6915" s="155"/>
      <c r="I6915" s="155"/>
      <c r="J6915" s="710"/>
      <c r="K6915" s="711"/>
      <c r="M6915" s="62">
        <f t="shared" si="556"/>
        <v>5</v>
      </c>
    </row>
    <row r="6916" spans="1:13">
      <c r="A6916" s="88"/>
      <c r="B6916" s="90" t="s">
        <v>3277</v>
      </c>
      <c r="C6916" s="167"/>
      <c r="D6916" s="155"/>
      <c r="E6916" s="155"/>
      <c r="F6916" s="155"/>
      <c r="G6916" s="155"/>
      <c r="H6916" s="155"/>
      <c r="I6916" s="155"/>
      <c r="J6916" s="710"/>
      <c r="K6916" s="711"/>
      <c r="M6916" s="62">
        <f t="shared" si="556"/>
        <v>5</v>
      </c>
    </row>
    <row r="6917" spans="1:13">
      <c r="A6917" s="88">
        <f>+A6914+1</f>
        <v>46</v>
      </c>
      <c r="B6917" s="69" t="s">
        <v>3532</v>
      </c>
      <c r="C6917" s="167">
        <v>12</v>
      </c>
      <c r="D6917" s="155">
        <v>1</v>
      </c>
      <c r="E6917" s="155">
        <v>1</v>
      </c>
      <c r="F6917" s="155">
        <v>1</v>
      </c>
      <c r="G6917" s="155">
        <v>1</v>
      </c>
      <c r="H6917" s="155">
        <v>1</v>
      </c>
      <c r="I6917" s="155">
        <v>1</v>
      </c>
      <c r="J6917" s="710">
        <f>(VLOOKUP($C6917,[2]Sheet1!$A$2:$P$18,$M6917+1)/12)*12*D6917</f>
        <v>552685.0537200002</v>
      </c>
      <c r="K6917" s="711"/>
      <c r="M6917" s="62">
        <f t="shared" si="556"/>
        <v>3</v>
      </c>
    </row>
    <row r="6918" spans="1:13">
      <c r="A6918" s="88">
        <f>+A6917+1</f>
        <v>47</v>
      </c>
      <c r="B6918" s="69" t="s">
        <v>3278</v>
      </c>
      <c r="C6918" s="167">
        <v>12</v>
      </c>
      <c r="D6918" s="155">
        <v>1</v>
      </c>
      <c r="E6918" s="155">
        <v>1</v>
      </c>
      <c r="F6918" s="155">
        <v>1</v>
      </c>
      <c r="G6918" s="155">
        <v>1</v>
      </c>
      <c r="H6918" s="155">
        <v>1</v>
      </c>
      <c r="I6918" s="155">
        <v>1</v>
      </c>
      <c r="J6918" s="710">
        <f>(VLOOKUP($C6918,[2]Sheet1!$A$2:$P$18,$M6918+1)/12)*12*D6918</f>
        <v>552685.0537200002</v>
      </c>
      <c r="K6918" s="711"/>
      <c r="M6918" s="62">
        <f t="shared" si="556"/>
        <v>3</v>
      </c>
    </row>
    <row r="6919" spans="1:13">
      <c r="A6919" s="88">
        <v>43</v>
      </c>
      <c r="B6919" s="69" t="s">
        <v>3279</v>
      </c>
      <c r="C6919" s="167">
        <v>8</v>
      </c>
      <c r="D6919" s="155">
        <v>2</v>
      </c>
      <c r="E6919" s="155">
        <v>2</v>
      </c>
      <c r="F6919" s="155">
        <v>2</v>
      </c>
      <c r="G6919" s="155">
        <v>2</v>
      </c>
      <c r="H6919" s="155">
        <v>2</v>
      </c>
      <c r="I6919" s="155">
        <v>2</v>
      </c>
      <c r="J6919" s="710">
        <f>(VLOOKUP($C6919,[2]Sheet1!$A$2:$P$18,$M6919+1)/12)*12*D6919</f>
        <v>684282.54816000001</v>
      </c>
      <c r="K6919" s="711"/>
      <c r="M6919" s="62">
        <f t="shared" si="556"/>
        <v>3</v>
      </c>
    </row>
    <row r="6920" spans="1:13">
      <c r="A6920" s="88"/>
      <c r="B6920" s="69"/>
      <c r="C6920" s="167"/>
      <c r="D6920" s="155"/>
      <c r="E6920" s="155"/>
      <c r="F6920" s="155"/>
      <c r="G6920" s="155"/>
      <c r="H6920" s="155"/>
      <c r="I6920" s="155"/>
      <c r="J6920" s="155"/>
      <c r="K6920" s="386"/>
    </row>
    <row r="6921" spans="1:13">
      <c r="A6921" s="88"/>
      <c r="B6921" s="69"/>
      <c r="C6921" s="167"/>
      <c r="D6921" s="155"/>
      <c r="E6921" s="155"/>
      <c r="F6921" s="155"/>
      <c r="G6921" s="155"/>
      <c r="H6921" s="155"/>
      <c r="I6921" s="155"/>
      <c r="J6921" s="155"/>
      <c r="K6921" s="386"/>
    </row>
    <row r="6922" spans="1:13">
      <c r="A6922" s="88"/>
      <c r="B6922" s="69"/>
      <c r="C6922" s="167"/>
      <c r="D6922" s="155"/>
      <c r="E6922" s="155"/>
      <c r="F6922" s="155"/>
      <c r="G6922" s="155"/>
      <c r="H6922" s="155"/>
      <c r="I6922" s="155"/>
      <c r="J6922" s="155"/>
      <c r="K6922" s="386"/>
    </row>
    <row r="6923" spans="1:13">
      <c r="A6923" s="88"/>
      <c r="B6923" s="69"/>
      <c r="C6923" s="167"/>
      <c r="D6923" s="155"/>
      <c r="E6923" s="155"/>
      <c r="F6923" s="155"/>
      <c r="G6923" s="155"/>
      <c r="H6923" s="155"/>
      <c r="I6923" s="155"/>
      <c r="J6923" s="155"/>
      <c r="K6923" s="386"/>
    </row>
    <row r="6924" spans="1:13">
      <c r="A6924" s="92"/>
      <c r="B6924" s="93" t="s">
        <v>1684</v>
      </c>
      <c r="C6924" s="168"/>
      <c r="D6924" s="169">
        <f t="shared" ref="D6924:J6924" si="560">SUM(D6861:D6923)</f>
        <v>164</v>
      </c>
      <c r="E6924" s="169">
        <f t="shared" si="560"/>
        <v>227</v>
      </c>
      <c r="F6924" s="169">
        <f t="shared" si="560"/>
        <v>141</v>
      </c>
      <c r="G6924" s="169">
        <f>SUM(G6861:G6923)</f>
        <v>141</v>
      </c>
      <c r="H6924" s="169">
        <f t="shared" si="560"/>
        <v>151</v>
      </c>
      <c r="I6924" s="169">
        <f t="shared" si="560"/>
        <v>162</v>
      </c>
      <c r="J6924" s="169">
        <f t="shared" si="560"/>
        <v>47081795.168679424</v>
      </c>
      <c r="K6924" s="385"/>
    </row>
    <row r="6925" spans="1:13">
      <c r="A6925" s="170"/>
      <c r="B6925" s="97"/>
      <c r="C6925" s="167"/>
      <c r="D6925" s="155"/>
      <c r="E6925" s="155"/>
      <c r="F6925" s="155"/>
      <c r="G6925" s="155"/>
      <c r="H6925" s="155"/>
      <c r="I6925" s="155"/>
      <c r="J6925" s="155"/>
      <c r="K6925" s="386"/>
    </row>
    <row r="6926" spans="1:13">
      <c r="A6926" s="170"/>
      <c r="B6926" s="97" t="s">
        <v>1199</v>
      </c>
      <c r="C6926" s="167"/>
      <c r="D6926" s="155"/>
      <c r="E6926" s="155"/>
      <c r="F6926" s="251"/>
      <c r="G6926" s="240" t="s">
        <v>243</v>
      </c>
      <c r="H6926" s="240" t="s">
        <v>4130</v>
      </c>
      <c r="I6926" s="240" t="s">
        <v>4202</v>
      </c>
      <c r="J6926" s="241" t="s">
        <v>4200</v>
      </c>
      <c r="K6926" s="375"/>
    </row>
    <row r="6927" spans="1:13">
      <c r="A6927" s="88">
        <v>1</v>
      </c>
      <c r="B6927" s="69" t="s">
        <v>763</v>
      </c>
      <c r="C6927" s="167"/>
      <c r="D6927" s="155"/>
      <c r="E6927" s="155"/>
      <c r="F6927" s="155"/>
      <c r="G6927" s="155">
        <f>J6924*0.2</f>
        <v>9416359.0337358844</v>
      </c>
      <c r="H6927" s="155">
        <f>G6927*1.02</f>
        <v>9604686.214410603</v>
      </c>
      <c r="I6927" s="155">
        <f>H6927*1.02</f>
        <v>9796779.9386988152</v>
      </c>
      <c r="J6927" s="155">
        <f>SUM(G6927:I6927)</f>
        <v>28817825.186845303</v>
      </c>
      <c r="K6927" s="386"/>
    </row>
    <row r="6928" spans="1:13">
      <c r="A6928" s="92"/>
      <c r="B6928" s="93" t="s">
        <v>2531</v>
      </c>
      <c r="C6928" s="168"/>
      <c r="D6928" s="171"/>
      <c r="E6928" s="171"/>
      <c r="F6928" s="169"/>
      <c r="G6928" s="169">
        <f>SUM(G6927:G6927)</f>
        <v>9416359.0337358844</v>
      </c>
      <c r="H6928" s="169">
        <f>SUM(H6927:H6927)</f>
        <v>9604686.214410603</v>
      </c>
      <c r="I6928" s="169">
        <f>SUM(I6927:I6927)</f>
        <v>9796779.9386988152</v>
      </c>
      <c r="J6928" s="169">
        <f>SUM(J6927:J6927)</f>
        <v>28817825.186845303</v>
      </c>
      <c r="K6928" s="385"/>
    </row>
    <row r="6929" spans="1:11">
      <c r="A6929" s="88"/>
      <c r="B6929" s="69"/>
      <c r="C6929" s="167"/>
      <c r="D6929" s="155"/>
      <c r="E6929" s="155"/>
      <c r="F6929" s="155"/>
      <c r="G6929" s="155"/>
      <c r="H6929" s="155"/>
      <c r="I6929" s="155"/>
      <c r="J6929" s="155"/>
      <c r="K6929" s="386"/>
    </row>
    <row r="6930" spans="1:11">
      <c r="A6930" s="88"/>
      <c r="B6930" s="69" t="s">
        <v>926</v>
      </c>
      <c r="C6930" s="167"/>
      <c r="D6930" s="155"/>
      <c r="E6930" s="155"/>
      <c r="F6930" s="155"/>
      <c r="G6930" s="155">
        <f>G6928+J6924</f>
        <v>56498154.20241531</v>
      </c>
      <c r="H6930" s="155">
        <f>G6930*1.02</f>
        <v>57628117.286463618</v>
      </c>
      <c r="I6930" s="155">
        <f>H6930*1.02</f>
        <v>58780679.632192895</v>
      </c>
      <c r="J6930" s="155">
        <f>SUM(G6930:I6930)</f>
        <v>172906951.12107182</v>
      </c>
      <c r="K6930" s="386"/>
    </row>
    <row r="6931" spans="1:11">
      <c r="A6931" s="88"/>
      <c r="B6931" s="69" t="s">
        <v>2121</v>
      </c>
      <c r="C6931" s="167"/>
      <c r="D6931" s="155"/>
      <c r="E6931" s="155"/>
      <c r="F6931" s="155"/>
      <c r="G6931" s="155">
        <f>C6959</f>
        <v>7000000</v>
      </c>
      <c r="H6931" s="155">
        <f>D6959</f>
        <v>12500000</v>
      </c>
      <c r="I6931" s="155">
        <f>E6959</f>
        <v>12500000</v>
      </c>
      <c r="J6931" s="155">
        <f>SUM(G6931:I6931)</f>
        <v>32000000</v>
      </c>
      <c r="K6931" s="386"/>
    </row>
    <row r="6932" spans="1:11" ht="13.5" thickBot="1">
      <c r="A6932" s="102"/>
      <c r="B6932" s="103" t="s">
        <v>2241</v>
      </c>
      <c r="C6932" s="172"/>
      <c r="D6932" s="173"/>
      <c r="E6932" s="173"/>
      <c r="F6932" s="174"/>
      <c r="G6932" s="174">
        <f>SUM(G6930:G6931)</f>
        <v>63498154.20241531</v>
      </c>
      <c r="H6932" s="174">
        <f>SUM(H6930:H6931)</f>
        <v>70128117.286463618</v>
      </c>
      <c r="I6932" s="174">
        <f>SUM(I6930:I6931)</f>
        <v>71280679.632192895</v>
      </c>
      <c r="J6932" s="174">
        <f>SUM(J6930:J6931)</f>
        <v>204906951.12107182</v>
      </c>
      <c r="K6932" s="385"/>
    </row>
    <row r="6933" spans="1:11" ht="13.5" thickTop="1">
      <c r="C6933" s="163"/>
      <c r="D6933" s="164"/>
      <c r="E6933" s="164"/>
      <c r="F6933" s="165"/>
      <c r="G6933" s="62"/>
      <c r="H6933" s="62"/>
      <c r="I6933" s="62"/>
    </row>
    <row r="6934" spans="1:11">
      <c r="C6934" s="175"/>
      <c r="D6934" s="164" t="s">
        <v>5434</v>
      </c>
      <c r="E6934" s="165"/>
      <c r="F6934" s="165"/>
      <c r="G6934" s="62"/>
      <c r="H6934" s="62"/>
      <c r="I6934" s="62"/>
    </row>
    <row r="6935" spans="1:11">
      <c r="C6935" s="163"/>
      <c r="D6935" s="164" t="s">
        <v>716</v>
      </c>
      <c r="E6935" s="165"/>
      <c r="F6935" s="165"/>
      <c r="G6935" s="62"/>
      <c r="H6935" s="62"/>
      <c r="I6935" s="62"/>
    </row>
    <row r="6936" spans="1:11">
      <c r="C6936" s="79" t="s">
        <v>1811</v>
      </c>
      <c r="D6936" s="164" t="s">
        <v>3276</v>
      </c>
      <c r="E6936" s="165"/>
      <c r="F6936" s="165"/>
      <c r="G6936" s="62"/>
      <c r="H6936" s="62"/>
      <c r="I6936" s="62"/>
    </row>
    <row r="6937" spans="1:11">
      <c r="C6937" s="79" t="s">
        <v>3073</v>
      </c>
      <c r="D6937" s="164" t="s">
        <v>4235</v>
      </c>
      <c r="E6937" s="165"/>
      <c r="F6937" s="165"/>
      <c r="G6937" s="62"/>
      <c r="H6937" s="62"/>
      <c r="I6937" s="62"/>
    </row>
    <row r="6938" spans="1:11" ht="15">
      <c r="A6938" s="634" t="s">
        <v>1839</v>
      </c>
      <c r="B6938" s="635" t="s">
        <v>903</v>
      </c>
      <c r="C6938" s="1037" t="s">
        <v>4127</v>
      </c>
      <c r="D6938" s="1038"/>
      <c r="E6938" s="1039"/>
      <c r="F6938" s="635" t="s">
        <v>1684</v>
      </c>
      <c r="G6938" s="1037" t="s">
        <v>4132</v>
      </c>
      <c r="H6938" s="1038"/>
      <c r="I6938" s="1039"/>
      <c r="J6938" s="726"/>
      <c r="K6938" s="727"/>
    </row>
    <row r="6939" spans="1:11">
      <c r="A6939" s="636" t="s">
        <v>1620</v>
      </c>
      <c r="B6939" s="637"/>
      <c r="C6939" s="635" t="s">
        <v>1841</v>
      </c>
      <c r="D6939" s="635" t="s">
        <v>4133</v>
      </c>
      <c r="E6939" s="635" t="s">
        <v>4133</v>
      </c>
      <c r="F6939" s="1056" t="s">
        <v>4200</v>
      </c>
      <c r="G6939" s="634" t="s">
        <v>4135</v>
      </c>
      <c r="H6939" s="1051" t="s">
        <v>4182</v>
      </c>
      <c r="I6939" s="634" t="s">
        <v>4135</v>
      </c>
      <c r="J6939" s="728" t="s">
        <v>4136</v>
      </c>
      <c r="K6939" s="727"/>
    </row>
    <row r="6940" spans="1:11" ht="12.75" customHeight="1">
      <c r="A6940" s="638"/>
      <c r="B6940" s="639"/>
      <c r="C6940" s="638">
        <v>2015</v>
      </c>
      <c r="D6940" s="638">
        <v>2016</v>
      </c>
      <c r="E6940" s="638">
        <v>2017</v>
      </c>
      <c r="F6940" s="1057"/>
      <c r="G6940" s="638" t="s">
        <v>4304</v>
      </c>
      <c r="H6940" s="1052"/>
      <c r="I6940" s="638" t="s">
        <v>4303</v>
      </c>
      <c r="J6940" s="639"/>
      <c r="K6940" s="729"/>
    </row>
    <row r="6941" spans="1:11">
      <c r="A6941" s="768"/>
      <c r="B6941" s="768"/>
      <c r="C6941" s="838"/>
      <c r="D6941" s="838"/>
      <c r="E6941" s="838"/>
      <c r="F6941" s="390"/>
      <c r="G6941" s="838"/>
      <c r="H6941" s="390"/>
      <c r="I6941" s="838"/>
      <c r="J6941" s="838"/>
      <c r="K6941" s="839"/>
    </row>
    <row r="6942" spans="1:11">
      <c r="A6942" s="788">
        <v>2</v>
      </c>
      <c r="B6942" s="788" t="s">
        <v>768</v>
      </c>
      <c r="C6942" s="731">
        <v>1800000</v>
      </c>
      <c r="D6942" s="731">
        <v>3000000</v>
      </c>
      <c r="E6942" s="731">
        <v>3000000</v>
      </c>
      <c r="F6942" s="731">
        <f>SUM(C6942:E6942)</f>
        <v>7800000</v>
      </c>
      <c r="G6942" s="731"/>
      <c r="H6942" s="731">
        <v>3000000</v>
      </c>
      <c r="I6942" s="731">
        <v>475000</v>
      </c>
      <c r="J6942" s="844"/>
      <c r="K6942" s="845"/>
    </row>
    <row r="6943" spans="1:11">
      <c r="A6943" s="788">
        <f t="shared" ref="A6943:A6954" si="561">+A6942+1</f>
        <v>3</v>
      </c>
      <c r="B6943" s="788" t="s">
        <v>1696</v>
      </c>
      <c r="C6943" s="731" t="s">
        <v>1386</v>
      </c>
      <c r="D6943" s="731">
        <v>500000</v>
      </c>
      <c r="E6943" s="731">
        <v>500000</v>
      </c>
      <c r="F6943" s="731">
        <f t="shared" ref="F6943:F6954" si="562">SUM(C6943:E6943)</f>
        <v>1000000</v>
      </c>
      <c r="G6943" s="731"/>
      <c r="H6943" s="731">
        <v>500000</v>
      </c>
      <c r="I6943" s="731"/>
      <c r="J6943" s="844"/>
      <c r="K6943" s="845"/>
    </row>
    <row r="6944" spans="1:11">
      <c r="A6944" s="788">
        <f t="shared" si="561"/>
        <v>4</v>
      </c>
      <c r="B6944" s="788" t="s">
        <v>1701</v>
      </c>
      <c r="C6944" s="731" t="s">
        <v>1386</v>
      </c>
      <c r="D6944" s="731" t="s">
        <v>1386</v>
      </c>
      <c r="E6944" s="731" t="s">
        <v>1386</v>
      </c>
      <c r="F6944" s="731">
        <f t="shared" si="562"/>
        <v>0</v>
      </c>
      <c r="G6944" s="731"/>
      <c r="H6944" s="731" t="s">
        <v>1386</v>
      </c>
      <c r="I6944" s="731"/>
      <c r="J6944" s="844"/>
      <c r="K6944" s="845"/>
    </row>
    <row r="6945" spans="1:11">
      <c r="A6945" s="788">
        <f t="shared" si="561"/>
        <v>5</v>
      </c>
      <c r="B6945" s="788" t="s">
        <v>769</v>
      </c>
      <c r="C6945" s="731">
        <v>300000</v>
      </c>
      <c r="D6945" s="731">
        <v>1000000</v>
      </c>
      <c r="E6945" s="731">
        <v>1000000</v>
      </c>
      <c r="F6945" s="731">
        <f t="shared" si="562"/>
        <v>2300000</v>
      </c>
      <c r="G6945" s="731"/>
      <c r="H6945" s="731">
        <v>1000000</v>
      </c>
      <c r="I6945" s="731">
        <v>100000</v>
      </c>
      <c r="J6945" s="844"/>
      <c r="K6945" s="845"/>
    </row>
    <row r="6946" spans="1:11">
      <c r="A6946" s="788">
        <f t="shared" si="561"/>
        <v>6</v>
      </c>
      <c r="B6946" s="832" t="s">
        <v>2997</v>
      </c>
      <c r="C6946" s="731">
        <v>500000</v>
      </c>
      <c r="D6946" s="731">
        <v>1000000</v>
      </c>
      <c r="E6946" s="731">
        <v>1000000</v>
      </c>
      <c r="F6946" s="731">
        <f t="shared" si="562"/>
        <v>2500000</v>
      </c>
      <c r="G6946" s="731"/>
      <c r="H6946" s="731">
        <v>1000000</v>
      </c>
      <c r="I6946" s="731"/>
      <c r="J6946" s="844"/>
      <c r="K6946" s="845"/>
    </row>
    <row r="6947" spans="1:11">
      <c r="A6947" s="788">
        <f t="shared" si="561"/>
        <v>7</v>
      </c>
      <c r="B6947" s="832" t="s">
        <v>1073</v>
      </c>
      <c r="C6947" s="731">
        <v>500000</v>
      </c>
      <c r="D6947" s="731">
        <v>500000</v>
      </c>
      <c r="E6947" s="731">
        <v>500000</v>
      </c>
      <c r="F6947" s="731">
        <f t="shared" si="562"/>
        <v>1500000</v>
      </c>
      <c r="G6947" s="731"/>
      <c r="H6947" s="731">
        <v>500000</v>
      </c>
      <c r="I6947" s="731"/>
      <c r="J6947" s="844"/>
      <c r="K6947" s="845"/>
    </row>
    <row r="6948" spans="1:11">
      <c r="A6948" s="788">
        <f t="shared" si="561"/>
        <v>8</v>
      </c>
      <c r="B6948" s="788" t="s">
        <v>165</v>
      </c>
      <c r="C6948" s="731" t="s">
        <v>1386</v>
      </c>
      <c r="D6948" s="731" t="s">
        <v>1386</v>
      </c>
      <c r="E6948" s="731" t="s">
        <v>1386</v>
      </c>
      <c r="F6948" s="731">
        <f t="shared" si="562"/>
        <v>0</v>
      </c>
      <c r="G6948" s="731"/>
      <c r="H6948" s="731" t="s">
        <v>1386</v>
      </c>
      <c r="I6948" s="731"/>
      <c r="J6948" s="844"/>
      <c r="K6948" s="845"/>
    </row>
    <row r="6949" spans="1:11">
      <c r="A6949" s="788">
        <f t="shared" si="561"/>
        <v>9</v>
      </c>
      <c r="B6949" s="788" t="s">
        <v>2061</v>
      </c>
      <c r="C6949" s="731" t="s">
        <v>1386</v>
      </c>
      <c r="D6949" s="731" t="s">
        <v>1386</v>
      </c>
      <c r="E6949" s="731" t="s">
        <v>1386</v>
      </c>
      <c r="F6949" s="731">
        <f t="shared" si="562"/>
        <v>0</v>
      </c>
      <c r="G6949" s="731"/>
      <c r="H6949" s="731" t="s">
        <v>1386</v>
      </c>
      <c r="I6949" s="731"/>
      <c r="J6949" s="844"/>
      <c r="K6949" s="845"/>
    </row>
    <row r="6950" spans="1:11">
      <c r="A6950" s="788">
        <f t="shared" si="561"/>
        <v>10</v>
      </c>
      <c r="B6950" s="788" t="s">
        <v>1716</v>
      </c>
      <c r="C6950" s="731">
        <v>200000</v>
      </c>
      <c r="D6950" s="731">
        <v>800000</v>
      </c>
      <c r="E6950" s="731">
        <v>800000</v>
      </c>
      <c r="F6950" s="731">
        <f t="shared" si="562"/>
        <v>1800000</v>
      </c>
      <c r="G6950" s="731"/>
      <c r="H6950" s="731">
        <v>800000</v>
      </c>
      <c r="I6950" s="731"/>
      <c r="J6950" s="844"/>
      <c r="K6950" s="845"/>
    </row>
    <row r="6951" spans="1:11">
      <c r="A6951" s="788">
        <f t="shared" si="561"/>
        <v>11</v>
      </c>
      <c r="B6951" s="832" t="s">
        <v>764</v>
      </c>
      <c r="C6951" s="731">
        <v>100000</v>
      </c>
      <c r="D6951" s="731">
        <v>100000</v>
      </c>
      <c r="E6951" s="731">
        <v>100000</v>
      </c>
      <c r="F6951" s="731">
        <f t="shared" si="562"/>
        <v>300000</v>
      </c>
      <c r="G6951" s="731"/>
      <c r="H6951" s="731">
        <v>100000</v>
      </c>
      <c r="I6951" s="731">
        <v>102000</v>
      </c>
      <c r="J6951" s="844"/>
      <c r="K6951" s="845"/>
    </row>
    <row r="6952" spans="1:11">
      <c r="A6952" s="788">
        <f t="shared" si="561"/>
        <v>12</v>
      </c>
      <c r="B6952" s="788" t="s">
        <v>2688</v>
      </c>
      <c r="C6952" s="731">
        <v>3000000</v>
      </c>
      <c r="D6952" s="731">
        <v>5000000</v>
      </c>
      <c r="E6952" s="731">
        <v>5000000</v>
      </c>
      <c r="F6952" s="731">
        <f t="shared" si="562"/>
        <v>13000000</v>
      </c>
      <c r="G6952" s="731"/>
      <c r="H6952" s="731">
        <v>5000000</v>
      </c>
      <c r="I6952" s="731">
        <v>2750000</v>
      </c>
      <c r="J6952" s="844"/>
      <c r="K6952" s="845"/>
    </row>
    <row r="6953" spans="1:11">
      <c r="A6953" s="788">
        <f t="shared" si="561"/>
        <v>13</v>
      </c>
      <c r="B6953" s="788" t="s">
        <v>1453</v>
      </c>
      <c r="C6953" s="731">
        <v>100000</v>
      </c>
      <c r="D6953" s="731">
        <v>100000</v>
      </c>
      <c r="E6953" s="731">
        <v>100000</v>
      </c>
      <c r="F6953" s="731">
        <f t="shared" si="562"/>
        <v>300000</v>
      </c>
      <c r="G6953" s="731"/>
      <c r="H6953" s="731">
        <v>100000</v>
      </c>
      <c r="I6953" s="731"/>
      <c r="J6953" s="844"/>
      <c r="K6953" s="845"/>
    </row>
    <row r="6954" spans="1:11">
      <c r="A6954" s="788">
        <f t="shared" si="561"/>
        <v>14</v>
      </c>
      <c r="B6954" s="788" t="s">
        <v>2228</v>
      </c>
      <c r="C6954" s="731">
        <v>500000</v>
      </c>
      <c r="D6954" s="731">
        <v>500000</v>
      </c>
      <c r="E6954" s="731">
        <v>500000</v>
      </c>
      <c r="F6954" s="731">
        <f t="shared" si="562"/>
        <v>1500000</v>
      </c>
      <c r="G6954" s="731"/>
      <c r="H6954" s="731">
        <v>500000</v>
      </c>
      <c r="I6954" s="731"/>
      <c r="J6954" s="844"/>
      <c r="K6954" s="845"/>
    </row>
    <row r="6955" spans="1:11">
      <c r="A6955" s="788"/>
      <c r="B6955" s="788"/>
      <c r="C6955" s="731"/>
      <c r="D6955" s="731"/>
      <c r="E6955" s="731"/>
      <c r="F6955" s="731"/>
      <c r="G6955" s="731"/>
      <c r="H6955" s="731"/>
      <c r="I6955" s="731"/>
      <c r="J6955" s="844"/>
      <c r="K6955" s="845"/>
    </row>
    <row r="6956" spans="1:11">
      <c r="A6956" s="788"/>
      <c r="B6956" s="788"/>
      <c r="C6956" s="731"/>
      <c r="D6956" s="731"/>
      <c r="E6956" s="731"/>
      <c r="F6956" s="731"/>
      <c r="G6956" s="731"/>
      <c r="H6956" s="731"/>
      <c r="I6956" s="731"/>
      <c r="J6956" s="844"/>
      <c r="K6956" s="845"/>
    </row>
    <row r="6957" spans="1:11">
      <c r="B6957" s="788"/>
      <c r="C6957" s="731"/>
      <c r="D6957" s="731"/>
      <c r="E6957" s="731"/>
      <c r="F6957" s="731"/>
      <c r="G6957" s="731"/>
      <c r="H6957" s="731"/>
      <c r="I6957" s="731"/>
      <c r="J6957" s="844"/>
      <c r="K6957" s="845"/>
    </row>
    <row r="6958" spans="1:11">
      <c r="B6958" s="788"/>
      <c r="C6958" s="731"/>
      <c r="D6958" s="731"/>
      <c r="E6958" s="731"/>
      <c r="F6958" s="731"/>
      <c r="G6958" s="731"/>
      <c r="H6958" s="731"/>
      <c r="I6958" s="731"/>
      <c r="J6958" s="844"/>
      <c r="K6958" s="845"/>
    </row>
    <row r="6959" spans="1:11">
      <c r="A6959" s="770"/>
      <c r="B6959" s="770" t="s">
        <v>2241</v>
      </c>
      <c r="C6959" s="739">
        <f t="shared" ref="C6959:I6959" si="563">SUM(C6942:C6958)</f>
        <v>7000000</v>
      </c>
      <c r="D6959" s="739">
        <f t="shared" si="563"/>
        <v>12500000</v>
      </c>
      <c r="E6959" s="739">
        <f t="shared" si="563"/>
        <v>12500000</v>
      </c>
      <c r="F6959" s="739">
        <f t="shared" si="563"/>
        <v>32000000</v>
      </c>
      <c r="G6959" s="739">
        <f>SUM(G6942:G6958)</f>
        <v>0</v>
      </c>
      <c r="H6959" s="739">
        <f t="shared" si="563"/>
        <v>12500000</v>
      </c>
      <c r="I6959" s="739">
        <f t="shared" si="563"/>
        <v>3427000</v>
      </c>
      <c r="J6959" s="739"/>
      <c r="K6959" s="740"/>
    </row>
    <row r="6960" spans="1:11">
      <c r="D6960" s="62"/>
      <c r="E6960" s="62"/>
      <c r="F6960" s="62"/>
      <c r="G6960" s="62"/>
      <c r="H6960" s="62"/>
      <c r="I6960" s="62"/>
    </row>
    <row r="6961" spans="1:13">
      <c r="D6961" s="62"/>
      <c r="E6961" s="62"/>
      <c r="F6961" s="62"/>
      <c r="G6961" s="62"/>
      <c r="H6961" s="62"/>
      <c r="I6961" s="62"/>
    </row>
    <row r="6962" spans="1:13" ht="15">
      <c r="C6962" s="163"/>
      <c r="D6962" s="164" t="s">
        <v>5434</v>
      </c>
      <c r="E6962" s="165"/>
      <c r="F6962" s="165"/>
      <c r="G6962" s="165"/>
      <c r="H6962" s="165"/>
      <c r="I6962" s="165"/>
      <c r="J6962" s="584"/>
      <c r="K6962" s="584"/>
      <c r="M6962" s="62">
        <f t="shared" ref="M6962:M7002" si="564">IF(C6962&gt;6,3,5)</f>
        <v>5</v>
      </c>
    </row>
    <row r="6963" spans="1:13" ht="15">
      <c r="C6963" s="163"/>
      <c r="D6963" s="164" t="s">
        <v>1693</v>
      </c>
      <c r="E6963" s="165"/>
      <c r="F6963" s="165"/>
      <c r="G6963" s="165"/>
      <c r="H6963" s="165"/>
      <c r="I6963" s="165"/>
      <c r="J6963" s="584"/>
      <c r="K6963" s="584"/>
      <c r="M6963" s="62">
        <f t="shared" si="564"/>
        <v>5</v>
      </c>
    </row>
    <row r="6964" spans="1:13">
      <c r="C6964" s="79" t="s">
        <v>1811</v>
      </c>
      <c r="D6964" s="164" t="s">
        <v>215</v>
      </c>
      <c r="E6964" s="165"/>
      <c r="F6964" s="165"/>
      <c r="G6964" s="62"/>
      <c r="H6964" s="62"/>
      <c r="I6964" s="62"/>
      <c r="M6964" s="62">
        <f t="shared" si="564"/>
        <v>3</v>
      </c>
    </row>
    <row r="6965" spans="1:13" ht="13.5" thickBot="1">
      <c r="C6965" s="79" t="s">
        <v>718</v>
      </c>
      <c r="D6965" s="164" t="s">
        <v>1470</v>
      </c>
      <c r="E6965" s="62"/>
      <c r="F6965" s="165"/>
      <c r="G6965" s="79"/>
      <c r="H6965" s="79"/>
      <c r="I6965" s="79"/>
      <c r="J6965" s="164"/>
      <c r="K6965" s="164"/>
    </row>
    <row r="6966" spans="1:13" ht="15.75" thickTop="1">
      <c r="A6966" s="1047" t="s">
        <v>2791</v>
      </c>
      <c r="B6966" s="1049" t="s">
        <v>4126</v>
      </c>
      <c r="C6966" s="1049" t="s">
        <v>854</v>
      </c>
      <c r="D6966" s="1040" t="s">
        <v>4127</v>
      </c>
      <c r="E6966" s="1041"/>
      <c r="F6966" s="1041"/>
      <c r="G6966" s="1040" t="s">
        <v>904</v>
      </c>
      <c r="H6966" s="1041"/>
      <c r="I6966" s="1042"/>
      <c r="J6966" s="1035" t="s">
        <v>855</v>
      </c>
      <c r="K6966" s="389"/>
    </row>
    <row r="6967" spans="1:13" ht="26.25" thickBot="1">
      <c r="A6967" s="1048"/>
      <c r="B6967" s="1050"/>
      <c r="C6967" s="1050"/>
      <c r="D6967" s="285" t="s">
        <v>5505</v>
      </c>
      <c r="E6967" s="285" t="s">
        <v>4485</v>
      </c>
      <c r="F6967" s="285" t="s">
        <v>4486</v>
      </c>
      <c r="G6967" s="287" t="s">
        <v>4487</v>
      </c>
      <c r="H6967" s="285" t="s">
        <v>4488</v>
      </c>
      <c r="I6967" s="287" t="s">
        <v>4489</v>
      </c>
      <c r="J6967" s="1036"/>
      <c r="K6967" s="712"/>
    </row>
    <row r="6968" spans="1:13" ht="13.5" thickTop="1">
      <c r="A6968" s="88"/>
      <c r="B6968" s="90" t="s">
        <v>1893</v>
      </c>
      <c r="C6968" s="167"/>
      <c r="D6968" s="155"/>
      <c r="E6968" s="155"/>
      <c r="F6968" s="155"/>
      <c r="G6968" s="155"/>
      <c r="H6968" s="155"/>
      <c r="I6968" s="155"/>
      <c r="J6968" s="713"/>
      <c r="K6968" s="711"/>
      <c r="M6968" s="62">
        <f t="shared" si="564"/>
        <v>5</v>
      </c>
    </row>
    <row r="6969" spans="1:13">
      <c r="A6969" s="88">
        <v>1</v>
      </c>
      <c r="B6969" s="69" t="s">
        <v>342</v>
      </c>
      <c r="C6969" s="167">
        <v>7</v>
      </c>
      <c r="D6969" s="155">
        <v>1</v>
      </c>
      <c r="E6969" s="155">
        <v>1</v>
      </c>
      <c r="F6969" s="155">
        <v>1</v>
      </c>
      <c r="G6969" s="155">
        <v>1</v>
      </c>
      <c r="H6969" s="155">
        <v>1</v>
      </c>
      <c r="I6969" s="155">
        <v>1</v>
      </c>
      <c r="J6969" s="710">
        <f>(VLOOKUP($C6969,[2]Sheet1!$A$2:$P$18,$M6969+1)/12)*12*D6969</f>
        <v>307706.70240000007</v>
      </c>
      <c r="K6969" s="711"/>
      <c r="M6969" s="62">
        <f t="shared" si="564"/>
        <v>3</v>
      </c>
    </row>
    <row r="6970" spans="1:13">
      <c r="A6970" s="88">
        <f t="shared" ref="A6970:A6990" si="565">+A6969+1</f>
        <v>2</v>
      </c>
      <c r="B6970" s="69" t="s">
        <v>405</v>
      </c>
      <c r="C6970" s="167">
        <v>6</v>
      </c>
      <c r="D6970" s="155">
        <v>21</v>
      </c>
      <c r="E6970" s="155">
        <v>21</v>
      </c>
      <c r="F6970" s="155">
        <v>21</v>
      </c>
      <c r="G6970" s="155">
        <v>21</v>
      </c>
      <c r="H6970" s="155">
        <v>21</v>
      </c>
      <c r="I6970" s="155">
        <v>21</v>
      </c>
      <c r="J6970" s="710">
        <f>(VLOOKUP($C6970,[2]Sheet1!$A$2:$P$18,$M6970+1)/12)*12*D6970</f>
        <v>5000086.9575376641</v>
      </c>
      <c r="K6970" s="711"/>
      <c r="M6970" s="62">
        <f t="shared" si="564"/>
        <v>5</v>
      </c>
    </row>
    <row r="6971" spans="1:13">
      <c r="A6971" s="88">
        <f t="shared" si="565"/>
        <v>3</v>
      </c>
      <c r="B6971" s="69" t="s">
        <v>3770</v>
      </c>
      <c r="C6971" s="167">
        <v>4</v>
      </c>
      <c r="D6971" s="155">
        <v>7</v>
      </c>
      <c r="E6971" s="155">
        <v>4</v>
      </c>
      <c r="F6971" s="155">
        <v>7</v>
      </c>
      <c r="G6971" s="155">
        <v>7</v>
      </c>
      <c r="H6971" s="155">
        <v>4</v>
      </c>
      <c r="I6971" s="155">
        <v>7</v>
      </c>
      <c r="J6971" s="710">
        <f>(VLOOKUP($C6971,[2]Sheet1!$A$2:$P$18,$M6971+1)/12)*12*D6971</f>
        <v>1571800.852512555</v>
      </c>
      <c r="K6971" s="711"/>
      <c r="M6971" s="62">
        <f t="shared" si="564"/>
        <v>5</v>
      </c>
    </row>
    <row r="6972" spans="1:13">
      <c r="A6972" s="88">
        <f t="shared" si="565"/>
        <v>4</v>
      </c>
      <c r="B6972" s="69" t="s">
        <v>3662</v>
      </c>
      <c r="C6972" s="167">
        <v>3</v>
      </c>
      <c r="D6972" s="155">
        <v>1</v>
      </c>
      <c r="E6972" s="155">
        <v>4</v>
      </c>
      <c r="F6972" s="155">
        <v>1</v>
      </c>
      <c r="G6972" s="155">
        <v>1</v>
      </c>
      <c r="H6972" s="155">
        <v>4</v>
      </c>
      <c r="I6972" s="155">
        <v>1</v>
      </c>
      <c r="J6972" s="710">
        <f>(VLOOKUP($C6972,[2]Sheet1!$A$2:$P$18,$M6972+1)/12)*12*D6972</f>
        <v>219336.17893036499</v>
      </c>
      <c r="K6972" s="711"/>
      <c r="M6972" s="62">
        <f t="shared" si="564"/>
        <v>5</v>
      </c>
    </row>
    <row r="6973" spans="1:13">
      <c r="A6973" s="88">
        <f t="shared" si="565"/>
        <v>5</v>
      </c>
      <c r="B6973" s="69" t="s">
        <v>1813</v>
      </c>
      <c r="C6973" s="167">
        <v>7</v>
      </c>
      <c r="D6973" s="155">
        <v>0</v>
      </c>
      <c r="E6973" s="155">
        <v>0</v>
      </c>
      <c r="F6973" s="155">
        <v>0</v>
      </c>
      <c r="G6973" s="155">
        <v>0</v>
      </c>
      <c r="H6973" s="155">
        <v>0</v>
      </c>
      <c r="I6973" s="155">
        <v>0</v>
      </c>
      <c r="J6973" s="710">
        <f>(VLOOKUP($C6973,[2]Sheet1!$A$2:$P$18,$M6973+1)/12)*12*D6973</f>
        <v>0</v>
      </c>
      <c r="K6973" s="711"/>
      <c r="M6973" s="62">
        <f t="shared" si="564"/>
        <v>3</v>
      </c>
    </row>
    <row r="6974" spans="1:13">
      <c r="A6974" s="88">
        <f t="shared" si="565"/>
        <v>6</v>
      </c>
      <c r="B6974" s="69" t="s">
        <v>2572</v>
      </c>
      <c r="C6974" s="167">
        <v>6</v>
      </c>
      <c r="D6974" s="155">
        <v>0</v>
      </c>
      <c r="E6974" s="155">
        <v>1</v>
      </c>
      <c r="F6974" s="155">
        <v>0</v>
      </c>
      <c r="G6974" s="155">
        <v>0</v>
      </c>
      <c r="H6974" s="155">
        <v>1</v>
      </c>
      <c r="I6974" s="155">
        <v>0</v>
      </c>
      <c r="J6974" s="710">
        <f>(VLOOKUP($C6974,[2]Sheet1!$A$2:$P$18,$M6974+1)/12)*12*D6974</f>
        <v>0</v>
      </c>
      <c r="K6974" s="711"/>
      <c r="M6974" s="62">
        <f t="shared" si="564"/>
        <v>5</v>
      </c>
    </row>
    <row r="6975" spans="1:13">
      <c r="A6975" s="88">
        <f t="shared" si="565"/>
        <v>7</v>
      </c>
      <c r="B6975" s="69" t="s">
        <v>3796</v>
      </c>
      <c r="C6975" s="167">
        <v>5</v>
      </c>
      <c r="D6975" s="155">
        <v>0</v>
      </c>
      <c r="E6975" s="155">
        <v>0</v>
      </c>
      <c r="F6975" s="155">
        <v>0</v>
      </c>
      <c r="G6975" s="155">
        <v>0</v>
      </c>
      <c r="H6975" s="155">
        <v>0</v>
      </c>
      <c r="I6975" s="155">
        <v>0</v>
      </c>
      <c r="J6975" s="710">
        <f>(VLOOKUP($C6975,[2]Sheet1!$A$2:$P$18,$M6975+1)/12)*12*D6975</f>
        <v>0</v>
      </c>
      <c r="K6975" s="711"/>
      <c r="M6975" s="62">
        <f t="shared" si="564"/>
        <v>5</v>
      </c>
    </row>
    <row r="6976" spans="1:13">
      <c r="A6976" s="88">
        <f t="shared" si="565"/>
        <v>8</v>
      </c>
      <c r="B6976" s="69" t="s">
        <v>3896</v>
      </c>
      <c r="C6976" s="167">
        <v>4</v>
      </c>
      <c r="D6976" s="155">
        <v>4</v>
      </c>
      <c r="E6976" s="155">
        <v>8</v>
      </c>
      <c r="F6976" s="155">
        <v>4</v>
      </c>
      <c r="G6976" s="155">
        <v>4</v>
      </c>
      <c r="H6976" s="155">
        <v>8</v>
      </c>
      <c r="I6976" s="155">
        <v>4</v>
      </c>
      <c r="J6976" s="710">
        <f>(VLOOKUP($C6976,[2]Sheet1!$A$2:$P$18,$M6976+1)/12)*12*D6976</f>
        <v>898171.91572146001</v>
      </c>
      <c r="K6976" s="711"/>
      <c r="M6976" s="62">
        <f t="shared" si="564"/>
        <v>5</v>
      </c>
    </row>
    <row r="6977" spans="1:13">
      <c r="A6977" s="88">
        <f t="shared" si="565"/>
        <v>9</v>
      </c>
      <c r="B6977" s="69" t="s">
        <v>2179</v>
      </c>
      <c r="C6977" s="167">
        <v>5</v>
      </c>
      <c r="D6977" s="155">
        <v>0</v>
      </c>
      <c r="E6977" s="155">
        <v>0</v>
      </c>
      <c r="F6977" s="155">
        <v>0</v>
      </c>
      <c r="G6977" s="155">
        <v>0</v>
      </c>
      <c r="H6977" s="155">
        <v>0</v>
      </c>
      <c r="I6977" s="155">
        <v>0</v>
      </c>
      <c r="J6977" s="710">
        <f>(VLOOKUP($C6977,[2]Sheet1!$A$2:$P$18,$M6977+1)/12)*12*D6977</f>
        <v>0</v>
      </c>
      <c r="K6977" s="711"/>
      <c r="M6977" s="62">
        <f t="shared" si="564"/>
        <v>5</v>
      </c>
    </row>
    <row r="6978" spans="1:13">
      <c r="A6978" s="88">
        <f t="shared" si="565"/>
        <v>10</v>
      </c>
      <c r="B6978" s="69" t="s">
        <v>2542</v>
      </c>
      <c r="C6978" s="167">
        <v>4</v>
      </c>
      <c r="D6978" s="155">
        <v>0</v>
      </c>
      <c r="E6978" s="155">
        <v>0</v>
      </c>
      <c r="F6978" s="155">
        <v>0</v>
      </c>
      <c r="G6978" s="155">
        <v>0</v>
      </c>
      <c r="H6978" s="155">
        <v>0</v>
      </c>
      <c r="I6978" s="155">
        <v>0</v>
      </c>
      <c r="J6978" s="710">
        <f>(VLOOKUP($C6978,[2]Sheet1!$A$2:$P$18,$M6978+1)/12)*12*D6978</f>
        <v>0</v>
      </c>
      <c r="K6978" s="711"/>
      <c r="M6978" s="62">
        <f t="shared" si="564"/>
        <v>5</v>
      </c>
    </row>
    <row r="6979" spans="1:13">
      <c r="A6979" s="88">
        <f t="shared" si="565"/>
        <v>11</v>
      </c>
      <c r="B6979" s="69" t="s">
        <v>2543</v>
      </c>
      <c r="C6979" s="167">
        <v>3</v>
      </c>
      <c r="D6979" s="155">
        <v>0</v>
      </c>
      <c r="E6979" s="155">
        <v>1</v>
      </c>
      <c r="F6979" s="155">
        <v>0</v>
      </c>
      <c r="G6979" s="155">
        <v>0</v>
      </c>
      <c r="H6979" s="155">
        <v>1</v>
      </c>
      <c r="I6979" s="155">
        <v>0</v>
      </c>
      <c r="J6979" s="710">
        <f>(VLOOKUP($C6979,[2]Sheet1!$A$2:$P$18,$M6979+1)/12)*12*D6979</f>
        <v>0</v>
      </c>
      <c r="K6979" s="711"/>
      <c r="M6979" s="62">
        <f t="shared" si="564"/>
        <v>5</v>
      </c>
    </row>
    <row r="6980" spans="1:13">
      <c r="A6980" s="88">
        <f t="shared" si="565"/>
        <v>12</v>
      </c>
      <c r="B6980" s="69" t="s">
        <v>2543</v>
      </c>
      <c r="C6980" s="167">
        <v>2</v>
      </c>
      <c r="D6980" s="155">
        <v>7</v>
      </c>
      <c r="E6980" s="155">
        <v>7</v>
      </c>
      <c r="F6980" s="155">
        <v>7</v>
      </c>
      <c r="G6980" s="155">
        <v>7</v>
      </c>
      <c r="H6980" s="155">
        <v>7</v>
      </c>
      <c r="I6980" s="155">
        <v>7</v>
      </c>
      <c r="J6980" s="710">
        <f>(VLOOKUP($C6980,[2]Sheet1!$A$2:$P$18,$M6980+1)/12)*12*D6980</f>
        <v>1502601.6525125552</v>
      </c>
      <c r="K6980" s="711"/>
      <c r="M6980" s="62">
        <f t="shared" si="564"/>
        <v>5</v>
      </c>
    </row>
    <row r="6981" spans="1:13">
      <c r="A6981" s="88">
        <f t="shared" si="565"/>
        <v>13</v>
      </c>
      <c r="B6981" s="69" t="s">
        <v>3517</v>
      </c>
      <c r="C6981" s="167">
        <v>3</v>
      </c>
      <c r="D6981" s="155">
        <v>0</v>
      </c>
      <c r="E6981" s="155">
        <v>1</v>
      </c>
      <c r="F6981" s="155">
        <v>0</v>
      </c>
      <c r="G6981" s="155">
        <v>0</v>
      </c>
      <c r="H6981" s="155">
        <v>1</v>
      </c>
      <c r="I6981" s="155">
        <v>0</v>
      </c>
      <c r="J6981" s="710">
        <f>(VLOOKUP($C6981,[2]Sheet1!$A$2:$P$18,$M6981+1)/12)*12*D6981</f>
        <v>0</v>
      </c>
      <c r="K6981" s="711"/>
      <c r="M6981" s="62">
        <f t="shared" si="564"/>
        <v>5</v>
      </c>
    </row>
    <row r="6982" spans="1:13">
      <c r="A6982" s="88">
        <f t="shared" si="565"/>
        <v>14</v>
      </c>
      <c r="B6982" s="69" t="s">
        <v>2172</v>
      </c>
      <c r="C6982" s="167">
        <v>2</v>
      </c>
      <c r="D6982" s="155">
        <v>7</v>
      </c>
      <c r="E6982" s="155">
        <v>7</v>
      </c>
      <c r="F6982" s="155">
        <v>7</v>
      </c>
      <c r="G6982" s="155">
        <v>7</v>
      </c>
      <c r="H6982" s="155">
        <v>7</v>
      </c>
      <c r="I6982" s="155">
        <v>7</v>
      </c>
      <c r="J6982" s="710">
        <f>(VLOOKUP($C6982,[2]Sheet1!$A$2:$P$18,$M6982+1)/12)*12*D6982</f>
        <v>1502601.6525125552</v>
      </c>
      <c r="K6982" s="711"/>
      <c r="M6982" s="62">
        <f t="shared" si="564"/>
        <v>5</v>
      </c>
    </row>
    <row r="6983" spans="1:13">
      <c r="A6983" s="88">
        <f t="shared" si="565"/>
        <v>15</v>
      </c>
      <c r="B6983" s="69" t="s">
        <v>2563</v>
      </c>
      <c r="C6983" s="167">
        <v>7</v>
      </c>
      <c r="D6983" s="155">
        <v>1</v>
      </c>
      <c r="E6983" s="155">
        <v>1</v>
      </c>
      <c r="F6983" s="155">
        <v>1</v>
      </c>
      <c r="G6983" s="155">
        <v>1</v>
      </c>
      <c r="H6983" s="155">
        <v>1</v>
      </c>
      <c r="I6983" s="155">
        <v>1</v>
      </c>
      <c r="J6983" s="710">
        <f>(VLOOKUP($C6983,[2]Sheet1!$A$2:$P$18,$M6983+1)/12)*12*D6983</f>
        <v>307706.70240000007</v>
      </c>
      <c r="K6983" s="711"/>
      <c r="M6983" s="62">
        <f t="shared" si="564"/>
        <v>3</v>
      </c>
    </row>
    <row r="6984" spans="1:13">
      <c r="A6984" s="88">
        <f t="shared" si="565"/>
        <v>16</v>
      </c>
      <c r="B6984" s="69" t="s">
        <v>2540</v>
      </c>
      <c r="C6984" s="167">
        <v>6</v>
      </c>
      <c r="D6984" s="155">
        <v>0</v>
      </c>
      <c r="E6984" s="155">
        <v>2</v>
      </c>
      <c r="F6984" s="155">
        <v>0</v>
      </c>
      <c r="G6984" s="155">
        <v>0</v>
      </c>
      <c r="H6984" s="155">
        <v>2</v>
      </c>
      <c r="I6984" s="155">
        <v>0</v>
      </c>
      <c r="J6984" s="710">
        <f>(VLOOKUP($C6984,[2]Sheet1!$A$2:$P$18,$M6984+1)/12)*12*D6984</f>
        <v>0</v>
      </c>
      <c r="K6984" s="711"/>
      <c r="M6984" s="62">
        <f t="shared" si="564"/>
        <v>5</v>
      </c>
    </row>
    <row r="6985" spans="1:13">
      <c r="A6985" s="88">
        <f t="shared" si="565"/>
        <v>17</v>
      </c>
      <c r="B6985" s="69" t="s">
        <v>1794</v>
      </c>
      <c r="C6985" s="167">
        <v>5</v>
      </c>
      <c r="D6985" s="155">
        <v>3</v>
      </c>
      <c r="E6985" s="155">
        <v>7</v>
      </c>
      <c r="F6985" s="155">
        <v>3</v>
      </c>
      <c r="G6985" s="155">
        <v>3</v>
      </c>
      <c r="H6985" s="155">
        <v>7</v>
      </c>
      <c r="I6985" s="155">
        <v>3</v>
      </c>
      <c r="J6985" s="710">
        <f>(VLOOKUP($C6985,[2]Sheet1!$A$2:$P$18,$M6985+1)/12)*12*D6985</f>
        <v>688709.33679109497</v>
      </c>
      <c r="K6985" s="711"/>
      <c r="M6985" s="62">
        <f t="shared" si="564"/>
        <v>5</v>
      </c>
    </row>
    <row r="6986" spans="1:13">
      <c r="A6986" s="88">
        <f t="shared" si="565"/>
        <v>18</v>
      </c>
      <c r="B6986" s="69" t="s">
        <v>2231</v>
      </c>
      <c r="C6986" s="167">
        <v>4</v>
      </c>
      <c r="D6986" s="155">
        <v>0</v>
      </c>
      <c r="E6986" s="155">
        <v>3</v>
      </c>
      <c r="F6986" s="155">
        <v>0</v>
      </c>
      <c r="G6986" s="155">
        <v>0</v>
      </c>
      <c r="H6986" s="155">
        <v>3</v>
      </c>
      <c r="I6986" s="155">
        <v>0</v>
      </c>
      <c r="J6986" s="710">
        <f>(VLOOKUP($C6986,[2]Sheet1!$A$2:$P$18,$M6986+1)/12)*12*D6986</f>
        <v>0</v>
      </c>
      <c r="K6986" s="711"/>
      <c r="M6986" s="62">
        <f t="shared" si="564"/>
        <v>5</v>
      </c>
    </row>
    <row r="6987" spans="1:13">
      <c r="A6987" s="88">
        <f t="shared" si="565"/>
        <v>19</v>
      </c>
      <c r="B6987" s="69" t="s">
        <v>4028</v>
      </c>
      <c r="C6987" s="167">
        <v>3</v>
      </c>
      <c r="D6987" s="155">
        <v>19</v>
      </c>
      <c r="E6987" s="155">
        <v>19</v>
      </c>
      <c r="F6987" s="155">
        <v>19</v>
      </c>
      <c r="G6987" s="155">
        <v>19</v>
      </c>
      <c r="H6987" s="155">
        <v>19</v>
      </c>
      <c r="I6987" s="155">
        <v>19</v>
      </c>
      <c r="J6987" s="710">
        <f>(VLOOKUP($C6987,[2]Sheet1!$A$2:$P$18,$M6987+1)/12)*12*D6987</f>
        <v>4167387.3996769348</v>
      </c>
      <c r="K6987" s="711"/>
      <c r="M6987" s="62">
        <f t="shared" si="564"/>
        <v>5</v>
      </c>
    </row>
    <row r="6988" spans="1:13">
      <c r="A6988" s="88">
        <f t="shared" si="565"/>
        <v>20</v>
      </c>
      <c r="B6988" s="69" t="s">
        <v>3518</v>
      </c>
      <c r="C6988" s="167">
        <v>2</v>
      </c>
      <c r="D6988" s="155">
        <v>0</v>
      </c>
      <c r="E6988" s="155">
        <v>3</v>
      </c>
      <c r="F6988" s="155">
        <v>0</v>
      </c>
      <c r="G6988" s="155">
        <v>0</v>
      </c>
      <c r="H6988" s="155">
        <v>3</v>
      </c>
      <c r="I6988" s="155">
        <v>0</v>
      </c>
      <c r="J6988" s="710">
        <f>(VLOOKUP($C6988,[2]Sheet1!$A$2:$P$18,$M6988+1)/12)*12*D6988</f>
        <v>0</v>
      </c>
      <c r="K6988" s="711"/>
      <c r="M6988" s="62">
        <f t="shared" si="564"/>
        <v>5</v>
      </c>
    </row>
    <row r="6989" spans="1:13">
      <c r="A6989" s="88">
        <f t="shared" si="565"/>
        <v>21</v>
      </c>
      <c r="B6989" s="69" t="s">
        <v>3519</v>
      </c>
      <c r="C6989" s="167">
        <v>1</v>
      </c>
      <c r="D6989" s="155">
        <v>7</v>
      </c>
      <c r="E6989" s="155">
        <v>7</v>
      </c>
      <c r="F6989" s="155">
        <v>7</v>
      </c>
      <c r="G6989" s="155">
        <v>7</v>
      </c>
      <c r="H6989" s="155">
        <v>7</v>
      </c>
      <c r="I6989" s="155">
        <v>7</v>
      </c>
      <c r="J6989" s="710">
        <f>(VLOOKUP($C6989,[2]Sheet1!$A$2:$P$18,$M6989+1)/12)*12*D6989</f>
        <v>1449753.0525125549</v>
      </c>
      <c r="K6989" s="711"/>
      <c r="M6989" s="62">
        <f t="shared" si="564"/>
        <v>5</v>
      </c>
    </row>
    <row r="6990" spans="1:13">
      <c r="A6990" s="88">
        <f t="shared" si="565"/>
        <v>22</v>
      </c>
      <c r="B6990" s="69" t="s">
        <v>3675</v>
      </c>
      <c r="C6990" s="167">
        <v>1</v>
      </c>
      <c r="D6990" s="155">
        <v>8</v>
      </c>
      <c r="E6990" s="155">
        <v>8</v>
      </c>
      <c r="F6990" s="155">
        <v>8</v>
      </c>
      <c r="G6990" s="155">
        <v>8</v>
      </c>
      <c r="H6990" s="155">
        <v>8</v>
      </c>
      <c r="I6990" s="155">
        <v>8</v>
      </c>
      <c r="J6990" s="710">
        <f>(VLOOKUP($C6990,[2]Sheet1!$A$2:$P$18,$M6990+1)/12)*12*D6990</f>
        <v>1656860.6314429198</v>
      </c>
      <c r="K6990" s="711"/>
      <c r="M6990" s="62">
        <f t="shared" si="564"/>
        <v>5</v>
      </c>
    </row>
    <row r="6991" spans="1:13">
      <c r="A6991" s="88"/>
      <c r="B6991" s="90" t="s">
        <v>981</v>
      </c>
      <c r="C6991" s="167"/>
      <c r="D6991" s="155"/>
      <c r="E6991" s="155"/>
      <c r="F6991" s="155"/>
      <c r="G6991" s="155"/>
      <c r="H6991" s="155"/>
      <c r="I6991" s="155"/>
      <c r="J6991" s="710"/>
      <c r="K6991" s="711"/>
      <c r="M6991" s="62">
        <f t="shared" si="564"/>
        <v>5</v>
      </c>
    </row>
    <row r="6992" spans="1:13">
      <c r="A6992" s="88">
        <f>+A6990+1</f>
        <v>23</v>
      </c>
      <c r="B6992" s="69" t="s">
        <v>3532</v>
      </c>
      <c r="C6992" s="167">
        <v>16</v>
      </c>
      <c r="D6992" s="155">
        <v>0</v>
      </c>
      <c r="E6992" s="155">
        <v>0</v>
      </c>
      <c r="F6992" s="155">
        <v>0</v>
      </c>
      <c r="G6992" s="155">
        <v>0</v>
      </c>
      <c r="H6992" s="155">
        <v>0</v>
      </c>
      <c r="I6992" s="155">
        <v>0</v>
      </c>
      <c r="J6992" s="710">
        <f>(VLOOKUP($C6992,[2]Sheet1!$A$2:$P$18,$M6992+1)/12)*12*D6992</f>
        <v>0</v>
      </c>
      <c r="K6992" s="711"/>
      <c r="M6992" s="62">
        <f t="shared" si="564"/>
        <v>3</v>
      </c>
    </row>
    <row r="6993" spans="1:13">
      <c r="A6993" s="88">
        <f t="shared" ref="A6993:A7016" si="566">+A6992+1</f>
        <v>24</v>
      </c>
      <c r="B6993" s="69" t="s">
        <v>1256</v>
      </c>
      <c r="C6993" s="167">
        <v>15</v>
      </c>
      <c r="D6993" s="155">
        <v>0</v>
      </c>
      <c r="E6993" s="155">
        <v>2</v>
      </c>
      <c r="F6993" s="155">
        <v>0</v>
      </c>
      <c r="G6993" s="155">
        <v>0</v>
      </c>
      <c r="H6993" s="155">
        <v>2</v>
      </c>
      <c r="I6993" s="155">
        <v>0</v>
      </c>
      <c r="J6993" s="710">
        <f>(VLOOKUP($C6993,[2]Sheet1!$A$2:$P$18,$M6993+1)/12)*12*D6993</f>
        <v>0</v>
      </c>
      <c r="K6993" s="711"/>
      <c r="M6993" s="62">
        <f t="shared" si="564"/>
        <v>3</v>
      </c>
    </row>
    <row r="6994" spans="1:13">
      <c r="A6994" s="88">
        <f t="shared" si="566"/>
        <v>25</v>
      </c>
      <c r="B6994" s="69" t="s">
        <v>982</v>
      </c>
      <c r="C6994" s="167">
        <v>13</v>
      </c>
      <c r="D6994" s="155">
        <v>2</v>
      </c>
      <c r="E6994" s="155">
        <v>2</v>
      </c>
      <c r="F6994" s="155">
        <v>2</v>
      </c>
      <c r="G6994" s="155">
        <v>2</v>
      </c>
      <c r="H6994" s="155">
        <v>2</v>
      </c>
      <c r="I6994" s="155">
        <v>2</v>
      </c>
      <c r="J6994" s="710">
        <f>(VLOOKUP($C6994,[2]Sheet1!$A$2:$P$18,$M6994+1)/12)*12*D6994</f>
        <v>1257519.07608</v>
      </c>
      <c r="K6994" s="711"/>
      <c r="M6994" s="62">
        <f t="shared" si="564"/>
        <v>3</v>
      </c>
    </row>
    <row r="6995" spans="1:13">
      <c r="A6995" s="88">
        <f t="shared" si="566"/>
        <v>26</v>
      </c>
      <c r="B6995" s="69" t="s">
        <v>1916</v>
      </c>
      <c r="C6995" s="167">
        <v>14</v>
      </c>
      <c r="D6995" s="155">
        <v>0</v>
      </c>
      <c r="E6995" s="155">
        <v>0</v>
      </c>
      <c r="F6995" s="155">
        <v>0</v>
      </c>
      <c r="G6995" s="155">
        <v>0</v>
      </c>
      <c r="H6995" s="155">
        <v>0</v>
      </c>
      <c r="I6995" s="155">
        <v>0</v>
      </c>
      <c r="J6995" s="710">
        <f>(VLOOKUP($C6995,[2]Sheet1!$A$2:$P$18,$M6995+1)/12)*12*D6995</f>
        <v>0</v>
      </c>
      <c r="K6995" s="711"/>
      <c r="M6995" s="62">
        <f t="shared" si="564"/>
        <v>3</v>
      </c>
    </row>
    <row r="6996" spans="1:13">
      <c r="A6996" s="88">
        <f t="shared" si="566"/>
        <v>27</v>
      </c>
      <c r="B6996" s="69" t="s">
        <v>1917</v>
      </c>
      <c r="C6996" s="167">
        <v>13</v>
      </c>
      <c r="D6996" s="155">
        <v>0</v>
      </c>
      <c r="E6996" s="155">
        <v>0</v>
      </c>
      <c r="F6996" s="155">
        <v>0</v>
      </c>
      <c r="G6996" s="155">
        <v>0</v>
      </c>
      <c r="H6996" s="155">
        <v>0</v>
      </c>
      <c r="I6996" s="155">
        <v>0</v>
      </c>
      <c r="J6996" s="710">
        <f>(VLOOKUP($C6996,[2]Sheet1!$A$2:$P$18,$M6996+1)/12)*12*D6996</f>
        <v>0</v>
      </c>
      <c r="K6996" s="711"/>
      <c r="M6996" s="62">
        <f t="shared" si="564"/>
        <v>3</v>
      </c>
    </row>
    <row r="6997" spans="1:13">
      <c r="A6997" s="88">
        <f t="shared" si="566"/>
        <v>28</v>
      </c>
      <c r="B6997" s="69" t="s">
        <v>1263</v>
      </c>
      <c r="C6997" s="167">
        <v>12</v>
      </c>
      <c r="D6997" s="155">
        <v>0</v>
      </c>
      <c r="E6997" s="155">
        <v>0</v>
      </c>
      <c r="F6997" s="155">
        <v>0</v>
      </c>
      <c r="G6997" s="155">
        <v>0</v>
      </c>
      <c r="H6997" s="155">
        <v>0</v>
      </c>
      <c r="I6997" s="155">
        <v>0</v>
      </c>
      <c r="J6997" s="710">
        <f>(VLOOKUP($C6997,[2]Sheet1!$A$2:$P$18,$M6997+1)/12)*12*D6997</f>
        <v>0</v>
      </c>
      <c r="K6997" s="711"/>
      <c r="M6997" s="62">
        <f t="shared" si="564"/>
        <v>3</v>
      </c>
    </row>
    <row r="6998" spans="1:13">
      <c r="A6998" s="88">
        <f t="shared" si="566"/>
        <v>29</v>
      </c>
      <c r="B6998" s="69" t="s">
        <v>1264</v>
      </c>
      <c r="C6998" s="167">
        <v>12</v>
      </c>
      <c r="D6998" s="155">
        <v>0</v>
      </c>
      <c r="E6998" s="155">
        <v>2</v>
      </c>
      <c r="F6998" s="155">
        <v>0</v>
      </c>
      <c r="G6998" s="155">
        <v>0</v>
      </c>
      <c r="H6998" s="155">
        <v>2</v>
      </c>
      <c r="I6998" s="155">
        <v>0</v>
      </c>
      <c r="J6998" s="710">
        <f>(VLOOKUP($C6998,[2]Sheet1!$A$2:$P$18,$M6998+1)/12)*12*D6998</f>
        <v>0</v>
      </c>
      <c r="K6998" s="711"/>
      <c r="M6998" s="62">
        <f t="shared" si="564"/>
        <v>3</v>
      </c>
    </row>
    <row r="6999" spans="1:13">
      <c r="A6999" s="88">
        <f t="shared" si="566"/>
        <v>30</v>
      </c>
      <c r="B6999" s="69" t="s">
        <v>1967</v>
      </c>
      <c r="C6999" s="167">
        <v>10</v>
      </c>
      <c r="D6999" s="155">
        <v>3</v>
      </c>
      <c r="E6999" s="155">
        <v>3</v>
      </c>
      <c r="F6999" s="155">
        <v>3</v>
      </c>
      <c r="G6999" s="155">
        <v>3</v>
      </c>
      <c r="H6999" s="155">
        <v>3</v>
      </c>
      <c r="I6999" s="155">
        <v>3</v>
      </c>
      <c r="J6999" s="710">
        <f>(VLOOKUP($C6999,[2]Sheet1!$A$2:$P$18,$M6999+1)/12)*12*D6999</f>
        <v>1451923.7061600003</v>
      </c>
      <c r="K6999" s="711"/>
      <c r="M6999" s="62">
        <f t="shared" si="564"/>
        <v>3</v>
      </c>
    </row>
    <row r="7000" spans="1:13">
      <c r="A7000" s="88">
        <f t="shared" si="566"/>
        <v>31</v>
      </c>
      <c r="B7000" s="69" t="s">
        <v>1870</v>
      </c>
      <c r="C7000" s="167">
        <v>10</v>
      </c>
      <c r="D7000" s="155">
        <v>3</v>
      </c>
      <c r="E7000" s="155">
        <v>3</v>
      </c>
      <c r="F7000" s="155">
        <v>3</v>
      </c>
      <c r="G7000" s="155">
        <v>3</v>
      </c>
      <c r="H7000" s="155">
        <v>3</v>
      </c>
      <c r="I7000" s="155">
        <v>3</v>
      </c>
      <c r="J7000" s="710">
        <f>(VLOOKUP($C7000,[2]Sheet1!$A$2:$P$18,$M7000+1)/12)*12*D7000</f>
        <v>1451923.7061600003</v>
      </c>
      <c r="K7000" s="711"/>
      <c r="M7000" s="62">
        <f t="shared" si="564"/>
        <v>3</v>
      </c>
    </row>
    <row r="7001" spans="1:13">
      <c r="A7001" s="88">
        <f t="shared" si="566"/>
        <v>32</v>
      </c>
      <c r="B7001" s="69" t="s">
        <v>500</v>
      </c>
      <c r="C7001" s="167">
        <v>9</v>
      </c>
      <c r="D7001" s="155">
        <v>4</v>
      </c>
      <c r="E7001" s="155">
        <v>4</v>
      </c>
      <c r="F7001" s="155">
        <v>4</v>
      </c>
      <c r="G7001" s="155">
        <v>4</v>
      </c>
      <c r="H7001" s="155">
        <v>4</v>
      </c>
      <c r="I7001" s="155">
        <v>4</v>
      </c>
      <c r="J7001" s="710">
        <f>(VLOOKUP($C7001,[2]Sheet1!$A$2:$P$18,$M7001+1)/12)*12*D7001</f>
        <v>1638727.6247999999</v>
      </c>
      <c r="K7001" s="711"/>
      <c r="M7001" s="62">
        <f t="shared" si="564"/>
        <v>3</v>
      </c>
    </row>
    <row r="7002" spans="1:13">
      <c r="A7002" s="88">
        <f t="shared" si="566"/>
        <v>33</v>
      </c>
      <c r="B7002" s="69" t="s">
        <v>3743</v>
      </c>
      <c r="C7002" s="167">
        <v>9</v>
      </c>
      <c r="D7002" s="155">
        <v>4</v>
      </c>
      <c r="E7002" s="155">
        <v>4</v>
      </c>
      <c r="F7002" s="155">
        <v>4</v>
      </c>
      <c r="G7002" s="155">
        <v>4</v>
      </c>
      <c r="H7002" s="155">
        <v>4</v>
      </c>
      <c r="I7002" s="155">
        <v>4</v>
      </c>
      <c r="J7002" s="710">
        <f>(VLOOKUP($C7002,[2]Sheet1!$A$2:$P$18,$M7002+1)/12)*12*D7002</f>
        <v>1638727.6247999999</v>
      </c>
      <c r="K7002" s="711"/>
      <c r="M7002" s="62">
        <f t="shared" si="564"/>
        <v>3</v>
      </c>
    </row>
    <row r="7003" spans="1:13">
      <c r="A7003" s="88">
        <f t="shared" si="566"/>
        <v>34</v>
      </c>
      <c r="B7003" s="69" t="s">
        <v>3744</v>
      </c>
      <c r="C7003" s="167">
        <v>9</v>
      </c>
      <c r="D7003" s="155">
        <v>0</v>
      </c>
      <c r="E7003" s="155">
        <v>0</v>
      </c>
      <c r="F7003" s="155">
        <v>0</v>
      </c>
      <c r="G7003" s="155">
        <v>0</v>
      </c>
      <c r="H7003" s="155">
        <v>0</v>
      </c>
      <c r="I7003" s="155">
        <v>0</v>
      </c>
      <c r="J7003" s="710">
        <f>(VLOOKUP($C7003,[2]Sheet1!$A$2:$P$18,$M7003+1)/12)*12*D7003</f>
        <v>0</v>
      </c>
      <c r="K7003" s="711"/>
      <c r="M7003" s="62">
        <f t="shared" ref="M7003:M7082" si="567">IF(C7003&gt;6,3,5)</f>
        <v>3</v>
      </c>
    </row>
    <row r="7004" spans="1:13" ht="13.5" thickBot="1">
      <c r="A7004" s="88">
        <f t="shared" si="566"/>
        <v>35</v>
      </c>
      <c r="B7004" s="69" t="s">
        <v>500</v>
      </c>
      <c r="C7004" s="167">
        <v>8</v>
      </c>
      <c r="D7004" s="155">
        <v>0</v>
      </c>
      <c r="E7004" s="155">
        <v>3</v>
      </c>
      <c r="F7004" s="155">
        <v>0</v>
      </c>
      <c r="G7004" s="155">
        <v>0</v>
      </c>
      <c r="H7004" s="155">
        <v>3</v>
      </c>
      <c r="I7004" s="155">
        <v>0</v>
      </c>
      <c r="J7004" s="710">
        <f>(VLOOKUP($C7004,[2]Sheet1!$A$2:$P$18,$M7004+1)/12)*12*D7004</f>
        <v>0</v>
      </c>
      <c r="K7004" s="711"/>
      <c r="M7004" s="62">
        <f t="shared" si="567"/>
        <v>3</v>
      </c>
    </row>
    <row r="7005" spans="1:13" ht="15.75" thickTop="1">
      <c r="A7005" s="1047" t="s">
        <v>2791</v>
      </c>
      <c r="B7005" s="1049" t="s">
        <v>4126</v>
      </c>
      <c r="C7005" s="1049" t="s">
        <v>854</v>
      </c>
      <c r="D7005" s="1040" t="s">
        <v>4127</v>
      </c>
      <c r="E7005" s="1041"/>
      <c r="F7005" s="1041"/>
      <c r="G7005" s="1040" t="s">
        <v>904</v>
      </c>
      <c r="H7005" s="1041"/>
      <c r="I7005" s="1042"/>
      <c r="J7005" s="1035" t="s">
        <v>855</v>
      </c>
      <c r="K7005" s="389"/>
    </row>
    <row r="7006" spans="1:13" ht="26.25" thickBot="1">
      <c r="A7006" s="1048"/>
      <c r="B7006" s="1050"/>
      <c r="C7006" s="1050"/>
      <c r="D7006" s="285" t="s">
        <v>5505</v>
      </c>
      <c r="E7006" s="285" t="s">
        <v>4485</v>
      </c>
      <c r="F7006" s="285" t="s">
        <v>4486</v>
      </c>
      <c r="G7006" s="287" t="s">
        <v>4487</v>
      </c>
      <c r="H7006" s="285" t="s">
        <v>4488</v>
      </c>
      <c r="I7006" s="287" t="s">
        <v>4489</v>
      </c>
      <c r="J7006" s="1036"/>
      <c r="K7006" s="712"/>
    </row>
    <row r="7007" spans="1:13" ht="13.5" thickTop="1">
      <c r="A7007" s="88">
        <f>+A7004+1</f>
        <v>36</v>
      </c>
      <c r="B7007" s="69" t="s">
        <v>3593</v>
      </c>
      <c r="C7007" s="167">
        <v>8</v>
      </c>
      <c r="D7007" s="155">
        <v>0</v>
      </c>
      <c r="E7007" s="155">
        <v>3</v>
      </c>
      <c r="F7007" s="155">
        <v>0</v>
      </c>
      <c r="G7007" s="155">
        <v>0</v>
      </c>
      <c r="H7007" s="155">
        <v>3</v>
      </c>
      <c r="I7007" s="155">
        <v>0</v>
      </c>
      <c r="J7007" s="710">
        <f>(VLOOKUP($C7007,[2]Sheet1!$A$2:$P$18,$M7007+1)/12)*12*D7007</f>
        <v>0</v>
      </c>
      <c r="K7007" s="711"/>
      <c r="M7007" s="62">
        <f t="shared" si="567"/>
        <v>3</v>
      </c>
    </row>
    <row r="7008" spans="1:13">
      <c r="A7008" s="88">
        <f>+A7007+1</f>
        <v>37</v>
      </c>
      <c r="B7008" s="69" t="s">
        <v>3594</v>
      </c>
      <c r="C7008" s="167">
        <v>8</v>
      </c>
      <c r="D7008" s="155">
        <v>0</v>
      </c>
      <c r="E7008" s="155">
        <v>3</v>
      </c>
      <c r="F7008" s="155">
        <v>0</v>
      </c>
      <c r="G7008" s="155">
        <v>0</v>
      </c>
      <c r="H7008" s="155">
        <v>3</v>
      </c>
      <c r="I7008" s="155">
        <v>0</v>
      </c>
      <c r="J7008" s="710">
        <f>(VLOOKUP($C7008,[2]Sheet1!$A$2:$P$18,$M7008+1)/12)*12*D7008</f>
        <v>0</v>
      </c>
      <c r="K7008" s="711"/>
      <c r="M7008" s="62">
        <f t="shared" si="567"/>
        <v>3</v>
      </c>
    </row>
    <row r="7009" spans="1:13">
      <c r="A7009" s="88">
        <f>+A7008+1</f>
        <v>38</v>
      </c>
      <c r="B7009" s="69" t="s">
        <v>1508</v>
      </c>
      <c r="C7009" s="167">
        <v>8</v>
      </c>
      <c r="D7009" s="155">
        <v>0</v>
      </c>
      <c r="E7009" s="155">
        <v>3</v>
      </c>
      <c r="F7009" s="155">
        <v>0</v>
      </c>
      <c r="G7009" s="155">
        <v>0</v>
      </c>
      <c r="H7009" s="155">
        <v>3</v>
      </c>
      <c r="I7009" s="155">
        <v>0</v>
      </c>
      <c r="J7009" s="710">
        <f>(VLOOKUP($C7009,[2]Sheet1!$A$2:$P$18,$M7009+1)/12)*12*D7009</f>
        <v>0</v>
      </c>
      <c r="K7009" s="711"/>
      <c r="M7009" s="62">
        <f t="shared" si="567"/>
        <v>3</v>
      </c>
    </row>
    <row r="7010" spans="1:13">
      <c r="A7010" s="88">
        <f t="shared" si="566"/>
        <v>39</v>
      </c>
      <c r="B7010" s="69" t="s">
        <v>3288</v>
      </c>
      <c r="C7010" s="167">
        <v>7</v>
      </c>
      <c r="D7010" s="155">
        <v>0</v>
      </c>
      <c r="E7010" s="155">
        <v>0</v>
      </c>
      <c r="F7010" s="155">
        <v>0</v>
      </c>
      <c r="G7010" s="155">
        <v>0</v>
      </c>
      <c r="H7010" s="155">
        <v>0</v>
      </c>
      <c r="I7010" s="155">
        <v>0</v>
      </c>
      <c r="J7010" s="710">
        <f>(VLOOKUP($C7010,[2]Sheet1!$A$2:$P$18,$M7010+1)/12)*12*D7010</f>
        <v>0</v>
      </c>
      <c r="K7010" s="711"/>
      <c r="M7010" s="62">
        <f t="shared" si="567"/>
        <v>3</v>
      </c>
    </row>
    <row r="7011" spans="1:13">
      <c r="A7011" s="88">
        <f t="shared" si="566"/>
        <v>40</v>
      </c>
      <c r="B7011" s="69" t="s">
        <v>3289</v>
      </c>
      <c r="C7011" s="167">
        <v>6</v>
      </c>
      <c r="D7011" s="155">
        <v>0</v>
      </c>
      <c r="E7011" s="155">
        <v>2</v>
      </c>
      <c r="F7011" s="155">
        <v>0</v>
      </c>
      <c r="G7011" s="155">
        <v>0</v>
      </c>
      <c r="H7011" s="155">
        <v>2</v>
      </c>
      <c r="I7011" s="155">
        <v>0</v>
      </c>
      <c r="J7011" s="710">
        <f>(VLOOKUP($C7011,[2]Sheet1!$A$2:$P$18,$M7011+1)/12)*12*D7011</f>
        <v>0</v>
      </c>
      <c r="K7011" s="711"/>
      <c r="M7011" s="62">
        <f t="shared" si="567"/>
        <v>5</v>
      </c>
    </row>
    <row r="7012" spans="1:13">
      <c r="A7012" s="88">
        <f t="shared" si="566"/>
        <v>41</v>
      </c>
      <c r="B7012" s="69" t="s">
        <v>3290</v>
      </c>
      <c r="C7012" s="167">
        <v>5</v>
      </c>
      <c r="D7012" s="155">
        <v>0</v>
      </c>
      <c r="E7012" s="155">
        <v>1</v>
      </c>
      <c r="F7012" s="155">
        <v>0</v>
      </c>
      <c r="G7012" s="155">
        <v>0</v>
      </c>
      <c r="H7012" s="155">
        <v>1</v>
      </c>
      <c r="I7012" s="155">
        <v>0</v>
      </c>
      <c r="J7012" s="710">
        <f>(VLOOKUP($C7012,[2]Sheet1!$A$2:$P$18,$M7012+1)/12)*12*D7012</f>
        <v>0</v>
      </c>
      <c r="K7012" s="711"/>
      <c r="M7012" s="62">
        <f t="shared" si="567"/>
        <v>5</v>
      </c>
    </row>
    <row r="7013" spans="1:13">
      <c r="A7013" s="88">
        <f t="shared" si="566"/>
        <v>42</v>
      </c>
      <c r="B7013" s="69" t="s">
        <v>3289</v>
      </c>
      <c r="C7013" s="167">
        <v>5</v>
      </c>
      <c r="D7013" s="155">
        <v>0</v>
      </c>
      <c r="E7013" s="155">
        <v>0</v>
      </c>
      <c r="F7013" s="155">
        <v>0</v>
      </c>
      <c r="G7013" s="155">
        <v>0</v>
      </c>
      <c r="H7013" s="155">
        <v>0</v>
      </c>
      <c r="I7013" s="155">
        <v>0</v>
      </c>
      <c r="J7013" s="710">
        <f>(VLOOKUP($C7013,[2]Sheet1!$A$2:$P$18,$M7013+1)/12)*12*D7013</f>
        <v>0</v>
      </c>
      <c r="K7013" s="711"/>
      <c r="M7013" s="62">
        <f t="shared" si="567"/>
        <v>5</v>
      </c>
    </row>
    <row r="7014" spans="1:13">
      <c r="A7014" s="88">
        <f t="shared" si="566"/>
        <v>43</v>
      </c>
      <c r="B7014" s="69" t="s">
        <v>3240</v>
      </c>
      <c r="C7014" s="167">
        <v>4</v>
      </c>
      <c r="D7014" s="155">
        <v>8</v>
      </c>
      <c r="E7014" s="155">
        <v>8</v>
      </c>
      <c r="F7014" s="155">
        <v>8</v>
      </c>
      <c r="G7014" s="155">
        <v>8</v>
      </c>
      <c r="H7014" s="155">
        <v>8</v>
      </c>
      <c r="I7014" s="155">
        <v>8</v>
      </c>
      <c r="J7014" s="710">
        <f>(VLOOKUP($C7014,[2]Sheet1!$A$2:$P$18,$M7014+1)/12)*12*D7014</f>
        <v>1796343.83144292</v>
      </c>
      <c r="K7014" s="711"/>
      <c r="M7014" s="62">
        <f t="shared" si="567"/>
        <v>5</v>
      </c>
    </row>
    <row r="7015" spans="1:13">
      <c r="A7015" s="88">
        <f t="shared" si="566"/>
        <v>44</v>
      </c>
      <c r="B7015" s="69" t="s">
        <v>3439</v>
      </c>
      <c r="C7015" s="167">
        <v>4</v>
      </c>
      <c r="D7015" s="155">
        <v>0</v>
      </c>
      <c r="E7015" s="155">
        <v>0</v>
      </c>
      <c r="F7015" s="155">
        <v>0</v>
      </c>
      <c r="G7015" s="155">
        <v>0</v>
      </c>
      <c r="H7015" s="155">
        <v>0</v>
      </c>
      <c r="I7015" s="155">
        <v>0</v>
      </c>
      <c r="J7015" s="710">
        <f>(VLOOKUP($C7015,[2]Sheet1!$A$2:$P$18,$M7015+1)/12)*12*D7015</f>
        <v>0</v>
      </c>
      <c r="K7015" s="711"/>
      <c r="M7015" s="62">
        <f t="shared" si="567"/>
        <v>5</v>
      </c>
    </row>
    <row r="7016" spans="1:13">
      <c r="A7016" s="88">
        <f t="shared" si="566"/>
        <v>45</v>
      </c>
      <c r="B7016" s="69" t="s">
        <v>2366</v>
      </c>
      <c r="C7016" s="167">
        <v>3</v>
      </c>
      <c r="D7016" s="155">
        <v>0</v>
      </c>
      <c r="E7016" s="155">
        <v>0</v>
      </c>
      <c r="F7016" s="155">
        <v>0</v>
      </c>
      <c r="G7016" s="155">
        <v>0</v>
      </c>
      <c r="H7016" s="155">
        <v>0</v>
      </c>
      <c r="I7016" s="155">
        <v>0</v>
      </c>
      <c r="J7016" s="710">
        <f>(VLOOKUP($C7016,[2]Sheet1!$A$2:$P$18,$M7016+1)/12)*12*D7016</f>
        <v>0</v>
      </c>
      <c r="K7016" s="711"/>
      <c r="M7016" s="62">
        <f t="shared" si="567"/>
        <v>5</v>
      </c>
    </row>
    <row r="7017" spans="1:13">
      <c r="A7017" s="88"/>
      <c r="B7017" s="90" t="s">
        <v>3241</v>
      </c>
      <c r="C7017" s="167"/>
      <c r="D7017" s="155"/>
      <c r="E7017" s="155"/>
      <c r="F7017" s="155"/>
      <c r="G7017" s="155"/>
      <c r="H7017" s="155"/>
      <c r="I7017" s="155"/>
      <c r="J7017" s="710"/>
      <c r="K7017" s="711"/>
      <c r="M7017" s="62">
        <f t="shared" si="567"/>
        <v>5</v>
      </c>
    </row>
    <row r="7018" spans="1:13">
      <c r="A7018" s="88">
        <v>46</v>
      </c>
      <c r="B7018" s="69" t="s">
        <v>3532</v>
      </c>
      <c r="C7018" s="167">
        <v>16</v>
      </c>
      <c r="D7018" s="155">
        <v>0</v>
      </c>
      <c r="E7018" s="155">
        <v>1</v>
      </c>
      <c r="F7018" s="155">
        <v>0</v>
      </c>
      <c r="G7018" s="155">
        <v>0</v>
      </c>
      <c r="H7018" s="155">
        <v>1</v>
      </c>
      <c r="I7018" s="155">
        <v>0</v>
      </c>
      <c r="J7018" s="710">
        <f>(VLOOKUP($C7018,[2]Sheet1!$A$2:$P$18,$M7018+1)/12)*12*D7018</f>
        <v>0</v>
      </c>
      <c r="K7018" s="711"/>
      <c r="M7018" s="62">
        <f t="shared" si="567"/>
        <v>3</v>
      </c>
    </row>
    <row r="7019" spans="1:13">
      <c r="A7019" s="88">
        <f t="shared" ref="A7019:A7034" si="568">+A7018+1</f>
        <v>47</v>
      </c>
      <c r="B7019" s="69" t="s">
        <v>3882</v>
      </c>
      <c r="C7019" s="167">
        <v>14</v>
      </c>
      <c r="D7019" s="155">
        <v>1</v>
      </c>
      <c r="E7019" s="155">
        <v>1</v>
      </c>
      <c r="F7019" s="155">
        <v>1</v>
      </c>
      <c r="G7019" s="155">
        <v>1</v>
      </c>
      <c r="H7019" s="155">
        <v>1</v>
      </c>
      <c r="I7019" s="155">
        <v>1</v>
      </c>
      <c r="J7019" s="710">
        <f>(VLOOKUP($C7019,[2]Sheet1!$A$2:$P$18,$M7019+1)/12)*12*D7019</f>
        <v>669099.40824000002</v>
      </c>
      <c r="K7019" s="711"/>
      <c r="M7019" s="62">
        <f t="shared" si="567"/>
        <v>3</v>
      </c>
    </row>
    <row r="7020" spans="1:13">
      <c r="A7020" s="88">
        <f>+A7019+1</f>
        <v>48</v>
      </c>
      <c r="B7020" s="69" t="s">
        <v>3883</v>
      </c>
      <c r="C7020" s="167">
        <v>9</v>
      </c>
      <c r="D7020" s="155">
        <v>3</v>
      </c>
      <c r="E7020" s="155">
        <v>1</v>
      </c>
      <c r="F7020" s="155">
        <v>3</v>
      </c>
      <c r="G7020" s="155">
        <v>3</v>
      </c>
      <c r="H7020" s="155">
        <v>1</v>
      </c>
      <c r="I7020" s="155">
        <v>3</v>
      </c>
      <c r="J7020" s="710">
        <f>(VLOOKUP($C7020,[2]Sheet1!$A$2:$P$18,$M7020+1)/12)*12*D7020</f>
        <v>1229045.7185999998</v>
      </c>
      <c r="K7020" s="711"/>
      <c r="M7020" s="62">
        <f t="shared" si="567"/>
        <v>3</v>
      </c>
    </row>
    <row r="7021" spans="1:13">
      <c r="A7021" s="88">
        <f>+A7020+1</f>
        <v>49</v>
      </c>
      <c r="B7021" s="69" t="s">
        <v>1539</v>
      </c>
      <c r="C7021" s="167">
        <v>9</v>
      </c>
      <c r="D7021" s="155">
        <v>3</v>
      </c>
      <c r="E7021" s="155">
        <v>1</v>
      </c>
      <c r="F7021" s="155">
        <v>3</v>
      </c>
      <c r="G7021" s="155">
        <v>3</v>
      </c>
      <c r="H7021" s="155">
        <v>1</v>
      </c>
      <c r="I7021" s="155">
        <v>3</v>
      </c>
      <c r="J7021" s="710">
        <f>(VLOOKUP($C7021,[2]Sheet1!$A$2:$P$18,$M7021+1)/12)*12*D7021</f>
        <v>1229045.7185999998</v>
      </c>
      <c r="K7021" s="711"/>
      <c r="M7021" s="62">
        <f t="shared" si="567"/>
        <v>3</v>
      </c>
    </row>
    <row r="7022" spans="1:13">
      <c r="A7022" s="88">
        <f>+A7019+1</f>
        <v>48</v>
      </c>
      <c r="B7022" s="69" t="s">
        <v>1384</v>
      </c>
      <c r="C7022" s="167">
        <v>14</v>
      </c>
      <c r="D7022" s="155">
        <v>1</v>
      </c>
      <c r="E7022" s="155">
        <v>6</v>
      </c>
      <c r="F7022" s="155">
        <v>1</v>
      </c>
      <c r="G7022" s="155">
        <v>1</v>
      </c>
      <c r="H7022" s="155">
        <v>6</v>
      </c>
      <c r="I7022" s="155">
        <v>1</v>
      </c>
      <c r="J7022" s="710">
        <f>(VLOOKUP($C7022,[2]Sheet1!$A$2:$P$18,$M7022+1)/12)*12*D7022</f>
        <v>669099.40824000002</v>
      </c>
      <c r="K7022" s="711"/>
      <c r="M7022" s="62">
        <f t="shared" si="567"/>
        <v>3</v>
      </c>
    </row>
    <row r="7023" spans="1:13">
      <c r="A7023" s="88">
        <f>+A7020+1</f>
        <v>49</v>
      </c>
      <c r="B7023" s="69" t="s">
        <v>321</v>
      </c>
      <c r="C7023" s="167">
        <v>7</v>
      </c>
      <c r="D7023" s="155">
        <v>1</v>
      </c>
      <c r="E7023" s="155">
        <v>6</v>
      </c>
      <c r="F7023" s="155">
        <v>1</v>
      </c>
      <c r="G7023" s="155">
        <v>1</v>
      </c>
      <c r="H7023" s="155">
        <v>6</v>
      </c>
      <c r="I7023" s="155">
        <v>1</v>
      </c>
      <c r="J7023" s="710">
        <f>(VLOOKUP($C7023,[2]Sheet1!$A$2:$P$18,$M7023+1)/12)*12*D7023</f>
        <v>307706.70240000007</v>
      </c>
      <c r="K7023" s="711"/>
      <c r="M7023" s="62">
        <f t="shared" si="567"/>
        <v>3</v>
      </c>
    </row>
    <row r="7024" spans="1:13">
      <c r="A7024" s="88">
        <f>+A7022+1</f>
        <v>49</v>
      </c>
      <c r="B7024" s="69" t="s">
        <v>1225</v>
      </c>
      <c r="C7024" s="167">
        <v>6</v>
      </c>
      <c r="D7024" s="155">
        <v>6</v>
      </c>
      <c r="E7024" s="155">
        <v>1</v>
      </c>
      <c r="F7024" s="155">
        <v>6</v>
      </c>
      <c r="G7024" s="155">
        <v>6</v>
      </c>
      <c r="H7024" s="155">
        <v>1</v>
      </c>
      <c r="I7024" s="155">
        <v>6</v>
      </c>
      <c r="J7024" s="710">
        <f>(VLOOKUP($C7024,[2]Sheet1!$A$2:$P$18,$M7024+1)/12)*12*D7024</f>
        <v>1428596.2735821898</v>
      </c>
      <c r="K7024" s="711"/>
      <c r="M7024" s="62">
        <f t="shared" si="567"/>
        <v>5</v>
      </c>
    </row>
    <row r="7025" spans="1:13">
      <c r="A7025" s="88">
        <f t="shared" si="568"/>
        <v>50</v>
      </c>
      <c r="B7025" s="69" t="s">
        <v>1226</v>
      </c>
      <c r="C7025" s="167">
        <v>4</v>
      </c>
      <c r="D7025" s="155">
        <v>0</v>
      </c>
      <c r="E7025" s="155">
        <v>1</v>
      </c>
      <c r="F7025" s="155">
        <v>0</v>
      </c>
      <c r="G7025" s="155">
        <v>0</v>
      </c>
      <c r="H7025" s="155">
        <v>1</v>
      </c>
      <c r="I7025" s="155">
        <v>0</v>
      </c>
      <c r="J7025" s="710">
        <f>(VLOOKUP($C7025,[2]Sheet1!$A$2:$P$18,$M7025+1)/12)*12*D7025</f>
        <v>0</v>
      </c>
      <c r="K7025" s="711"/>
      <c r="M7025" s="62">
        <f t="shared" si="567"/>
        <v>5</v>
      </c>
    </row>
    <row r="7026" spans="1:13">
      <c r="A7026" s="88">
        <f t="shared" si="568"/>
        <v>51</v>
      </c>
      <c r="B7026" s="69" t="s">
        <v>3242</v>
      </c>
      <c r="C7026" s="167">
        <v>6</v>
      </c>
      <c r="D7026" s="155">
        <v>5</v>
      </c>
      <c r="E7026" s="155">
        <v>1</v>
      </c>
      <c r="F7026" s="155">
        <v>5</v>
      </c>
      <c r="G7026" s="155">
        <v>5</v>
      </c>
      <c r="H7026" s="155">
        <v>1</v>
      </c>
      <c r="I7026" s="155">
        <v>5</v>
      </c>
      <c r="J7026" s="710">
        <f>(VLOOKUP($C7026,[2]Sheet1!$A$2:$P$18,$M7026+1)/12)*12*D7026</f>
        <v>1190496.8946518248</v>
      </c>
      <c r="K7026" s="711"/>
      <c r="M7026" s="62">
        <f t="shared" si="567"/>
        <v>5</v>
      </c>
    </row>
    <row r="7027" spans="1:13">
      <c r="A7027" s="88">
        <f t="shared" si="568"/>
        <v>52</v>
      </c>
      <c r="B7027" s="69" t="s">
        <v>1892</v>
      </c>
      <c r="C7027" s="167">
        <v>5</v>
      </c>
      <c r="D7027" s="155">
        <v>2</v>
      </c>
      <c r="E7027" s="155">
        <v>10</v>
      </c>
      <c r="F7027" s="155">
        <v>2</v>
      </c>
      <c r="G7027" s="155">
        <v>2</v>
      </c>
      <c r="H7027" s="155">
        <v>10</v>
      </c>
      <c r="I7027" s="155">
        <v>2</v>
      </c>
      <c r="J7027" s="710">
        <f>(VLOOKUP($C7027,[2]Sheet1!$A$2:$P$18,$M7027+1)/12)*12*D7027</f>
        <v>459139.55786072998</v>
      </c>
      <c r="K7027" s="711"/>
      <c r="M7027" s="62">
        <f t="shared" si="567"/>
        <v>5</v>
      </c>
    </row>
    <row r="7028" spans="1:13">
      <c r="A7028" s="88">
        <f>+A7027+1</f>
        <v>53</v>
      </c>
      <c r="B7028" s="69" t="s">
        <v>1884</v>
      </c>
      <c r="C7028" s="167">
        <v>4</v>
      </c>
      <c r="D7028" s="155">
        <v>4</v>
      </c>
      <c r="E7028" s="155">
        <v>30</v>
      </c>
      <c r="F7028" s="155">
        <v>4</v>
      </c>
      <c r="G7028" s="155">
        <v>4</v>
      </c>
      <c r="H7028" s="155">
        <v>30</v>
      </c>
      <c r="I7028" s="155">
        <v>4</v>
      </c>
      <c r="J7028" s="710">
        <f>(VLOOKUP($C7028,[2]Sheet1!$A$2:$P$18,$M7028+1)/12)*12*D7028</f>
        <v>898171.91572146001</v>
      </c>
      <c r="K7028" s="711"/>
      <c r="M7028" s="62">
        <f t="shared" si="567"/>
        <v>5</v>
      </c>
    </row>
    <row r="7029" spans="1:13">
      <c r="A7029" s="88">
        <f>+A7028+1</f>
        <v>54</v>
      </c>
      <c r="B7029" s="69" t="s">
        <v>320</v>
      </c>
      <c r="C7029" s="167">
        <v>3</v>
      </c>
      <c r="D7029" s="155">
        <v>71</v>
      </c>
      <c r="E7029" s="155">
        <v>71</v>
      </c>
      <c r="F7029" s="155">
        <v>71</v>
      </c>
      <c r="G7029" s="155">
        <v>71</v>
      </c>
      <c r="H7029" s="155">
        <v>71</v>
      </c>
      <c r="I7029" s="155">
        <v>71</v>
      </c>
      <c r="J7029" s="710">
        <f>(VLOOKUP($C7029,[2]Sheet1!$A$2:$P$18,$M7029+1)/12)*12*D7029</f>
        <v>15572868.704055915</v>
      </c>
      <c r="K7029" s="711"/>
      <c r="M7029" s="62">
        <f t="shared" si="567"/>
        <v>5</v>
      </c>
    </row>
    <row r="7030" spans="1:13">
      <c r="A7030" s="88">
        <f>+A7027+1</f>
        <v>53</v>
      </c>
      <c r="B7030" s="69" t="s">
        <v>1812</v>
      </c>
      <c r="C7030" s="167">
        <v>4</v>
      </c>
      <c r="D7030" s="155">
        <v>1</v>
      </c>
      <c r="E7030" s="155">
        <v>3</v>
      </c>
      <c r="F7030" s="155">
        <v>1</v>
      </c>
      <c r="G7030" s="155">
        <v>1</v>
      </c>
      <c r="H7030" s="155">
        <v>3</v>
      </c>
      <c r="I7030" s="155">
        <v>1</v>
      </c>
      <c r="J7030" s="710">
        <f>(VLOOKUP($C7030,[2]Sheet1!$A$2:$P$18,$M7030+1)/12)*12*D7030</f>
        <v>224542.978930365</v>
      </c>
      <c r="K7030" s="711"/>
      <c r="M7030" s="62">
        <f t="shared" si="567"/>
        <v>5</v>
      </c>
    </row>
    <row r="7031" spans="1:13">
      <c r="A7031" s="88">
        <f t="shared" si="568"/>
        <v>54</v>
      </c>
      <c r="B7031" s="69" t="s">
        <v>3243</v>
      </c>
      <c r="C7031" s="167">
        <v>6</v>
      </c>
      <c r="D7031" s="155">
        <v>4</v>
      </c>
      <c r="E7031" s="155">
        <v>4</v>
      </c>
      <c r="F7031" s="155">
        <v>4</v>
      </c>
      <c r="G7031" s="155">
        <v>4</v>
      </c>
      <c r="H7031" s="155">
        <v>4</v>
      </c>
      <c r="I7031" s="155">
        <v>4</v>
      </c>
      <c r="J7031" s="710">
        <f>(VLOOKUP($C7031,[2]Sheet1!$A$2:$P$18,$M7031+1)/12)*12*D7031</f>
        <v>952397.51572145987</v>
      </c>
      <c r="K7031" s="711"/>
      <c r="M7031" s="62">
        <f t="shared" si="567"/>
        <v>5</v>
      </c>
    </row>
    <row r="7032" spans="1:13">
      <c r="A7032" s="88">
        <f t="shared" si="568"/>
        <v>55</v>
      </c>
      <c r="B7032" s="69" t="s">
        <v>322</v>
      </c>
      <c r="C7032" s="167">
        <v>8</v>
      </c>
      <c r="D7032" s="155">
        <v>2</v>
      </c>
      <c r="E7032" s="155">
        <v>3</v>
      </c>
      <c r="F7032" s="155">
        <v>2</v>
      </c>
      <c r="G7032" s="155">
        <v>2</v>
      </c>
      <c r="H7032" s="155">
        <v>3</v>
      </c>
      <c r="I7032" s="155">
        <v>2</v>
      </c>
      <c r="J7032" s="710">
        <f>(VLOOKUP($C7032,[2]Sheet1!$A$2:$P$18,$M7032+1)/12)*12*D7032</f>
        <v>684282.54816000001</v>
      </c>
      <c r="K7032" s="711"/>
      <c r="M7032" s="62">
        <f t="shared" si="567"/>
        <v>3</v>
      </c>
    </row>
    <row r="7033" spans="1:13">
      <c r="A7033" s="88">
        <f t="shared" si="568"/>
        <v>56</v>
      </c>
      <c r="B7033" s="69" t="s">
        <v>324</v>
      </c>
      <c r="C7033" s="167">
        <v>8</v>
      </c>
      <c r="D7033" s="155">
        <v>0</v>
      </c>
      <c r="E7033" s="155">
        <v>0</v>
      </c>
      <c r="F7033" s="155">
        <v>0</v>
      </c>
      <c r="G7033" s="155">
        <v>0</v>
      </c>
      <c r="H7033" s="155">
        <v>0</v>
      </c>
      <c r="I7033" s="155">
        <v>0</v>
      </c>
      <c r="J7033" s="710">
        <f>(VLOOKUP($C7033,[2]Sheet1!$A$2:$P$18,$M7033+1)/12)*12*D7033</f>
        <v>0</v>
      </c>
      <c r="K7033" s="711"/>
      <c r="M7033" s="62">
        <f t="shared" si="567"/>
        <v>3</v>
      </c>
    </row>
    <row r="7034" spans="1:13">
      <c r="A7034" s="88">
        <f t="shared" si="568"/>
        <v>57</v>
      </c>
      <c r="B7034" s="69" t="s">
        <v>3244</v>
      </c>
      <c r="C7034" s="167">
        <v>10</v>
      </c>
      <c r="D7034" s="155">
        <v>0</v>
      </c>
      <c r="E7034" s="155">
        <v>0</v>
      </c>
      <c r="F7034" s="155">
        <v>0</v>
      </c>
      <c r="G7034" s="155">
        <v>0</v>
      </c>
      <c r="H7034" s="155">
        <v>0</v>
      </c>
      <c r="I7034" s="155">
        <v>0</v>
      </c>
      <c r="J7034" s="710">
        <f>(VLOOKUP($C7034,[2]Sheet1!$A$2:$P$18,$M7034+1)/12)*12*D7034</f>
        <v>0</v>
      </c>
      <c r="K7034" s="711"/>
      <c r="M7034" s="62">
        <f t="shared" si="567"/>
        <v>3</v>
      </c>
    </row>
    <row r="7035" spans="1:13">
      <c r="A7035" s="88"/>
      <c r="B7035" s="90" t="s">
        <v>325</v>
      </c>
      <c r="C7035" s="167"/>
      <c r="D7035" s="155"/>
      <c r="E7035" s="155"/>
      <c r="F7035" s="155"/>
      <c r="G7035" s="155"/>
      <c r="H7035" s="155"/>
      <c r="I7035" s="155"/>
      <c r="J7035" s="710"/>
      <c r="K7035" s="711"/>
      <c r="M7035" s="62">
        <f t="shared" si="567"/>
        <v>5</v>
      </c>
    </row>
    <row r="7036" spans="1:13">
      <c r="A7036" s="88">
        <v>46</v>
      </c>
      <c r="B7036" s="69" t="s">
        <v>3532</v>
      </c>
      <c r="C7036" s="167">
        <v>16</v>
      </c>
      <c r="D7036" s="155">
        <v>0</v>
      </c>
      <c r="E7036" s="155">
        <v>0</v>
      </c>
      <c r="F7036" s="155">
        <v>0</v>
      </c>
      <c r="G7036" s="155">
        <v>0</v>
      </c>
      <c r="H7036" s="155">
        <v>0</v>
      </c>
      <c r="I7036" s="155">
        <v>0</v>
      </c>
      <c r="J7036" s="710">
        <f>(VLOOKUP($C7036,[2]Sheet1!$A$2:$P$18,$M7036+1)/12)*12*D7036</f>
        <v>0</v>
      </c>
      <c r="K7036" s="711"/>
      <c r="M7036" s="62">
        <f t="shared" si="567"/>
        <v>3</v>
      </c>
    </row>
    <row r="7037" spans="1:13">
      <c r="A7037" s="88">
        <f>+A7036+1</f>
        <v>47</v>
      </c>
      <c r="B7037" s="69" t="s">
        <v>326</v>
      </c>
      <c r="C7037" s="167">
        <v>15</v>
      </c>
      <c r="D7037" s="155">
        <v>0</v>
      </c>
      <c r="E7037" s="155">
        <v>0</v>
      </c>
      <c r="F7037" s="155">
        <v>0</v>
      </c>
      <c r="G7037" s="155">
        <v>0</v>
      </c>
      <c r="H7037" s="155">
        <v>0</v>
      </c>
      <c r="I7037" s="155">
        <v>0</v>
      </c>
      <c r="J7037" s="710">
        <f>(VLOOKUP($C7037,[2]Sheet1!$A$2:$P$18,$M7037+1)/12)*12*D7037</f>
        <v>0</v>
      </c>
      <c r="K7037" s="711"/>
      <c r="M7037" s="62">
        <f t="shared" si="567"/>
        <v>3</v>
      </c>
    </row>
    <row r="7038" spans="1:13">
      <c r="A7038" s="88">
        <f>+A7037+1</f>
        <v>48</v>
      </c>
      <c r="B7038" s="69" t="s">
        <v>2214</v>
      </c>
      <c r="C7038" s="167">
        <v>13</v>
      </c>
      <c r="D7038" s="155">
        <v>0</v>
      </c>
      <c r="E7038" s="155">
        <v>0</v>
      </c>
      <c r="F7038" s="155">
        <v>0</v>
      </c>
      <c r="G7038" s="155">
        <v>0</v>
      </c>
      <c r="H7038" s="155">
        <v>0</v>
      </c>
      <c r="I7038" s="155">
        <v>0</v>
      </c>
      <c r="J7038" s="710">
        <f>(VLOOKUP($C7038,[2]Sheet1!$A$2:$P$18,$M7038+1)/12)*12*D7038</f>
        <v>0</v>
      </c>
      <c r="K7038" s="711"/>
      <c r="M7038" s="62">
        <f t="shared" si="567"/>
        <v>3</v>
      </c>
    </row>
    <row r="7039" spans="1:13">
      <c r="A7039" s="88">
        <f>+A7038+1</f>
        <v>49</v>
      </c>
      <c r="B7039" s="69" t="s">
        <v>3420</v>
      </c>
      <c r="C7039" s="167">
        <v>12</v>
      </c>
      <c r="D7039" s="155">
        <v>0</v>
      </c>
      <c r="E7039" s="155">
        <v>1</v>
      </c>
      <c r="F7039" s="155">
        <v>0</v>
      </c>
      <c r="G7039" s="155">
        <v>0</v>
      </c>
      <c r="H7039" s="155">
        <v>1</v>
      </c>
      <c r="I7039" s="155">
        <v>0</v>
      </c>
      <c r="J7039" s="710">
        <f>(VLOOKUP($C7039,[2]Sheet1!$A$2:$P$18,$M7039+1)/12)*12*D7039</f>
        <v>0</v>
      </c>
      <c r="K7039" s="711"/>
      <c r="M7039" s="62">
        <f t="shared" si="567"/>
        <v>3</v>
      </c>
    </row>
    <row r="7040" spans="1:13">
      <c r="A7040" s="88">
        <f>+A7037+1</f>
        <v>48</v>
      </c>
      <c r="B7040" s="69" t="s">
        <v>3421</v>
      </c>
      <c r="C7040" s="167">
        <v>10</v>
      </c>
      <c r="D7040" s="155">
        <v>0</v>
      </c>
      <c r="E7040" s="155">
        <v>1</v>
      </c>
      <c r="F7040" s="155">
        <v>0</v>
      </c>
      <c r="G7040" s="155">
        <v>0</v>
      </c>
      <c r="H7040" s="155">
        <v>1</v>
      </c>
      <c r="I7040" s="155">
        <v>0</v>
      </c>
      <c r="J7040" s="710">
        <f>(VLOOKUP($C7040,[2]Sheet1!$A$2:$P$18,$M7040+1)/12)*12*D7040</f>
        <v>0</v>
      </c>
      <c r="K7040" s="711"/>
      <c r="M7040" s="62">
        <f t="shared" si="567"/>
        <v>3</v>
      </c>
    </row>
    <row r="7041" spans="1:13">
      <c r="A7041" s="88">
        <f>+A7038+1</f>
        <v>49</v>
      </c>
      <c r="B7041" s="69" t="s">
        <v>427</v>
      </c>
      <c r="C7041" s="167">
        <v>14</v>
      </c>
      <c r="D7041" s="155">
        <v>0</v>
      </c>
      <c r="E7041" s="155">
        <v>1</v>
      </c>
      <c r="F7041" s="155">
        <v>0</v>
      </c>
      <c r="G7041" s="155">
        <v>0</v>
      </c>
      <c r="H7041" s="155">
        <v>1</v>
      </c>
      <c r="I7041" s="155">
        <v>0</v>
      </c>
      <c r="J7041" s="710">
        <f>(VLOOKUP($C7041,[2]Sheet1!$A$2:$P$18,$M7041+1)/12)*12*D7041</f>
        <v>0</v>
      </c>
      <c r="K7041" s="711"/>
      <c r="M7041" s="62">
        <f t="shared" si="567"/>
        <v>3</v>
      </c>
    </row>
    <row r="7042" spans="1:13">
      <c r="A7042" s="88">
        <f>+A7040+1</f>
        <v>49</v>
      </c>
      <c r="B7042" s="69" t="s">
        <v>428</v>
      </c>
      <c r="C7042" s="167">
        <v>9</v>
      </c>
      <c r="D7042" s="155">
        <v>0</v>
      </c>
      <c r="E7042" s="155">
        <v>1</v>
      </c>
      <c r="F7042" s="155">
        <v>0</v>
      </c>
      <c r="G7042" s="155">
        <v>0</v>
      </c>
      <c r="H7042" s="155">
        <v>1</v>
      </c>
      <c r="I7042" s="155">
        <v>0</v>
      </c>
      <c r="J7042" s="710">
        <f>(VLOOKUP($C7042,[2]Sheet1!$A$2:$P$18,$M7042+1)/12)*12*D7042</f>
        <v>0</v>
      </c>
      <c r="K7042" s="711"/>
      <c r="M7042" s="62">
        <f t="shared" si="567"/>
        <v>3</v>
      </c>
    </row>
    <row r="7043" spans="1:13">
      <c r="A7043" s="88">
        <f>+A7042+1</f>
        <v>50</v>
      </c>
      <c r="B7043" s="69" t="s">
        <v>429</v>
      </c>
      <c r="C7043" s="167">
        <v>8</v>
      </c>
      <c r="D7043" s="155">
        <v>0</v>
      </c>
      <c r="E7043" s="155">
        <v>0</v>
      </c>
      <c r="F7043" s="155">
        <v>0</v>
      </c>
      <c r="G7043" s="155">
        <v>0</v>
      </c>
      <c r="H7043" s="155">
        <v>0</v>
      </c>
      <c r="I7043" s="155">
        <v>0</v>
      </c>
      <c r="J7043" s="710">
        <f>(VLOOKUP($C7043,[2]Sheet1!$A$2:$P$18,$M7043+1)/12)*12*D7043</f>
        <v>0</v>
      </c>
      <c r="K7043" s="711"/>
      <c r="M7043" s="62">
        <f t="shared" si="567"/>
        <v>3</v>
      </c>
    </row>
    <row r="7044" spans="1:13">
      <c r="A7044" s="88">
        <f>+A7043+1</f>
        <v>51</v>
      </c>
      <c r="B7044" s="69" t="s">
        <v>430</v>
      </c>
      <c r="C7044" s="167">
        <v>7</v>
      </c>
      <c r="D7044" s="155">
        <v>0</v>
      </c>
      <c r="E7044" s="155">
        <v>0</v>
      </c>
      <c r="F7044" s="155">
        <v>0</v>
      </c>
      <c r="G7044" s="155">
        <v>0</v>
      </c>
      <c r="H7044" s="155">
        <v>0</v>
      </c>
      <c r="I7044" s="155">
        <v>0</v>
      </c>
      <c r="J7044" s="710">
        <f>(VLOOKUP($C7044,[2]Sheet1!$A$2:$P$18,$M7044+1)/12)*12*D7044</f>
        <v>0</v>
      </c>
      <c r="K7044" s="711"/>
      <c r="M7044" s="62">
        <f t="shared" si="567"/>
        <v>3</v>
      </c>
    </row>
    <row r="7045" spans="1:13">
      <c r="A7045" s="88">
        <f>+A7044+1</f>
        <v>52</v>
      </c>
      <c r="B7045" s="69" t="s">
        <v>431</v>
      </c>
      <c r="C7045" s="167">
        <v>8</v>
      </c>
      <c r="D7045" s="155">
        <v>0</v>
      </c>
      <c r="E7045" s="155">
        <v>0</v>
      </c>
      <c r="F7045" s="155">
        <v>0</v>
      </c>
      <c r="G7045" s="155">
        <v>0</v>
      </c>
      <c r="H7045" s="155">
        <v>0</v>
      </c>
      <c r="I7045" s="155">
        <v>0</v>
      </c>
      <c r="J7045" s="710">
        <f>(VLOOKUP($C7045,[2]Sheet1!$A$2:$P$18,$M7045+1)/12)*12*D7045</f>
        <v>0</v>
      </c>
      <c r="K7045" s="711"/>
      <c r="M7045" s="62">
        <f t="shared" si="567"/>
        <v>3</v>
      </c>
    </row>
    <row r="7046" spans="1:13">
      <c r="A7046" s="88">
        <f>+A7045+1</f>
        <v>53</v>
      </c>
      <c r="B7046" s="69" t="s">
        <v>432</v>
      </c>
      <c r="C7046" s="167">
        <v>9</v>
      </c>
      <c r="D7046" s="155">
        <v>0</v>
      </c>
      <c r="E7046" s="155">
        <v>0</v>
      </c>
      <c r="F7046" s="155">
        <v>0</v>
      </c>
      <c r="G7046" s="155">
        <v>0</v>
      </c>
      <c r="H7046" s="155">
        <v>0</v>
      </c>
      <c r="I7046" s="155">
        <v>0</v>
      </c>
      <c r="J7046" s="710">
        <f>(VLOOKUP($C7046,[2]Sheet1!$A$2:$P$18,$M7046+1)/12)*12*D7046</f>
        <v>0</v>
      </c>
      <c r="K7046" s="711"/>
      <c r="M7046" s="62">
        <f t="shared" si="567"/>
        <v>3</v>
      </c>
    </row>
    <row r="7047" spans="1:13" ht="13.5" thickBot="1">
      <c r="A7047" s="88">
        <f>+A7046+1</f>
        <v>54</v>
      </c>
      <c r="B7047" s="69" t="s">
        <v>433</v>
      </c>
      <c r="C7047" s="167">
        <v>6</v>
      </c>
      <c r="D7047" s="155">
        <v>0</v>
      </c>
      <c r="E7047" s="155">
        <v>0</v>
      </c>
      <c r="F7047" s="155">
        <v>0</v>
      </c>
      <c r="G7047" s="155">
        <v>0</v>
      </c>
      <c r="H7047" s="155">
        <v>0</v>
      </c>
      <c r="I7047" s="155">
        <v>0</v>
      </c>
      <c r="J7047" s="710">
        <f>(VLOOKUP($C7047,[2]Sheet1!$A$2:$P$18,$M7047+1)/12)*12*D7047</f>
        <v>0</v>
      </c>
      <c r="K7047" s="711"/>
      <c r="M7047" s="62">
        <f t="shared" si="567"/>
        <v>5</v>
      </c>
    </row>
    <row r="7048" spans="1:13" ht="15.75" thickTop="1">
      <c r="A7048" s="1047" t="s">
        <v>2791</v>
      </c>
      <c r="B7048" s="1049" t="s">
        <v>4126</v>
      </c>
      <c r="C7048" s="1049" t="s">
        <v>854</v>
      </c>
      <c r="D7048" s="1040" t="s">
        <v>4127</v>
      </c>
      <c r="E7048" s="1041"/>
      <c r="F7048" s="1041"/>
      <c r="G7048" s="1040" t="s">
        <v>904</v>
      </c>
      <c r="H7048" s="1041"/>
      <c r="I7048" s="1042"/>
      <c r="J7048" s="1035" t="s">
        <v>855</v>
      </c>
      <c r="K7048" s="389"/>
    </row>
    <row r="7049" spans="1:13" ht="26.25" thickBot="1">
      <c r="A7049" s="1048"/>
      <c r="B7049" s="1050"/>
      <c r="C7049" s="1050"/>
      <c r="D7049" s="285" t="s">
        <v>5505</v>
      </c>
      <c r="E7049" s="285" t="s">
        <v>4485</v>
      </c>
      <c r="F7049" s="285" t="s">
        <v>4486</v>
      </c>
      <c r="G7049" s="287" t="s">
        <v>4487</v>
      </c>
      <c r="H7049" s="285" t="s">
        <v>4488</v>
      </c>
      <c r="I7049" s="287" t="s">
        <v>4489</v>
      </c>
      <c r="J7049" s="1036"/>
      <c r="K7049" s="712"/>
    </row>
    <row r="7050" spans="1:13" ht="13.5" thickTop="1">
      <c r="A7050" s="88">
        <f>+A7045+1</f>
        <v>53</v>
      </c>
      <c r="B7050" s="69" t="s">
        <v>1779</v>
      </c>
      <c r="C7050" s="167">
        <v>6</v>
      </c>
      <c r="D7050" s="155">
        <v>0</v>
      </c>
      <c r="E7050" s="155">
        <v>0</v>
      </c>
      <c r="F7050" s="155">
        <v>0</v>
      </c>
      <c r="G7050" s="155">
        <v>0</v>
      </c>
      <c r="H7050" s="155">
        <v>0</v>
      </c>
      <c r="I7050" s="155">
        <v>0</v>
      </c>
      <c r="J7050" s="710">
        <f>(VLOOKUP($C7050,[2]Sheet1!$A$2:$P$18,$M7050+1)/12)*12*D7050</f>
        <v>0</v>
      </c>
      <c r="K7050" s="711"/>
      <c r="M7050" s="62">
        <f t="shared" si="567"/>
        <v>5</v>
      </c>
    </row>
    <row r="7051" spans="1:13">
      <c r="A7051" s="88">
        <f>+A7050+1</f>
        <v>54</v>
      </c>
      <c r="B7051" s="69" t="s">
        <v>1780</v>
      </c>
      <c r="C7051" s="167">
        <v>5</v>
      </c>
      <c r="D7051" s="155">
        <v>0</v>
      </c>
      <c r="E7051" s="155">
        <v>2</v>
      </c>
      <c r="F7051" s="155">
        <v>0</v>
      </c>
      <c r="G7051" s="155">
        <v>0</v>
      </c>
      <c r="H7051" s="155">
        <v>2</v>
      </c>
      <c r="I7051" s="155">
        <v>0</v>
      </c>
      <c r="J7051" s="710">
        <f>(VLOOKUP($C7051,[2]Sheet1!$A$2:$P$18,$M7051+1)/12)*12*D7051</f>
        <v>0</v>
      </c>
      <c r="K7051" s="711"/>
      <c r="M7051" s="62">
        <f t="shared" si="567"/>
        <v>5</v>
      </c>
    </row>
    <row r="7052" spans="1:13">
      <c r="A7052" s="88">
        <f>+A7051+1</f>
        <v>55</v>
      </c>
      <c r="B7052" s="69" t="s">
        <v>1781</v>
      </c>
      <c r="C7052" s="167">
        <v>4</v>
      </c>
      <c r="D7052" s="155">
        <v>0</v>
      </c>
      <c r="E7052" s="155">
        <v>0</v>
      </c>
      <c r="F7052" s="155">
        <v>0</v>
      </c>
      <c r="G7052" s="155">
        <v>0</v>
      </c>
      <c r="H7052" s="155">
        <v>0</v>
      </c>
      <c r="I7052" s="155">
        <v>0</v>
      </c>
      <c r="J7052" s="710">
        <f>(VLOOKUP($C7052,[2]Sheet1!$A$2:$P$18,$M7052+1)/12)*12*D7052</f>
        <v>0</v>
      </c>
      <c r="K7052" s="711"/>
      <c r="M7052" s="62">
        <f>IF(C7052&gt;6,3,5)</f>
        <v>5</v>
      </c>
    </row>
    <row r="7053" spans="1:13">
      <c r="A7053" s="88">
        <f>+A7052+1</f>
        <v>56</v>
      </c>
      <c r="B7053" s="69" t="s">
        <v>1627</v>
      </c>
      <c r="C7053" s="167">
        <v>3</v>
      </c>
      <c r="D7053" s="155">
        <v>0</v>
      </c>
      <c r="E7053" s="155">
        <v>0</v>
      </c>
      <c r="F7053" s="155">
        <v>0</v>
      </c>
      <c r="G7053" s="155">
        <v>0</v>
      </c>
      <c r="H7053" s="155">
        <v>0</v>
      </c>
      <c r="I7053" s="155">
        <v>0</v>
      </c>
      <c r="J7053" s="710">
        <f>(VLOOKUP($C7053,[2]Sheet1!$A$2:$P$18,$M7053+1)/12)*12*D7053</f>
        <v>0</v>
      </c>
      <c r="K7053" s="711"/>
      <c r="M7053" s="62">
        <f t="shared" si="567"/>
        <v>5</v>
      </c>
    </row>
    <row r="7054" spans="1:13">
      <c r="A7054" s="88"/>
      <c r="B7054" s="90" t="s">
        <v>3000</v>
      </c>
      <c r="C7054" s="167"/>
      <c r="D7054" s="155"/>
      <c r="E7054" s="155"/>
      <c r="F7054" s="155"/>
      <c r="G7054" s="155"/>
      <c r="H7054" s="155"/>
      <c r="I7054" s="155"/>
      <c r="J7054" s="710"/>
      <c r="K7054" s="711"/>
      <c r="M7054" s="62">
        <f t="shared" si="567"/>
        <v>5</v>
      </c>
    </row>
    <row r="7055" spans="1:13">
      <c r="A7055" s="88">
        <v>57</v>
      </c>
      <c r="B7055" s="69" t="s">
        <v>1996</v>
      </c>
      <c r="C7055" s="167">
        <v>14</v>
      </c>
      <c r="D7055" s="155">
        <v>1</v>
      </c>
      <c r="E7055" s="155">
        <v>1</v>
      </c>
      <c r="F7055" s="155">
        <v>1</v>
      </c>
      <c r="G7055" s="155">
        <v>1</v>
      </c>
      <c r="H7055" s="155">
        <v>1</v>
      </c>
      <c r="I7055" s="155">
        <v>1</v>
      </c>
      <c r="J7055" s="710">
        <f>(VLOOKUP($C7055,[2]Sheet1!$A$2:$P$18,$M7055+1)/12)*12*D7055</f>
        <v>669099.40824000002</v>
      </c>
      <c r="K7055" s="711"/>
      <c r="M7055" s="62">
        <f>IF(C7055&gt;6,3,5)</f>
        <v>3</v>
      </c>
    </row>
    <row r="7056" spans="1:13">
      <c r="A7056" s="88">
        <f>A7055+1</f>
        <v>58</v>
      </c>
      <c r="B7056" s="69" t="s">
        <v>3001</v>
      </c>
      <c r="C7056" s="167">
        <v>12</v>
      </c>
      <c r="D7056" s="155">
        <v>0</v>
      </c>
      <c r="E7056" s="155">
        <v>0</v>
      </c>
      <c r="F7056" s="155">
        <v>0</v>
      </c>
      <c r="G7056" s="155">
        <v>0</v>
      </c>
      <c r="H7056" s="155">
        <v>0</v>
      </c>
      <c r="I7056" s="155">
        <v>0</v>
      </c>
      <c r="J7056" s="710">
        <f>(VLOOKUP($C7056,[2]Sheet1!$A$2:$P$18,$M7056+1)/12)*12*D7056</f>
        <v>0</v>
      </c>
      <c r="K7056" s="711"/>
      <c r="M7056" s="62">
        <f t="shared" si="567"/>
        <v>3</v>
      </c>
    </row>
    <row r="7057" spans="1:13">
      <c r="A7057" s="88">
        <f>A7056+1</f>
        <v>59</v>
      </c>
      <c r="B7057" s="69" t="s">
        <v>3002</v>
      </c>
      <c r="C7057" s="167">
        <v>10</v>
      </c>
      <c r="D7057" s="155">
        <v>0</v>
      </c>
      <c r="E7057" s="155">
        <v>0</v>
      </c>
      <c r="F7057" s="155">
        <v>0</v>
      </c>
      <c r="G7057" s="155">
        <v>0</v>
      </c>
      <c r="H7057" s="155">
        <v>0</v>
      </c>
      <c r="I7057" s="155">
        <v>0</v>
      </c>
      <c r="J7057" s="710">
        <f>(VLOOKUP($C7057,[2]Sheet1!$A$2:$P$18,$M7057+1)/12)*12*D7057</f>
        <v>0</v>
      </c>
      <c r="K7057" s="711"/>
      <c r="M7057" s="62">
        <f t="shared" si="567"/>
        <v>3</v>
      </c>
    </row>
    <row r="7058" spans="1:13">
      <c r="A7058" s="88">
        <f>+A7057+1</f>
        <v>60</v>
      </c>
      <c r="B7058" s="69" t="s">
        <v>3003</v>
      </c>
      <c r="C7058" s="167">
        <v>9</v>
      </c>
      <c r="D7058" s="155">
        <v>0</v>
      </c>
      <c r="E7058" s="155">
        <v>1</v>
      </c>
      <c r="F7058" s="155">
        <v>0</v>
      </c>
      <c r="G7058" s="155">
        <v>0</v>
      </c>
      <c r="H7058" s="155">
        <v>1</v>
      </c>
      <c r="I7058" s="155">
        <v>0</v>
      </c>
      <c r="J7058" s="710">
        <f>(VLOOKUP($C7058,[2]Sheet1!$A$2:$P$18,$M7058+1)/12)*12*D7058</f>
        <v>0</v>
      </c>
      <c r="K7058" s="711"/>
      <c r="M7058" s="62">
        <f t="shared" si="567"/>
        <v>3</v>
      </c>
    </row>
    <row r="7059" spans="1:13">
      <c r="A7059" s="88">
        <f>+A7058+1</f>
        <v>61</v>
      </c>
      <c r="B7059" s="69" t="s">
        <v>3004</v>
      </c>
      <c r="C7059" s="167">
        <v>8</v>
      </c>
      <c r="D7059" s="155">
        <v>3</v>
      </c>
      <c r="E7059" s="155">
        <v>3</v>
      </c>
      <c r="F7059" s="155">
        <v>3</v>
      </c>
      <c r="G7059" s="155">
        <v>3</v>
      </c>
      <c r="H7059" s="155">
        <v>3</v>
      </c>
      <c r="I7059" s="155">
        <v>3</v>
      </c>
      <c r="J7059" s="710">
        <f>(VLOOKUP($C7059,[2]Sheet1!$A$2:$P$18,$M7059+1)/12)*12*D7059</f>
        <v>1026423.82224</v>
      </c>
      <c r="K7059" s="711"/>
      <c r="M7059" s="62">
        <f t="shared" si="567"/>
        <v>3</v>
      </c>
    </row>
    <row r="7060" spans="1:13">
      <c r="A7060" s="88">
        <f>+A7057+1</f>
        <v>60</v>
      </c>
      <c r="B7060" s="69" t="s">
        <v>574</v>
      </c>
      <c r="C7060" s="167">
        <v>7</v>
      </c>
      <c r="D7060" s="155">
        <v>0</v>
      </c>
      <c r="E7060" s="155">
        <v>0</v>
      </c>
      <c r="F7060" s="155">
        <v>0</v>
      </c>
      <c r="G7060" s="155">
        <v>0</v>
      </c>
      <c r="H7060" s="155">
        <v>0</v>
      </c>
      <c r="I7060" s="155">
        <v>0</v>
      </c>
      <c r="J7060" s="710">
        <f>(VLOOKUP($C7060,[2]Sheet1!$A$2:$P$18,$M7060+1)/12)*12*D7060</f>
        <v>0</v>
      </c>
      <c r="K7060" s="711"/>
      <c r="M7060" s="62">
        <f t="shared" si="567"/>
        <v>3</v>
      </c>
    </row>
    <row r="7061" spans="1:13">
      <c r="A7061" s="88">
        <f>+A7058+1</f>
        <v>61</v>
      </c>
      <c r="B7061" s="69" t="s">
        <v>575</v>
      </c>
      <c r="C7061" s="167">
        <v>6</v>
      </c>
      <c r="D7061" s="155">
        <v>0</v>
      </c>
      <c r="E7061" s="155">
        <v>0</v>
      </c>
      <c r="F7061" s="155">
        <v>0</v>
      </c>
      <c r="G7061" s="155">
        <v>0</v>
      </c>
      <c r="H7061" s="155">
        <v>0</v>
      </c>
      <c r="I7061" s="155">
        <v>0</v>
      </c>
      <c r="J7061" s="710">
        <f>(VLOOKUP($C7061,[2]Sheet1!$A$2:$P$18,$M7061+1)/12)*12*D7061</f>
        <v>0</v>
      </c>
      <c r="K7061" s="711"/>
      <c r="M7061" s="62">
        <f t="shared" si="567"/>
        <v>5</v>
      </c>
    </row>
    <row r="7062" spans="1:13">
      <c r="A7062" s="88">
        <f>+A7060+1</f>
        <v>61</v>
      </c>
      <c r="B7062" s="69" t="s">
        <v>3651</v>
      </c>
      <c r="C7062" s="167">
        <v>5</v>
      </c>
      <c r="D7062" s="155">
        <v>0</v>
      </c>
      <c r="E7062" s="155">
        <v>0</v>
      </c>
      <c r="F7062" s="155">
        <v>0</v>
      </c>
      <c r="G7062" s="155">
        <v>0</v>
      </c>
      <c r="H7062" s="155">
        <v>0</v>
      </c>
      <c r="I7062" s="155">
        <v>0</v>
      </c>
      <c r="J7062" s="710">
        <f>(VLOOKUP($C7062,[2]Sheet1!$A$2:$P$18,$M7062+1)/12)*12*D7062</f>
        <v>0</v>
      </c>
      <c r="K7062" s="711"/>
      <c r="M7062" s="62">
        <f t="shared" si="567"/>
        <v>5</v>
      </c>
    </row>
    <row r="7063" spans="1:13">
      <c r="A7063" s="88">
        <f>+A7062+1</f>
        <v>62</v>
      </c>
      <c r="B7063" s="69" t="s">
        <v>3652</v>
      </c>
      <c r="C7063" s="167">
        <v>4</v>
      </c>
      <c r="D7063" s="155">
        <v>0</v>
      </c>
      <c r="E7063" s="155">
        <v>0</v>
      </c>
      <c r="F7063" s="155">
        <v>0</v>
      </c>
      <c r="G7063" s="155">
        <v>0</v>
      </c>
      <c r="H7063" s="155">
        <v>0</v>
      </c>
      <c r="I7063" s="155">
        <v>0</v>
      </c>
      <c r="J7063" s="710">
        <f>(VLOOKUP($C7063,[2]Sheet1!$A$2:$P$18,$M7063+1)/12)*12*D7063</f>
        <v>0</v>
      </c>
      <c r="K7063" s="711"/>
      <c r="M7063" s="62">
        <f t="shared" si="567"/>
        <v>5</v>
      </c>
    </row>
    <row r="7064" spans="1:13">
      <c r="A7064" s="88">
        <f>+A7063+1</f>
        <v>63</v>
      </c>
      <c r="B7064" s="69" t="s">
        <v>3653</v>
      </c>
      <c r="C7064" s="167">
        <v>3</v>
      </c>
      <c r="D7064" s="155">
        <v>0</v>
      </c>
      <c r="E7064" s="155">
        <v>0</v>
      </c>
      <c r="F7064" s="155">
        <v>0</v>
      </c>
      <c r="G7064" s="155">
        <v>0</v>
      </c>
      <c r="H7064" s="155">
        <v>0</v>
      </c>
      <c r="I7064" s="155">
        <v>0</v>
      </c>
      <c r="J7064" s="710">
        <f>(VLOOKUP($C7064,[2]Sheet1!$A$2:$P$18,$M7064+1)/12)*12*D7064</f>
        <v>0</v>
      </c>
      <c r="K7064" s="711"/>
      <c r="M7064" s="62">
        <f t="shared" si="567"/>
        <v>5</v>
      </c>
    </row>
    <row r="7065" spans="1:13">
      <c r="A7065" s="88"/>
      <c r="B7065" s="90" t="s">
        <v>1776</v>
      </c>
      <c r="C7065" s="167"/>
      <c r="D7065" s="155"/>
      <c r="E7065" s="155"/>
      <c r="F7065" s="155"/>
      <c r="G7065" s="155"/>
      <c r="H7065" s="155"/>
      <c r="I7065" s="155"/>
      <c r="J7065" s="710"/>
      <c r="K7065" s="711"/>
    </row>
    <row r="7066" spans="1:13">
      <c r="A7066" s="88">
        <v>64</v>
      </c>
      <c r="B7066" s="69" t="s">
        <v>2007</v>
      </c>
      <c r="C7066" s="167">
        <v>14</v>
      </c>
      <c r="D7066" s="155">
        <v>0</v>
      </c>
      <c r="E7066" s="155">
        <v>0</v>
      </c>
      <c r="F7066" s="155">
        <v>0</v>
      </c>
      <c r="G7066" s="155">
        <v>0</v>
      </c>
      <c r="H7066" s="155">
        <v>0</v>
      </c>
      <c r="I7066" s="155">
        <v>0</v>
      </c>
      <c r="J7066" s="710">
        <f>(VLOOKUP($C7066,[2]Sheet1!$A$2:$P$18,$M7066+1)/12)*12*D7066</f>
        <v>0</v>
      </c>
      <c r="K7066" s="711"/>
      <c r="M7066" s="62">
        <f t="shared" ref="M7066:M7077" si="569">IF(C7066&gt;6,3,5)</f>
        <v>3</v>
      </c>
    </row>
    <row r="7067" spans="1:13">
      <c r="A7067" s="88">
        <f t="shared" ref="A7067:A7077" si="570">+A7066+1</f>
        <v>65</v>
      </c>
      <c r="B7067" s="69" t="s">
        <v>1568</v>
      </c>
      <c r="C7067" s="167">
        <v>13</v>
      </c>
      <c r="D7067" s="155">
        <v>0</v>
      </c>
      <c r="E7067" s="155">
        <v>0</v>
      </c>
      <c r="F7067" s="155">
        <v>0</v>
      </c>
      <c r="G7067" s="155">
        <v>0</v>
      </c>
      <c r="H7067" s="155">
        <v>0</v>
      </c>
      <c r="I7067" s="155">
        <v>0</v>
      </c>
      <c r="J7067" s="710">
        <f>(VLOOKUP($C7067,[2]Sheet1!$A$2:$P$18,$M7067+1)/12)*12*D7067</f>
        <v>0</v>
      </c>
      <c r="K7067" s="711"/>
      <c r="M7067" s="62">
        <f t="shared" si="569"/>
        <v>3</v>
      </c>
    </row>
    <row r="7068" spans="1:13">
      <c r="A7068" s="88">
        <f t="shared" si="570"/>
        <v>66</v>
      </c>
      <c r="B7068" s="69" t="s">
        <v>1569</v>
      </c>
      <c r="C7068" s="167">
        <v>12</v>
      </c>
      <c r="D7068" s="155">
        <v>0</v>
      </c>
      <c r="E7068" s="155">
        <v>0</v>
      </c>
      <c r="F7068" s="155">
        <v>0</v>
      </c>
      <c r="G7068" s="155">
        <v>0</v>
      </c>
      <c r="H7068" s="155">
        <v>0</v>
      </c>
      <c r="I7068" s="155">
        <v>0</v>
      </c>
      <c r="J7068" s="710">
        <f>(VLOOKUP($C7068,[2]Sheet1!$A$2:$P$18,$M7068+1)/12)*12*D7068</f>
        <v>0</v>
      </c>
      <c r="K7068" s="711"/>
      <c r="M7068" s="62">
        <f t="shared" si="569"/>
        <v>3</v>
      </c>
    </row>
    <row r="7069" spans="1:13">
      <c r="A7069" s="88">
        <f t="shared" si="570"/>
        <v>67</v>
      </c>
      <c r="B7069" s="69" t="s">
        <v>2130</v>
      </c>
      <c r="C7069" s="167">
        <v>10</v>
      </c>
      <c r="D7069" s="155">
        <v>0</v>
      </c>
      <c r="E7069" s="155">
        <v>0</v>
      </c>
      <c r="F7069" s="155">
        <v>0</v>
      </c>
      <c r="G7069" s="155">
        <v>0</v>
      </c>
      <c r="H7069" s="155">
        <v>0</v>
      </c>
      <c r="I7069" s="155">
        <v>0</v>
      </c>
      <c r="J7069" s="710">
        <f>(VLOOKUP($C7069,[2]Sheet1!$A$2:$P$18,$M7069+1)/12)*12*D7069</f>
        <v>0</v>
      </c>
      <c r="K7069" s="711"/>
      <c r="M7069" s="62">
        <f t="shared" si="569"/>
        <v>3</v>
      </c>
    </row>
    <row r="7070" spans="1:13">
      <c r="A7070" s="88">
        <f t="shared" si="570"/>
        <v>68</v>
      </c>
      <c r="B7070" s="69" t="s">
        <v>2131</v>
      </c>
      <c r="C7070" s="167">
        <v>9</v>
      </c>
      <c r="D7070" s="155">
        <v>0</v>
      </c>
      <c r="E7070" s="155">
        <v>0</v>
      </c>
      <c r="F7070" s="155">
        <v>0</v>
      </c>
      <c r="G7070" s="155">
        <v>0</v>
      </c>
      <c r="H7070" s="155">
        <v>0</v>
      </c>
      <c r="I7070" s="155">
        <v>0</v>
      </c>
      <c r="J7070" s="710">
        <f>(VLOOKUP($C7070,[2]Sheet1!$A$2:$P$18,$M7070+1)/12)*12*D7070</f>
        <v>0</v>
      </c>
      <c r="K7070" s="711"/>
      <c r="M7070" s="62">
        <f t="shared" si="569"/>
        <v>3</v>
      </c>
    </row>
    <row r="7071" spans="1:13">
      <c r="A7071" s="88">
        <f>+A7070+1</f>
        <v>69</v>
      </c>
      <c r="B7071" s="69" t="s">
        <v>1980</v>
      </c>
      <c r="C7071" s="167">
        <v>8</v>
      </c>
      <c r="D7071" s="155">
        <v>0</v>
      </c>
      <c r="E7071" s="155">
        <v>0</v>
      </c>
      <c r="F7071" s="155">
        <v>0</v>
      </c>
      <c r="G7071" s="155">
        <v>0</v>
      </c>
      <c r="H7071" s="155">
        <v>0</v>
      </c>
      <c r="I7071" s="155">
        <v>0</v>
      </c>
      <c r="J7071" s="710">
        <f>(VLOOKUP($C7071,[2]Sheet1!$A$2:$P$18,$M7071+1)/12)*12*D7071</f>
        <v>0</v>
      </c>
      <c r="K7071" s="711"/>
      <c r="M7071" s="62">
        <f t="shared" si="569"/>
        <v>3</v>
      </c>
    </row>
    <row r="7072" spans="1:13">
      <c r="A7072" s="88">
        <f t="shared" si="570"/>
        <v>70</v>
      </c>
      <c r="B7072" s="69" t="s">
        <v>1574</v>
      </c>
      <c r="C7072" s="167">
        <v>7</v>
      </c>
      <c r="D7072" s="155">
        <v>0</v>
      </c>
      <c r="E7072" s="155">
        <v>0</v>
      </c>
      <c r="F7072" s="155">
        <v>0</v>
      </c>
      <c r="G7072" s="155">
        <v>0</v>
      </c>
      <c r="H7072" s="155">
        <v>0</v>
      </c>
      <c r="I7072" s="155">
        <v>0</v>
      </c>
      <c r="J7072" s="710">
        <f>(VLOOKUP($C7072,[2]Sheet1!$A$2:$P$18,$M7072+1)/12)*12*D7072</f>
        <v>0</v>
      </c>
      <c r="K7072" s="711"/>
      <c r="M7072" s="62">
        <f t="shared" si="569"/>
        <v>3</v>
      </c>
    </row>
    <row r="7073" spans="1:13">
      <c r="A7073" s="88">
        <f t="shared" si="570"/>
        <v>71</v>
      </c>
      <c r="B7073" s="69" t="s">
        <v>1575</v>
      </c>
      <c r="C7073" s="167">
        <v>6</v>
      </c>
      <c r="D7073" s="155">
        <v>0</v>
      </c>
      <c r="E7073" s="155">
        <v>0</v>
      </c>
      <c r="F7073" s="155">
        <v>0</v>
      </c>
      <c r="G7073" s="155">
        <v>0</v>
      </c>
      <c r="H7073" s="155">
        <v>0</v>
      </c>
      <c r="I7073" s="155">
        <v>0</v>
      </c>
      <c r="J7073" s="710">
        <f>(VLOOKUP($C7073,[2]Sheet1!$A$2:$P$18,$M7073+1)/12)*12*D7073</f>
        <v>0</v>
      </c>
      <c r="K7073" s="711"/>
      <c r="M7073" s="62">
        <f t="shared" si="569"/>
        <v>5</v>
      </c>
    </row>
    <row r="7074" spans="1:13">
      <c r="A7074" s="88">
        <f t="shared" si="570"/>
        <v>72</v>
      </c>
      <c r="B7074" s="69" t="s">
        <v>1576</v>
      </c>
      <c r="C7074" s="167">
        <v>6</v>
      </c>
      <c r="D7074" s="155">
        <v>0</v>
      </c>
      <c r="E7074" s="155">
        <v>0</v>
      </c>
      <c r="F7074" s="155">
        <v>0</v>
      </c>
      <c r="G7074" s="155">
        <v>0</v>
      </c>
      <c r="H7074" s="155">
        <v>0</v>
      </c>
      <c r="I7074" s="155">
        <v>0</v>
      </c>
      <c r="J7074" s="710">
        <f>(VLOOKUP($C7074,[2]Sheet1!$A$2:$P$18,$M7074+1)/12)*12*D7074</f>
        <v>0</v>
      </c>
      <c r="K7074" s="711"/>
      <c r="M7074" s="62">
        <f t="shared" si="569"/>
        <v>5</v>
      </c>
    </row>
    <row r="7075" spans="1:13">
      <c r="A7075" s="88">
        <f t="shared" si="570"/>
        <v>73</v>
      </c>
      <c r="B7075" s="69" t="s">
        <v>2147</v>
      </c>
      <c r="C7075" s="167">
        <v>5</v>
      </c>
      <c r="D7075" s="155">
        <v>0</v>
      </c>
      <c r="E7075" s="155">
        <v>0</v>
      </c>
      <c r="F7075" s="155">
        <v>0</v>
      </c>
      <c r="G7075" s="155">
        <v>0</v>
      </c>
      <c r="H7075" s="155">
        <v>0</v>
      </c>
      <c r="I7075" s="155">
        <v>0</v>
      </c>
      <c r="J7075" s="710">
        <f>(VLOOKUP($C7075,[2]Sheet1!$A$2:$P$18,$M7075+1)/12)*12*D7075</f>
        <v>0</v>
      </c>
      <c r="K7075" s="711"/>
      <c r="M7075" s="62">
        <f t="shared" si="569"/>
        <v>5</v>
      </c>
    </row>
    <row r="7076" spans="1:13">
      <c r="A7076" s="88">
        <f t="shared" si="570"/>
        <v>74</v>
      </c>
      <c r="B7076" s="69" t="s">
        <v>2148</v>
      </c>
      <c r="C7076" s="167">
        <v>4</v>
      </c>
      <c r="D7076" s="155">
        <v>0</v>
      </c>
      <c r="E7076" s="155">
        <v>0</v>
      </c>
      <c r="F7076" s="155">
        <v>0</v>
      </c>
      <c r="G7076" s="155">
        <v>0</v>
      </c>
      <c r="H7076" s="155">
        <v>0</v>
      </c>
      <c r="I7076" s="155">
        <v>0</v>
      </c>
      <c r="J7076" s="710">
        <f>(VLOOKUP($C7076,[2]Sheet1!$A$2:$P$18,$M7076+1)/12)*12*D7076</f>
        <v>0</v>
      </c>
      <c r="K7076" s="711"/>
      <c r="M7076" s="62">
        <f t="shared" si="569"/>
        <v>5</v>
      </c>
    </row>
    <row r="7077" spans="1:13">
      <c r="A7077" s="88">
        <f t="shared" si="570"/>
        <v>75</v>
      </c>
      <c r="B7077" s="69" t="s">
        <v>2149</v>
      </c>
      <c r="C7077" s="167">
        <v>3</v>
      </c>
      <c r="D7077" s="155">
        <v>0</v>
      </c>
      <c r="E7077" s="155">
        <v>0</v>
      </c>
      <c r="F7077" s="155">
        <v>0</v>
      </c>
      <c r="G7077" s="155">
        <v>0</v>
      </c>
      <c r="H7077" s="155">
        <v>0</v>
      </c>
      <c r="I7077" s="155">
        <v>0</v>
      </c>
      <c r="J7077" s="710">
        <f>(VLOOKUP($C7077,[2]Sheet1!$A$2:$P$18,$M7077+1)/12)*12*D7077</f>
        <v>0</v>
      </c>
      <c r="K7077" s="711"/>
      <c r="M7077" s="62">
        <f t="shared" si="569"/>
        <v>5</v>
      </c>
    </row>
    <row r="7078" spans="1:13">
      <c r="A7078" s="88"/>
      <c r="B7078" s="90" t="s">
        <v>3521</v>
      </c>
      <c r="C7078" s="167"/>
      <c r="D7078" s="155"/>
      <c r="E7078" s="155"/>
      <c r="F7078" s="155"/>
      <c r="G7078" s="155"/>
      <c r="H7078" s="155"/>
      <c r="I7078" s="155"/>
      <c r="J7078" s="710"/>
      <c r="K7078" s="711"/>
      <c r="M7078" s="62">
        <f t="shared" si="567"/>
        <v>5</v>
      </c>
    </row>
    <row r="7079" spans="1:13">
      <c r="A7079" s="88">
        <v>76</v>
      </c>
      <c r="B7079" s="69" t="s">
        <v>1353</v>
      </c>
      <c r="C7079" s="167">
        <v>6</v>
      </c>
      <c r="D7079" s="155">
        <v>0</v>
      </c>
      <c r="E7079" s="155">
        <v>0</v>
      </c>
      <c r="F7079" s="155">
        <v>0</v>
      </c>
      <c r="G7079" s="155">
        <v>0</v>
      </c>
      <c r="H7079" s="155">
        <v>0</v>
      </c>
      <c r="I7079" s="155">
        <v>0</v>
      </c>
      <c r="J7079" s="710">
        <f>(VLOOKUP($C7079,[2]Sheet1!$A$2:$P$18,$M7079+1)/12)*12*D7079</f>
        <v>0</v>
      </c>
      <c r="K7079" s="711"/>
      <c r="M7079" s="62">
        <f t="shared" si="567"/>
        <v>5</v>
      </c>
    </row>
    <row r="7080" spans="1:13">
      <c r="A7080" s="88">
        <f>+A7079+1</f>
        <v>77</v>
      </c>
      <c r="B7080" s="69" t="s">
        <v>602</v>
      </c>
      <c r="C7080" s="167">
        <v>5</v>
      </c>
      <c r="D7080" s="155">
        <v>0</v>
      </c>
      <c r="E7080" s="155">
        <v>0</v>
      </c>
      <c r="F7080" s="155">
        <v>0</v>
      </c>
      <c r="G7080" s="155">
        <v>0</v>
      </c>
      <c r="H7080" s="155">
        <v>0</v>
      </c>
      <c r="I7080" s="155">
        <v>0</v>
      </c>
      <c r="J7080" s="710">
        <f>(VLOOKUP($C7080,[2]Sheet1!$A$2:$P$18,$M7080+1)/12)*12*D7080</f>
        <v>0</v>
      </c>
      <c r="K7080" s="711"/>
      <c r="M7080" s="62">
        <f t="shared" si="567"/>
        <v>5</v>
      </c>
    </row>
    <row r="7081" spans="1:13">
      <c r="A7081" s="88">
        <f>+A7080+1</f>
        <v>78</v>
      </c>
      <c r="B7081" s="69" t="s">
        <v>603</v>
      </c>
      <c r="C7081" s="167">
        <v>4</v>
      </c>
      <c r="D7081" s="155">
        <v>0</v>
      </c>
      <c r="E7081" s="155">
        <v>0</v>
      </c>
      <c r="F7081" s="155">
        <v>0</v>
      </c>
      <c r="G7081" s="155">
        <v>0</v>
      </c>
      <c r="H7081" s="155">
        <v>0</v>
      </c>
      <c r="I7081" s="155">
        <v>0</v>
      </c>
      <c r="J7081" s="710">
        <f>(VLOOKUP($C7081,[2]Sheet1!$A$2:$P$18,$M7081+1)/12)*12*D7081</f>
        <v>0</v>
      </c>
      <c r="K7081" s="711"/>
      <c r="M7081" s="62">
        <f t="shared" si="567"/>
        <v>5</v>
      </c>
    </row>
    <row r="7082" spans="1:13">
      <c r="A7082" s="88">
        <f>+A7081+1</f>
        <v>79</v>
      </c>
      <c r="B7082" s="69" t="s">
        <v>604</v>
      </c>
      <c r="C7082" s="167">
        <v>3</v>
      </c>
      <c r="D7082" s="155">
        <v>0</v>
      </c>
      <c r="E7082" s="155">
        <v>0</v>
      </c>
      <c r="F7082" s="155">
        <v>0</v>
      </c>
      <c r="G7082" s="155">
        <v>0</v>
      </c>
      <c r="H7082" s="155">
        <v>0</v>
      </c>
      <c r="I7082" s="155">
        <v>0</v>
      </c>
      <c r="J7082" s="710">
        <f>(VLOOKUP($C7082,[2]Sheet1!$A$2:$P$18,$M7082+1)/12)*12*D7082</f>
        <v>0</v>
      </c>
      <c r="K7082" s="711"/>
      <c r="M7082" s="62">
        <f t="shared" si="567"/>
        <v>5</v>
      </c>
    </row>
    <row r="7083" spans="1:13">
      <c r="A7083" s="92"/>
      <c r="B7083" s="93" t="s">
        <v>1684</v>
      </c>
      <c r="C7083" s="168"/>
      <c r="D7083" s="169">
        <f t="shared" ref="D7083:I7083" si="571">SUM(D6968:D7082)</f>
        <v>218</v>
      </c>
      <c r="E7083" s="169">
        <f t="shared" si="571"/>
        <v>299</v>
      </c>
      <c r="F7083" s="169">
        <f t="shared" si="571"/>
        <v>218</v>
      </c>
      <c r="G7083" s="169">
        <f>SUM(G6968:G7082)</f>
        <v>218</v>
      </c>
      <c r="H7083" s="169">
        <f t="shared" si="571"/>
        <v>299</v>
      </c>
      <c r="I7083" s="169">
        <f t="shared" si="571"/>
        <v>218</v>
      </c>
      <c r="J7083" s="169">
        <f>SUM(J6968:J7082)-15000000</f>
        <v>40717905.179637529</v>
      </c>
      <c r="K7083" s="385"/>
      <c r="M7083" s="62">
        <f t="shared" ref="M7083:M7093" si="572">IF(C7083&gt;6,3,5)</f>
        <v>5</v>
      </c>
    </row>
    <row r="7084" spans="1:13">
      <c r="A7084" s="170"/>
      <c r="B7084" s="97" t="s">
        <v>1199</v>
      </c>
      <c r="C7084" s="167"/>
      <c r="D7084" s="155"/>
      <c r="E7084" s="155"/>
      <c r="F7084" s="99"/>
      <c r="G7084" s="240" t="s">
        <v>243</v>
      </c>
      <c r="H7084" s="240" t="s">
        <v>4130</v>
      </c>
      <c r="I7084" s="240" t="s">
        <v>4202</v>
      </c>
      <c r="J7084" s="241" t="s">
        <v>4200</v>
      </c>
      <c r="K7084" s="375"/>
      <c r="M7084" s="62">
        <f t="shared" si="572"/>
        <v>5</v>
      </c>
    </row>
    <row r="7085" spans="1:13">
      <c r="A7085" s="88">
        <v>1</v>
      </c>
      <c r="B7085" s="69" t="s">
        <v>763</v>
      </c>
      <c r="C7085" s="167"/>
      <c r="D7085" s="155"/>
      <c r="E7085" s="155"/>
      <c r="F7085" s="89"/>
      <c r="G7085" s="100">
        <f>J7083*0.2</f>
        <v>8143581.0359275062</v>
      </c>
      <c r="H7085" s="100">
        <f>G7085*1.02</f>
        <v>8306452.6566460561</v>
      </c>
      <c r="I7085" s="100">
        <f>H7085*1.02</f>
        <v>8472581.7097789776</v>
      </c>
      <c r="J7085" s="100">
        <f>SUM(G7085:I7085)</f>
        <v>24922615.402352542</v>
      </c>
      <c r="K7085" s="114"/>
      <c r="M7085" s="62">
        <f t="shared" si="572"/>
        <v>5</v>
      </c>
    </row>
    <row r="7086" spans="1:13">
      <c r="A7086" s="92"/>
      <c r="B7086" s="93" t="s">
        <v>2531</v>
      </c>
      <c r="C7086" s="168"/>
      <c r="D7086" s="171"/>
      <c r="E7086" s="171"/>
      <c r="F7086" s="169"/>
      <c r="G7086" s="169">
        <f>SUM(G7085:G7085)</f>
        <v>8143581.0359275062</v>
      </c>
      <c r="H7086" s="169">
        <f>SUM(H7085:H7085)</f>
        <v>8306452.6566460561</v>
      </c>
      <c r="I7086" s="169">
        <f>SUM(I7085:I7085)</f>
        <v>8472581.7097789776</v>
      </c>
      <c r="J7086" s="169">
        <f>SUM(J7085:J7085)</f>
        <v>24922615.402352542</v>
      </c>
      <c r="K7086" s="385"/>
      <c r="M7086" s="62">
        <f t="shared" si="572"/>
        <v>5</v>
      </c>
    </row>
    <row r="7087" spans="1:13">
      <c r="A7087" s="88"/>
      <c r="B7087" s="69" t="s">
        <v>926</v>
      </c>
      <c r="C7087" s="167"/>
      <c r="D7087" s="155"/>
      <c r="E7087" s="155"/>
      <c r="F7087" s="155"/>
      <c r="G7087" s="100">
        <f>G7086+J7083</f>
        <v>48861486.215565033</v>
      </c>
      <c r="H7087" s="100">
        <f>G7087*1.02</f>
        <v>49838715.939876333</v>
      </c>
      <c r="I7087" s="100">
        <f>H7087*1.02</f>
        <v>50835490.258673862</v>
      </c>
      <c r="J7087" s="100">
        <f>SUM(G7087:I7087)</f>
        <v>149535692.41411525</v>
      </c>
      <c r="K7087" s="114"/>
      <c r="L7087" s="112"/>
      <c r="M7087" s="62">
        <f t="shared" si="572"/>
        <v>5</v>
      </c>
    </row>
    <row r="7088" spans="1:13">
      <c r="A7088" s="88"/>
      <c r="B7088" s="69" t="s">
        <v>2121</v>
      </c>
      <c r="C7088" s="167"/>
      <c r="D7088" s="155"/>
      <c r="E7088" s="155"/>
      <c r="F7088" s="155"/>
      <c r="G7088" s="155">
        <f>C7121</f>
        <v>192600000</v>
      </c>
      <c r="H7088" s="155">
        <f>D7121</f>
        <v>113100000</v>
      </c>
      <c r="I7088" s="155">
        <f>E7121</f>
        <v>113100000</v>
      </c>
      <c r="J7088" s="100">
        <f>SUM(G7088:I7088)</f>
        <v>418800000</v>
      </c>
      <c r="K7088" s="114"/>
      <c r="M7088" s="62">
        <f t="shared" si="572"/>
        <v>5</v>
      </c>
    </row>
    <row r="7089" spans="1:13" ht="13.5" thickBot="1">
      <c r="A7089" s="102"/>
      <c r="B7089" s="103" t="s">
        <v>2241</v>
      </c>
      <c r="C7089" s="172"/>
      <c r="D7089" s="173"/>
      <c r="E7089" s="173"/>
      <c r="F7089" s="174"/>
      <c r="G7089" s="174">
        <f>SUM(G7087:G7088)</f>
        <v>241461486.21556503</v>
      </c>
      <c r="H7089" s="174">
        <f>SUM(H7087:H7088)</f>
        <v>162938715.93987632</v>
      </c>
      <c r="I7089" s="174">
        <f>SUM(I7087:I7088)</f>
        <v>163935490.25867385</v>
      </c>
      <c r="J7089" s="174">
        <f>SUM(J7087:J7088)</f>
        <v>568335692.41411519</v>
      </c>
      <c r="K7089" s="385"/>
      <c r="M7089" s="62">
        <f t="shared" si="572"/>
        <v>5</v>
      </c>
    </row>
    <row r="7090" spans="1:13" ht="15.75" thickTop="1">
      <c r="C7090" s="163"/>
      <c r="D7090" s="164" t="s">
        <v>5434</v>
      </c>
      <c r="E7090" s="165"/>
      <c r="F7090" s="165"/>
      <c r="G7090" s="165"/>
      <c r="H7090" s="165"/>
      <c r="I7090" s="165"/>
      <c r="J7090" s="584"/>
      <c r="K7090" s="584"/>
      <c r="M7090" s="62">
        <f t="shared" si="572"/>
        <v>5</v>
      </c>
    </row>
    <row r="7091" spans="1:13" ht="15">
      <c r="C7091" s="163"/>
      <c r="D7091" s="164" t="s">
        <v>716</v>
      </c>
      <c r="E7091" s="165"/>
      <c r="F7091" s="165"/>
      <c r="G7091" s="165"/>
      <c r="H7091" s="165"/>
      <c r="I7091" s="165"/>
      <c r="J7091" s="584"/>
      <c r="K7091" s="584"/>
      <c r="M7091" s="62">
        <f t="shared" si="572"/>
        <v>5</v>
      </c>
    </row>
    <row r="7092" spans="1:13" ht="15">
      <c r="C7092" s="79" t="s">
        <v>1811</v>
      </c>
      <c r="D7092" s="164" t="s">
        <v>215</v>
      </c>
      <c r="E7092" s="165"/>
      <c r="F7092" s="165"/>
      <c r="G7092" s="165"/>
      <c r="H7092" s="165"/>
      <c r="I7092" s="165"/>
      <c r="J7092" s="584"/>
      <c r="K7092" s="584"/>
      <c r="M7092" s="62">
        <f t="shared" si="572"/>
        <v>3</v>
      </c>
    </row>
    <row r="7093" spans="1:13" ht="15">
      <c r="C7093" s="79" t="s">
        <v>718</v>
      </c>
      <c r="D7093" s="164" t="s">
        <v>1470</v>
      </c>
      <c r="E7093" s="165"/>
      <c r="F7093" s="165"/>
      <c r="G7093" s="165"/>
      <c r="H7093" s="165"/>
      <c r="I7093" s="165"/>
      <c r="J7093" s="584"/>
      <c r="K7093" s="584"/>
      <c r="M7093" s="62">
        <f t="shared" si="572"/>
        <v>3</v>
      </c>
    </row>
    <row r="7094" spans="1:13" ht="15">
      <c r="A7094" s="634" t="s">
        <v>1839</v>
      </c>
      <c r="B7094" s="635" t="s">
        <v>903</v>
      </c>
      <c r="C7094" s="1037" t="s">
        <v>4127</v>
      </c>
      <c r="D7094" s="1038"/>
      <c r="E7094" s="1039"/>
      <c r="F7094" s="635" t="s">
        <v>1684</v>
      </c>
      <c r="G7094" s="1037" t="s">
        <v>4132</v>
      </c>
      <c r="H7094" s="1038"/>
      <c r="I7094" s="1039"/>
      <c r="J7094" s="726"/>
      <c r="K7094" s="727"/>
    </row>
    <row r="7095" spans="1:13">
      <c r="A7095" s="636" t="s">
        <v>1620</v>
      </c>
      <c r="B7095" s="637"/>
      <c r="C7095" s="635" t="s">
        <v>1841</v>
      </c>
      <c r="D7095" s="635" t="s">
        <v>4133</v>
      </c>
      <c r="E7095" s="635" t="s">
        <v>4133</v>
      </c>
      <c r="F7095" s="1056" t="s">
        <v>4200</v>
      </c>
      <c r="G7095" s="634" t="s">
        <v>4135</v>
      </c>
      <c r="H7095" s="1051" t="s">
        <v>4182</v>
      </c>
      <c r="I7095" s="634" t="s">
        <v>4135</v>
      </c>
      <c r="J7095" s="728" t="s">
        <v>4136</v>
      </c>
      <c r="K7095" s="727"/>
    </row>
    <row r="7096" spans="1:13" ht="12.75" customHeight="1">
      <c r="A7096" s="638" t="s">
        <v>387</v>
      </c>
      <c r="B7096" s="639"/>
      <c r="C7096" s="638">
        <v>2015</v>
      </c>
      <c r="D7096" s="638">
        <v>2016</v>
      </c>
      <c r="E7096" s="638">
        <v>2017</v>
      </c>
      <c r="F7096" s="1057"/>
      <c r="G7096" s="638" t="s">
        <v>4304</v>
      </c>
      <c r="H7096" s="1052"/>
      <c r="I7096" s="638" t="s">
        <v>4303</v>
      </c>
      <c r="J7096" s="639"/>
      <c r="K7096" s="729"/>
    </row>
    <row r="7097" spans="1:13">
      <c r="A7097" s="730"/>
      <c r="B7097" s="730"/>
      <c r="C7097" s="764"/>
      <c r="D7097" s="764"/>
      <c r="E7097" s="764"/>
      <c r="F7097" s="764"/>
      <c r="G7097" s="764"/>
      <c r="H7097" s="764"/>
      <c r="I7097" s="764"/>
      <c r="J7097" s="764"/>
      <c r="K7097" s="765"/>
      <c r="M7097" s="62" t="e">
        <f>IF(#REF!&gt;6,3,5)</f>
        <v>#REF!</v>
      </c>
    </row>
    <row r="7098" spans="1:13">
      <c r="A7098" s="730">
        <v>2</v>
      </c>
      <c r="B7098" s="836" t="s">
        <v>1695</v>
      </c>
      <c r="C7098" s="390">
        <v>2000000</v>
      </c>
      <c r="D7098" s="390">
        <v>2500000</v>
      </c>
      <c r="E7098" s="390">
        <v>2500000</v>
      </c>
      <c r="F7098" s="390">
        <f>SUM(C7098:E7098)</f>
        <v>7000000</v>
      </c>
      <c r="G7098" s="390">
        <v>1650000</v>
      </c>
      <c r="H7098" s="390">
        <v>2000000</v>
      </c>
      <c r="I7098" s="390">
        <v>1238500</v>
      </c>
      <c r="J7098" s="390"/>
      <c r="K7098" s="734"/>
      <c r="M7098" s="62" t="e">
        <f>IF(#REF!&gt;6,3,5)</f>
        <v>#REF!</v>
      </c>
    </row>
    <row r="7099" spans="1:13">
      <c r="A7099" s="730">
        <f t="shared" ref="A7099:A7119" si="573">A7098+1</f>
        <v>3</v>
      </c>
      <c r="B7099" s="730" t="s">
        <v>1696</v>
      </c>
      <c r="C7099" s="390" t="s">
        <v>1386</v>
      </c>
      <c r="D7099" s="390" t="s">
        <v>1386</v>
      </c>
      <c r="E7099" s="390" t="s">
        <v>1386</v>
      </c>
      <c r="F7099" s="390">
        <f t="shared" ref="F7099:F7120" si="574">SUM(C7099:E7099)</f>
        <v>0</v>
      </c>
      <c r="G7099" s="390"/>
      <c r="H7099" s="390" t="s">
        <v>1386</v>
      </c>
      <c r="I7099" s="390"/>
      <c r="J7099" s="390"/>
      <c r="K7099" s="734"/>
      <c r="M7099" s="62" t="e">
        <f>IF(#REF!&gt;6,3,5)</f>
        <v>#REF!</v>
      </c>
    </row>
    <row r="7100" spans="1:13">
      <c r="A7100" s="730">
        <f t="shared" si="573"/>
        <v>4</v>
      </c>
      <c r="B7100" s="730" t="s">
        <v>1701</v>
      </c>
      <c r="C7100" s="390" t="s">
        <v>1386</v>
      </c>
      <c r="D7100" s="390" t="s">
        <v>1386</v>
      </c>
      <c r="E7100" s="390" t="s">
        <v>1386</v>
      </c>
      <c r="F7100" s="390">
        <f t="shared" si="574"/>
        <v>0</v>
      </c>
      <c r="G7100" s="390"/>
      <c r="H7100" s="390" t="s">
        <v>1386</v>
      </c>
      <c r="I7100" s="390"/>
      <c r="J7100" s="390"/>
      <c r="K7100" s="734"/>
      <c r="M7100" s="62" t="e">
        <f>IF(#REF!&gt;6,3,5)</f>
        <v>#REF!</v>
      </c>
    </row>
    <row r="7101" spans="1:13">
      <c r="A7101" s="730">
        <f t="shared" si="573"/>
        <v>5</v>
      </c>
      <c r="B7101" s="730" t="s">
        <v>1702</v>
      </c>
      <c r="C7101" s="390">
        <v>500000</v>
      </c>
      <c r="D7101" s="390">
        <v>500000</v>
      </c>
      <c r="E7101" s="390">
        <v>500000</v>
      </c>
      <c r="F7101" s="390">
        <f t="shared" si="574"/>
        <v>1500000</v>
      </c>
      <c r="G7101" s="390">
        <v>130000</v>
      </c>
      <c r="H7101" s="390">
        <v>500000</v>
      </c>
      <c r="I7101" s="390">
        <v>0</v>
      </c>
      <c r="J7101" s="390"/>
      <c r="K7101" s="734"/>
      <c r="M7101" s="62" t="e">
        <f>IF(#REF!&gt;6,3,5)</f>
        <v>#REF!</v>
      </c>
    </row>
    <row r="7102" spans="1:13">
      <c r="A7102" s="730">
        <f t="shared" si="573"/>
        <v>6</v>
      </c>
      <c r="B7102" s="846" t="s">
        <v>1503</v>
      </c>
      <c r="C7102" s="390">
        <v>800000</v>
      </c>
      <c r="D7102" s="390">
        <v>800000</v>
      </c>
      <c r="E7102" s="390">
        <v>800000</v>
      </c>
      <c r="F7102" s="390">
        <f t="shared" si="574"/>
        <v>2400000</v>
      </c>
      <c r="G7102" s="390">
        <v>553000</v>
      </c>
      <c r="H7102" s="390">
        <v>800000</v>
      </c>
      <c r="I7102" s="390">
        <v>339500</v>
      </c>
      <c r="J7102" s="390"/>
      <c r="K7102" s="734"/>
      <c r="M7102" s="62" t="e">
        <f>IF(#REF!&gt;6,3,5)</f>
        <v>#REF!</v>
      </c>
    </row>
    <row r="7103" spans="1:13">
      <c r="A7103" s="730">
        <f t="shared" si="573"/>
        <v>7</v>
      </c>
      <c r="B7103" s="730" t="s">
        <v>3680</v>
      </c>
      <c r="C7103" s="390">
        <v>1000000</v>
      </c>
      <c r="D7103" s="390">
        <v>1000000</v>
      </c>
      <c r="E7103" s="390">
        <v>1000000</v>
      </c>
      <c r="F7103" s="390">
        <f t="shared" si="574"/>
        <v>3000000</v>
      </c>
      <c r="G7103" s="390">
        <v>247000</v>
      </c>
      <c r="H7103" s="390">
        <v>800000</v>
      </c>
      <c r="I7103" s="390">
        <v>164075</v>
      </c>
      <c r="J7103" s="390"/>
      <c r="K7103" s="734"/>
      <c r="M7103" s="62" t="e">
        <f>IF(#REF!&gt;6,3,5)</f>
        <v>#REF!</v>
      </c>
    </row>
    <row r="7104" spans="1:13">
      <c r="A7104" s="730">
        <f t="shared" si="573"/>
        <v>8</v>
      </c>
      <c r="B7104" s="730" t="s">
        <v>1385</v>
      </c>
      <c r="C7104" s="390" t="s">
        <v>1386</v>
      </c>
      <c r="D7104" s="390" t="s">
        <v>1386</v>
      </c>
      <c r="E7104" s="390" t="s">
        <v>1386</v>
      </c>
      <c r="F7104" s="390">
        <f t="shared" si="574"/>
        <v>0</v>
      </c>
      <c r="G7104" s="390"/>
      <c r="H7104" s="390" t="s">
        <v>1386</v>
      </c>
      <c r="I7104" s="390"/>
      <c r="J7104" s="390"/>
      <c r="K7104" s="734"/>
      <c r="M7104" s="62" t="e">
        <f>IF(#REF!&gt;6,3,5)</f>
        <v>#REF!</v>
      </c>
    </row>
    <row r="7105" spans="1:13">
      <c r="A7105" s="730">
        <f t="shared" si="573"/>
        <v>9</v>
      </c>
      <c r="B7105" s="730" t="s">
        <v>2061</v>
      </c>
      <c r="C7105" s="390" t="s">
        <v>1386</v>
      </c>
      <c r="D7105" s="390" t="s">
        <v>1386</v>
      </c>
      <c r="E7105" s="390" t="s">
        <v>1386</v>
      </c>
      <c r="F7105" s="390">
        <f t="shared" si="574"/>
        <v>0</v>
      </c>
      <c r="G7105" s="390"/>
      <c r="H7105" s="390" t="s">
        <v>1386</v>
      </c>
      <c r="I7105" s="390"/>
      <c r="J7105" s="390"/>
      <c r="K7105" s="734"/>
      <c r="M7105" s="62" t="e">
        <f>IF(#REF!&gt;6,3,5)</f>
        <v>#REF!</v>
      </c>
    </row>
    <row r="7106" spans="1:13">
      <c r="A7106" s="730">
        <f t="shared" si="573"/>
        <v>10</v>
      </c>
      <c r="B7106" s="730" t="s">
        <v>2685</v>
      </c>
      <c r="C7106" s="390">
        <v>1000000</v>
      </c>
      <c r="D7106" s="390">
        <v>1000000</v>
      </c>
      <c r="E7106" s="390">
        <v>1000000</v>
      </c>
      <c r="F7106" s="390">
        <f t="shared" si="574"/>
        <v>3000000</v>
      </c>
      <c r="G7106" s="390"/>
      <c r="H7106" s="390">
        <v>500000</v>
      </c>
      <c r="I7106" s="390">
        <v>30000</v>
      </c>
      <c r="J7106" s="390"/>
      <c r="K7106" s="734"/>
      <c r="M7106" s="62" t="e">
        <f>IF(#REF!&gt;6,3,5)</f>
        <v>#REF!</v>
      </c>
    </row>
    <row r="7107" spans="1:13">
      <c r="A7107" s="730">
        <f t="shared" si="573"/>
        <v>11</v>
      </c>
      <c r="B7107" s="847" t="s">
        <v>214</v>
      </c>
      <c r="C7107" s="390">
        <v>100000</v>
      </c>
      <c r="D7107" s="390">
        <v>100000</v>
      </c>
      <c r="E7107" s="390">
        <v>100000</v>
      </c>
      <c r="F7107" s="390">
        <f t="shared" si="574"/>
        <v>300000</v>
      </c>
      <c r="G7107" s="390"/>
      <c r="H7107" s="390">
        <v>100000</v>
      </c>
      <c r="I7107" s="390">
        <v>41500</v>
      </c>
      <c r="J7107" s="390"/>
      <c r="K7107" s="734"/>
      <c r="M7107" s="62" t="e">
        <f>IF(#REF!&gt;6,3,5)</f>
        <v>#REF!</v>
      </c>
    </row>
    <row r="7108" spans="1:13">
      <c r="A7108" s="730">
        <f t="shared" si="573"/>
        <v>12</v>
      </c>
      <c r="B7108" s="730" t="s">
        <v>2688</v>
      </c>
      <c r="C7108" s="390">
        <v>2500000</v>
      </c>
      <c r="D7108" s="390">
        <v>2500000</v>
      </c>
      <c r="E7108" s="390">
        <v>2500000</v>
      </c>
      <c r="F7108" s="390">
        <f t="shared" si="574"/>
        <v>7500000</v>
      </c>
      <c r="G7108" s="390">
        <v>1770000</v>
      </c>
      <c r="H7108" s="390">
        <v>2500000</v>
      </c>
      <c r="I7108" s="390">
        <v>3281000</v>
      </c>
      <c r="J7108" s="390"/>
      <c r="K7108" s="734"/>
      <c r="M7108" s="62" t="e">
        <f>IF(#REF!&gt;6,3,5)</f>
        <v>#REF!</v>
      </c>
    </row>
    <row r="7109" spans="1:13">
      <c r="A7109" s="730">
        <f t="shared" si="573"/>
        <v>13</v>
      </c>
      <c r="B7109" s="730" t="s">
        <v>2249</v>
      </c>
      <c r="C7109" s="390">
        <v>100000</v>
      </c>
      <c r="D7109" s="390">
        <v>100000</v>
      </c>
      <c r="E7109" s="390">
        <v>100000</v>
      </c>
      <c r="F7109" s="390">
        <f t="shared" si="574"/>
        <v>300000</v>
      </c>
      <c r="G7109" s="390"/>
      <c r="H7109" s="390">
        <v>100000</v>
      </c>
      <c r="I7109" s="390">
        <v>0</v>
      </c>
      <c r="J7109" s="390"/>
      <c r="K7109" s="734"/>
      <c r="M7109" s="62" t="e">
        <f>IF(#REF!&gt;6,3,5)</f>
        <v>#REF!</v>
      </c>
    </row>
    <row r="7110" spans="1:13">
      <c r="A7110" s="730">
        <f t="shared" si="573"/>
        <v>14</v>
      </c>
      <c r="B7110" s="836" t="s">
        <v>1336</v>
      </c>
      <c r="C7110" s="390">
        <v>800000</v>
      </c>
      <c r="D7110" s="390">
        <v>800000</v>
      </c>
      <c r="E7110" s="390">
        <v>800000</v>
      </c>
      <c r="F7110" s="390">
        <f t="shared" si="574"/>
        <v>2400000</v>
      </c>
      <c r="G7110" s="390">
        <v>351000</v>
      </c>
      <c r="H7110" s="390">
        <v>500000</v>
      </c>
      <c r="I7110" s="390">
        <v>0</v>
      </c>
      <c r="J7110" s="390"/>
      <c r="K7110" s="734"/>
      <c r="M7110" s="62" t="e">
        <f>IF(#REF!&gt;6,3,5)</f>
        <v>#REF!</v>
      </c>
    </row>
    <row r="7111" spans="1:13">
      <c r="A7111" s="730">
        <f t="shared" si="573"/>
        <v>15</v>
      </c>
      <c r="B7111" s="730" t="s">
        <v>216</v>
      </c>
      <c r="C7111" s="390">
        <v>500000</v>
      </c>
      <c r="D7111" s="390">
        <v>500000</v>
      </c>
      <c r="E7111" s="390">
        <v>500000</v>
      </c>
      <c r="F7111" s="390">
        <f t="shared" si="574"/>
        <v>1500000</v>
      </c>
      <c r="G7111" s="390"/>
      <c r="H7111" s="390">
        <v>500000</v>
      </c>
      <c r="I7111" s="390"/>
      <c r="J7111" s="390"/>
      <c r="K7111" s="734"/>
      <c r="M7111" s="62" t="e">
        <f>IF(#REF!&gt;6,3,5)</f>
        <v>#REF!</v>
      </c>
    </row>
    <row r="7112" spans="1:13">
      <c r="A7112" s="730">
        <f t="shared" si="573"/>
        <v>16</v>
      </c>
      <c r="B7112" s="846" t="s">
        <v>2923</v>
      </c>
      <c r="C7112" s="390" t="s">
        <v>1386</v>
      </c>
      <c r="D7112" s="390">
        <v>500000</v>
      </c>
      <c r="E7112" s="390">
        <v>500000</v>
      </c>
      <c r="F7112" s="390">
        <f t="shared" si="574"/>
        <v>1000000</v>
      </c>
      <c r="G7112" s="390"/>
      <c r="H7112" s="390">
        <v>500000</v>
      </c>
      <c r="I7112" s="390"/>
      <c r="J7112" s="390"/>
      <c r="K7112" s="734"/>
      <c r="M7112" s="62" t="e">
        <f>IF(#REF!&gt;6,3,5)</f>
        <v>#REF!</v>
      </c>
    </row>
    <row r="7113" spans="1:13">
      <c r="A7113" s="730">
        <f t="shared" si="573"/>
        <v>17</v>
      </c>
      <c r="B7113" s="846" t="s">
        <v>2924</v>
      </c>
      <c r="C7113" s="390">
        <v>800000</v>
      </c>
      <c r="D7113" s="390">
        <v>800000</v>
      </c>
      <c r="E7113" s="390">
        <v>800000</v>
      </c>
      <c r="F7113" s="390">
        <f t="shared" si="574"/>
        <v>2400000</v>
      </c>
      <c r="G7113" s="390"/>
      <c r="H7113" s="390">
        <v>300000</v>
      </c>
      <c r="I7113" s="390">
        <v>1536000</v>
      </c>
      <c r="J7113" s="390"/>
      <c r="K7113" s="734"/>
      <c r="M7113" s="62" t="e">
        <f>IF(#REF!&gt;6,3,5)</f>
        <v>#REF!</v>
      </c>
    </row>
    <row r="7114" spans="1:13" ht="24">
      <c r="A7114" s="730">
        <f t="shared" si="573"/>
        <v>18</v>
      </c>
      <c r="B7114" s="735" t="s">
        <v>3906</v>
      </c>
      <c r="C7114" s="390">
        <v>2000000</v>
      </c>
      <c r="D7114" s="390">
        <v>1500000</v>
      </c>
      <c r="E7114" s="390">
        <v>1500000</v>
      </c>
      <c r="F7114" s="390">
        <f t="shared" si="574"/>
        <v>5000000</v>
      </c>
      <c r="G7114" s="390"/>
      <c r="H7114" s="390">
        <v>1500000</v>
      </c>
      <c r="I7114" s="390"/>
      <c r="J7114" s="390"/>
      <c r="K7114" s="734"/>
      <c r="M7114" s="62" t="e">
        <f>IF(#REF!&gt;6,3,5)</f>
        <v>#REF!</v>
      </c>
    </row>
    <row r="7115" spans="1:13">
      <c r="A7115" s="730">
        <f t="shared" si="573"/>
        <v>19</v>
      </c>
      <c r="B7115" s="733" t="s">
        <v>3907</v>
      </c>
      <c r="C7115" s="390" t="s">
        <v>1386</v>
      </c>
      <c r="D7115" s="390" t="s">
        <v>1386</v>
      </c>
      <c r="E7115" s="390" t="s">
        <v>1386</v>
      </c>
      <c r="F7115" s="390">
        <f t="shared" si="574"/>
        <v>0</v>
      </c>
      <c r="G7115" s="390"/>
      <c r="H7115" s="390" t="s">
        <v>1386</v>
      </c>
      <c r="I7115" s="390"/>
      <c r="J7115" s="390"/>
      <c r="K7115" s="734"/>
      <c r="M7115" s="62" t="e">
        <f>IF(#REF!&gt;6,3,5)</f>
        <v>#REF!</v>
      </c>
    </row>
    <row r="7116" spans="1:13" ht="24">
      <c r="A7116" s="730">
        <f t="shared" si="573"/>
        <v>20</v>
      </c>
      <c r="B7116" s="735" t="s">
        <v>2643</v>
      </c>
      <c r="C7116" s="390" t="s">
        <v>1386</v>
      </c>
      <c r="D7116" s="390" t="s">
        <v>1386</v>
      </c>
      <c r="E7116" s="390" t="s">
        <v>1386</v>
      </c>
      <c r="F7116" s="390">
        <f t="shared" si="574"/>
        <v>0</v>
      </c>
      <c r="G7116" s="390"/>
      <c r="H7116" s="390" t="s">
        <v>1386</v>
      </c>
      <c r="I7116" s="390"/>
      <c r="J7116" s="390"/>
      <c r="K7116" s="734"/>
      <c r="M7116" s="62" t="e">
        <f>IF(#REF!&gt;6,3,5)</f>
        <v>#REF!</v>
      </c>
    </row>
    <row r="7117" spans="1:13" ht="25.5">
      <c r="A7117" s="730">
        <f t="shared" si="573"/>
        <v>21</v>
      </c>
      <c r="B7117" s="733" t="s">
        <v>2644</v>
      </c>
      <c r="C7117" s="390" t="s">
        <v>1386</v>
      </c>
      <c r="D7117" s="390" t="s">
        <v>1386</v>
      </c>
      <c r="E7117" s="390" t="s">
        <v>1386</v>
      </c>
      <c r="F7117" s="390">
        <f t="shared" si="574"/>
        <v>0</v>
      </c>
      <c r="G7117" s="390"/>
      <c r="H7117" s="390" t="s">
        <v>1386</v>
      </c>
      <c r="I7117" s="390"/>
      <c r="J7117" s="390"/>
      <c r="K7117" s="734"/>
      <c r="M7117" s="62" t="e">
        <f>IF(#REF!&gt;6,3,5)</f>
        <v>#REF!</v>
      </c>
    </row>
    <row r="7118" spans="1:13" ht="24">
      <c r="A7118" s="730">
        <f t="shared" si="573"/>
        <v>22</v>
      </c>
      <c r="B7118" s="735" t="s">
        <v>1609</v>
      </c>
      <c r="C7118" s="390" t="s">
        <v>1386</v>
      </c>
      <c r="D7118" s="390" t="s">
        <v>1386</v>
      </c>
      <c r="E7118" s="390" t="s">
        <v>1386</v>
      </c>
      <c r="F7118" s="390">
        <f t="shared" si="574"/>
        <v>0</v>
      </c>
      <c r="G7118" s="390"/>
      <c r="H7118" s="390" t="s">
        <v>1386</v>
      </c>
      <c r="I7118" s="390"/>
      <c r="J7118" s="390"/>
      <c r="K7118" s="734"/>
      <c r="M7118" s="62" t="e">
        <f>IF(#REF!&gt;6,3,5)</f>
        <v>#REF!</v>
      </c>
    </row>
    <row r="7119" spans="1:13">
      <c r="A7119" s="730">
        <f t="shared" si="573"/>
        <v>23</v>
      </c>
      <c r="B7119" s="730" t="s">
        <v>2621</v>
      </c>
      <c r="C7119" s="390">
        <v>500000</v>
      </c>
      <c r="D7119" s="390">
        <v>500000</v>
      </c>
      <c r="E7119" s="390">
        <v>500000</v>
      </c>
      <c r="F7119" s="390">
        <f t="shared" si="574"/>
        <v>1500000</v>
      </c>
      <c r="G7119" s="390"/>
      <c r="H7119" s="390">
        <v>500000</v>
      </c>
      <c r="I7119" s="390"/>
      <c r="J7119" s="390"/>
      <c r="K7119" s="734"/>
      <c r="M7119" s="62" t="e">
        <f>IF(#REF!&gt;6,3,5)</f>
        <v>#REF!</v>
      </c>
    </row>
    <row r="7120" spans="1:13">
      <c r="A7120" s="730">
        <v>24</v>
      </c>
      <c r="B7120" s="768" t="s">
        <v>2980</v>
      </c>
      <c r="C7120" s="390">
        <v>180000000</v>
      </c>
      <c r="D7120" s="390">
        <v>100000000</v>
      </c>
      <c r="E7120" s="390">
        <v>100000000</v>
      </c>
      <c r="F7120" s="390">
        <f t="shared" si="574"/>
        <v>380000000</v>
      </c>
      <c r="G7120" s="390">
        <v>78000000</v>
      </c>
      <c r="H7120" s="390">
        <v>200000000</v>
      </c>
      <c r="I7120" s="390">
        <f>66000000</f>
        <v>66000000</v>
      </c>
      <c r="J7120" s="390"/>
      <c r="K7120" s="734"/>
      <c r="M7120" s="62" t="e">
        <f>IF(#REF!&gt;6,3,5)</f>
        <v>#REF!</v>
      </c>
    </row>
    <row r="7121" spans="1:13">
      <c r="A7121" s="738"/>
      <c r="B7121" s="738" t="s">
        <v>1684</v>
      </c>
      <c r="C7121" s="739">
        <f t="shared" ref="C7121:I7121" si="575">SUM(C7097:C7120)</f>
        <v>192600000</v>
      </c>
      <c r="D7121" s="739">
        <f t="shared" si="575"/>
        <v>113100000</v>
      </c>
      <c r="E7121" s="739">
        <f t="shared" si="575"/>
        <v>113100000</v>
      </c>
      <c r="F7121" s="739">
        <f t="shared" si="575"/>
        <v>418800000</v>
      </c>
      <c r="G7121" s="739">
        <f t="shared" si="575"/>
        <v>82701000</v>
      </c>
      <c r="H7121" s="739">
        <f t="shared" si="575"/>
        <v>211100000</v>
      </c>
      <c r="I7121" s="739">
        <f t="shared" si="575"/>
        <v>72630575</v>
      </c>
      <c r="J7121" s="739"/>
      <c r="K7121" s="740"/>
      <c r="M7121" s="62" t="e">
        <f>IF(#REF!&gt;6,3,5)</f>
        <v>#REF!</v>
      </c>
    </row>
    <row r="7122" spans="1:13" ht="15">
      <c r="C7122" s="175"/>
      <c r="D7122" s="165"/>
      <c r="E7122" s="165"/>
      <c r="F7122" s="165"/>
      <c r="G7122" s="165"/>
      <c r="H7122" s="165"/>
      <c r="I7122" s="165"/>
      <c r="J7122" s="584"/>
      <c r="K7122" s="584"/>
      <c r="M7122" s="62">
        <f>IF(C7122&gt;6,3,5)</f>
        <v>5</v>
      </c>
    </row>
    <row r="7123" spans="1:13">
      <c r="C7123" s="163"/>
      <c r="D7123" s="164" t="s">
        <v>5434</v>
      </c>
      <c r="E7123" s="165"/>
      <c r="F7123" s="165"/>
      <c r="G7123" s="62"/>
      <c r="H7123" s="62"/>
      <c r="I7123" s="62"/>
      <c r="M7123" s="62">
        <f t="shared" ref="M7123:M7182" si="576">IF(C7123&gt;6,3,5)</f>
        <v>5</v>
      </c>
    </row>
    <row r="7124" spans="1:13">
      <c r="C7124" s="163"/>
      <c r="D7124" s="164" t="s">
        <v>1693</v>
      </c>
      <c r="E7124" s="165"/>
      <c r="F7124" s="165"/>
      <c r="G7124" s="62"/>
      <c r="H7124" s="62"/>
      <c r="I7124" s="62"/>
      <c r="M7124" s="62">
        <f t="shared" si="576"/>
        <v>5</v>
      </c>
    </row>
    <row r="7125" spans="1:13">
      <c r="C7125" s="79" t="s">
        <v>1811</v>
      </c>
      <c r="D7125" s="164" t="s">
        <v>743</v>
      </c>
      <c r="E7125" s="165"/>
      <c r="F7125" s="165"/>
      <c r="G7125" s="62"/>
      <c r="H7125" s="62"/>
      <c r="I7125" s="62"/>
      <c r="M7125" s="62">
        <f t="shared" si="576"/>
        <v>3</v>
      </c>
    </row>
    <row r="7126" spans="1:13" ht="13.5" thickBot="1">
      <c r="C7126" s="79" t="s">
        <v>718</v>
      </c>
      <c r="D7126" s="164" t="s">
        <v>744</v>
      </c>
      <c r="E7126" s="165"/>
      <c r="F7126" s="165"/>
      <c r="G7126" s="62"/>
      <c r="H7126" s="62"/>
      <c r="I7126" s="62"/>
      <c r="M7126" s="62">
        <f t="shared" si="576"/>
        <v>3</v>
      </c>
    </row>
    <row r="7127" spans="1:13" ht="15.75" thickTop="1">
      <c r="A7127" s="1047" t="s">
        <v>2791</v>
      </c>
      <c r="B7127" s="1049" t="s">
        <v>4126</v>
      </c>
      <c r="C7127" s="1049" t="s">
        <v>854</v>
      </c>
      <c r="D7127" s="1040" t="s">
        <v>4127</v>
      </c>
      <c r="E7127" s="1041"/>
      <c r="F7127" s="1041"/>
      <c r="G7127" s="1040" t="s">
        <v>904</v>
      </c>
      <c r="H7127" s="1041"/>
      <c r="I7127" s="1042"/>
      <c r="J7127" s="1035" t="s">
        <v>855</v>
      </c>
      <c r="K7127" s="389"/>
    </row>
    <row r="7128" spans="1:13" ht="26.25" thickBot="1">
      <c r="A7128" s="1048"/>
      <c r="B7128" s="1050"/>
      <c r="C7128" s="1050"/>
      <c r="D7128" s="285" t="s">
        <v>5505</v>
      </c>
      <c r="E7128" s="285" t="s">
        <v>4485</v>
      </c>
      <c r="F7128" s="285" t="s">
        <v>4486</v>
      </c>
      <c r="G7128" s="287" t="s">
        <v>4487</v>
      </c>
      <c r="H7128" s="285" t="s">
        <v>4488</v>
      </c>
      <c r="I7128" s="287" t="s">
        <v>4489</v>
      </c>
      <c r="J7128" s="1036"/>
      <c r="K7128" s="712"/>
    </row>
    <row r="7129" spans="1:13" ht="13.5" thickTop="1">
      <c r="A7129" s="88"/>
      <c r="B7129" s="90" t="s">
        <v>1893</v>
      </c>
      <c r="C7129" s="167"/>
      <c r="D7129" s="713"/>
      <c r="E7129" s="713"/>
      <c r="F7129" s="155"/>
      <c r="G7129" s="155"/>
      <c r="H7129" s="155"/>
      <c r="I7129" s="155"/>
      <c r="J7129" s="713"/>
      <c r="K7129" s="711"/>
      <c r="M7129" s="62">
        <f t="shared" si="576"/>
        <v>5</v>
      </c>
    </row>
    <row r="7130" spans="1:13">
      <c r="A7130" s="88">
        <v>1</v>
      </c>
      <c r="B7130" s="69" t="s">
        <v>745</v>
      </c>
      <c r="C7130" s="167">
        <v>7</v>
      </c>
      <c r="D7130" s="155">
        <v>0</v>
      </c>
      <c r="E7130" s="155">
        <v>2</v>
      </c>
      <c r="F7130" s="155">
        <v>0</v>
      </c>
      <c r="G7130" s="155">
        <v>0</v>
      </c>
      <c r="H7130" s="155">
        <v>0</v>
      </c>
      <c r="I7130" s="155">
        <v>0</v>
      </c>
      <c r="J7130" s="710">
        <f>(VLOOKUP($C7130,[2]Sheet1!$A$2:$P$18,$M7130+1)/12)*12*D7130</f>
        <v>0</v>
      </c>
      <c r="K7130" s="711"/>
      <c r="M7130" s="62">
        <f t="shared" si="576"/>
        <v>3</v>
      </c>
    </row>
    <row r="7131" spans="1:13">
      <c r="A7131" s="88">
        <f t="shared" ref="A7131:A7151" si="577">+A7130+1</f>
        <v>2</v>
      </c>
      <c r="B7131" s="69" t="s">
        <v>1832</v>
      </c>
      <c r="C7131" s="167">
        <v>4</v>
      </c>
      <c r="D7131" s="155">
        <v>2</v>
      </c>
      <c r="E7131" s="155">
        <v>2</v>
      </c>
      <c r="F7131" s="155">
        <v>2</v>
      </c>
      <c r="G7131" s="155">
        <v>2</v>
      </c>
      <c r="H7131" s="155">
        <v>2</v>
      </c>
      <c r="I7131" s="155">
        <v>2</v>
      </c>
      <c r="J7131" s="710">
        <f>(VLOOKUP($C7131,[2]Sheet1!$A$2:$P$18,$M7131+1)/12)*12*D7131</f>
        <v>449085.95786073001</v>
      </c>
      <c r="K7131" s="711"/>
      <c r="M7131" s="62">
        <f t="shared" si="576"/>
        <v>5</v>
      </c>
    </row>
    <row r="7132" spans="1:13">
      <c r="A7132" s="88">
        <f t="shared" si="577"/>
        <v>3</v>
      </c>
      <c r="B7132" s="69" t="s">
        <v>3454</v>
      </c>
      <c r="C7132" s="167">
        <v>3</v>
      </c>
      <c r="D7132" s="155">
        <v>0</v>
      </c>
      <c r="E7132" s="155">
        <v>5</v>
      </c>
      <c r="F7132" s="155">
        <v>0</v>
      </c>
      <c r="G7132" s="155">
        <v>0</v>
      </c>
      <c r="H7132" s="155">
        <v>0</v>
      </c>
      <c r="I7132" s="155">
        <v>0</v>
      </c>
      <c r="J7132" s="710">
        <f>(VLOOKUP($C7132,[2]Sheet1!$A$2:$P$18,$M7132+1)/12)*12*D7132</f>
        <v>0</v>
      </c>
      <c r="K7132" s="711"/>
      <c r="M7132" s="62">
        <f t="shared" si="576"/>
        <v>5</v>
      </c>
    </row>
    <row r="7133" spans="1:13">
      <c r="A7133" s="88">
        <f t="shared" si="577"/>
        <v>4</v>
      </c>
      <c r="B7133" s="69" t="s">
        <v>2896</v>
      </c>
      <c r="C7133" s="167">
        <v>3</v>
      </c>
      <c r="D7133" s="155">
        <v>2</v>
      </c>
      <c r="E7133" s="155">
        <v>3</v>
      </c>
      <c r="F7133" s="155">
        <v>2</v>
      </c>
      <c r="G7133" s="155">
        <v>2</v>
      </c>
      <c r="H7133" s="155">
        <v>2</v>
      </c>
      <c r="I7133" s="155">
        <v>2</v>
      </c>
      <c r="J7133" s="710">
        <f>(VLOOKUP($C7133,[2]Sheet1!$A$2:$P$18,$M7133+1)/12)*12*D7133</f>
        <v>438672.35786072997</v>
      </c>
      <c r="K7133" s="711"/>
      <c r="M7133" s="62">
        <f t="shared" si="576"/>
        <v>5</v>
      </c>
    </row>
    <row r="7134" spans="1:13">
      <c r="A7134" s="88">
        <f t="shared" si="577"/>
        <v>5</v>
      </c>
      <c r="B7134" s="69" t="s">
        <v>746</v>
      </c>
      <c r="C7134" s="167">
        <v>5</v>
      </c>
      <c r="D7134" s="155">
        <v>0</v>
      </c>
      <c r="E7134" s="155">
        <v>1</v>
      </c>
      <c r="F7134" s="155">
        <v>0</v>
      </c>
      <c r="G7134" s="155">
        <v>0</v>
      </c>
      <c r="H7134" s="155">
        <v>0</v>
      </c>
      <c r="I7134" s="155">
        <v>0</v>
      </c>
      <c r="J7134" s="710">
        <f>(VLOOKUP($C7134,[2]Sheet1!$A$2:$P$18,$M7134+1)/12)*12*D7134</f>
        <v>0</v>
      </c>
      <c r="K7134" s="711"/>
      <c r="M7134" s="62">
        <f t="shared" si="576"/>
        <v>5</v>
      </c>
    </row>
    <row r="7135" spans="1:13">
      <c r="A7135" s="88">
        <f t="shared" si="577"/>
        <v>6</v>
      </c>
      <c r="B7135" s="69" t="s">
        <v>2887</v>
      </c>
      <c r="C7135" s="167">
        <v>2</v>
      </c>
      <c r="D7135" s="155">
        <v>1</v>
      </c>
      <c r="E7135" s="155">
        <v>6</v>
      </c>
      <c r="F7135" s="155">
        <v>1</v>
      </c>
      <c r="G7135" s="155">
        <v>1</v>
      </c>
      <c r="H7135" s="155">
        <v>1</v>
      </c>
      <c r="I7135" s="155">
        <v>1</v>
      </c>
      <c r="J7135" s="710">
        <f>(VLOOKUP($C7135,[2]Sheet1!$A$2:$P$18,$M7135+1)/12)*12*D7135</f>
        <v>214657.37893036503</v>
      </c>
      <c r="K7135" s="711"/>
      <c r="M7135" s="62">
        <f t="shared" si="576"/>
        <v>5</v>
      </c>
    </row>
    <row r="7136" spans="1:13">
      <c r="A7136" s="88">
        <f t="shared" si="577"/>
        <v>7</v>
      </c>
      <c r="B7136" s="69" t="s">
        <v>2542</v>
      </c>
      <c r="C7136" s="167">
        <v>7</v>
      </c>
      <c r="D7136" s="155">
        <v>0</v>
      </c>
      <c r="E7136" s="155">
        <v>1</v>
      </c>
      <c r="F7136" s="155">
        <v>0</v>
      </c>
      <c r="G7136" s="155">
        <v>0</v>
      </c>
      <c r="H7136" s="155">
        <v>0</v>
      </c>
      <c r="I7136" s="155">
        <v>0</v>
      </c>
      <c r="J7136" s="710">
        <f>(VLOOKUP($C7136,[2]Sheet1!$A$2:$P$18,$M7136+1)/12)*12*D7136</f>
        <v>0</v>
      </c>
      <c r="K7136" s="711"/>
      <c r="M7136" s="62">
        <f t="shared" si="576"/>
        <v>3</v>
      </c>
    </row>
    <row r="7137" spans="1:13">
      <c r="A7137" s="88">
        <f t="shared" si="577"/>
        <v>8</v>
      </c>
      <c r="B7137" s="69" t="s">
        <v>2543</v>
      </c>
      <c r="C7137" s="167">
        <v>3</v>
      </c>
      <c r="D7137" s="155">
        <v>1</v>
      </c>
      <c r="E7137" s="155">
        <v>3</v>
      </c>
      <c r="F7137" s="155">
        <v>1</v>
      </c>
      <c r="G7137" s="155">
        <v>1</v>
      </c>
      <c r="H7137" s="155">
        <v>1</v>
      </c>
      <c r="I7137" s="155">
        <v>1</v>
      </c>
      <c r="J7137" s="710">
        <f>(VLOOKUP($C7137,[2]Sheet1!$A$2:$P$18,$M7137+1)/12)*12*D7137</f>
        <v>219336.17893036499</v>
      </c>
      <c r="K7137" s="711"/>
      <c r="M7137" s="62">
        <f t="shared" si="576"/>
        <v>5</v>
      </c>
    </row>
    <row r="7138" spans="1:13">
      <c r="A7138" s="88">
        <f t="shared" si="577"/>
        <v>9</v>
      </c>
      <c r="B7138" s="69" t="s">
        <v>2543</v>
      </c>
      <c r="C7138" s="167">
        <v>2</v>
      </c>
      <c r="D7138" s="155">
        <v>0</v>
      </c>
      <c r="E7138" s="155">
        <v>3</v>
      </c>
      <c r="F7138" s="155">
        <v>0</v>
      </c>
      <c r="G7138" s="155">
        <v>0</v>
      </c>
      <c r="H7138" s="155">
        <v>0</v>
      </c>
      <c r="I7138" s="155">
        <v>0</v>
      </c>
      <c r="J7138" s="710">
        <f>(VLOOKUP($C7138,[2]Sheet1!$A$2:$P$18,$M7138+1)/12)*12*D7138</f>
        <v>0</v>
      </c>
      <c r="K7138" s="711"/>
      <c r="M7138" s="62">
        <f t="shared" si="576"/>
        <v>5</v>
      </c>
    </row>
    <row r="7139" spans="1:13">
      <c r="A7139" s="88"/>
      <c r="B7139" s="90" t="s">
        <v>614</v>
      </c>
      <c r="C7139" s="167"/>
      <c r="D7139" s="155"/>
      <c r="E7139" s="155"/>
      <c r="F7139" s="155"/>
      <c r="G7139" s="155"/>
      <c r="H7139" s="155"/>
      <c r="I7139" s="155"/>
      <c r="J7139" s="710"/>
      <c r="K7139" s="711"/>
      <c r="M7139" s="62">
        <f t="shared" si="576"/>
        <v>5</v>
      </c>
    </row>
    <row r="7140" spans="1:13">
      <c r="A7140" s="88">
        <f>+A7138+1</f>
        <v>10</v>
      </c>
      <c r="B7140" s="69" t="s">
        <v>615</v>
      </c>
      <c r="C7140" s="167">
        <v>14</v>
      </c>
      <c r="D7140" s="155">
        <v>3</v>
      </c>
      <c r="E7140" s="155">
        <v>3</v>
      </c>
      <c r="F7140" s="155">
        <v>3</v>
      </c>
      <c r="G7140" s="155">
        <v>3</v>
      </c>
      <c r="H7140" s="155">
        <v>3</v>
      </c>
      <c r="I7140" s="155">
        <v>3</v>
      </c>
      <c r="J7140" s="710">
        <f>(VLOOKUP($C7140,[2]Sheet1!$A$2:$P$18,$M7140+1)/12)*12*D7140</f>
        <v>2007298.2247200001</v>
      </c>
      <c r="K7140" s="711"/>
      <c r="M7140" s="62">
        <f t="shared" si="576"/>
        <v>3</v>
      </c>
    </row>
    <row r="7141" spans="1:13">
      <c r="A7141" s="88">
        <f t="shared" si="577"/>
        <v>11</v>
      </c>
      <c r="B7141" s="69" t="s">
        <v>616</v>
      </c>
      <c r="C7141" s="167">
        <v>13</v>
      </c>
      <c r="D7141" s="155">
        <v>4</v>
      </c>
      <c r="E7141" s="155">
        <v>5</v>
      </c>
      <c r="F7141" s="155">
        <v>4</v>
      </c>
      <c r="G7141" s="155">
        <v>4</v>
      </c>
      <c r="H7141" s="155">
        <v>4</v>
      </c>
      <c r="I7141" s="155">
        <v>4</v>
      </c>
      <c r="J7141" s="710">
        <f>(VLOOKUP($C7141,[2]Sheet1!$A$2:$P$18,$M7141+1)/12)*12*D7141</f>
        <v>2515038.1521600001</v>
      </c>
      <c r="K7141" s="711"/>
      <c r="M7141" s="62">
        <f t="shared" si="576"/>
        <v>3</v>
      </c>
    </row>
    <row r="7142" spans="1:13">
      <c r="A7142" s="88">
        <f t="shared" si="577"/>
        <v>12</v>
      </c>
      <c r="B7142" s="69" t="s">
        <v>617</v>
      </c>
      <c r="C7142" s="167">
        <v>12</v>
      </c>
      <c r="D7142" s="155">
        <v>2</v>
      </c>
      <c r="E7142" s="155">
        <v>4</v>
      </c>
      <c r="F7142" s="155">
        <v>2</v>
      </c>
      <c r="G7142" s="155">
        <v>2</v>
      </c>
      <c r="H7142" s="155">
        <v>2</v>
      </c>
      <c r="I7142" s="155">
        <v>2</v>
      </c>
      <c r="J7142" s="710">
        <f>(VLOOKUP($C7142,[2]Sheet1!$A$2:$P$18,$M7142+1)/12)*12*D7142</f>
        <v>1105370.1074400004</v>
      </c>
      <c r="K7142" s="711"/>
      <c r="M7142" s="62">
        <f t="shared" si="576"/>
        <v>3</v>
      </c>
    </row>
    <row r="7143" spans="1:13">
      <c r="A7143" s="88">
        <f t="shared" si="577"/>
        <v>13</v>
      </c>
      <c r="B7143" s="69" t="s">
        <v>835</v>
      </c>
      <c r="C7143" s="167">
        <v>10</v>
      </c>
      <c r="D7143" s="155">
        <v>1</v>
      </c>
      <c r="E7143" s="155">
        <v>2</v>
      </c>
      <c r="F7143" s="155">
        <v>1</v>
      </c>
      <c r="G7143" s="155">
        <v>1</v>
      </c>
      <c r="H7143" s="155">
        <v>1</v>
      </c>
      <c r="I7143" s="155">
        <v>1</v>
      </c>
      <c r="J7143" s="710">
        <f>(VLOOKUP($C7143,[2]Sheet1!$A$2:$P$18,$M7143+1)/12)*12*D7143</f>
        <v>483974.5687200001</v>
      </c>
      <c r="K7143" s="711"/>
      <c r="M7143" s="62">
        <f t="shared" si="576"/>
        <v>3</v>
      </c>
    </row>
    <row r="7144" spans="1:13">
      <c r="A7144" s="88">
        <f t="shared" si="577"/>
        <v>14</v>
      </c>
      <c r="B7144" s="69" t="s">
        <v>69</v>
      </c>
      <c r="C7144" s="167">
        <v>9</v>
      </c>
      <c r="D7144" s="155">
        <v>0</v>
      </c>
      <c r="E7144" s="155">
        <v>1</v>
      </c>
      <c r="F7144" s="155">
        <v>0</v>
      </c>
      <c r="G7144" s="155">
        <v>0</v>
      </c>
      <c r="H7144" s="155">
        <v>0</v>
      </c>
      <c r="I7144" s="155">
        <v>0</v>
      </c>
      <c r="J7144" s="710">
        <f>(VLOOKUP($C7144,[2]Sheet1!$A$2:$P$18,$M7144+1)/12)*12*D7144</f>
        <v>0</v>
      </c>
      <c r="K7144" s="711"/>
      <c r="M7144" s="62">
        <f t="shared" si="576"/>
        <v>3</v>
      </c>
    </row>
    <row r="7145" spans="1:13">
      <c r="A7145" s="88">
        <f t="shared" si="577"/>
        <v>15</v>
      </c>
      <c r="B7145" s="69" t="s">
        <v>2094</v>
      </c>
      <c r="C7145" s="167">
        <v>8</v>
      </c>
      <c r="D7145" s="155">
        <v>0</v>
      </c>
      <c r="E7145" s="155">
        <v>2</v>
      </c>
      <c r="F7145" s="155">
        <v>0</v>
      </c>
      <c r="G7145" s="155">
        <v>0</v>
      </c>
      <c r="H7145" s="155">
        <v>0</v>
      </c>
      <c r="I7145" s="155">
        <v>0</v>
      </c>
      <c r="J7145" s="710">
        <f>(VLOOKUP($C7145,[2]Sheet1!$A$2:$P$18,$M7145+1)/12)*12*D7145</f>
        <v>0</v>
      </c>
      <c r="K7145" s="711"/>
      <c r="M7145" s="62">
        <f t="shared" si="576"/>
        <v>3</v>
      </c>
    </row>
    <row r="7146" spans="1:13">
      <c r="A7146" s="88">
        <f t="shared" si="577"/>
        <v>16</v>
      </c>
      <c r="B7146" s="69" t="s">
        <v>1515</v>
      </c>
      <c r="C7146" s="167">
        <v>7</v>
      </c>
      <c r="D7146" s="155">
        <v>2</v>
      </c>
      <c r="E7146" s="155">
        <v>3</v>
      </c>
      <c r="F7146" s="155">
        <v>2</v>
      </c>
      <c r="G7146" s="155">
        <v>2</v>
      </c>
      <c r="H7146" s="155">
        <v>2</v>
      </c>
      <c r="I7146" s="155">
        <v>2</v>
      </c>
      <c r="J7146" s="710">
        <f>(VLOOKUP($C7146,[2]Sheet1!$A$2:$P$18,$M7146+1)/12)*12*D7146</f>
        <v>615413.40480000013</v>
      </c>
      <c r="K7146" s="711"/>
      <c r="M7146" s="62">
        <f t="shared" si="576"/>
        <v>3</v>
      </c>
    </row>
    <row r="7147" spans="1:13">
      <c r="A7147" s="88">
        <f t="shared" si="577"/>
        <v>17</v>
      </c>
      <c r="B7147" s="69" t="s">
        <v>1516</v>
      </c>
      <c r="C7147" s="167">
        <v>6</v>
      </c>
      <c r="D7147" s="155">
        <v>1</v>
      </c>
      <c r="E7147" s="155">
        <v>1</v>
      </c>
      <c r="F7147" s="155">
        <v>1</v>
      </c>
      <c r="G7147" s="155">
        <v>1</v>
      </c>
      <c r="H7147" s="155">
        <v>1</v>
      </c>
      <c r="I7147" s="155">
        <v>1</v>
      </c>
      <c r="J7147" s="710">
        <f>(VLOOKUP($C7147,[2]Sheet1!$A$2:$P$18,$M7147+1)/12)*12*D7147</f>
        <v>238099.37893036497</v>
      </c>
      <c r="K7147" s="711"/>
      <c r="M7147" s="62">
        <f t="shared" si="576"/>
        <v>5</v>
      </c>
    </row>
    <row r="7148" spans="1:13">
      <c r="A7148" s="88">
        <f t="shared" si="577"/>
        <v>18</v>
      </c>
      <c r="B7148" s="69" t="s">
        <v>1517</v>
      </c>
      <c r="C7148" s="167">
        <v>5</v>
      </c>
      <c r="D7148" s="155">
        <v>1</v>
      </c>
      <c r="E7148" s="155">
        <v>1</v>
      </c>
      <c r="F7148" s="155">
        <v>1</v>
      </c>
      <c r="G7148" s="155">
        <v>1</v>
      </c>
      <c r="H7148" s="155">
        <v>1</v>
      </c>
      <c r="I7148" s="155">
        <v>1</v>
      </c>
      <c r="J7148" s="710">
        <f>(VLOOKUP($C7148,[2]Sheet1!$A$2:$P$18,$M7148+1)/12)*12*D7148</f>
        <v>229569.77893036499</v>
      </c>
      <c r="K7148" s="711"/>
      <c r="M7148" s="62">
        <f t="shared" si="576"/>
        <v>5</v>
      </c>
    </row>
    <row r="7149" spans="1:13">
      <c r="A7149" s="88">
        <f t="shared" si="577"/>
        <v>19</v>
      </c>
      <c r="B7149" s="69" t="s">
        <v>1518</v>
      </c>
      <c r="C7149" s="167">
        <v>4</v>
      </c>
      <c r="D7149" s="155">
        <v>1</v>
      </c>
      <c r="E7149" s="155">
        <v>4</v>
      </c>
      <c r="F7149" s="155">
        <v>1</v>
      </c>
      <c r="G7149" s="155">
        <v>1</v>
      </c>
      <c r="H7149" s="155">
        <v>1</v>
      </c>
      <c r="I7149" s="155">
        <v>1</v>
      </c>
      <c r="J7149" s="710">
        <f>(VLOOKUP($C7149,[2]Sheet1!$A$2:$P$18,$M7149+1)/12)*12*D7149</f>
        <v>224542.978930365</v>
      </c>
      <c r="K7149" s="711"/>
      <c r="M7149" s="62">
        <f t="shared" si="576"/>
        <v>5</v>
      </c>
    </row>
    <row r="7150" spans="1:13">
      <c r="A7150" s="88">
        <f t="shared" si="577"/>
        <v>20</v>
      </c>
      <c r="B7150" s="69" t="s">
        <v>1519</v>
      </c>
      <c r="C7150" s="167">
        <v>3</v>
      </c>
      <c r="D7150" s="155">
        <v>2</v>
      </c>
      <c r="E7150" s="155">
        <v>4</v>
      </c>
      <c r="F7150" s="155">
        <v>2</v>
      </c>
      <c r="G7150" s="155">
        <v>2</v>
      </c>
      <c r="H7150" s="155">
        <v>2</v>
      </c>
      <c r="I7150" s="155">
        <v>2</v>
      </c>
      <c r="J7150" s="710">
        <f>(VLOOKUP($C7150,[2]Sheet1!$A$2:$P$18,$M7150+1)/12)*12*D7150</f>
        <v>438672.35786072997</v>
      </c>
      <c r="K7150" s="711"/>
      <c r="M7150" s="62">
        <f t="shared" si="576"/>
        <v>5</v>
      </c>
    </row>
    <row r="7151" spans="1:13">
      <c r="A7151" s="88">
        <f t="shared" si="577"/>
        <v>21</v>
      </c>
      <c r="B7151" s="69" t="s">
        <v>834</v>
      </c>
      <c r="C7151" s="167">
        <v>3</v>
      </c>
      <c r="D7151" s="155">
        <v>3</v>
      </c>
      <c r="E7151" s="155">
        <v>5</v>
      </c>
      <c r="F7151" s="155">
        <v>3</v>
      </c>
      <c r="G7151" s="155">
        <v>3</v>
      </c>
      <c r="H7151" s="155">
        <v>3</v>
      </c>
      <c r="I7151" s="155">
        <v>3</v>
      </c>
      <c r="J7151" s="710">
        <f>(VLOOKUP($C7151,[2]Sheet1!$A$2:$P$18,$M7151+1)/12)*12*D7151</f>
        <v>658008.53679109493</v>
      </c>
      <c r="K7151" s="711"/>
      <c r="M7151" s="62">
        <f t="shared" si="576"/>
        <v>5</v>
      </c>
    </row>
    <row r="7152" spans="1:13">
      <c r="A7152" s="88"/>
      <c r="B7152" s="90" t="s">
        <v>4097</v>
      </c>
      <c r="C7152" s="167"/>
      <c r="D7152" s="155"/>
      <c r="E7152" s="155"/>
      <c r="F7152" s="155"/>
      <c r="G7152" s="155"/>
      <c r="H7152" s="155"/>
      <c r="I7152" s="155"/>
      <c r="J7152" s="710"/>
      <c r="K7152" s="711"/>
      <c r="M7152" s="62">
        <f t="shared" si="576"/>
        <v>5</v>
      </c>
    </row>
    <row r="7153" spans="1:13">
      <c r="A7153" s="88">
        <v>22</v>
      </c>
      <c r="B7153" s="69" t="s">
        <v>3532</v>
      </c>
      <c r="C7153" s="167">
        <v>16</v>
      </c>
      <c r="D7153" s="155">
        <v>1</v>
      </c>
      <c r="E7153" s="155">
        <v>1</v>
      </c>
      <c r="F7153" s="155">
        <v>1</v>
      </c>
      <c r="G7153" s="155">
        <v>1</v>
      </c>
      <c r="H7153" s="155">
        <v>1</v>
      </c>
      <c r="I7153" s="155">
        <v>1</v>
      </c>
      <c r="J7153" s="710">
        <f>(VLOOKUP($C7153,[2]Sheet1!$A$2:$P$18,$M7153+1)/12)*12*D7153</f>
        <v>677281.26084</v>
      </c>
      <c r="K7153" s="711"/>
      <c r="M7153" s="62">
        <f t="shared" si="576"/>
        <v>3</v>
      </c>
    </row>
    <row r="7154" spans="1:13">
      <c r="A7154" s="88">
        <f>A7153+1</f>
        <v>23</v>
      </c>
      <c r="B7154" s="69" t="s">
        <v>1256</v>
      </c>
      <c r="C7154" s="167">
        <v>15</v>
      </c>
      <c r="D7154" s="155">
        <v>0</v>
      </c>
      <c r="E7154" s="155">
        <v>1</v>
      </c>
      <c r="F7154" s="155">
        <v>0</v>
      </c>
      <c r="G7154" s="155">
        <v>0</v>
      </c>
      <c r="H7154" s="155">
        <v>1</v>
      </c>
      <c r="I7154" s="155">
        <v>0</v>
      </c>
      <c r="J7154" s="710">
        <f>(VLOOKUP($C7154,[2]Sheet1!$A$2:$P$18,$M7154+1)/12)*12*D7154</f>
        <v>0</v>
      </c>
      <c r="K7154" s="711"/>
      <c r="M7154" s="62">
        <f t="shared" si="576"/>
        <v>3</v>
      </c>
    </row>
    <row r="7155" spans="1:13">
      <c r="A7155" s="88">
        <f>A7154+1</f>
        <v>24</v>
      </c>
      <c r="B7155" s="69" t="s">
        <v>1125</v>
      </c>
      <c r="C7155" s="167">
        <v>14</v>
      </c>
      <c r="D7155" s="155">
        <v>1</v>
      </c>
      <c r="E7155" s="155">
        <v>1</v>
      </c>
      <c r="F7155" s="155">
        <v>1</v>
      </c>
      <c r="G7155" s="155">
        <v>1</v>
      </c>
      <c r="H7155" s="155">
        <v>1</v>
      </c>
      <c r="I7155" s="155">
        <v>1</v>
      </c>
      <c r="J7155" s="710">
        <f>(VLOOKUP($C7155,[2]Sheet1!$A$2:$P$18,$M7155+1)/12)*12*D7155</f>
        <v>669099.40824000002</v>
      </c>
      <c r="K7155" s="711"/>
      <c r="M7155" s="62">
        <f t="shared" si="576"/>
        <v>3</v>
      </c>
    </row>
    <row r="7156" spans="1:13">
      <c r="A7156" s="88">
        <f t="shared" ref="A7156:A7175" si="578">+A7155+1</f>
        <v>25</v>
      </c>
      <c r="B7156" s="69" t="s">
        <v>2674</v>
      </c>
      <c r="C7156" s="167">
        <v>13</v>
      </c>
      <c r="D7156" s="155">
        <v>1</v>
      </c>
      <c r="E7156" s="155">
        <v>1</v>
      </c>
      <c r="F7156" s="155">
        <v>1</v>
      </c>
      <c r="G7156" s="155">
        <v>1</v>
      </c>
      <c r="H7156" s="155">
        <v>1</v>
      </c>
      <c r="I7156" s="155">
        <v>1</v>
      </c>
      <c r="J7156" s="710">
        <f>(VLOOKUP($C7156,[2]Sheet1!$A$2:$P$18,$M7156+1)/12)*12*D7156</f>
        <v>628759.53804000001</v>
      </c>
      <c r="K7156" s="711"/>
      <c r="M7156" s="62">
        <f t="shared" si="576"/>
        <v>3</v>
      </c>
    </row>
    <row r="7157" spans="1:13">
      <c r="A7157" s="88">
        <f t="shared" si="578"/>
        <v>26</v>
      </c>
      <c r="B7157" s="69" t="s">
        <v>1449</v>
      </c>
      <c r="C7157" s="167">
        <v>12</v>
      </c>
      <c r="D7157" s="155">
        <v>1</v>
      </c>
      <c r="E7157" s="155">
        <v>2</v>
      </c>
      <c r="F7157" s="155">
        <v>1</v>
      </c>
      <c r="G7157" s="155">
        <v>1</v>
      </c>
      <c r="H7157" s="155">
        <v>1</v>
      </c>
      <c r="I7157" s="155">
        <v>1</v>
      </c>
      <c r="J7157" s="710">
        <f>(VLOOKUP($C7157,[2]Sheet1!$A$2:$P$18,$M7157+1)/12)*12*D7157</f>
        <v>552685.0537200002</v>
      </c>
      <c r="K7157" s="711"/>
      <c r="M7157" s="62">
        <f t="shared" si="576"/>
        <v>3</v>
      </c>
    </row>
    <row r="7158" spans="1:13">
      <c r="A7158" s="88">
        <f t="shared" si="578"/>
        <v>27</v>
      </c>
      <c r="B7158" s="69" t="s">
        <v>1450</v>
      </c>
      <c r="C7158" s="167">
        <v>12</v>
      </c>
      <c r="D7158" s="155">
        <v>1</v>
      </c>
      <c r="E7158" s="155">
        <v>3</v>
      </c>
      <c r="F7158" s="155">
        <v>1</v>
      </c>
      <c r="G7158" s="155">
        <v>1</v>
      </c>
      <c r="H7158" s="155">
        <v>1</v>
      </c>
      <c r="I7158" s="155">
        <v>1</v>
      </c>
      <c r="J7158" s="710">
        <f>(VLOOKUP($C7158,[2]Sheet1!$A$2:$P$18,$M7158+1)/12)*12*D7158</f>
        <v>552685.0537200002</v>
      </c>
      <c r="K7158" s="711"/>
      <c r="M7158" s="62">
        <f t="shared" si="576"/>
        <v>3</v>
      </c>
    </row>
    <row r="7159" spans="1:13">
      <c r="A7159" s="88">
        <f>+A7158+1</f>
        <v>28</v>
      </c>
      <c r="B7159" s="69" t="s">
        <v>2151</v>
      </c>
      <c r="C7159" s="167">
        <v>10</v>
      </c>
      <c r="D7159" s="155">
        <v>2</v>
      </c>
      <c r="E7159" s="155">
        <v>3</v>
      </c>
      <c r="F7159" s="155">
        <v>2</v>
      </c>
      <c r="G7159" s="155">
        <v>2</v>
      </c>
      <c r="H7159" s="155">
        <v>2</v>
      </c>
      <c r="I7159" s="155">
        <v>2</v>
      </c>
      <c r="J7159" s="710">
        <f>(VLOOKUP($C7159,[2]Sheet1!$A$2:$P$18,$M7159+1)/12)*12*D7159</f>
        <v>967949.1374400002</v>
      </c>
      <c r="K7159" s="711"/>
      <c r="M7159" s="62">
        <f t="shared" si="576"/>
        <v>3</v>
      </c>
    </row>
    <row r="7160" spans="1:13">
      <c r="A7160" s="88">
        <f>+A7158+1</f>
        <v>28</v>
      </c>
      <c r="B7160" s="69" t="s">
        <v>2152</v>
      </c>
      <c r="C7160" s="167">
        <v>9</v>
      </c>
      <c r="D7160" s="155">
        <v>2</v>
      </c>
      <c r="E7160" s="155">
        <v>2</v>
      </c>
      <c r="F7160" s="155">
        <v>2</v>
      </c>
      <c r="G7160" s="155">
        <v>2</v>
      </c>
      <c r="H7160" s="155">
        <v>2</v>
      </c>
      <c r="I7160" s="155">
        <v>2</v>
      </c>
      <c r="J7160" s="710">
        <f>(VLOOKUP($C7160,[2]Sheet1!$A$2:$P$18,$M7160+1)/12)*12*D7160</f>
        <v>819363.81239999994</v>
      </c>
      <c r="K7160" s="711"/>
      <c r="M7160" s="62">
        <f t="shared" si="576"/>
        <v>3</v>
      </c>
    </row>
    <row r="7161" spans="1:13">
      <c r="A7161" s="88">
        <f>+A7159+1</f>
        <v>29</v>
      </c>
      <c r="B7161" s="69" t="s">
        <v>2153</v>
      </c>
      <c r="C7161" s="167">
        <v>8</v>
      </c>
      <c r="D7161" s="155">
        <v>0</v>
      </c>
      <c r="E7161" s="155">
        <v>2</v>
      </c>
      <c r="F7161" s="155">
        <v>0</v>
      </c>
      <c r="G7161" s="155">
        <v>0</v>
      </c>
      <c r="H7161" s="155">
        <v>0</v>
      </c>
      <c r="I7161" s="155">
        <v>0</v>
      </c>
      <c r="J7161" s="710">
        <f>(VLOOKUP($C7161,[2]Sheet1!$A$2:$P$18,$M7161+1)/12)*12*D7161</f>
        <v>0</v>
      </c>
      <c r="K7161" s="711"/>
      <c r="M7161" s="62">
        <f t="shared" si="576"/>
        <v>3</v>
      </c>
    </row>
    <row r="7162" spans="1:13">
      <c r="A7162" s="88">
        <f>+A7160+1</f>
        <v>29</v>
      </c>
      <c r="B7162" s="69" t="s">
        <v>69</v>
      </c>
      <c r="C7162" s="167">
        <v>9</v>
      </c>
      <c r="D7162" s="155">
        <v>0</v>
      </c>
      <c r="E7162" s="155">
        <v>2</v>
      </c>
      <c r="F7162" s="155">
        <v>0</v>
      </c>
      <c r="G7162" s="155">
        <v>0</v>
      </c>
      <c r="H7162" s="155">
        <v>0</v>
      </c>
      <c r="I7162" s="155">
        <v>0</v>
      </c>
      <c r="J7162" s="710">
        <f>(VLOOKUP($C7162,[2]Sheet1!$A$2:$P$18,$M7162+1)/12)*12*D7162</f>
        <v>0</v>
      </c>
      <c r="K7162" s="711"/>
      <c r="M7162" s="62">
        <f t="shared" si="576"/>
        <v>3</v>
      </c>
    </row>
    <row r="7163" spans="1:13">
      <c r="A7163" s="88">
        <f t="shared" si="578"/>
        <v>30</v>
      </c>
      <c r="B7163" s="69" t="s">
        <v>2094</v>
      </c>
      <c r="C7163" s="167">
        <v>8</v>
      </c>
      <c r="D7163" s="155">
        <v>1</v>
      </c>
      <c r="E7163" s="155">
        <v>3</v>
      </c>
      <c r="F7163" s="155">
        <v>1</v>
      </c>
      <c r="G7163" s="155">
        <v>1</v>
      </c>
      <c r="H7163" s="155">
        <v>1</v>
      </c>
      <c r="I7163" s="155">
        <v>1</v>
      </c>
      <c r="J7163" s="710">
        <f>(VLOOKUP($C7163,[2]Sheet1!$A$2:$P$18,$M7163+1)/12)*12*D7163</f>
        <v>342141.27408</v>
      </c>
      <c r="K7163" s="711"/>
      <c r="M7163" s="62">
        <f t="shared" si="576"/>
        <v>3</v>
      </c>
    </row>
    <row r="7164" spans="1:13">
      <c r="A7164" s="88">
        <f t="shared" si="578"/>
        <v>31</v>
      </c>
      <c r="B7164" s="69" t="s">
        <v>2154</v>
      </c>
      <c r="C7164" s="167">
        <v>7</v>
      </c>
      <c r="D7164" s="155">
        <v>2</v>
      </c>
      <c r="E7164" s="155">
        <v>4</v>
      </c>
      <c r="F7164" s="155">
        <v>2</v>
      </c>
      <c r="G7164" s="155">
        <v>2</v>
      </c>
      <c r="H7164" s="155">
        <v>2</v>
      </c>
      <c r="I7164" s="155">
        <v>2</v>
      </c>
      <c r="J7164" s="710">
        <f>(VLOOKUP($C7164,[2]Sheet1!$A$2:$P$18,$M7164+1)/12)*12*D7164</f>
        <v>615413.40480000013</v>
      </c>
      <c r="K7164" s="711"/>
      <c r="M7164" s="62">
        <f t="shared" si="576"/>
        <v>3</v>
      </c>
    </row>
    <row r="7165" spans="1:13" ht="13.5" thickBot="1">
      <c r="A7165" s="88">
        <f t="shared" si="578"/>
        <v>32</v>
      </c>
      <c r="B7165" s="69" t="s">
        <v>707</v>
      </c>
      <c r="C7165" s="167">
        <v>6</v>
      </c>
      <c r="D7165" s="155">
        <v>1</v>
      </c>
      <c r="E7165" s="155">
        <v>5</v>
      </c>
      <c r="F7165" s="155">
        <v>1</v>
      </c>
      <c r="G7165" s="155">
        <v>1</v>
      </c>
      <c r="H7165" s="155">
        <v>1</v>
      </c>
      <c r="I7165" s="155">
        <v>1</v>
      </c>
      <c r="J7165" s="710">
        <f>(VLOOKUP($C7165,[2]Sheet1!$A$2:$P$18,$M7165+1)/12)*12*D7165</f>
        <v>238099.37893036497</v>
      </c>
      <c r="K7165" s="711"/>
      <c r="M7165" s="62">
        <f t="shared" si="576"/>
        <v>5</v>
      </c>
    </row>
    <row r="7166" spans="1:13" ht="15.75" thickTop="1">
      <c r="A7166" s="1047" t="s">
        <v>2791</v>
      </c>
      <c r="B7166" s="1049" t="s">
        <v>4126</v>
      </c>
      <c r="C7166" s="1049" t="s">
        <v>854</v>
      </c>
      <c r="D7166" s="1040" t="s">
        <v>4127</v>
      </c>
      <c r="E7166" s="1041"/>
      <c r="F7166" s="1041"/>
      <c r="G7166" s="1040" t="s">
        <v>904</v>
      </c>
      <c r="H7166" s="1041"/>
      <c r="I7166" s="1042"/>
      <c r="J7166" s="1035" t="s">
        <v>855</v>
      </c>
      <c r="K7166" s="389"/>
    </row>
    <row r="7167" spans="1:13" ht="26.25" thickBot="1">
      <c r="A7167" s="1048"/>
      <c r="B7167" s="1050"/>
      <c r="C7167" s="1050"/>
      <c r="D7167" s="285" t="s">
        <v>5505</v>
      </c>
      <c r="E7167" s="285" t="s">
        <v>4485</v>
      </c>
      <c r="F7167" s="285" t="s">
        <v>4486</v>
      </c>
      <c r="G7167" s="287" t="s">
        <v>4487</v>
      </c>
      <c r="H7167" s="285" t="s">
        <v>4488</v>
      </c>
      <c r="I7167" s="287" t="s">
        <v>4489</v>
      </c>
      <c r="J7167" s="1036"/>
      <c r="K7167" s="712"/>
    </row>
    <row r="7168" spans="1:13" ht="13.5" thickTop="1">
      <c r="A7168" s="88">
        <f>+A7165+1</f>
        <v>33</v>
      </c>
      <c r="B7168" s="69" t="s">
        <v>707</v>
      </c>
      <c r="C7168" s="167">
        <v>4</v>
      </c>
      <c r="D7168" s="155">
        <v>0</v>
      </c>
      <c r="E7168" s="155">
        <v>1</v>
      </c>
      <c r="F7168" s="155">
        <v>0</v>
      </c>
      <c r="G7168" s="155">
        <v>0</v>
      </c>
      <c r="H7168" s="155">
        <v>0</v>
      </c>
      <c r="I7168" s="155">
        <v>0</v>
      </c>
      <c r="J7168" s="710">
        <f>(VLOOKUP($C7168,[2]Sheet1!$A$2:$P$18,$M7168+1)/12)*12*D7168</f>
        <v>0</v>
      </c>
      <c r="K7168" s="711"/>
      <c r="M7168" s="62">
        <f t="shared" si="576"/>
        <v>5</v>
      </c>
    </row>
    <row r="7169" spans="1:13">
      <c r="A7169" s="88"/>
      <c r="B7169" s="90" t="s">
        <v>2897</v>
      </c>
      <c r="C7169" s="167"/>
      <c r="D7169" s="155"/>
      <c r="E7169" s="155"/>
      <c r="F7169" s="155"/>
      <c r="G7169" s="155"/>
      <c r="H7169" s="155"/>
      <c r="I7169" s="155"/>
      <c r="J7169" s="713"/>
      <c r="K7169" s="711"/>
      <c r="M7169" s="62">
        <f t="shared" si="576"/>
        <v>5</v>
      </c>
    </row>
    <row r="7170" spans="1:13">
      <c r="A7170" s="88">
        <v>32</v>
      </c>
      <c r="B7170" s="69" t="s">
        <v>747</v>
      </c>
      <c r="C7170" s="167">
        <v>8</v>
      </c>
      <c r="D7170" s="155">
        <v>0</v>
      </c>
      <c r="E7170" s="155">
        <v>1</v>
      </c>
      <c r="F7170" s="155">
        <v>0</v>
      </c>
      <c r="G7170" s="155">
        <v>0</v>
      </c>
      <c r="H7170" s="155">
        <v>0</v>
      </c>
      <c r="I7170" s="155">
        <v>0</v>
      </c>
      <c r="J7170" s="710">
        <f>(VLOOKUP($C7170,[2]Sheet1!$A$2:$P$18,$M7170+1)/12)*12*D7170</f>
        <v>0</v>
      </c>
      <c r="K7170" s="711"/>
      <c r="M7170" s="62">
        <f t="shared" si="576"/>
        <v>3</v>
      </c>
    </row>
    <row r="7171" spans="1:13">
      <c r="A7171" s="88">
        <f t="shared" si="578"/>
        <v>33</v>
      </c>
      <c r="B7171" s="69" t="s">
        <v>748</v>
      </c>
      <c r="C7171" s="167">
        <v>7</v>
      </c>
      <c r="D7171" s="155">
        <v>0</v>
      </c>
      <c r="E7171" s="155">
        <v>2</v>
      </c>
      <c r="F7171" s="155">
        <v>0</v>
      </c>
      <c r="G7171" s="155">
        <v>0</v>
      </c>
      <c r="H7171" s="155">
        <v>0</v>
      </c>
      <c r="I7171" s="155">
        <v>0</v>
      </c>
      <c r="J7171" s="710">
        <f>(VLOOKUP($C7171,[2]Sheet1!$A$2:$P$18,$M7171+1)/12)*12*D7171</f>
        <v>0</v>
      </c>
      <c r="K7171" s="711"/>
      <c r="M7171" s="62">
        <f t="shared" si="576"/>
        <v>3</v>
      </c>
    </row>
    <row r="7172" spans="1:13">
      <c r="A7172" s="88">
        <f t="shared" si="578"/>
        <v>34</v>
      </c>
      <c r="B7172" s="69" t="s">
        <v>749</v>
      </c>
      <c r="C7172" s="167">
        <v>6</v>
      </c>
      <c r="D7172" s="155">
        <v>1</v>
      </c>
      <c r="E7172" s="155">
        <v>1</v>
      </c>
      <c r="F7172" s="155">
        <v>1</v>
      </c>
      <c r="G7172" s="155">
        <v>1</v>
      </c>
      <c r="H7172" s="155">
        <v>0</v>
      </c>
      <c r="I7172" s="155">
        <v>1</v>
      </c>
      <c r="J7172" s="710">
        <f>(VLOOKUP($C7172,[2]Sheet1!$A$2:$P$18,$M7172+1)/12)*12*D7172</f>
        <v>238099.37893036497</v>
      </c>
      <c r="K7172" s="711"/>
      <c r="M7172" s="62">
        <f t="shared" si="576"/>
        <v>5</v>
      </c>
    </row>
    <row r="7173" spans="1:13">
      <c r="A7173" s="88">
        <f t="shared" si="578"/>
        <v>35</v>
      </c>
      <c r="B7173" s="69" t="s">
        <v>910</v>
      </c>
      <c r="C7173" s="167">
        <v>5</v>
      </c>
      <c r="D7173" s="155">
        <v>0</v>
      </c>
      <c r="E7173" s="155">
        <v>1</v>
      </c>
      <c r="F7173" s="155">
        <v>0</v>
      </c>
      <c r="G7173" s="155">
        <v>0</v>
      </c>
      <c r="H7173" s="155">
        <v>1</v>
      </c>
      <c r="I7173" s="155">
        <v>0</v>
      </c>
      <c r="J7173" s="710">
        <f>(VLOOKUP($C7173,[2]Sheet1!$A$2:$P$18,$M7173+1)/12)*12*D7173</f>
        <v>0</v>
      </c>
      <c r="K7173" s="711"/>
      <c r="M7173" s="62">
        <f t="shared" si="576"/>
        <v>5</v>
      </c>
    </row>
    <row r="7174" spans="1:13">
      <c r="A7174" s="88">
        <f t="shared" si="578"/>
        <v>36</v>
      </c>
      <c r="B7174" s="69" t="s">
        <v>2447</v>
      </c>
      <c r="C7174" s="167">
        <v>3</v>
      </c>
      <c r="D7174" s="155">
        <v>2</v>
      </c>
      <c r="E7174" s="155">
        <v>2</v>
      </c>
      <c r="F7174" s="155">
        <v>2</v>
      </c>
      <c r="G7174" s="155">
        <v>2</v>
      </c>
      <c r="H7174" s="155">
        <v>2</v>
      </c>
      <c r="I7174" s="155">
        <v>2</v>
      </c>
      <c r="J7174" s="710">
        <f>(VLOOKUP($C7174,[2]Sheet1!$A$2:$P$18,$M7174+1)/12)*12*D7174</f>
        <v>438672.35786072997</v>
      </c>
      <c r="K7174" s="711"/>
      <c r="M7174" s="62">
        <f t="shared" si="576"/>
        <v>5</v>
      </c>
    </row>
    <row r="7175" spans="1:13">
      <c r="A7175" s="88">
        <f t="shared" si="578"/>
        <v>37</v>
      </c>
      <c r="B7175" s="69" t="s">
        <v>911</v>
      </c>
      <c r="C7175" s="167">
        <v>3</v>
      </c>
      <c r="D7175" s="155">
        <v>1</v>
      </c>
      <c r="E7175" s="155">
        <v>1</v>
      </c>
      <c r="F7175" s="155">
        <v>1</v>
      </c>
      <c r="G7175" s="155">
        <v>1</v>
      </c>
      <c r="H7175" s="155">
        <v>1</v>
      </c>
      <c r="I7175" s="155">
        <v>1</v>
      </c>
      <c r="J7175" s="710">
        <f>(VLOOKUP($C7175,[2]Sheet1!$A$2:$P$18,$M7175+1)/12)*12*D7175</f>
        <v>219336.17893036499</v>
      </c>
      <c r="K7175" s="711"/>
      <c r="M7175" s="62">
        <f t="shared" si="576"/>
        <v>5</v>
      </c>
    </row>
    <row r="7176" spans="1:13">
      <c r="A7176" s="92"/>
      <c r="B7176" s="93" t="s">
        <v>1684</v>
      </c>
      <c r="C7176" s="168"/>
      <c r="D7176" s="169">
        <f t="shared" ref="D7176:J7176" si="579">SUM(D7129:D7175)</f>
        <v>43</v>
      </c>
      <c r="E7176" s="169">
        <f t="shared" si="579"/>
        <v>100</v>
      </c>
      <c r="F7176" s="169">
        <f t="shared" si="579"/>
        <v>43</v>
      </c>
      <c r="G7176" s="169">
        <f>SUM(G7129:G7175)</f>
        <v>43</v>
      </c>
      <c r="H7176" s="169">
        <f t="shared" si="579"/>
        <v>44</v>
      </c>
      <c r="I7176" s="169">
        <f t="shared" si="579"/>
        <v>43</v>
      </c>
      <c r="J7176" s="169">
        <f t="shared" si="579"/>
        <v>16797324.600796938</v>
      </c>
      <c r="K7176" s="385"/>
      <c r="M7176" s="62">
        <f t="shared" si="576"/>
        <v>5</v>
      </c>
    </row>
    <row r="7177" spans="1:13">
      <c r="A7177" s="170"/>
      <c r="B7177" s="97" t="s">
        <v>1199</v>
      </c>
      <c r="C7177" s="167"/>
      <c r="D7177" s="155"/>
      <c r="E7177" s="155"/>
      <c r="F7177" s="125"/>
      <c r="G7177" s="240" t="s">
        <v>243</v>
      </c>
      <c r="H7177" s="240" t="s">
        <v>4130</v>
      </c>
      <c r="I7177" s="240" t="s">
        <v>4202</v>
      </c>
      <c r="J7177" s="241" t="s">
        <v>4200</v>
      </c>
      <c r="K7177" s="375"/>
      <c r="M7177" s="62">
        <f t="shared" si="576"/>
        <v>5</v>
      </c>
    </row>
    <row r="7178" spans="1:13">
      <c r="A7178" s="88">
        <v>1</v>
      </c>
      <c r="B7178" s="69" t="s">
        <v>763</v>
      </c>
      <c r="C7178" s="167"/>
      <c r="D7178" s="155"/>
      <c r="E7178" s="155"/>
      <c r="F7178" s="155"/>
      <c r="G7178" s="155">
        <f>J7176*0.2</f>
        <v>3359464.9201593879</v>
      </c>
      <c r="H7178" s="155">
        <f>G7178*1.02</f>
        <v>3426654.2185625755</v>
      </c>
      <c r="I7178" s="155">
        <f>H7178*1.02</f>
        <v>3495187.302933827</v>
      </c>
      <c r="J7178" s="155">
        <f>SUM(G7178:I7178)</f>
        <v>10281306.44165579</v>
      </c>
      <c r="K7178" s="386"/>
      <c r="M7178" s="62">
        <f t="shared" si="576"/>
        <v>5</v>
      </c>
    </row>
    <row r="7179" spans="1:13">
      <c r="A7179" s="92"/>
      <c r="B7179" s="93" t="s">
        <v>2531</v>
      </c>
      <c r="C7179" s="168"/>
      <c r="D7179" s="171"/>
      <c r="E7179" s="171"/>
      <c r="F7179" s="169"/>
      <c r="G7179" s="169">
        <f>SUM(G7178:G7178)</f>
        <v>3359464.9201593879</v>
      </c>
      <c r="H7179" s="169">
        <f>SUM(H7178:H7178)</f>
        <v>3426654.2185625755</v>
      </c>
      <c r="I7179" s="169">
        <f>SUM(I7178:I7178)</f>
        <v>3495187.302933827</v>
      </c>
      <c r="J7179" s="169">
        <f>SUM(J7178:J7178)</f>
        <v>10281306.44165579</v>
      </c>
      <c r="K7179" s="385"/>
      <c r="M7179" s="62">
        <f t="shared" si="576"/>
        <v>5</v>
      </c>
    </row>
    <row r="7180" spans="1:13">
      <c r="A7180" s="88"/>
      <c r="B7180" s="69" t="s">
        <v>926</v>
      </c>
      <c r="C7180" s="167"/>
      <c r="D7180" s="155"/>
      <c r="E7180" s="155"/>
      <c r="F7180" s="155"/>
      <c r="G7180" s="155">
        <f>G7179+J7176</f>
        <v>20156789.520956326</v>
      </c>
      <c r="H7180" s="155">
        <f>G7180*1.02</f>
        <v>20559925.311375454</v>
      </c>
      <c r="I7180" s="155">
        <f>H7180*1.02</f>
        <v>20971123.817602962</v>
      </c>
      <c r="J7180" s="155">
        <f>SUM(G7180:I7180)</f>
        <v>61687838.649934739</v>
      </c>
      <c r="K7180" s="386"/>
      <c r="M7180" s="62">
        <f t="shared" si="576"/>
        <v>5</v>
      </c>
    </row>
    <row r="7181" spans="1:13">
      <c r="A7181" s="88"/>
      <c r="B7181" s="69" t="s">
        <v>2121</v>
      </c>
      <c r="C7181" s="167"/>
      <c r="D7181" s="155"/>
      <c r="E7181" s="155"/>
      <c r="F7181" s="155"/>
      <c r="G7181" s="155">
        <f>C7208</f>
        <v>18000000</v>
      </c>
      <c r="H7181" s="155">
        <f>D7208</f>
        <v>26104000</v>
      </c>
      <c r="I7181" s="155">
        <f>E7208</f>
        <v>4612400</v>
      </c>
      <c r="J7181" s="155">
        <f>SUM(G7181:I7181)</f>
        <v>48716400</v>
      </c>
      <c r="K7181" s="386"/>
      <c r="M7181" s="62">
        <f t="shared" si="576"/>
        <v>5</v>
      </c>
    </row>
    <row r="7182" spans="1:13" ht="13.5" thickBot="1">
      <c r="A7182" s="102"/>
      <c r="B7182" s="103" t="s">
        <v>2241</v>
      </c>
      <c r="C7182" s="172"/>
      <c r="D7182" s="173"/>
      <c r="E7182" s="173"/>
      <c r="F7182" s="174"/>
      <c r="G7182" s="174">
        <f>SUM(G7180:G7181)</f>
        <v>38156789.520956323</v>
      </c>
      <c r="H7182" s="174">
        <f>SUM(H7180:H7181)</f>
        <v>46663925.311375454</v>
      </c>
      <c r="I7182" s="174">
        <f>SUM(I7180:I7181)</f>
        <v>25583523.817602962</v>
      </c>
      <c r="J7182" s="174">
        <f>SUM(J7180:J7181)</f>
        <v>110404238.64993474</v>
      </c>
      <c r="K7182" s="385"/>
      <c r="M7182" s="62">
        <f t="shared" si="576"/>
        <v>5</v>
      </c>
    </row>
    <row r="7183" spans="1:13" ht="13.5" thickTop="1">
      <c r="C7183" s="163"/>
      <c r="D7183" s="164" t="s">
        <v>5434</v>
      </c>
      <c r="E7183" s="165"/>
      <c r="F7183" s="165"/>
      <c r="G7183" s="62"/>
      <c r="H7183" s="62"/>
      <c r="I7183" s="62"/>
      <c r="M7183" s="62">
        <f>IF(C7183&gt;6,3,5)</f>
        <v>5</v>
      </c>
    </row>
    <row r="7184" spans="1:13">
      <c r="C7184" s="163"/>
      <c r="D7184" s="164" t="s">
        <v>716</v>
      </c>
      <c r="E7184" s="165"/>
      <c r="F7184" s="165"/>
      <c r="G7184" s="62"/>
      <c r="H7184" s="62"/>
      <c r="I7184" s="62"/>
      <c r="M7184" s="62">
        <f>IF(C7184&gt;6,3,5)</f>
        <v>5</v>
      </c>
    </row>
    <row r="7185" spans="1:13">
      <c r="C7185" s="79" t="s">
        <v>1811</v>
      </c>
      <c r="D7185" s="164" t="s">
        <v>743</v>
      </c>
      <c r="E7185" s="165"/>
      <c r="F7185" s="165"/>
      <c r="G7185" s="62"/>
      <c r="H7185" s="62"/>
      <c r="I7185" s="62"/>
      <c r="M7185" s="62">
        <f>IF(C7185&gt;6,3,5)</f>
        <v>3</v>
      </c>
    </row>
    <row r="7186" spans="1:13">
      <c r="C7186" s="79" t="s">
        <v>718</v>
      </c>
      <c r="D7186" s="164" t="s">
        <v>744</v>
      </c>
      <c r="E7186" s="165"/>
      <c r="F7186" s="165"/>
      <c r="G7186" s="62"/>
      <c r="H7186" s="62"/>
      <c r="I7186" s="62"/>
      <c r="M7186" s="62">
        <f>IF(C7186&gt;6,3,5)</f>
        <v>3</v>
      </c>
    </row>
    <row r="7187" spans="1:13" ht="15">
      <c r="A7187" s="634" t="s">
        <v>1839</v>
      </c>
      <c r="B7187" s="635" t="s">
        <v>903</v>
      </c>
      <c r="C7187" s="1037" t="s">
        <v>4127</v>
      </c>
      <c r="D7187" s="1038"/>
      <c r="E7187" s="1039"/>
      <c r="F7187" s="635" t="s">
        <v>1684</v>
      </c>
      <c r="G7187" s="1037" t="s">
        <v>4132</v>
      </c>
      <c r="H7187" s="1038"/>
      <c r="I7187" s="1039"/>
      <c r="J7187" s="726"/>
      <c r="K7187" s="727"/>
    </row>
    <row r="7188" spans="1:13">
      <c r="A7188" s="636" t="s">
        <v>1620</v>
      </c>
      <c r="B7188" s="637"/>
      <c r="C7188" s="635" t="s">
        <v>1841</v>
      </c>
      <c r="D7188" s="635" t="s">
        <v>4133</v>
      </c>
      <c r="E7188" s="635" t="s">
        <v>4133</v>
      </c>
      <c r="F7188" s="1056" t="s">
        <v>4200</v>
      </c>
      <c r="G7188" s="634" t="s">
        <v>4135</v>
      </c>
      <c r="H7188" s="1051" t="s">
        <v>4182</v>
      </c>
      <c r="I7188" s="634" t="s">
        <v>4135</v>
      </c>
      <c r="J7188" s="728" t="s">
        <v>4136</v>
      </c>
      <c r="K7188" s="727"/>
    </row>
    <row r="7189" spans="1:13" ht="12.75" customHeight="1">
      <c r="A7189" s="638" t="s">
        <v>387</v>
      </c>
      <c r="B7189" s="639"/>
      <c r="C7189" s="638">
        <v>2015</v>
      </c>
      <c r="D7189" s="638">
        <v>2016</v>
      </c>
      <c r="E7189" s="638">
        <v>2017</v>
      </c>
      <c r="F7189" s="1057"/>
      <c r="G7189" s="638" t="s">
        <v>4304</v>
      </c>
      <c r="H7189" s="1052"/>
      <c r="I7189" s="638" t="s">
        <v>4303</v>
      </c>
      <c r="J7189" s="639"/>
      <c r="K7189" s="729"/>
    </row>
    <row r="7190" spans="1:13">
      <c r="A7190" s="730"/>
      <c r="B7190" s="730"/>
      <c r="C7190" s="390"/>
      <c r="D7190" s="390"/>
      <c r="E7190" s="390"/>
      <c r="F7190" s="390"/>
      <c r="G7190" s="390"/>
      <c r="H7190" s="390"/>
      <c r="I7190" s="390"/>
      <c r="J7190" s="390"/>
      <c r="K7190" s="734"/>
      <c r="M7190" s="62" t="e">
        <f>IF(#REF!&gt;6,3,5)</f>
        <v>#REF!</v>
      </c>
    </row>
    <row r="7191" spans="1:13">
      <c r="A7191" s="730">
        <v>2</v>
      </c>
      <c r="B7191" s="730" t="s">
        <v>1695</v>
      </c>
      <c r="C7191" s="390">
        <v>1000000</v>
      </c>
      <c r="D7191" s="390">
        <f>+H7191*1.04</f>
        <v>1040000</v>
      </c>
      <c r="E7191" s="390">
        <f>+I7191*1.04</f>
        <v>52000</v>
      </c>
      <c r="F7191" s="390">
        <f>SUM(C7191:E7191)</f>
        <v>2092000</v>
      </c>
      <c r="G7191" s="390"/>
      <c r="H7191" s="390">
        <v>1000000</v>
      </c>
      <c r="I7191" s="390">
        <v>50000</v>
      </c>
      <c r="J7191" s="390"/>
      <c r="K7191" s="734"/>
      <c r="M7191" s="62" t="e">
        <f>IF(#REF!&gt;6,3,5)</f>
        <v>#REF!</v>
      </c>
    </row>
    <row r="7192" spans="1:13">
      <c r="A7192" s="730">
        <f t="shared" ref="A7192:A7205" si="580">+A7191+1</f>
        <v>3</v>
      </c>
      <c r="B7192" s="730" t="s">
        <v>1696</v>
      </c>
      <c r="C7192" s="731" t="s">
        <v>3007</v>
      </c>
      <c r="D7192" s="390">
        <f>+H7192*1.04</f>
        <v>104000</v>
      </c>
      <c r="E7192" s="390">
        <f>+I7192*1.04</f>
        <v>0</v>
      </c>
      <c r="F7192" s="390">
        <f t="shared" ref="F7192:F7205" si="581">SUM(C7192:E7192)</f>
        <v>104000</v>
      </c>
      <c r="G7192" s="390"/>
      <c r="H7192" s="390">
        <v>100000</v>
      </c>
      <c r="I7192" s="390"/>
      <c r="J7192" s="390"/>
      <c r="K7192" s="734"/>
      <c r="M7192" s="62" t="e">
        <f>IF(#REF!&gt;6,3,5)</f>
        <v>#REF!</v>
      </c>
    </row>
    <row r="7193" spans="1:13">
      <c r="A7193" s="730">
        <f t="shared" si="580"/>
        <v>4</v>
      </c>
      <c r="B7193" s="730" t="s">
        <v>1701</v>
      </c>
      <c r="C7193" s="731" t="s">
        <v>3007</v>
      </c>
      <c r="D7193" s="731" t="s">
        <v>3007</v>
      </c>
      <c r="E7193" s="731" t="s">
        <v>3007</v>
      </c>
      <c r="F7193" s="390">
        <f t="shared" si="581"/>
        <v>0</v>
      </c>
      <c r="G7193" s="731"/>
      <c r="H7193" s="390" t="s">
        <v>1386</v>
      </c>
      <c r="I7193" s="731"/>
      <c r="J7193" s="390"/>
      <c r="K7193" s="734"/>
      <c r="M7193" s="62" t="e">
        <f>IF(#REF!&gt;6,3,5)</f>
        <v>#REF!</v>
      </c>
    </row>
    <row r="7194" spans="1:13">
      <c r="A7194" s="730">
        <f t="shared" si="580"/>
        <v>5</v>
      </c>
      <c r="B7194" s="730" t="s">
        <v>1702</v>
      </c>
      <c r="C7194" s="390">
        <v>800000</v>
      </c>
      <c r="D7194" s="390">
        <f t="shared" ref="D7194:E7196" si="582">+H7194*1.04</f>
        <v>832000</v>
      </c>
      <c r="E7194" s="390">
        <f t="shared" si="582"/>
        <v>124800</v>
      </c>
      <c r="F7194" s="390">
        <f t="shared" si="581"/>
        <v>1756800</v>
      </c>
      <c r="G7194" s="390">
        <v>592000</v>
      </c>
      <c r="H7194" s="390">
        <v>800000</v>
      </c>
      <c r="I7194" s="390">
        <v>120000</v>
      </c>
      <c r="J7194" s="390"/>
      <c r="K7194" s="734"/>
      <c r="M7194" s="62" t="e">
        <f>IF(#REF!&gt;6,3,5)</f>
        <v>#REF!</v>
      </c>
    </row>
    <row r="7195" spans="1:13">
      <c r="A7195" s="730">
        <f t="shared" si="580"/>
        <v>6</v>
      </c>
      <c r="B7195" s="730" t="s">
        <v>1544</v>
      </c>
      <c r="C7195" s="390">
        <v>800000</v>
      </c>
      <c r="D7195" s="390">
        <f t="shared" si="582"/>
        <v>1040000</v>
      </c>
      <c r="E7195" s="390">
        <f t="shared" si="582"/>
        <v>0</v>
      </c>
      <c r="F7195" s="390">
        <f t="shared" si="581"/>
        <v>1840000</v>
      </c>
      <c r="G7195" s="390">
        <v>333000</v>
      </c>
      <c r="H7195" s="390">
        <v>1000000</v>
      </c>
      <c r="I7195" s="390">
        <v>0</v>
      </c>
      <c r="J7195" s="390"/>
      <c r="K7195" s="734"/>
      <c r="M7195" s="62" t="e">
        <f>IF(#REF!&gt;6,3,5)</f>
        <v>#REF!</v>
      </c>
    </row>
    <row r="7196" spans="1:13">
      <c r="A7196" s="730">
        <f t="shared" si="580"/>
        <v>7</v>
      </c>
      <c r="B7196" s="730" t="s">
        <v>897</v>
      </c>
      <c r="C7196" s="390">
        <v>1000000</v>
      </c>
      <c r="D7196" s="390">
        <f t="shared" si="582"/>
        <v>1560000</v>
      </c>
      <c r="E7196" s="390">
        <f t="shared" si="582"/>
        <v>104000</v>
      </c>
      <c r="F7196" s="390">
        <f t="shared" si="581"/>
        <v>2664000</v>
      </c>
      <c r="G7196" s="390">
        <v>466000</v>
      </c>
      <c r="H7196" s="390">
        <v>1500000</v>
      </c>
      <c r="I7196" s="390">
        <v>100000</v>
      </c>
      <c r="J7196" s="390"/>
      <c r="K7196" s="734"/>
      <c r="M7196" s="62" t="e">
        <f>IF(#REF!&gt;6,3,5)</f>
        <v>#REF!</v>
      </c>
    </row>
    <row r="7197" spans="1:13">
      <c r="A7197" s="730">
        <f t="shared" si="580"/>
        <v>8</v>
      </c>
      <c r="B7197" s="730" t="s">
        <v>1385</v>
      </c>
      <c r="C7197" s="731" t="s">
        <v>3007</v>
      </c>
      <c r="D7197" s="731" t="s">
        <v>3007</v>
      </c>
      <c r="E7197" s="731" t="s">
        <v>3007</v>
      </c>
      <c r="F7197" s="390">
        <f t="shared" si="581"/>
        <v>0</v>
      </c>
      <c r="G7197" s="731"/>
      <c r="H7197" s="731" t="s">
        <v>3007</v>
      </c>
      <c r="I7197" s="731"/>
      <c r="J7197" s="390"/>
      <c r="K7197" s="734"/>
      <c r="M7197" s="62" t="e">
        <f>IF(#REF!&gt;6,3,5)</f>
        <v>#REF!</v>
      </c>
    </row>
    <row r="7198" spans="1:13">
      <c r="A7198" s="730">
        <f t="shared" si="580"/>
        <v>9</v>
      </c>
      <c r="B7198" s="730" t="s">
        <v>2061</v>
      </c>
      <c r="C7198" s="731" t="s">
        <v>3007</v>
      </c>
      <c r="D7198" s="731" t="s">
        <v>3007</v>
      </c>
      <c r="E7198" s="731" t="s">
        <v>3007</v>
      </c>
      <c r="F7198" s="390">
        <f t="shared" si="581"/>
        <v>0</v>
      </c>
      <c r="G7198" s="731"/>
      <c r="H7198" s="731" t="s">
        <v>3007</v>
      </c>
      <c r="I7198" s="731"/>
      <c r="J7198" s="390"/>
      <c r="K7198" s="734"/>
      <c r="M7198" s="62" t="e">
        <f>IF(#REF!&gt;6,3,5)</f>
        <v>#REF!</v>
      </c>
    </row>
    <row r="7199" spans="1:13">
      <c r="A7199" s="730">
        <f t="shared" si="580"/>
        <v>10</v>
      </c>
      <c r="B7199" s="730" t="s">
        <v>1680</v>
      </c>
      <c r="C7199" s="390">
        <v>700000</v>
      </c>
      <c r="D7199" s="390">
        <f t="shared" ref="D7199:E7205" si="583">+H7199*1.04</f>
        <v>1040000</v>
      </c>
      <c r="E7199" s="390">
        <f t="shared" si="583"/>
        <v>0</v>
      </c>
      <c r="F7199" s="390">
        <f t="shared" si="581"/>
        <v>1740000</v>
      </c>
      <c r="G7199" s="390"/>
      <c r="H7199" s="390">
        <v>1000000</v>
      </c>
      <c r="I7199" s="390"/>
      <c r="J7199" s="390"/>
      <c r="K7199" s="734"/>
      <c r="M7199" s="62" t="e">
        <f>IF(#REF!&gt;6,3,5)</f>
        <v>#REF!</v>
      </c>
    </row>
    <row r="7200" spans="1:13">
      <c r="A7200" s="730">
        <f t="shared" si="580"/>
        <v>11</v>
      </c>
      <c r="B7200" s="730" t="s">
        <v>1681</v>
      </c>
      <c r="C7200" s="390">
        <v>100000</v>
      </c>
      <c r="D7200" s="390">
        <f t="shared" si="583"/>
        <v>104000</v>
      </c>
      <c r="E7200" s="390">
        <f t="shared" si="583"/>
        <v>0</v>
      </c>
      <c r="F7200" s="390">
        <f t="shared" si="581"/>
        <v>204000</v>
      </c>
      <c r="G7200" s="390"/>
      <c r="H7200" s="390">
        <v>100000</v>
      </c>
      <c r="I7200" s="390"/>
      <c r="J7200" s="390"/>
      <c r="K7200" s="734"/>
      <c r="M7200" s="62" t="e">
        <f>IF(#REF!&gt;6,3,5)</f>
        <v>#REF!</v>
      </c>
    </row>
    <row r="7201" spans="1:13">
      <c r="A7201" s="730">
        <f t="shared" si="580"/>
        <v>12</v>
      </c>
      <c r="B7201" s="730" t="s">
        <v>1682</v>
      </c>
      <c r="C7201" s="390">
        <v>2000000</v>
      </c>
      <c r="D7201" s="390">
        <f t="shared" si="583"/>
        <v>2080000</v>
      </c>
      <c r="E7201" s="390">
        <f t="shared" si="583"/>
        <v>1180400</v>
      </c>
      <c r="F7201" s="390">
        <f t="shared" si="581"/>
        <v>5260400</v>
      </c>
      <c r="G7201" s="390">
        <v>1317000</v>
      </c>
      <c r="H7201" s="390">
        <v>2000000</v>
      </c>
      <c r="I7201" s="390">
        <v>1135000</v>
      </c>
      <c r="J7201" s="390"/>
      <c r="K7201" s="734"/>
      <c r="M7201" s="62" t="e">
        <f>IF(#REF!&gt;6,3,5)</f>
        <v>#REF!</v>
      </c>
    </row>
    <row r="7202" spans="1:13">
      <c r="A7202" s="730">
        <f t="shared" si="580"/>
        <v>13</v>
      </c>
      <c r="B7202" s="730" t="s">
        <v>2249</v>
      </c>
      <c r="C7202" s="390">
        <v>100000</v>
      </c>
      <c r="D7202" s="390">
        <f t="shared" si="583"/>
        <v>104000</v>
      </c>
      <c r="E7202" s="390">
        <f t="shared" si="583"/>
        <v>0</v>
      </c>
      <c r="F7202" s="390">
        <f t="shared" si="581"/>
        <v>204000</v>
      </c>
      <c r="G7202" s="390"/>
      <c r="H7202" s="731">
        <v>100000</v>
      </c>
      <c r="I7202" s="390"/>
      <c r="J7202" s="390"/>
      <c r="K7202" s="734"/>
      <c r="M7202" s="62" t="e">
        <f>IF(#REF!&gt;6,3,5)</f>
        <v>#REF!</v>
      </c>
    </row>
    <row r="7203" spans="1:13">
      <c r="A7203" s="730">
        <f t="shared" si="580"/>
        <v>14</v>
      </c>
      <c r="B7203" s="730" t="s">
        <v>756</v>
      </c>
      <c r="C7203" s="390">
        <v>1000000</v>
      </c>
      <c r="D7203" s="390">
        <f t="shared" si="583"/>
        <v>520000</v>
      </c>
      <c r="E7203" s="390">
        <f t="shared" si="583"/>
        <v>0</v>
      </c>
      <c r="F7203" s="390">
        <f t="shared" si="581"/>
        <v>1520000</v>
      </c>
      <c r="G7203" s="390"/>
      <c r="H7203" s="731">
        <v>500000</v>
      </c>
      <c r="I7203" s="390"/>
      <c r="J7203" s="390"/>
      <c r="K7203" s="734"/>
      <c r="M7203" s="62" t="e">
        <f>IF(#REF!&gt;6,3,5)</f>
        <v>#REF!</v>
      </c>
    </row>
    <row r="7204" spans="1:13">
      <c r="A7204" s="730">
        <f t="shared" si="580"/>
        <v>15</v>
      </c>
      <c r="B7204" s="730" t="s">
        <v>2621</v>
      </c>
      <c r="C7204" s="390">
        <v>500000</v>
      </c>
      <c r="D7204" s="390">
        <f t="shared" si="583"/>
        <v>2080000</v>
      </c>
      <c r="E7204" s="390">
        <f t="shared" si="583"/>
        <v>31200</v>
      </c>
      <c r="F7204" s="390">
        <f t="shared" si="581"/>
        <v>2611200</v>
      </c>
      <c r="G7204" s="390">
        <v>1800000</v>
      </c>
      <c r="H7204" s="390">
        <v>2000000</v>
      </c>
      <c r="I7204" s="390">
        <v>30000</v>
      </c>
      <c r="J7204" s="390"/>
      <c r="K7204" s="734"/>
      <c r="M7204" s="62" t="e">
        <f>IF(#REF!&gt;6,3,5)</f>
        <v>#REF!</v>
      </c>
    </row>
    <row r="7205" spans="1:13" ht="25.5">
      <c r="A7205" s="733">
        <f t="shared" si="580"/>
        <v>16</v>
      </c>
      <c r="B7205" s="733" t="s">
        <v>912</v>
      </c>
      <c r="C7205" s="390">
        <v>10000000</v>
      </c>
      <c r="D7205" s="390">
        <f t="shared" si="583"/>
        <v>15600000</v>
      </c>
      <c r="E7205" s="390">
        <f t="shared" si="583"/>
        <v>3120000</v>
      </c>
      <c r="F7205" s="390">
        <f t="shared" si="581"/>
        <v>28720000</v>
      </c>
      <c r="G7205" s="390">
        <v>4508000</v>
      </c>
      <c r="H7205" s="848">
        <v>15000000</v>
      </c>
      <c r="I7205" s="390">
        <v>3000000</v>
      </c>
      <c r="J7205" s="390"/>
      <c r="K7205" s="734"/>
      <c r="M7205" s="62" t="e">
        <f>IF(#REF!&gt;6,3,5)</f>
        <v>#REF!</v>
      </c>
    </row>
    <row r="7206" spans="1:13">
      <c r="A7206" s="730"/>
      <c r="B7206" s="730"/>
      <c r="C7206" s="390"/>
      <c r="D7206" s="390"/>
      <c r="E7206" s="390"/>
      <c r="F7206" s="390"/>
      <c r="G7206" s="390"/>
      <c r="H7206" s="390"/>
      <c r="I7206" s="390"/>
      <c r="J7206" s="390"/>
      <c r="K7206" s="734"/>
      <c r="M7206" s="62" t="e">
        <f>IF(#REF!&gt;6,3,5)</f>
        <v>#REF!</v>
      </c>
    </row>
    <row r="7207" spans="1:13">
      <c r="A7207" s="730"/>
      <c r="B7207" s="730"/>
      <c r="C7207" s="390"/>
      <c r="D7207" s="390"/>
      <c r="E7207" s="390"/>
      <c r="F7207" s="390"/>
      <c r="G7207" s="390"/>
      <c r="H7207" s="390"/>
      <c r="I7207" s="390"/>
      <c r="J7207" s="390"/>
      <c r="K7207" s="734"/>
      <c r="M7207" s="62" t="e">
        <f>IF(#REF!&gt;6,3,5)</f>
        <v>#REF!</v>
      </c>
    </row>
    <row r="7208" spans="1:13">
      <c r="A7208" s="738"/>
      <c r="B7208" s="738" t="s">
        <v>1684</v>
      </c>
      <c r="C7208" s="739">
        <f t="shared" ref="C7208:I7208" si="584">SUM(C7190:C7207)</f>
        <v>18000000</v>
      </c>
      <c r="D7208" s="739">
        <f t="shared" si="584"/>
        <v>26104000</v>
      </c>
      <c r="E7208" s="739">
        <f t="shared" si="584"/>
        <v>4612400</v>
      </c>
      <c r="F7208" s="739">
        <f t="shared" si="584"/>
        <v>48716400</v>
      </c>
      <c r="G7208" s="739">
        <f>SUM(G7190:G7207)</f>
        <v>9016000</v>
      </c>
      <c r="H7208" s="739">
        <f t="shared" si="584"/>
        <v>25100000</v>
      </c>
      <c r="I7208" s="739">
        <f t="shared" si="584"/>
        <v>4435000</v>
      </c>
      <c r="J7208" s="739"/>
      <c r="K7208" s="740"/>
      <c r="M7208" s="62" t="e">
        <f>IF(#REF!&gt;6,3,5)</f>
        <v>#REF!</v>
      </c>
    </row>
    <row r="7209" spans="1:13" ht="15">
      <c r="C7209" s="175"/>
      <c r="D7209" s="165"/>
      <c r="E7209" s="165"/>
      <c r="F7209" s="165"/>
      <c r="G7209" s="165"/>
      <c r="H7209" s="165"/>
      <c r="I7209" s="165"/>
      <c r="J7209" s="584"/>
      <c r="K7209" s="584"/>
      <c r="M7209" s="62">
        <f>IF(C7209&gt;6,3,5)</f>
        <v>5</v>
      </c>
    </row>
    <row r="7210" spans="1:13" ht="15">
      <c r="C7210" s="175"/>
      <c r="D7210" s="165"/>
      <c r="E7210" s="165"/>
      <c r="F7210" s="165"/>
      <c r="G7210" s="165"/>
      <c r="H7210" s="165"/>
      <c r="I7210" s="165"/>
      <c r="J7210" s="584"/>
      <c r="K7210" s="584"/>
      <c r="M7210" s="62">
        <f>IF(C7210&gt;6,3,5)</f>
        <v>5</v>
      </c>
    </row>
    <row r="7211" spans="1:13" ht="15">
      <c r="C7211" s="77"/>
      <c r="D7211" s="78" t="s">
        <v>5434</v>
      </c>
      <c r="J7211" s="584"/>
      <c r="K7211" s="584"/>
      <c r="M7211" s="62">
        <f>IF(C7211&gt;6,3,5)</f>
        <v>5</v>
      </c>
    </row>
    <row r="7212" spans="1:13" ht="15">
      <c r="C7212" s="77"/>
      <c r="D7212" s="78" t="s">
        <v>1693</v>
      </c>
      <c r="J7212" s="584"/>
      <c r="K7212" s="584"/>
      <c r="M7212" s="62">
        <f t="shared" ref="M7212:M7243" si="585">IF(C7212&gt;6,3,5)</f>
        <v>5</v>
      </c>
    </row>
    <row r="7213" spans="1:13" ht="15">
      <c r="C7213" s="79" t="s">
        <v>717</v>
      </c>
      <c r="D7213" s="78" t="s">
        <v>1942</v>
      </c>
      <c r="J7213" s="584"/>
      <c r="K7213" s="584"/>
      <c r="M7213" s="62">
        <f t="shared" si="585"/>
        <v>3</v>
      </c>
    </row>
    <row r="7214" spans="1:13" ht="15.75" thickBot="1">
      <c r="C7214" s="79" t="s">
        <v>718</v>
      </c>
      <c r="D7214" s="78" t="s">
        <v>1763</v>
      </c>
      <c r="J7214" s="584"/>
      <c r="K7214" s="584"/>
      <c r="M7214" s="62">
        <f t="shared" si="585"/>
        <v>3</v>
      </c>
    </row>
    <row r="7215" spans="1:13" ht="15.75" thickTop="1">
      <c r="A7215" s="1047" t="s">
        <v>2791</v>
      </c>
      <c r="B7215" s="1049" t="s">
        <v>4126</v>
      </c>
      <c r="C7215" s="1049" t="s">
        <v>854</v>
      </c>
      <c r="D7215" s="1040" t="s">
        <v>4127</v>
      </c>
      <c r="E7215" s="1041"/>
      <c r="F7215" s="1041"/>
      <c r="G7215" s="1040" t="s">
        <v>904</v>
      </c>
      <c r="H7215" s="1041"/>
      <c r="I7215" s="1042"/>
      <c r="J7215" s="1035" t="s">
        <v>855</v>
      </c>
      <c r="K7215" s="389"/>
    </row>
    <row r="7216" spans="1:13" ht="26.25" thickBot="1">
      <c r="A7216" s="1048"/>
      <c r="B7216" s="1050"/>
      <c r="C7216" s="1050"/>
      <c r="D7216" s="285" t="s">
        <v>5505</v>
      </c>
      <c r="E7216" s="285" t="s">
        <v>4485</v>
      </c>
      <c r="F7216" s="285" t="s">
        <v>4486</v>
      </c>
      <c r="G7216" s="287" t="s">
        <v>4487</v>
      </c>
      <c r="H7216" s="285" t="s">
        <v>4488</v>
      </c>
      <c r="I7216" s="287" t="s">
        <v>4489</v>
      </c>
      <c r="J7216" s="1036"/>
      <c r="K7216" s="712"/>
    </row>
    <row r="7217" spans="1:13" ht="13.5" thickTop="1">
      <c r="A7217" s="88" t="s">
        <v>1840</v>
      </c>
      <c r="B7217" s="97" t="s">
        <v>549</v>
      </c>
      <c r="C7217" s="69"/>
      <c r="D7217" s="89"/>
      <c r="E7217" s="89"/>
      <c r="F7217" s="89"/>
      <c r="G7217" s="89"/>
      <c r="H7217" s="89"/>
      <c r="I7217" s="89"/>
      <c r="J7217" s="713"/>
      <c r="K7217" s="711"/>
      <c r="M7217" s="62">
        <f t="shared" si="585"/>
        <v>5</v>
      </c>
    </row>
    <row r="7218" spans="1:13">
      <c r="A7218" s="88">
        <v>1</v>
      </c>
      <c r="B7218" s="69" t="s">
        <v>2781</v>
      </c>
      <c r="C7218" s="69">
        <v>8</v>
      </c>
      <c r="D7218" s="89">
        <v>1</v>
      </c>
      <c r="E7218" s="89">
        <v>1</v>
      </c>
      <c r="F7218" s="89">
        <v>1</v>
      </c>
      <c r="G7218" s="89">
        <v>1</v>
      </c>
      <c r="H7218" s="89">
        <v>1</v>
      </c>
      <c r="I7218" s="89">
        <v>1</v>
      </c>
      <c r="J7218" s="710">
        <f>(VLOOKUP($C7218,[2]Sheet1!$A$2:$P$18,$M7218+1)/12)*12*D7218</f>
        <v>342141.27408</v>
      </c>
      <c r="K7218" s="711"/>
      <c r="M7218" s="62">
        <f t="shared" si="585"/>
        <v>3</v>
      </c>
    </row>
    <row r="7219" spans="1:13">
      <c r="A7219" s="88">
        <f t="shared" ref="A7219:A7241" si="586">+A7218+1</f>
        <v>2</v>
      </c>
      <c r="B7219" s="69" t="s">
        <v>2782</v>
      </c>
      <c r="C7219" s="69">
        <v>7</v>
      </c>
      <c r="D7219" s="89">
        <v>1</v>
      </c>
      <c r="E7219" s="89">
        <v>1</v>
      </c>
      <c r="F7219" s="89">
        <v>1</v>
      </c>
      <c r="G7219" s="89">
        <v>1</v>
      </c>
      <c r="H7219" s="89">
        <v>1</v>
      </c>
      <c r="I7219" s="89">
        <v>1</v>
      </c>
      <c r="J7219" s="710">
        <f>(VLOOKUP($C7219,[2]Sheet1!$A$2:$P$18,$M7219+1)/12)*12*D7219</f>
        <v>307706.70240000007</v>
      </c>
      <c r="K7219" s="711"/>
      <c r="M7219" s="62">
        <f t="shared" si="585"/>
        <v>3</v>
      </c>
    </row>
    <row r="7220" spans="1:13">
      <c r="A7220" s="88">
        <f t="shared" si="586"/>
        <v>3</v>
      </c>
      <c r="B7220" s="69" t="s">
        <v>2434</v>
      </c>
      <c r="C7220" s="69">
        <v>6</v>
      </c>
      <c r="D7220" s="89">
        <v>2</v>
      </c>
      <c r="E7220" s="89">
        <v>2</v>
      </c>
      <c r="F7220" s="89">
        <v>2</v>
      </c>
      <c r="G7220" s="89">
        <v>2</v>
      </c>
      <c r="H7220" s="89">
        <v>2</v>
      </c>
      <c r="I7220" s="89">
        <v>2</v>
      </c>
      <c r="J7220" s="710">
        <f>(VLOOKUP($C7220,[2]Sheet1!$A$2:$P$18,$M7220+1)/12)*12*D7220</f>
        <v>476198.75786072994</v>
      </c>
      <c r="K7220" s="711"/>
      <c r="M7220" s="62">
        <f t="shared" si="585"/>
        <v>5</v>
      </c>
    </row>
    <row r="7221" spans="1:13">
      <c r="A7221" s="88">
        <f t="shared" si="586"/>
        <v>4</v>
      </c>
      <c r="B7221" s="69" t="s">
        <v>1250</v>
      </c>
      <c r="C7221" s="69">
        <v>5</v>
      </c>
      <c r="D7221" s="89">
        <v>2</v>
      </c>
      <c r="E7221" s="89">
        <v>2</v>
      </c>
      <c r="F7221" s="89">
        <v>2</v>
      </c>
      <c r="G7221" s="89">
        <v>2</v>
      </c>
      <c r="H7221" s="89">
        <v>2</v>
      </c>
      <c r="I7221" s="89">
        <v>2</v>
      </c>
      <c r="J7221" s="710">
        <f>(VLOOKUP($C7221,[2]Sheet1!$A$2:$P$18,$M7221+1)/12)*12*D7221</f>
        <v>459139.55786072998</v>
      </c>
      <c r="K7221" s="711"/>
      <c r="M7221" s="62">
        <f t="shared" si="585"/>
        <v>5</v>
      </c>
    </row>
    <row r="7222" spans="1:13">
      <c r="A7222" s="88">
        <f t="shared" si="586"/>
        <v>5</v>
      </c>
      <c r="B7222" s="69" t="s">
        <v>2360</v>
      </c>
      <c r="C7222" s="69">
        <v>4</v>
      </c>
      <c r="D7222" s="89">
        <v>1</v>
      </c>
      <c r="E7222" s="89">
        <v>1</v>
      </c>
      <c r="F7222" s="89">
        <v>1</v>
      </c>
      <c r="G7222" s="89">
        <v>1</v>
      </c>
      <c r="H7222" s="89">
        <v>1</v>
      </c>
      <c r="I7222" s="89">
        <v>1</v>
      </c>
      <c r="J7222" s="710">
        <f>(VLOOKUP($C7222,[2]Sheet1!$A$2:$P$18,$M7222+1)/12)*12*D7222</f>
        <v>224542.978930365</v>
      </c>
      <c r="K7222" s="711"/>
      <c r="M7222" s="62">
        <f t="shared" si="585"/>
        <v>5</v>
      </c>
    </row>
    <row r="7223" spans="1:13">
      <c r="A7223" s="88">
        <f t="shared" si="586"/>
        <v>6</v>
      </c>
      <c r="B7223" s="69" t="s">
        <v>4030</v>
      </c>
      <c r="C7223" s="69">
        <v>3</v>
      </c>
      <c r="D7223" s="89">
        <v>6</v>
      </c>
      <c r="E7223" s="89">
        <v>6</v>
      </c>
      <c r="F7223" s="89">
        <v>6</v>
      </c>
      <c r="G7223" s="89">
        <v>6</v>
      </c>
      <c r="H7223" s="89">
        <v>6</v>
      </c>
      <c r="I7223" s="89">
        <v>6</v>
      </c>
      <c r="J7223" s="710">
        <f>(VLOOKUP($C7223,[2]Sheet1!$A$2:$P$18,$M7223+1)/12)*12*D7223</f>
        <v>1316017.0735821899</v>
      </c>
      <c r="K7223" s="711"/>
      <c r="M7223" s="62">
        <f t="shared" si="585"/>
        <v>5</v>
      </c>
    </row>
    <row r="7224" spans="1:13">
      <c r="A7224" s="88">
        <f t="shared" si="586"/>
        <v>7</v>
      </c>
      <c r="B7224" s="69" t="s">
        <v>319</v>
      </c>
      <c r="C7224" s="69">
        <v>9</v>
      </c>
      <c r="D7224" s="89">
        <v>0</v>
      </c>
      <c r="E7224" s="89">
        <v>0</v>
      </c>
      <c r="F7224" s="89">
        <v>0</v>
      </c>
      <c r="G7224" s="89">
        <v>0</v>
      </c>
      <c r="H7224" s="89">
        <v>0</v>
      </c>
      <c r="I7224" s="89">
        <v>0</v>
      </c>
      <c r="J7224" s="710">
        <f>(VLOOKUP($C7224,[2]Sheet1!$A$2:$P$18,$M7224+1)/12)*12*D7224</f>
        <v>0</v>
      </c>
      <c r="K7224" s="711"/>
      <c r="M7224" s="62">
        <f t="shared" si="585"/>
        <v>3</v>
      </c>
    </row>
    <row r="7225" spans="1:13">
      <c r="A7225" s="88">
        <f t="shared" si="586"/>
        <v>8</v>
      </c>
      <c r="B7225" s="69" t="s">
        <v>1441</v>
      </c>
      <c r="C7225" s="69">
        <v>8</v>
      </c>
      <c r="D7225" s="89">
        <v>0</v>
      </c>
      <c r="E7225" s="89">
        <v>0</v>
      </c>
      <c r="F7225" s="89">
        <v>0</v>
      </c>
      <c r="G7225" s="89">
        <v>0</v>
      </c>
      <c r="H7225" s="89">
        <v>0</v>
      </c>
      <c r="I7225" s="89">
        <v>0</v>
      </c>
      <c r="J7225" s="710">
        <f>(VLOOKUP($C7225,[2]Sheet1!$A$2:$P$18,$M7225+1)/12)*12*D7225</f>
        <v>0</v>
      </c>
      <c r="K7225" s="711"/>
      <c r="M7225" s="62">
        <f t="shared" si="585"/>
        <v>3</v>
      </c>
    </row>
    <row r="7226" spans="1:13">
      <c r="A7226" s="88">
        <f t="shared" si="586"/>
        <v>9</v>
      </c>
      <c r="B7226" s="69" t="s">
        <v>2572</v>
      </c>
      <c r="C7226" s="69">
        <v>7</v>
      </c>
      <c r="D7226" s="89">
        <v>1</v>
      </c>
      <c r="E7226" s="89">
        <v>1</v>
      </c>
      <c r="F7226" s="89">
        <v>1</v>
      </c>
      <c r="G7226" s="89">
        <v>1</v>
      </c>
      <c r="H7226" s="89">
        <v>1</v>
      </c>
      <c r="I7226" s="89">
        <v>1</v>
      </c>
      <c r="J7226" s="710">
        <f>(VLOOKUP($C7226,[2]Sheet1!$A$2:$P$18,$M7226+1)/12)*12*D7226</f>
        <v>307706.70240000007</v>
      </c>
      <c r="K7226" s="711"/>
      <c r="M7226" s="62">
        <f t="shared" si="585"/>
        <v>3</v>
      </c>
    </row>
    <row r="7227" spans="1:13">
      <c r="A7227" s="88">
        <f t="shared" si="586"/>
        <v>10</v>
      </c>
      <c r="B7227" s="69" t="s">
        <v>1749</v>
      </c>
      <c r="C7227" s="69">
        <v>6</v>
      </c>
      <c r="D7227" s="89">
        <v>1</v>
      </c>
      <c r="E7227" s="89">
        <v>1</v>
      </c>
      <c r="F7227" s="89">
        <v>1</v>
      </c>
      <c r="G7227" s="89">
        <v>1</v>
      </c>
      <c r="H7227" s="89">
        <v>1</v>
      </c>
      <c r="I7227" s="89">
        <v>1</v>
      </c>
      <c r="J7227" s="710">
        <f>(VLOOKUP($C7227,[2]Sheet1!$A$2:$P$18,$M7227+1)/12)*12*D7227</f>
        <v>238099.37893036497</v>
      </c>
      <c r="K7227" s="711"/>
      <c r="M7227" s="62">
        <f t="shared" si="585"/>
        <v>5</v>
      </c>
    </row>
    <row r="7228" spans="1:13">
      <c r="A7228" s="88">
        <f t="shared" si="586"/>
        <v>11</v>
      </c>
      <c r="B7228" s="69" t="s">
        <v>3796</v>
      </c>
      <c r="C7228" s="69">
        <v>5</v>
      </c>
      <c r="D7228" s="89">
        <v>1</v>
      </c>
      <c r="E7228" s="89">
        <v>1</v>
      </c>
      <c r="F7228" s="89">
        <v>1</v>
      </c>
      <c r="G7228" s="89">
        <v>1</v>
      </c>
      <c r="H7228" s="89">
        <v>1</v>
      </c>
      <c r="I7228" s="89">
        <v>1</v>
      </c>
      <c r="J7228" s="710">
        <f>(VLOOKUP($C7228,[2]Sheet1!$A$2:$P$18,$M7228+1)/12)*12*D7228</f>
        <v>229569.77893036499</v>
      </c>
      <c r="K7228" s="711"/>
      <c r="M7228" s="62">
        <f t="shared" si="585"/>
        <v>5</v>
      </c>
    </row>
    <row r="7229" spans="1:13">
      <c r="A7229" s="88">
        <f t="shared" si="586"/>
        <v>12</v>
      </c>
      <c r="B7229" s="69" t="s">
        <v>3797</v>
      </c>
      <c r="C7229" s="69">
        <v>4</v>
      </c>
      <c r="D7229" s="89">
        <v>2</v>
      </c>
      <c r="E7229" s="89">
        <v>2</v>
      </c>
      <c r="F7229" s="89">
        <v>2</v>
      </c>
      <c r="G7229" s="89">
        <v>2</v>
      </c>
      <c r="H7229" s="89">
        <v>2</v>
      </c>
      <c r="I7229" s="89">
        <v>2</v>
      </c>
      <c r="J7229" s="710">
        <f>(VLOOKUP($C7229,[2]Sheet1!$A$2:$P$18,$M7229+1)/12)*12*D7229</f>
        <v>449085.95786073001</v>
      </c>
      <c r="K7229" s="711"/>
      <c r="M7229" s="62">
        <f t="shared" si="585"/>
        <v>5</v>
      </c>
    </row>
    <row r="7230" spans="1:13">
      <c r="A7230" s="88">
        <f t="shared" si="586"/>
        <v>13</v>
      </c>
      <c r="B7230" s="69" t="s">
        <v>3249</v>
      </c>
      <c r="C7230" s="69">
        <v>3</v>
      </c>
      <c r="D7230" s="89">
        <v>6</v>
      </c>
      <c r="E7230" s="89">
        <v>6</v>
      </c>
      <c r="F7230" s="89">
        <v>6</v>
      </c>
      <c r="G7230" s="89">
        <v>6</v>
      </c>
      <c r="H7230" s="89">
        <v>6</v>
      </c>
      <c r="I7230" s="89">
        <v>6</v>
      </c>
      <c r="J7230" s="710">
        <f>(VLOOKUP($C7230,[2]Sheet1!$A$2:$P$18,$M7230+1)/12)*12*D7230</f>
        <v>1316017.0735821899</v>
      </c>
      <c r="K7230" s="711"/>
      <c r="M7230" s="62">
        <f t="shared" si="585"/>
        <v>5</v>
      </c>
    </row>
    <row r="7231" spans="1:13">
      <c r="A7231" s="88">
        <f t="shared" si="586"/>
        <v>14</v>
      </c>
      <c r="B7231" s="69" t="s">
        <v>3250</v>
      </c>
      <c r="C7231" s="69">
        <v>7</v>
      </c>
      <c r="D7231" s="89">
        <v>10</v>
      </c>
      <c r="E7231" s="89">
        <v>10</v>
      </c>
      <c r="F7231" s="89">
        <v>10</v>
      </c>
      <c r="G7231" s="89">
        <v>10</v>
      </c>
      <c r="H7231" s="89">
        <v>10</v>
      </c>
      <c r="I7231" s="89">
        <v>10</v>
      </c>
      <c r="J7231" s="710">
        <f>(VLOOKUP($C7231,[2]Sheet1!$A$2:$P$18,$M7231+1)/12)*12*D7231</f>
        <v>3077067.0240000007</v>
      </c>
      <c r="K7231" s="711"/>
      <c r="M7231" s="62">
        <f t="shared" si="585"/>
        <v>3</v>
      </c>
    </row>
    <row r="7232" spans="1:13">
      <c r="A7232" s="88">
        <f t="shared" si="586"/>
        <v>15</v>
      </c>
      <c r="B7232" s="69" t="s">
        <v>3251</v>
      </c>
      <c r="C7232" s="69">
        <v>3</v>
      </c>
      <c r="D7232" s="89">
        <v>1</v>
      </c>
      <c r="E7232" s="89">
        <v>1</v>
      </c>
      <c r="F7232" s="89">
        <v>0</v>
      </c>
      <c r="G7232" s="89">
        <v>0</v>
      </c>
      <c r="H7232" s="89">
        <v>1</v>
      </c>
      <c r="I7232" s="89">
        <v>1</v>
      </c>
      <c r="J7232" s="710">
        <f>(VLOOKUP($C7232,[2]Sheet1!$A$2:$P$18,$M7232+1)/12)*12*D7232</f>
        <v>219336.17893036499</v>
      </c>
      <c r="K7232" s="711"/>
      <c r="M7232" s="62">
        <f t="shared" si="585"/>
        <v>5</v>
      </c>
    </row>
    <row r="7233" spans="1:13">
      <c r="A7233" s="88">
        <f t="shared" si="586"/>
        <v>16</v>
      </c>
      <c r="B7233" s="69" t="s">
        <v>3252</v>
      </c>
      <c r="C7233" s="69">
        <v>4</v>
      </c>
      <c r="D7233" s="89">
        <v>7</v>
      </c>
      <c r="E7233" s="89">
        <v>7</v>
      </c>
      <c r="F7233" s="89">
        <v>7</v>
      </c>
      <c r="G7233" s="89">
        <v>7</v>
      </c>
      <c r="H7233" s="89">
        <v>7</v>
      </c>
      <c r="I7233" s="89">
        <v>7</v>
      </c>
      <c r="J7233" s="710">
        <f>(VLOOKUP($C7233,[2]Sheet1!$A$2:$P$18,$M7233+1)/12)*12*D7233</f>
        <v>1571800.852512555</v>
      </c>
      <c r="K7233" s="711"/>
      <c r="M7233" s="62">
        <f t="shared" si="585"/>
        <v>5</v>
      </c>
    </row>
    <row r="7234" spans="1:13">
      <c r="A7234" s="88">
        <f t="shared" si="586"/>
        <v>17</v>
      </c>
      <c r="B7234" s="69" t="s">
        <v>2179</v>
      </c>
      <c r="C7234" s="69">
        <v>2</v>
      </c>
      <c r="D7234" s="89">
        <v>2</v>
      </c>
      <c r="E7234" s="89">
        <v>2</v>
      </c>
      <c r="F7234" s="89">
        <v>2</v>
      </c>
      <c r="G7234" s="89">
        <v>2</v>
      </c>
      <c r="H7234" s="89">
        <v>2</v>
      </c>
      <c r="I7234" s="89">
        <v>2</v>
      </c>
      <c r="J7234" s="710">
        <f>(VLOOKUP($C7234,[2]Sheet1!$A$2:$P$18,$M7234+1)/12)*12*D7234</f>
        <v>429314.75786073005</v>
      </c>
      <c r="K7234" s="711"/>
      <c r="M7234" s="62">
        <f t="shared" si="585"/>
        <v>5</v>
      </c>
    </row>
    <row r="7235" spans="1:13">
      <c r="A7235" s="88">
        <f t="shared" si="586"/>
        <v>18</v>
      </c>
      <c r="B7235" s="69" t="s">
        <v>2542</v>
      </c>
      <c r="C7235" s="69">
        <v>2</v>
      </c>
      <c r="D7235" s="89">
        <v>2</v>
      </c>
      <c r="E7235" s="89">
        <v>2</v>
      </c>
      <c r="F7235" s="89">
        <v>2</v>
      </c>
      <c r="G7235" s="89">
        <v>2</v>
      </c>
      <c r="H7235" s="89">
        <v>2</v>
      </c>
      <c r="I7235" s="89">
        <v>2</v>
      </c>
      <c r="J7235" s="710">
        <f>(VLOOKUP($C7235,[2]Sheet1!$A$2:$P$18,$M7235+1)/12)*12*D7235</f>
        <v>429314.75786073005</v>
      </c>
      <c r="K7235" s="711"/>
      <c r="M7235" s="62">
        <f t="shared" si="585"/>
        <v>5</v>
      </c>
    </row>
    <row r="7236" spans="1:13">
      <c r="A7236" s="88">
        <f t="shared" si="586"/>
        <v>19</v>
      </c>
      <c r="B7236" s="69" t="s">
        <v>2543</v>
      </c>
      <c r="C7236" s="69">
        <v>2</v>
      </c>
      <c r="D7236" s="89">
        <v>2</v>
      </c>
      <c r="E7236" s="89">
        <v>2</v>
      </c>
      <c r="F7236" s="89">
        <v>1</v>
      </c>
      <c r="G7236" s="89">
        <v>1</v>
      </c>
      <c r="H7236" s="89">
        <v>2</v>
      </c>
      <c r="I7236" s="89">
        <v>2</v>
      </c>
      <c r="J7236" s="710">
        <f>(VLOOKUP($C7236,[2]Sheet1!$A$2:$P$18,$M7236+1)/12)*12*D7236</f>
        <v>429314.75786073005</v>
      </c>
      <c r="K7236" s="711"/>
      <c r="M7236" s="62">
        <f t="shared" si="585"/>
        <v>5</v>
      </c>
    </row>
    <row r="7237" spans="1:13">
      <c r="A7237" s="88">
        <f t="shared" si="586"/>
        <v>20</v>
      </c>
      <c r="B7237" s="69" t="s">
        <v>2364</v>
      </c>
      <c r="C7237" s="69">
        <v>2</v>
      </c>
      <c r="D7237" s="89">
        <v>2</v>
      </c>
      <c r="E7237" s="89">
        <v>2</v>
      </c>
      <c r="F7237" s="89">
        <v>2</v>
      </c>
      <c r="G7237" s="89">
        <v>2</v>
      </c>
      <c r="H7237" s="89">
        <v>2</v>
      </c>
      <c r="I7237" s="89">
        <v>2</v>
      </c>
      <c r="J7237" s="710">
        <f>(VLOOKUP($C7237,[2]Sheet1!$A$2:$P$18,$M7237+1)/12)*12*D7237</f>
        <v>429314.75786073005</v>
      </c>
      <c r="K7237" s="711"/>
      <c r="M7237" s="62">
        <f t="shared" si="585"/>
        <v>5</v>
      </c>
    </row>
    <row r="7238" spans="1:13">
      <c r="A7238" s="88">
        <f t="shared" si="586"/>
        <v>21</v>
      </c>
      <c r="B7238" s="69" t="s">
        <v>3253</v>
      </c>
      <c r="C7238" s="69">
        <v>2</v>
      </c>
      <c r="D7238" s="89">
        <v>2</v>
      </c>
      <c r="E7238" s="89">
        <v>2</v>
      </c>
      <c r="F7238" s="89">
        <v>2</v>
      </c>
      <c r="G7238" s="89">
        <v>2</v>
      </c>
      <c r="H7238" s="89">
        <v>2</v>
      </c>
      <c r="I7238" s="89">
        <v>2</v>
      </c>
      <c r="J7238" s="710">
        <f>(VLOOKUP($C7238,[2]Sheet1!$A$2:$P$18,$M7238+1)/12)*12*D7238</f>
        <v>429314.75786073005</v>
      </c>
      <c r="K7238" s="711"/>
      <c r="M7238" s="62">
        <f t="shared" si="585"/>
        <v>5</v>
      </c>
    </row>
    <row r="7239" spans="1:13">
      <c r="A7239" s="88">
        <f t="shared" si="586"/>
        <v>22</v>
      </c>
      <c r="B7239" s="69" t="s">
        <v>3256</v>
      </c>
      <c r="C7239" s="69">
        <v>2</v>
      </c>
      <c r="D7239" s="89">
        <v>2</v>
      </c>
      <c r="E7239" s="89">
        <v>2</v>
      </c>
      <c r="F7239" s="89">
        <v>2</v>
      </c>
      <c r="G7239" s="89">
        <v>2</v>
      </c>
      <c r="H7239" s="89">
        <v>2</v>
      </c>
      <c r="I7239" s="89">
        <v>2</v>
      </c>
      <c r="J7239" s="710">
        <f>(VLOOKUP($C7239,[2]Sheet1!$A$2:$P$18,$M7239+1)/12)*12*D7239</f>
        <v>429314.75786073005</v>
      </c>
      <c r="K7239" s="711"/>
      <c r="M7239" s="62">
        <f t="shared" si="585"/>
        <v>5</v>
      </c>
    </row>
    <row r="7240" spans="1:13">
      <c r="A7240" s="88">
        <f t="shared" si="586"/>
        <v>23</v>
      </c>
      <c r="B7240" s="69" t="s">
        <v>3674</v>
      </c>
      <c r="C7240" s="69">
        <v>2</v>
      </c>
      <c r="D7240" s="89">
        <v>7</v>
      </c>
      <c r="E7240" s="89">
        <v>7</v>
      </c>
      <c r="F7240" s="89">
        <v>7</v>
      </c>
      <c r="G7240" s="89">
        <v>7</v>
      </c>
      <c r="H7240" s="89">
        <v>7</v>
      </c>
      <c r="I7240" s="89">
        <v>7</v>
      </c>
      <c r="J7240" s="710">
        <f>(VLOOKUP($C7240,[2]Sheet1!$A$2:$P$18,$M7240+1)/12)*12*D7240</f>
        <v>1502601.6525125552</v>
      </c>
      <c r="K7240" s="711"/>
      <c r="M7240" s="62">
        <f t="shared" si="585"/>
        <v>5</v>
      </c>
    </row>
    <row r="7241" spans="1:13">
      <c r="A7241" s="88">
        <f t="shared" si="586"/>
        <v>24</v>
      </c>
      <c r="B7241" s="69" t="s">
        <v>1237</v>
      </c>
      <c r="C7241" s="69">
        <v>2</v>
      </c>
      <c r="D7241" s="89">
        <v>7</v>
      </c>
      <c r="E7241" s="89">
        <v>13</v>
      </c>
      <c r="F7241" s="89">
        <v>7</v>
      </c>
      <c r="G7241" s="89">
        <v>7</v>
      </c>
      <c r="H7241" s="89">
        <v>7</v>
      </c>
      <c r="I7241" s="89">
        <v>7</v>
      </c>
      <c r="J7241" s="710">
        <f>(VLOOKUP($C7241,[2]Sheet1!$A$2:$P$18,$M7241+1)/12)*12*D7241</f>
        <v>1502601.6525125552</v>
      </c>
      <c r="K7241" s="711"/>
      <c r="M7241" s="62">
        <f t="shared" si="585"/>
        <v>5</v>
      </c>
    </row>
    <row r="7242" spans="1:13">
      <c r="A7242" s="88"/>
      <c r="B7242" s="97" t="s">
        <v>1487</v>
      </c>
      <c r="C7242" s="69"/>
      <c r="D7242" s="89"/>
      <c r="E7242" s="89"/>
      <c r="F7242" s="89"/>
      <c r="G7242" s="89"/>
      <c r="H7242" s="89"/>
      <c r="I7242" s="89"/>
      <c r="J7242" s="710"/>
      <c r="K7242" s="711"/>
      <c r="M7242" s="62">
        <f t="shared" si="585"/>
        <v>5</v>
      </c>
    </row>
    <row r="7243" spans="1:13">
      <c r="A7243" s="88">
        <f>+A7241+1</f>
        <v>25</v>
      </c>
      <c r="B7243" s="69" t="s">
        <v>1854</v>
      </c>
      <c r="C7243" s="69">
        <v>4</v>
      </c>
      <c r="D7243" s="89">
        <v>1</v>
      </c>
      <c r="E7243" s="89">
        <v>1</v>
      </c>
      <c r="F7243" s="89">
        <v>1</v>
      </c>
      <c r="G7243" s="89">
        <v>1</v>
      </c>
      <c r="H7243" s="89">
        <v>1</v>
      </c>
      <c r="I7243" s="89">
        <v>1</v>
      </c>
      <c r="J7243" s="710">
        <f>(VLOOKUP($C7243,[2]Sheet1!$A$2:$P$18,$M7243+1)/12)*12*D7243</f>
        <v>224542.978930365</v>
      </c>
      <c r="K7243" s="711"/>
      <c r="M7243" s="62">
        <f t="shared" si="585"/>
        <v>5</v>
      </c>
    </row>
    <row r="7244" spans="1:13">
      <c r="A7244" s="88">
        <f>+A7243+1</f>
        <v>26</v>
      </c>
      <c r="B7244" s="69" t="s">
        <v>3620</v>
      </c>
      <c r="C7244" s="69">
        <v>3</v>
      </c>
      <c r="D7244" s="89">
        <v>1</v>
      </c>
      <c r="E7244" s="89">
        <v>1</v>
      </c>
      <c r="F7244" s="89">
        <v>1</v>
      </c>
      <c r="G7244" s="89">
        <v>1</v>
      </c>
      <c r="H7244" s="89">
        <v>1</v>
      </c>
      <c r="I7244" s="89">
        <v>1</v>
      </c>
      <c r="J7244" s="710">
        <f>(VLOOKUP($C7244,[2]Sheet1!$A$2:$P$18,$M7244+1)/12)*12*D7244</f>
        <v>219336.17893036499</v>
      </c>
      <c r="K7244" s="711"/>
      <c r="M7244" s="62">
        <f t="shared" ref="M7244:M7306" si="587">IF(C7244&gt;6,3,5)</f>
        <v>5</v>
      </c>
    </row>
    <row r="7245" spans="1:13">
      <c r="A7245" s="88">
        <f>+A7244+1</f>
        <v>27</v>
      </c>
      <c r="B7245" s="69" t="s">
        <v>2784</v>
      </c>
      <c r="C7245" s="69">
        <v>7</v>
      </c>
      <c r="D7245" s="89">
        <v>2</v>
      </c>
      <c r="E7245" s="89">
        <v>2</v>
      </c>
      <c r="F7245" s="89">
        <v>2</v>
      </c>
      <c r="G7245" s="89">
        <v>2</v>
      </c>
      <c r="H7245" s="89">
        <v>2</v>
      </c>
      <c r="I7245" s="89">
        <v>2</v>
      </c>
      <c r="J7245" s="710">
        <f>(VLOOKUP($C7245,[2]Sheet1!$A$2:$P$18,$M7245+1)/12)*12*D7245</f>
        <v>615413.40480000013</v>
      </c>
      <c r="K7245" s="711"/>
      <c r="M7245" s="62">
        <f t="shared" si="587"/>
        <v>3</v>
      </c>
    </row>
    <row r="7246" spans="1:13">
      <c r="A7246" s="88">
        <f>+A7245+1</f>
        <v>28</v>
      </c>
      <c r="B7246" s="69" t="s">
        <v>2785</v>
      </c>
      <c r="C7246" s="69">
        <v>5</v>
      </c>
      <c r="D7246" s="89">
        <v>2</v>
      </c>
      <c r="E7246" s="89">
        <v>2</v>
      </c>
      <c r="F7246" s="89">
        <v>2</v>
      </c>
      <c r="G7246" s="89">
        <v>2</v>
      </c>
      <c r="H7246" s="89">
        <v>2</v>
      </c>
      <c r="I7246" s="89">
        <v>2</v>
      </c>
      <c r="J7246" s="710">
        <f>(VLOOKUP($C7246,[2]Sheet1!$A$2:$P$18,$M7246+1)/12)*12*D7246</f>
        <v>459139.55786072998</v>
      </c>
      <c r="K7246" s="711"/>
      <c r="M7246" s="62">
        <f t="shared" si="587"/>
        <v>5</v>
      </c>
    </row>
    <row r="7247" spans="1:13">
      <c r="A7247" s="88">
        <f>+A7245+1</f>
        <v>28</v>
      </c>
      <c r="B7247" s="69" t="s">
        <v>2416</v>
      </c>
      <c r="C7247" s="69">
        <v>4</v>
      </c>
      <c r="D7247" s="89">
        <v>2</v>
      </c>
      <c r="E7247" s="89">
        <v>2</v>
      </c>
      <c r="F7247" s="89">
        <v>2</v>
      </c>
      <c r="G7247" s="89">
        <v>2</v>
      </c>
      <c r="H7247" s="89">
        <v>2</v>
      </c>
      <c r="I7247" s="89">
        <v>2</v>
      </c>
      <c r="J7247" s="710">
        <f>(VLOOKUP($C7247,[2]Sheet1!$A$2:$P$18,$M7247+1)/12)*12*D7247</f>
        <v>449085.95786073001</v>
      </c>
      <c r="K7247" s="711"/>
      <c r="M7247" s="62">
        <f t="shared" si="587"/>
        <v>5</v>
      </c>
    </row>
    <row r="7248" spans="1:13">
      <c r="A7248" s="177"/>
      <c r="B7248" s="177" t="s">
        <v>1238</v>
      </c>
      <c r="C7248" s="69"/>
      <c r="D7248" s="89"/>
      <c r="E7248" s="89"/>
      <c r="F7248" s="89"/>
      <c r="G7248" s="89"/>
      <c r="H7248" s="89"/>
      <c r="I7248" s="89"/>
      <c r="J7248" s="710"/>
      <c r="K7248" s="711"/>
      <c r="M7248" s="62">
        <f t="shared" si="587"/>
        <v>5</v>
      </c>
    </row>
    <row r="7249" spans="1:13">
      <c r="A7249" s="88">
        <f>+A7247+1</f>
        <v>29</v>
      </c>
      <c r="B7249" s="69" t="s">
        <v>3532</v>
      </c>
      <c r="C7249" s="69">
        <v>16</v>
      </c>
      <c r="D7249" s="89">
        <v>1</v>
      </c>
      <c r="E7249" s="89">
        <v>1</v>
      </c>
      <c r="F7249" s="89">
        <v>1</v>
      </c>
      <c r="G7249" s="89">
        <v>1</v>
      </c>
      <c r="H7249" s="89">
        <v>1</v>
      </c>
      <c r="I7249" s="89">
        <v>1</v>
      </c>
      <c r="J7249" s="710">
        <f>(VLOOKUP($C7249,[2]Sheet1!$A$2:$P$18,$M7249+1)/12)*12*D7249</f>
        <v>677281.26084</v>
      </c>
      <c r="K7249" s="711"/>
      <c r="M7249" s="62">
        <f t="shared" si="587"/>
        <v>3</v>
      </c>
    </row>
    <row r="7250" spans="1:13">
      <c r="A7250" s="88">
        <f t="shared" ref="A7250:A7260" si="588">+A7249+1</f>
        <v>30</v>
      </c>
      <c r="B7250" s="69" t="s">
        <v>1256</v>
      </c>
      <c r="C7250" s="69">
        <v>15</v>
      </c>
      <c r="D7250" s="89">
        <v>1</v>
      </c>
      <c r="E7250" s="89">
        <v>1</v>
      </c>
      <c r="F7250" s="89">
        <v>1</v>
      </c>
      <c r="G7250" s="89">
        <v>1</v>
      </c>
      <c r="H7250" s="89">
        <v>1</v>
      </c>
      <c r="I7250" s="89">
        <v>1</v>
      </c>
      <c r="J7250" s="710">
        <f>(VLOOKUP($C7250,[2]Sheet1!$A$2:$P$18,$M7250+1)/12)*12*D7250</f>
        <v>658331.89992</v>
      </c>
      <c r="K7250" s="711"/>
      <c r="M7250" s="62">
        <f t="shared" si="587"/>
        <v>3</v>
      </c>
    </row>
    <row r="7251" spans="1:13">
      <c r="A7251" s="88">
        <f t="shared" si="588"/>
        <v>31</v>
      </c>
      <c r="B7251" s="69" t="s">
        <v>2300</v>
      </c>
      <c r="C7251" s="69">
        <v>14</v>
      </c>
      <c r="D7251" s="89">
        <v>1</v>
      </c>
      <c r="E7251" s="89">
        <v>1</v>
      </c>
      <c r="F7251" s="89">
        <v>1</v>
      </c>
      <c r="G7251" s="89">
        <v>1</v>
      </c>
      <c r="H7251" s="89">
        <v>1</v>
      </c>
      <c r="I7251" s="89">
        <v>1</v>
      </c>
      <c r="J7251" s="710">
        <f>(VLOOKUP($C7251,[2]Sheet1!$A$2:$P$18,$M7251+1)/12)*12*D7251</f>
        <v>669099.40824000002</v>
      </c>
      <c r="K7251" s="711"/>
      <c r="M7251" s="62">
        <f t="shared" si="587"/>
        <v>3</v>
      </c>
    </row>
    <row r="7252" spans="1:13">
      <c r="A7252" s="88">
        <f t="shared" si="588"/>
        <v>32</v>
      </c>
      <c r="B7252" s="69" t="s">
        <v>3065</v>
      </c>
      <c r="C7252" s="69">
        <v>9</v>
      </c>
      <c r="D7252" s="89">
        <v>2</v>
      </c>
      <c r="E7252" s="89">
        <v>2</v>
      </c>
      <c r="F7252" s="89">
        <v>2</v>
      </c>
      <c r="G7252" s="89">
        <v>2</v>
      </c>
      <c r="H7252" s="89">
        <v>2</v>
      </c>
      <c r="I7252" s="89">
        <v>2</v>
      </c>
      <c r="J7252" s="710">
        <f>(VLOOKUP($C7252,[2]Sheet1!$A$2:$P$18,$M7252+1)/12)*12*D7252</f>
        <v>819363.81239999994</v>
      </c>
      <c r="K7252" s="711"/>
      <c r="M7252" s="62">
        <f t="shared" si="587"/>
        <v>3</v>
      </c>
    </row>
    <row r="7253" spans="1:13" ht="13.5" thickBot="1">
      <c r="A7253" s="88">
        <f t="shared" si="588"/>
        <v>33</v>
      </c>
      <c r="B7253" s="69" t="s">
        <v>50</v>
      </c>
      <c r="C7253" s="69">
        <v>8</v>
      </c>
      <c r="D7253" s="89">
        <v>3</v>
      </c>
      <c r="E7253" s="89">
        <v>3</v>
      </c>
      <c r="F7253" s="89">
        <v>3</v>
      </c>
      <c r="G7253" s="89">
        <v>3</v>
      </c>
      <c r="H7253" s="89">
        <v>3</v>
      </c>
      <c r="I7253" s="89">
        <v>3</v>
      </c>
      <c r="J7253" s="710">
        <f>(VLOOKUP($C7253,[2]Sheet1!$A$2:$P$18,$M7253+1)/12)*12*D7253</f>
        <v>1026423.82224</v>
      </c>
      <c r="K7253" s="711"/>
      <c r="M7253" s="62">
        <f t="shared" si="587"/>
        <v>3</v>
      </c>
    </row>
    <row r="7254" spans="1:13" ht="15.75" thickTop="1">
      <c r="A7254" s="1047" t="s">
        <v>2791</v>
      </c>
      <c r="B7254" s="1049" t="s">
        <v>4126</v>
      </c>
      <c r="C7254" s="1049" t="s">
        <v>854</v>
      </c>
      <c r="D7254" s="1040" t="s">
        <v>4127</v>
      </c>
      <c r="E7254" s="1041"/>
      <c r="F7254" s="1041"/>
      <c r="G7254" s="1040" t="s">
        <v>904</v>
      </c>
      <c r="H7254" s="1041"/>
      <c r="I7254" s="1042"/>
      <c r="J7254" s="1035" t="s">
        <v>855</v>
      </c>
      <c r="K7254" s="389"/>
    </row>
    <row r="7255" spans="1:13" ht="26.25" thickBot="1">
      <c r="A7255" s="1048"/>
      <c r="B7255" s="1050"/>
      <c r="C7255" s="1050"/>
      <c r="D7255" s="285" t="s">
        <v>5505</v>
      </c>
      <c r="E7255" s="285" t="s">
        <v>4485</v>
      </c>
      <c r="F7255" s="285" t="s">
        <v>4486</v>
      </c>
      <c r="G7255" s="287" t="s">
        <v>4487</v>
      </c>
      <c r="H7255" s="285" t="s">
        <v>4488</v>
      </c>
      <c r="I7255" s="287" t="s">
        <v>4489</v>
      </c>
      <c r="J7255" s="1036"/>
      <c r="K7255" s="712"/>
    </row>
    <row r="7256" spans="1:13" ht="13.5" thickTop="1">
      <c r="A7256" s="88">
        <f>+A7253+1</f>
        <v>34</v>
      </c>
      <c r="B7256" s="69" t="s">
        <v>1020</v>
      </c>
      <c r="C7256" s="69">
        <v>6</v>
      </c>
      <c r="D7256" s="89">
        <v>3</v>
      </c>
      <c r="E7256" s="89">
        <v>3</v>
      </c>
      <c r="F7256" s="89">
        <v>3</v>
      </c>
      <c r="G7256" s="89">
        <v>3</v>
      </c>
      <c r="H7256" s="89">
        <v>3</v>
      </c>
      <c r="I7256" s="89">
        <v>3</v>
      </c>
      <c r="J7256" s="710">
        <f>(VLOOKUP($C7256,[2]Sheet1!$A$2:$P$18,$M7256+1)/12)*12*D7256</f>
        <v>714298.1367910949</v>
      </c>
      <c r="K7256" s="711"/>
      <c r="M7256" s="62">
        <f t="shared" si="587"/>
        <v>5</v>
      </c>
    </row>
    <row r="7257" spans="1:13">
      <c r="A7257" s="88">
        <f>+A7256+1</f>
        <v>35</v>
      </c>
      <c r="B7257" s="69" t="s">
        <v>1140</v>
      </c>
      <c r="C7257" s="69">
        <v>4</v>
      </c>
      <c r="D7257" s="89">
        <v>2</v>
      </c>
      <c r="E7257" s="89">
        <v>2</v>
      </c>
      <c r="F7257" s="89">
        <v>2</v>
      </c>
      <c r="G7257" s="89">
        <v>2</v>
      </c>
      <c r="H7257" s="89">
        <v>2</v>
      </c>
      <c r="I7257" s="89">
        <v>2</v>
      </c>
      <c r="J7257" s="710">
        <f>(VLOOKUP($C7257,[2]Sheet1!$A$2:$P$18,$M7257+1)/12)*12*D7257</f>
        <v>449085.95786073001</v>
      </c>
      <c r="K7257" s="711"/>
      <c r="M7257" s="62">
        <f t="shared" si="587"/>
        <v>5</v>
      </c>
    </row>
    <row r="7258" spans="1:13">
      <c r="A7258" s="88">
        <f>+A7257+1</f>
        <v>36</v>
      </c>
      <c r="B7258" s="69" t="s">
        <v>906</v>
      </c>
      <c r="C7258" s="69">
        <v>4</v>
      </c>
      <c r="D7258" s="89">
        <v>1</v>
      </c>
      <c r="E7258" s="89">
        <v>1</v>
      </c>
      <c r="F7258" s="89">
        <v>1</v>
      </c>
      <c r="G7258" s="89">
        <v>1</v>
      </c>
      <c r="H7258" s="89">
        <v>1</v>
      </c>
      <c r="I7258" s="89">
        <v>1</v>
      </c>
      <c r="J7258" s="710">
        <f>(VLOOKUP($C7258,[2]Sheet1!$A$2:$P$18,$M7258+1)/12)*12*D7258</f>
        <v>224542.978930365</v>
      </c>
      <c r="K7258" s="711"/>
      <c r="M7258" s="62">
        <f t="shared" si="587"/>
        <v>5</v>
      </c>
    </row>
    <row r="7259" spans="1:13">
      <c r="A7259" s="88">
        <f t="shared" si="588"/>
        <v>37</v>
      </c>
      <c r="B7259" s="69" t="s">
        <v>3861</v>
      </c>
      <c r="C7259" s="69">
        <v>4</v>
      </c>
      <c r="D7259" s="89">
        <v>1</v>
      </c>
      <c r="E7259" s="89">
        <v>1</v>
      </c>
      <c r="F7259" s="89">
        <v>1</v>
      </c>
      <c r="G7259" s="89">
        <v>1</v>
      </c>
      <c r="H7259" s="89">
        <v>1</v>
      </c>
      <c r="I7259" s="89">
        <v>1</v>
      </c>
      <c r="J7259" s="710">
        <f>(VLOOKUP($C7259,[2]Sheet1!$A$2:$P$18,$M7259+1)/12)*12*D7259</f>
        <v>224542.978930365</v>
      </c>
      <c r="K7259" s="711"/>
      <c r="M7259" s="62">
        <f t="shared" si="587"/>
        <v>5</v>
      </c>
    </row>
    <row r="7260" spans="1:13">
      <c r="A7260" s="88">
        <f t="shared" si="588"/>
        <v>38</v>
      </c>
      <c r="B7260" s="69" t="s">
        <v>4244</v>
      </c>
      <c r="C7260" s="69">
        <v>2</v>
      </c>
      <c r="D7260" s="89">
        <v>7</v>
      </c>
      <c r="E7260" s="89">
        <v>1</v>
      </c>
      <c r="F7260" s="89">
        <v>1</v>
      </c>
      <c r="G7260" s="89">
        <v>1</v>
      </c>
      <c r="H7260" s="89">
        <v>1</v>
      </c>
      <c r="I7260" s="89">
        <v>7</v>
      </c>
      <c r="J7260" s="710">
        <f>(VLOOKUP($C7260,[2]Sheet1!$A$2:$P$18,$M7260+1)/12)*12*D7260</f>
        <v>1502601.6525125552</v>
      </c>
      <c r="K7260" s="711"/>
      <c r="M7260" s="62">
        <f>IF(C7260&gt;6,3,5)</f>
        <v>5</v>
      </c>
    </row>
    <row r="7261" spans="1:13">
      <c r="A7261" s="88"/>
      <c r="B7261" s="90" t="s">
        <v>4093</v>
      </c>
      <c r="C7261" s="69"/>
      <c r="D7261" s="89"/>
      <c r="E7261" s="89"/>
      <c r="F7261" s="89"/>
      <c r="G7261" s="89"/>
      <c r="H7261" s="89"/>
      <c r="I7261" s="89"/>
      <c r="J7261" s="710"/>
      <c r="K7261" s="711"/>
      <c r="M7261" s="62">
        <f t="shared" si="587"/>
        <v>5</v>
      </c>
    </row>
    <row r="7262" spans="1:13">
      <c r="A7262" s="88">
        <f>+A7259+1</f>
        <v>38</v>
      </c>
      <c r="B7262" s="69" t="s">
        <v>3532</v>
      </c>
      <c r="C7262" s="69">
        <v>16</v>
      </c>
      <c r="D7262" s="89">
        <v>1</v>
      </c>
      <c r="E7262" s="89">
        <v>0</v>
      </c>
      <c r="F7262" s="89">
        <v>0</v>
      </c>
      <c r="G7262" s="89">
        <v>0</v>
      </c>
      <c r="H7262" s="89">
        <v>0</v>
      </c>
      <c r="I7262" s="89">
        <v>1</v>
      </c>
      <c r="J7262" s="710">
        <f>(VLOOKUP($C7262,[2]Sheet1!$A$2:$P$18,$M7262+1)/12)*12*D7262</f>
        <v>677281.26084</v>
      </c>
      <c r="K7262" s="711"/>
      <c r="M7262" s="62">
        <f t="shared" si="587"/>
        <v>3</v>
      </c>
    </row>
    <row r="7263" spans="1:13">
      <c r="A7263" s="88">
        <f t="shared" ref="A7263:A7272" si="589">+A7262+1</f>
        <v>39</v>
      </c>
      <c r="B7263" s="69" t="s">
        <v>1256</v>
      </c>
      <c r="C7263" s="69">
        <v>15</v>
      </c>
      <c r="D7263" s="89">
        <v>1</v>
      </c>
      <c r="E7263" s="89">
        <v>1</v>
      </c>
      <c r="F7263" s="89">
        <v>0</v>
      </c>
      <c r="G7263" s="89">
        <v>0</v>
      </c>
      <c r="H7263" s="89">
        <v>1</v>
      </c>
      <c r="I7263" s="89">
        <v>1</v>
      </c>
      <c r="J7263" s="710">
        <f>(VLOOKUP($C7263,[2]Sheet1!$A$2:$P$18,$M7263+1)/12)*12*D7263</f>
        <v>658331.89992</v>
      </c>
      <c r="K7263" s="711"/>
      <c r="M7263" s="62">
        <f t="shared" si="587"/>
        <v>3</v>
      </c>
    </row>
    <row r="7264" spans="1:13">
      <c r="A7264" s="88">
        <f t="shared" si="589"/>
        <v>40</v>
      </c>
      <c r="B7264" s="69" t="s">
        <v>2300</v>
      </c>
      <c r="C7264" s="69">
        <v>14</v>
      </c>
      <c r="D7264" s="89">
        <v>1</v>
      </c>
      <c r="E7264" s="89">
        <v>1</v>
      </c>
      <c r="F7264" s="89">
        <v>1</v>
      </c>
      <c r="G7264" s="89">
        <v>1</v>
      </c>
      <c r="H7264" s="89">
        <v>1</v>
      </c>
      <c r="I7264" s="89">
        <v>1</v>
      </c>
      <c r="J7264" s="710">
        <f>(VLOOKUP($C7264,[2]Sheet1!$A$2:$P$18,$M7264+1)/12)*12*D7264</f>
        <v>669099.40824000002</v>
      </c>
      <c r="K7264" s="711"/>
      <c r="M7264" s="62">
        <f t="shared" si="587"/>
        <v>3</v>
      </c>
    </row>
    <row r="7265" spans="1:13">
      <c r="A7265" s="88">
        <f t="shared" si="589"/>
        <v>41</v>
      </c>
      <c r="B7265" s="69" t="s">
        <v>4094</v>
      </c>
      <c r="C7265" s="69">
        <v>13</v>
      </c>
      <c r="D7265" s="89">
        <v>1</v>
      </c>
      <c r="E7265" s="89">
        <v>4</v>
      </c>
      <c r="F7265" s="89">
        <v>4</v>
      </c>
      <c r="G7265" s="89">
        <v>4</v>
      </c>
      <c r="H7265" s="89">
        <v>4</v>
      </c>
      <c r="I7265" s="89">
        <v>1</v>
      </c>
      <c r="J7265" s="710">
        <f>(VLOOKUP($C7265,[2]Sheet1!$A$2:$P$18,$M7265+1)/12)*12*D7265</f>
        <v>628759.53804000001</v>
      </c>
      <c r="K7265" s="711"/>
      <c r="M7265" s="62">
        <f t="shared" si="587"/>
        <v>3</v>
      </c>
    </row>
    <row r="7266" spans="1:13">
      <c r="A7266" s="88">
        <f t="shared" si="589"/>
        <v>42</v>
      </c>
      <c r="B7266" s="69" t="s">
        <v>2060</v>
      </c>
      <c r="C7266" s="69">
        <v>12</v>
      </c>
      <c r="D7266" s="89">
        <v>1</v>
      </c>
      <c r="E7266" s="89">
        <v>2</v>
      </c>
      <c r="F7266" s="89">
        <v>1</v>
      </c>
      <c r="G7266" s="89">
        <v>1</v>
      </c>
      <c r="H7266" s="89">
        <v>1</v>
      </c>
      <c r="I7266" s="89">
        <v>1</v>
      </c>
      <c r="J7266" s="710">
        <f>(VLOOKUP($C7266,[2]Sheet1!$A$2:$P$18,$M7266+1)/12)*12*D7266</f>
        <v>552685.0537200002</v>
      </c>
      <c r="K7266" s="711"/>
      <c r="M7266" s="62">
        <f t="shared" si="587"/>
        <v>3</v>
      </c>
    </row>
    <row r="7267" spans="1:13">
      <c r="A7267" s="88">
        <f t="shared" si="589"/>
        <v>43</v>
      </c>
      <c r="B7267" s="69" t="s">
        <v>2062</v>
      </c>
      <c r="C7267" s="69">
        <v>10</v>
      </c>
      <c r="D7267" s="89">
        <v>1</v>
      </c>
      <c r="E7267" s="89">
        <v>3</v>
      </c>
      <c r="F7267" s="89">
        <v>1</v>
      </c>
      <c r="G7267" s="89">
        <v>1</v>
      </c>
      <c r="H7267" s="89">
        <v>1</v>
      </c>
      <c r="I7267" s="89">
        <v>1</v>
      </c>
      <c r="J7267" s="710">
        <f>(VLOOKUP($C7267,[2]Sheet1!$A$2:$P$18,$M7267+1)/12)*12*D7267</f>
        <v>483974.5687200001</v>
      </c>
      <c r="K7267" s="711"/>
      <c r="M7267" s="62">
        <f t="shared" si="587"/>
        <v>3</v>
      </c>
    </row>
    <row r="7268" spans="1:13">
      <c r="A7268" s="88">
        <f t="shared" si="589"/>
        <v>44</v>
      </c>
      <c r="B7268" s="69" t="s">
        <v>2063</v>
      </c>
      <c r="C7268" s="69">
        <v>6</v>
      </c>
      <c r="D7268" s="89">
        <v>1</v>
      </c>
      <c r="E7268" s="89">
        <v>3</v>
      </c>
      <c r="F7268" s="89">
        <v>1</v>
      </c>
      <c r="G7268" s="89">
        <v>1</v>
      </c>
      <c r="H7268" s="89">
        <v>2</v>
      </c>
      <c r="I7268" s="89">
        <v>1</v>
      </c>
      <c r="J7268" s="710">
        <f>(VLOOKUP($C7268,[2]Sheet1!$A$2:$P$18,$M7268+1)/12)*12*D7268</f>
        <v>238099.37893036497</v>
      </c>
      <c r="K7268" s="711"/>
      <c r="M7268" s="62">
        <f t="shared" si="587"/>
        <v>5</v>
      </c>
    </row>
    <row r="7269" spans="1:13">
      <c r="A7269" s="88">
        <f t="shared" si="589"/>
        <v>45</v>
      </c>
      <c r="B7269" s="69" t="s">
        <v>2064</v>
      </c>
      <c r="C7269" s="69">
        <v>5</v>
      </c>
      <c r="D7269" s="89">
        <v>3</v>
      </c>
      <c r="E7269" s="89">
        <v>3</v>
      </c>
      <c r="F7269" s="89">
        <v>3</v>
      </c>
      <c r="G7269" s="89">
        <v>3</v>
      </c>
      <c r="H7269" s="89">
        <v>3</v>
      </c>
      <c r="I7269" s="89">
        <v>3</v>
      </c>
      <c r="J7269" s="710">
        <f>(VLOOKUP($C7269,[2]Sheet1!$A$2:$P$18,$M7269+1)/12)*12*D7269</f>
        <v>688709.33679109497</v>
      </c>
      <c r="K7269" s="711"/>
      <c r="M7269" s="62">
        <f t="shared" si="587"/>
        <v>5</v>
      </c>
    </row>
    <row r="7270" spans="1:13">
      <c r="A7270" s="88">
        <f t="shared" si="589"/>
        <v>46</v>
      </c>
      <c r="B7270" s="69" t="s">
        <v>2172</v>
      </c>
      <c r="C7270" s="69">
        <v>4</v>
      </c>
      <c r="D7270" s="89">
        <v>1</v>
      </c>
      <c r="E7270" s="89">
        <v>1</v>
      </c>
      <c r="F7270" s="89">
        <v>1</v>
      </c>
      <c r="G7270" s="89">
        <v>1</v>
      </c>
      <c r="H7270" s="89">
        <v>1</v>
      </c>
      <c r="I7270" s="89">
        <v>1</v>
      </c>
      <c r="J7270" s="710">
        <f>(VLOOKUP($C7270,[2]Sheet1!$A$2:$P$18,$M7270+1)/12)*12*D7270</f>
        <v>224542.978930365</v>
      </c>
      <c r="K7270" s="711"/>
      <c r="M7270" s="62">
        <f t="shared" si="587"/>
        <v>5</v>
      </c>
    </row>
    <row r="7271" spans="1:13">
      <c r="A7271" s="88">
        <f t="shared" si="589"/>
        <v>47</v>
      </c>
      <c r="B7271" s="69" t="s">
        <v>3252</v>
      </c>
      <c r="C7271" s="69">
        <v>4</v>
      </c>
      <c r="D7271" s="89">
        <v>1</v>
      </c>
      <c r="E7271" s="89">
        <v>1</v>
      </c>
      <c r="F7271" s="89">
        <v>1</v>
      </c>
      <c r="G7271" s="89">
        <v>1</v>
      </c>
      <c r="H7271" s="89">
        <v>1</v>
      </c>
      <c r="I7271" s="89">
        <v>1</v>
      </c>
      <c r="J7271" s="710">
        <f>(VLOOKUP($C7271,[2]Sheet1!$A$2:$P$18,$M7271+1)/12)*12*D7271</f>
        <v>224542.978930365</v>
      </c>
      <c r="K7271" s="711"/>
      <c r="M7271" s="62">
        <f t="shared" si="587"/>
        <v>5</v>
      </c>
    </row>
    <row r="7272" spans="1:13">
      <c r="A7272" s="88">
        <f t="shared" si="589"/>
        <v>48</v>
      </c>
      <c r="B7272" s="69" t="s">
        <v>3861</v>
      </c>
      <c r="C7272" s="69">
        <v>4</v>
      </c>
      <c r="D7272" s="89">
        <v>3</v>
      </c>
      <c r="E7272" s="89">
        <v>3</v>
      </c>
      <c r="F7272" s="89">
        <v>3</v>
      </c>
      <c r="G7272" s="89">
        <v>3</v>
      </c>
      <c r="H7272" s="89">
        <v>3</v>
      </c>
      <c r="I7272" s="89">
        <v>3</v>
      </c>
      <c r="J7272" s="710">
        <f>(VLOOKUP($C7272,[2]Sheet1!$A$2:$P$18,$M7272+1)/12)*12*D7272</f>
        <v>673628.93679109495</v>
      </c>
      <c r="K7272" s="711"/>
      <c r="M7272" s="62">
        <f t="shared" si="587"/>
        <v>5</v>
      </c>
    </row>
    <row r="7273" spans="1:13">
      <c r="A7273" s="88"/>
      <c r="B7273" s="90" t="s">
        <v>1918</v>
      </c>
      <c r="C7273" s="69"/>
      <c r="D7273" s="89"/>
      <c r="E7273" s="89"/>
      <c r="F7273" s="89"/>
      <c r="G7273" s="89"/>
      <c r="H7273" s="89"/>
      <c r="I7273" s="89"/>
      <c r="J7273" s="710"/>
      <c r="K7273" s="711"/>
      <c r="M7273" s="62">
        <f t="shared" si="587"/>
        <v>5</v>
      </c>
    </row>
    <row r="7274" spans="1:13">
      <c r="A7274" s="88">
        <f>+A7272+1</f>
        <v>49</v>
      </c>
      <c r="B7274" s="69" t="s">
        <v>3532</v>
      </c>
      <c r="C7274" s="69">
        <v>16</v>
      </c>
      <c r="D7274" s="89">
        <v>0</v>
      </c>
      <c r="E7274" s="89">
        <v>1</v>
      </c>
      <c r="F7274" s="89">
        <v>0</v>
      </c>
      <c r="G7274" s="89">
        <v>0</v>
      </c>
      <c r="H7274" s="89">
        <v>1</v>
      </c>
      <c r="I7274" s="89">
        <v>0</v>
      </c>
      <c r="J7274" s="710">
        <f>(VLOOKUP($C7274,[2]Sheet1!$A$2:$P$18,$M7274+1)/12)*12*D7274</f>
        <v>0</v>
      </c>
      <c r="K7274" s="711"/>
      <c r="M7274" s="62">
        <f t="shared" si="587"/>
        <v>3</v>
      </c>
    </row>
    <row r="7275" spans="1:13">
      <c r="A7275" s="88">
        <f t="shared" ref="A7275:A7309" si="590">+A7274+1</f>
        <v>50</v>
      </c>
      <c r="B7275" s="69" t="s">
        <v>1256</v>
      </c>
      <c r="C7275" s="69">
        <v>15</v>
      </c>
      <c r="D7275" s="89">
        <v>0</v>
      </c>
      <c r="E7275" s="89">
        <v>1</v>
      </c>
      <c r="F7275" s="89">
        <v>1</v>
      </c>
      <c r="G7275" s="89">
        <v>1</v>
      </c>
      <c r="H7275" s="89">
        <v>1</v>
      </c>
      <c r="I7275" s="89">
        <v>0</v>
      </c>
      <c r="J7275" s="710">
        <f>(VLOOKUP($C7275,[2]Sheet1!$A$2:$P$18,$M7275+1)/12)*12*D7275</f>
        <v>0</v>
      </c>
      <c r="K7275" s="711"/>
      <c r="M7275" s="62">
        <f t="shared" si="587"/>
        <v>3</v>
      </c>
    </row>
    <row r="7276" spans="1:13">
      <c r="A7276" s="88">
        <f t="shared" si="590"/>
        <v>51</v>
      </c>
      <c r="B7276" s="69" t="s">
        <v>571</v>
      </c>
      <c r="C7276" s="69">
        <v>14</v>
      </c>
      <c r="D7276" s="89">
        <v>3</v>
      </c>
      <c r="E7276" s="89">
        <v>5</v>
      </c>
      <c r="F7276" s="89">
        <v>3</v>
      </c>
      <c r="G7276" s="89">
        <v>3</v>
      </c>
      <c r="H7276" s="89">
        <v>3</v>
      </c>
      <c r="I7276" s="89">
        <v>3</v>
      </c>
      <c r="J7276" s="710">
        <f>(VLOOKUP($C7276,[2]Sheet1!$A$2:$P$18,$M7276+1)/12)*12*D7276</f>
        <v>2007298.2247200001</v>
      </c>
      <c r="K7276" s="711"/>
      <c r="M7276" s="62">
        <f t="shared" si="587"/>
        <v>3</v>
      </c>
    </row>
    <row r="7277" spans="1:13">
      <c r="A7277" s="88">
        <f t="shared" si="590"/>
        <v>52</v>
      </c>
      <c r="B7277" s="69" t="s">
        <v>2496</v>
      </c>
      <c r="C7277" s="69">
        <v>13</v>
      </c>
      <c r="D7277" s="89">
        <v>2</v>
      </c>
      <c r="E7277" s="89">
        <v>2</v>
      </c>
      <c r="F7277" s="89">
        <v>2</v>
      </c>
      <c r="G7277" s="89">
        <v>2</v>
      </c>
      <c r="H7277" s="89">
        <v>2</v>
      </c>
      <c r="I7277" s="89">
        <v>2</v>
      </c>
      <c r="J7277" s="710">
        <f>(VLOOKUP($C7277,[2]Sheet1!$A$2:$P$18,$M7277+1)/12)*12*D7277</f>
        <v>1257519.07608</v>
      </c>
      <c r="K7277" s="711"/>
      <c r="M7277" s="62">
        <f t="shared" si="587"/>
        <v>3</v>
      </c>
    </row>
    <row r="7278" spans="1:13">
      <c r="A7278" s="88">
        <f t="shared" si="590"/>
        <v>53</v>
      </c>
      <c r="B7278" s="69" t="s">
        <v>572</v>
      </c>
      <c r="C7278" s="69">
        <v>13</v>
      </c>
      <c r="D7278" s="89">
        <v>2</v>
      </c>
      <c r="E7278" s="89">
        <v>4</v>
      </c>
      <c r="F7278" s="89">
        <v>4</v>
      </c>
      <c r="G7278" s="89">
        <v>4</v>
      </c>
      <c r="H7278" s="89">
        <v>2</v>
      </c>
      <c r="I7278" s="89">
        <v>2</v>
      </c>
      <c r="J7278" s="710">
        <f>(VLOOKUP($C7278,[2]Sheet1!$A$2:$P$18,$M7278+1)/12)*12*D7278</f>
        <v>1257519.07608</v>
      </c>
      <c r="K7278" s="711"/>
      <c r="M7278" s="62">
        <f t="shared" si="587"/>
        <v>3</v>
      </c>
    </row>
    <row r="7279" spans="1:13">
      <c r="A7279" s="88">
        <f t="shared" si="590"/>
        <v>54</v>
      </c>
      <c r="B7279" s="69" t="s">
        <v>2497</v>
      </c>
      <c r="C7279" s="69">
        <v>10</v>
      </c>
      <c r="D7279" s="89">
        <v>0</v>
      </c>
      <c r="E7279" s="89">
        <v>0</v>
      </c>
      <c r="F7279" s="89">
        <v>0</v>
      </c>
      <c r="G7279" s="89">
        <v>0</v>
      </c>
      <c r="H7279" s="89">
        <v>0</v>
      </c>
      <c r="I7279" s="89">
        <v>0</v>
      </c>
      <c r="J7279" s="710">
        <f>(VLOOKUP($C7279,[2]Sheet1!$A$2:$P$18,$M7279+1)/12)*12*D7279</f>
        <v>0</v>
      </c>
      <c r="K7279" s="711"/>
      <c r="M7279" s="62">
        <f t="shared" si="587"/>
        <v>3</v>
      </c>
    </row>
    <row r="7280" spans="1:13">
      <c r="A7280" s="88">
        <f t="shared" si="590"/>
        <v>55</v>
      </c>
      <c r="B7280" s="69" t="s">
        <v>3067</v>
      </c>
      <c r="C7280" s="69">
        <v>9</v>
      </c>
      <c r="D7280" s="89">
        <v>2</v>
      </c>
      <c r="E7280" s="89">
        <v>2</v>
      </c>
      <c r="F7280" s="89">
        <v>2</v>
      </c>
      <c r="G7280" s="89">
        <v>2</v>
      </c>
      <c r="H7280" s="89">
        <v>2</v>
      </c>
      <c r="I7280" s="89">
        <v>2</v>
      </c>
      <c r="J7280" s="710">
        <f>(VLOOKUP($C7280,[2]Sheet1!$A$2:$P$18,$M7280+1)/12)*12*D7280</f>
        <v>819363.81239999994</v>
      </c>
      <c r="K7280" s="711"/>
      <c r="M7280" s="62">
        <f t="shared" si="587"/>
        <v>3</v>
      </c>
    </row>
    <row r="7281" spans="1:13">
      <c r="A7281" s="88">
        <f t="shared" si="590"/>
        <v>56</v>
      </c>
      <c r="B7281" s="69" t="s">
        <v>172</v>
      </c>
      <c r="C7281" s="69">
        <v>8</v>
      </c>
      <c r="D7281" s="89">
        <v>0</v>
      </c>
      <c r="E7281" s="89">
        <v>1</v>
      </c>
      <c r="F7281" s="89">
        <v>1</v>
      </c>
      <c r="G7281" s="89">
        <v>1</v>
      </c>
      <c r="H7281" s="89">
        <v>1</v>
      </c>
      <c r="I7281" s="89">
        <v>0</v>
      </c>
      <c r="J7281" s="710">
        <f>(VLOOKUP($C7281,[2]Sheet1!$A$2:$P$18,$M7281+1)/12)*12*D7281</f>
        <v>0</v>
      </c>
      <c r="K7281" s="711"/>
      <c r="M7281" s="62">
        <f t="shared" si="587"/>
        <v>3</v>
      </c>
    </row>
    <row r="7282" spans="1:13">
      <c r="A7282" s="88">
        <f t="shared" si="590"/>
        <v>57</v>
      </c>
      <c r="B7282" s="69" t="s">
        <v>1389</v>
      </c>
      <c r="C7282" s="69">
        <v>8</v>
      </c>
      <c r="D7282" s="89">
        <v>1</v>
      </c>
      <c r="E7282" s="89">
        <v>1</v>
      </c>
      <c r="F7282" s="89">
        <v>1</v>
      </c>
      <c r="G7282" s="89">
        <v>1</v>
      </c>
      <c r="H7282" s="89">
        <v>1</v>
      </c>
      <c r="I7282" s="89">
        <v>1</v>
      </c>
      <c r="J7282" s="710">
        <f>(VLOOKUP($C7282,[2]Sheet1!$A$2:$P$18,$M7282+1)/12)*12*D7282</f>
        <v>342141.27408</v>
      </c>
      <c r="K7282" s="711"/>
      <c r="M7282" s="62">
        <f t="shared" si="587"/>
        <v>3</v>
      </c>
    </row>
    <row r="7283" spans="1:13">
      <c r="A7283" s="88">
        <f t="shared" si="590"/>
        <v>58</v>
      </c>
      <c r="B7283" s="69" t="s">
        <v>307</v>
      </c>
      <c r="C7283" s="69">
        <v>7</v>
      </c>
      <c r="D7283" s="89">
        <v>1</v>
      </c>
      <c r="E7283" s="89">
        <v>1</v>
      </c>
      <c r="F7283" s="89">
        <v>1</v>
      </c>
      <c r="G7283" s="89">
        <v>1</v>
      </c>
      <c r="H7283" s="89">
        <v>1</v>
      </c>
      <c r="I7283" s="89">
        <v>1</v>
      </c>
      <c r="J7283" s="710">
        <f>(VLOOKUP($C7283,[2]Sheet1!$A$2:$P$18,$M7283+1)/12)*12*D7283</f>
        <v>307706.70240000007</v>
      </c>
      <c r="K7283" s="711"/>
      <c r="M7283" s="62">
        <f t="shared" si="587"/>
        <v>3</v>
      </c>
    </row>
    <row r="7284" spans="1:13">
      <c r="A7284" s="88">
        <f t="shared" si="590"/>
        <v>59</v>
      </c>
      <c r="B7284" s="69" t="s">
        <v>308</v>
      </c>
      <c r="C7284" s="69">
        <v>7</v>
      </c>
      <c r="D7284" s="89">
        <v>1</v>
      </c>
      <c r="E7284" s="89">
        <v>1</v>
      </c>
      <c r="F7284" s="89">
        <v>1</v>
      </c>
      <c r="G7284" s="89">
        <v>1</v>
      </c>
      <c r="H7284" s="89">
        <v>1</v>
      </c>
      <c r="I7284" s="89">
        <v>1</v>
      </c>
      <c r="J7284" s="710">
        <f>(VLOOKUP($C7284,[2]Sheet1!$A$2:$P$18,$M7284+1)/12)*12*D7284</f>
        <v>307706.70240000007</v>
      </c>
      <c r="K7284" s="711"/>
      <c r="M7284" s="62">
        <f t="shared" si="587"/>
        <v>3</v>
      </c>
    </row>
    <row r="7285" spans="1:13">
      <c r="A7285" s="88">
        <f t="shared" si="590"/>
        <v>60</v>
      </c>
      <c r="B7285" s="69" t="s">
        <v>309</v>
      </c>
      <c r="C7285" s="69">
        <v>7</v>
      </c>
      <c r="D7285" s="89">
        <v>1</v>
      </c>
      <c r="E7285" s="89">
        <v>1</v>
      </c>
      <c r="F7285" s="89">
        <v>1</v>
      </c>
      <c r="G7285" s="89">
        <v>1</v>
      </c>
      <c r="H7285" s="89">
        <v>1</v>
      </c>
      <c r="I7285" s="89">
        <v>1</v>
      </c>
      <c r="J7285" s="710">
        <f>(VLOOKUP($C7285,[2]Sheet1!$A$2:$P$18,$M7285+1)/12)*12*D7285</f>
        <v>307706.70240000007</v>
      </c>
      <c r="K7285" s="711"/>
      <c r="M7285" s="62">
        <f t="shared" si="587"/>
        <v>3</v>
      </c>
    </row>
    <row r="7286" spans="1:13">
      <c r="A7286" s="88">
        <f t="shared" si="590"/>
        <v>61</v>
      </c>
      <c r="B7286" s="69" t="s">
        <v>310</v>
      </c>
      <c r="C7286" s="69">
        <v>7</v>
      </c>
      <c r="D7286" s="89">
        <v>1</v>
      </c>
      <c r="E7286" s="89">
        <v>1</v>
      </c>
      <c r="F7286" s="89">
        <v>1</v>
      </c>
      <c r="G7286" s="89">
        <v>1</v>
      </c>
      <c r="H7286" s="89">
        <v>1</v>
      </c>
      <c r="I7286" s="89">
        <v>1</v>
      </c>
      <c r="J7286" s="710">
        <f>(VLOOKUP($C7286,[2]Sheet1!$A$2:$P$18,$M7286+1)/12)*12*D7286</f>
        <v>307706.70240000007</v>
      </c>
      <c r="K7286" s="711"/>
      <c r="M7286" s="62">
        <f t="shared" si="587"/>
        <v>3</v>
      </c>
    </row>
    <row r="7287" spans="1:13">
      <c r="A7287" s="88">
        <f t="shared" si="590"/>
        <v>62</v>
      </c>
      <c r="B7287" s="69" t="s">
        <v>3393</v>
      </c>
      <c r="C7287" s="69">
        <v>5</v>
      </c>
      <c r="D7287" s="89">
        <v>2</v>
      </c>
      <c r="E7287" s="89">
        <v>2</v>
      </c>
      <c r="F7287" s="89">
        <v>2</v>
      </c>
      <c r="G7287" s="89">
        <v>2</v>
      </c>
      <c r="H7287" s="89">
        <v>2</v>
      </c>
      <c r="I7287" s="89">
        <v>2</v>
      </c>
      <c r="J7287" s="710">
        <f>(VLOOKUP($C7287,[2]Sheet1!$A$2:$P$18,$M7287+1)/12)*12*D7287</f>
        <v>459139.55786072998</v>
      </c>
      <c r="K7287" s="711"/>
      <c r="M7287" s="62">
        <f t="shared" si="587"/>
        <v>5</v>
      </c>
    </row>
    <row r="7288" spans="1:13">
      <c r="A7288" s="88">
        <f t="shared" si="590"/>
        <v>63</v>
      </c>
      <c r="B7288" s="69" t="s">
        <v>573</v>
      </c>
      <c r="C7288" s="69">
        <v>4</v>
      </c>
      <c r="D7288" s="89">
        <v>2</v>
      </c>
      <c r="E7288" s="89">
        <v>2</v>
      </c>
      <c r="F7288" s="89">
        <v>2</v>
      </c>
      <c r="G7288" s="89">
        <v>2</v>
      </c>
      <c r="H7288" s="89">
        <v>2</v>
      </c>
      <c r="I7288" s="89">
        <v>2</v>
      </c>
      <c r="J7288" s="710">
        <f>(VLOOKUP($C7288,[2]Sheet1!$A$2:$P$18,$M7288+1)/12)*12*D7288</f>
        <v>449085.95786073001</v>
      </c>
      <c r="K7288" s="711"/>
      <c r="M7288" s="62">
        <f t="shared" si="587"/>
        <v>5</v>
      </c>
    </row>
    <row r="7289" spans="1:13">
      <c r="A7289" s="88">
        <f t="shared" si="590"/>
        <v>64</v>
      </c>
      <c r="B7289" s="69" t="s">
        <v>2972</v>
      </c>
      <c r="C7289" s="69">
        <v>4</v>
      </c>
      <c r="D7289" s="89">
        <v>1</v>
      </c>
      <c r="E7289" s="89">
        <v>4</v>
      </c>
      <c r="F7289" s="89">
        <v>3</v>
      </c>
      <c r="G7289" s="89">
        <v>3</v>
      </c>
      <c r="H7289" s="89">
        <v>3</v>
      </c>
      <c r="I7289" s="89">
        <v>1</v>
      </c>
      <c r="J7289" s="710">
        <f>(VLOOKUP($C7289,[2]Sheet1!$A$2:$P$18,$M7289+1)/12)*12*D7289</f>
        <v>224542.978930365</v>
      </c>
      <c r="K7289" s="711"/>
      <c r="M7289" s="62">
        <f t="shared" si="587"/>
        <v>5</v>
      </c>
    </row>
    <row r="7290" spans="1:13">
      <c r="A7290" s="88">
        <f t="shared" si="590"/>
        <v>65</v>
      </c>
      <c r="B7290" s="69" t="s">
        <v>2232</v>
      </c>
      <c r="C7290" s="69">
        <v>3</v>
      </c>
      <c r="D7290" s="89">
        <v>2</v>
      </c>
      <c r="E7290" s="89">
        <v>1</v>
      </c>
      <c r="F7290" s="89">
        <v>1</v>
      </c>
      <c r="G7290" s="89">
        <v>1</v>
      </c>
      <c r="H7290" s="89">
        <v>1</v>
      </c>
      <c r="I7290" s="89">
        <v>2</v>
      </c>
      <c r="J7290" s="710">
        <f>(VLOOKUP($C7290,[2]Sheet1!$A$2:$P$18,$M7290+1)/12)*12*D7290</f>
        <v>438672.35786072997</v>
      </c>
      <c r="K7290" s="711"/>
      <c r="M7290" s="62">
        <f t="shared" si="587"/>
        <v>5</v>
      </c>
    </row>
    <row r="7291" spans="1:13">
      <c r="A7291" s="88">
        <f t="shared" si="590"/>
        <v>66</v>
      </c>
      <c r="B7291" s="69" t="s">
        <v>2270</v>
      </c>
      <c r="C7291" s="69">
        <v>4</v>
      </c>
      <c r="D7291" s="89">
        <v>1</v>
      </c>
      <c r="E7291" s="89">
        <v>2</v>
      </c>
      <c r="F7291" s="89">
        <v>2</v>
      </c>
      <c r="G7291" s="89">
        <v>2</v>
      </c>
      <c r="H7291" s="89">
        <v>2</v>
      </c>
      <c r="I7291" s="89">
        <v>1</v>
      </c>
      <c r="J7291" s="710">
        <f>(VLOOKUP($C7291,[2]Sheet1!$A$2:$P$18,$M7291+1)/12)*12*D7291</f>
        <v>224542.978930365</v>
      </c>
      <c r="K7291" s="711"/>
      <c r="M7291" s="62">
        <f t="shared" si="587"/>
        <v>5</v>
      </c>
    </row>
    <row r="7292" spans="1:13">
      <c r="A7292" s="88">
        <f t="shared" si="590"/>
        <v>67</v>
      </c>
      <c r="B7292" s="69" t="s">
        <v>2271</v>
      </c>
      <c r="C7292" s="69">
        <v>4</v>
      </c>
      <c r="D7292" s="89">
        <v>1</v>
      </c>
      <c r="E7292" s="89">
        <v>1</v>
      </c>
      <c r="F7292" s="89">
        <v>1</v>
      </c>
      <c r="G7292" s="89">
        <v>1</v>
      </c>
      <c r="H7292" s="89">
        <v>1</v>
      </c>
      <c r="I7292" s="89">
        <v>1</v>
      </c>
      <c r="J7292" s="710">
        <f>(VLOOKUP($C7292,[2]Sheet1!$A$2:$P$18,$M7292+1)/12)*12*D7292</f>
        <v>224542.978930365</v>
      </c>
      <c r="K7292" s="711"/>
      <c r="M7292" s="62">
        <f t="shared" si="587"/>
        <v>5</v>
      </c>
    </row>
    <row r="7293" spans="1:13">
      <c r="A7293" s="88">
        <f t="shared" si="590"/>
        <v>68</v>
      </c>
      <c r="B7293" s="277" t="s">
        <v>2272</v>
      </c>
      <c r="C7293" s="69">
        <v>3</v>
      </c>
      <c r="D7293" s="89">
        <v>1</v>
      </c>
      <c r="E7293" s="89">
        <v>3</v>
      </c>
      <c r="F7293" s="89">
        <v>3</v>
      </c>
      <c r="G7293" s="89">
        <v>3</v>
      </c>
      <c r="H7293" s="89">
        <v>3</v>
      </c>
      <c r="I7293" s="89">
        <v>1</v>
      </c>
      <c r="J7293" s="710">
        <f>(VLOOKUP($C7293,[2]Sheet1!$A$2:$P$18,$M7293+1)/12)*12*D7293</f>
        <v>219336.17893036499</v>
      </c>
      <c r="K7293" s="711"/>
      <c r="M7293" s="62">
        <f t="shared" si="587"/>
        <v>5</v>
      </c>
    </row>
    <row r="7294" spans="1:13">
      <c r="A7294" s="88">
        <f t="shared" si="590"/>
        <v>69</v>
      </c>
      <c r="B7294" s="277" t="s">
        <v>2273</v>
      </c>
      <c r="C7294" s="69">
        <v>4</v>
      </c>
      <c r="D7294" s="89">
        <v>0</v>
      </c>
      <c r="E7294" s="89">
        <v>0</v>
      </c>
      <c r="F7294" s="89">
        <v>0</v>
      </c>
      <c r="G7294" s="89">
        <v>0</v>
      </c>
      <c r="H7294" s="89">
        <v>0</v>
      </c>
      <c r="I7294" s="89">
        <v>0</v>
      </c>
      <c r="J7294" s="710">
        <f>(VLOOKUP($C7294,[2]Sheet1!$A$2:$P$18,$M7294+1)/12)*12*D7294</f>
        <v>0</v>
      </c>
      <c r="K7294" s="711"/>
      <c r="M7294" s="62">
        <f t="shared" si="587"/>
        <v>5</v>
      </c>
    </row>
    <row r="7295" spans="1:13">
      <c r="A7295" s="88">
        <f t="shared" si="590"/>
        <v>70</v>
      </c>
      <c r="B7295" s="69" t="s">
        <v>2274</v>
      </c>
      <c r="C7295" s="69">
        <v>3</v>
      </c>
      <c r="D7295" s="89">
        <v>1</v>
      </c>
      <c r="E7295" s="89">
        <v>1</v>
      </c>
      <c r="F7295" s="89">
        <v>1</v>
      </c>
      <c r="G7295" s="89">
        <v>1</v>
      </c>
      <c r="H7295" s="89">
        <v>1</v>
      </c>
      <c r="I7295" s="89">
        <v>1</v>
      </c>
      <c r="J7295" s="710">
        <f>(VLOOKUP($C7295,[2]Sheet1!$A$2:$P$18,$M7295+1)/12)*12*D7295</f>
        <v>219336.17893036499</v>
      </c>
      <c r="K7295" s="711"/>
      <c r="M7295" s="62">
        <f t="shared" si="587"/>
        <v>5</v>
      </c>
    </row>
    <row r="7296" spans="1:13" ht="13.5" thickBot="1">
      <c r="A7296" s="88">
        <f t="shared" si="590"/>
        <v>71</v>
      </c>
      <c r="B7296" s="69" t="s">
        <v>3469</v>
      </c>
      <c r="C7296" s="69">
        <v>3</v>
      </c>
      <c r="D7296" s="89">
        <v>1</v>
      </c>
      <c r="E7296" s="89">
        <v>4</v>
      </c>
      <c r="F7296" s="89">
        <v>4</v>
      </c>
      <c r="G7296" s="89">
        <v>4</v>
      </c>
      <c r="H7296" s="89">
        <v>2</v>
      </c>
      <c r="I7296" s="89">
        <v>1</v>
      </c>
      <c r="J7296" s="710">
        <f>(VLOOKUP($C7296,[2]Sheet1!$A$2:$P$18,$M7296+1)/12)*12*D7296</f>
        <v>219336.17893036499</v>
      </c>
      <c r="K7296" s="711"/>
      <c r="M7296" s="62">
        <f t="shared" si="587"/>
        <v>5</v>
      </c>
    </row>
    <row r="7297" spans="1:13" ht="15.75" thickTop="1">
      <c r="A7297" s="1047" t="s">
        <v>2791</v>
      </c>
      <c r="B7297" s="1049" t="s">
        <v>4126</v>
      </c>
      <c r="C7297" s="1049" t="s">
        <v>854</v>
      </c>
      <c r="D7297" s="1040" t="s">
        <v>4127</v>
      </c>
      <c r="E7297" s="1041"/>
      <c r="F7297" s="1041"/>
      <c r="G7297" s="1040" t="s">
        <v>904</v>
      </c>
      <c r="H7297" s="1041"/>
      <c r="I7297" s="1042"/>
      <c r="J7297" s="1035" t="s">
        <v>855</v>
      </c>
      <c r="K7297" s="389"/>
      <c r="M7297" s="62">
        <f>IF(C7297&gt;6,3,5)</f>
        <v>3</v>
      </c>
    </row>
    <row r="7298" spans="1:13" ht="26.25" thickBot="1">
      <c r="A7298" s="1048"/>
      <c r="B7298" s="1050"/>
      <c r="C7298" s="1050"/>
      <c r="D7298" s="285" t="s">
        <v>5505</v>
      </c>
      <c r="E7298" s="285" t="s">
        <v>4485</v>
      </c>
      <c r="F7298" s="285" t="s">
        <v>4486</v>
      </c>
      <c r="G7298" s="287" t="s">
        <v>4487</v>
      </c>
      <c r="H7298" s="285" t="s">
        <v>4488</v>
      </c>
      <c r="I7298" s="287" t="s">
        <v>4489</v>
      </c>
      <c r="J7298" s="1036"/>
      <c r="K7298" s="712"/>
      <c r="M7298" s="62">
        <f>IF(C7298&gt;6,3,5)</f>
        <v>5</v>
      </c>
    </row>
    <row r="7299" spans="1:13" ht="13.5" thickTop="1">
      <c r="A7299" s="88">
        <f>+A7296+1</f>
        <v>72</v>
      </c>
      <c r="B7299" s="69" t="s">
        <v>2626</v>
      </c>
      <c r="C7299" s="69">
        <v>3</v>
      </c>
      <c r="D7299" s="89">
        <v>1</v>
      </c>
      <c r="E7299" s="89">
        <v>9</v>
      </c>
      <c r="F7299" s="89">
        <v>9</v>
      </c>
      <c r="G7299" s="89">
        <v>9</v>
      </c>
      <c r="H7299" s="89">
        <v>5</v>
      </c>
      <c r="I7299" s="89">
        <v>1</v>
      </c>
      <c r="J7299" s="710">
        <f>(VLOOKUP($C7299,[2]Sheet1!$A$2:$P$18,$M7299+1)/12)*12*D7299</f>
        <v>219336.17893036499</v>
      </c>
      <c r="K7299" s="711"/>
      <c r="M7299" s="62">
        <f t="shared" si="587"/>
        <v>5</v>
      </c>
    </row>
    <row r="7300" spans="1:13">
      <c r="A7300" s="88">
        <f>+A7299+1</f>
        <v>73</v>
      </c>
      <c r="B7300" s="69" t="s">
        <v>2275</v>
      </c>
      <c r="C7300" s="69">
        <v>2</v>
      </c>
      <c r="D7300" s="89">
        <v>0</v>
      </c>
      <c r="E7300" s="89">
        <v>3</v>
      </c>
      <c r="F7300" s="89">
        <v>0</v>
      </c>
      <c r="G7300" s="89">
        <v>0</v>
      </c>
      <c r="H7300" s="89">
        <v>3</v>
      </c>
      <c r="I7300" s="89">
        <v>0</v>
      </c>
      <c r="J7300" s="710">
        <f>(VLOOKUP($C7300,[2]Sheet1!$A$2:$P$18,$M7300+1)/12)*12*D7300</f>
        <v>0</v>
      </c>
      <c r="K7300" s="711"/>
      <c r="M7300" s="62">
        <f t="shared" si="587"/>
        <v>5</v>
      </c>
    </row>
    <row r="7301" spans="1:13">
      <c r="A7301" s="88">
        <v>74</v>
      </c>
      <c r="B7301" s="69" t="s">
        <v>3395</v>
      </c>
      <c r="C7301" s="69">
        <v>5</v>
      </c>
      <c r="D7301" s="89">
        <v>3</v>
      </c>
      <c r="E7301" s="89">
        <v>3</v>
      </c>
      <c r="F7301" s="89">
        <v>3</v>
      </c>
      <c r="G7301" s="89">
        <v>3</v>
      </c>
      <c r="H7301" s="89">
        <v>1</v>
      </c>
      <c r="I7301" s="89">
        <v>3</v>
      </c>
      <c r="J7301" s="710">
        <f>(VLOOKUP($C7301,[2]Sheet1!$A$2:$P$18,$M7301+1)/12)*12*D7301</f>
        <v>688709.33679109497</v>
      </c>
      <c r="K7301" s="711"/>
      <c r="M7301" s="62">
        <f t="shared" si="587"/>
        <v>5</v>
      </c>
    </row>
    <row r="7302" spans="1:13">
      <c r="A7302" s="88">
        <f t="shared" si="590"/>
        <v>75</v>
      </c>
      <c r="B7302" s="69" t="s">
        <v>1093</v>
      </c>
      <c r="C7302" s="69">
        <v>4</v>
      </c>
      <c r="D7302" s="89">
        <v>0</v>
      </c>
      <c r="E7302" s="89">
        <v>0</v>
      </c>
      <c r="F7302" s="89">
        <v>0</v>
      </c>
      <c r="G7302" s="89">
        <v>0</v>
      </c>
      <c r="H7302" s="89">
        <v>0</v>
      </c>
      <c r="I7302" s="89">
        <v>0</v>
      </c>
      <c r="J7302" s="710">
        <f>(VLOOKUP($C7302,[2]Sheet1!$A$2:$P$18,$M7302+1)/12)*12*D7302</f>
        <v>0</v>
      </c>
      <c r="K7302" s="711"/>
      <c r="M7302" s="62">
        <f t="shared" si="587"/>
        <v>5</v>
      </c>
    </row>
    <row r="7303" spans="1:13">
      <c r="A7303" s="88">
        <f t="shared" si="590"/>
        <v>76</v>
      </c>
      <c r="B7303" s="69" t="s">
        <v>3502</v>
      </c>
      <c r="C7303" s="69">
        <v>3</v>
      </c>
      <c r="D7303" s="89">
        <v>2</v>
      </c>
      <c r="E7303" s="89">
        <v>2</v>
      </c>
      <c r="F7303" s="89">
        <v>2</v>
      </c>
      <c r="G7303" s="89">
        <v>2</v>
      </c>
      <c r="H7303" s="89">
        <v>2</v>
      </c>
      <c r="I7303" s="89">
        <v>2</v>
      </c>
      <c r="J7303" s="710">
        <f>(VLOOKUP($C7303,[2]Sheet1!$A$2:$P$18,$M7303+1)/12)*12*D7303</f>
        <v>438672.35786072997</v>
      </c>
      <c r="K7303" s="711"/>
      <c r="M7303" s="62">
        <f t="shared" si="587"/>
        <v>5</v>
      </c>
    </row>
    <row r="7304" spans="1:13">
      <c r="A7304" s="88">
        <f t="shared" si="590"/>
        <v>77</v>
      </c>
      <c r="B7304" s="69" t="s">
        <v>3397</v>
      </c>
      <c r="C7304" s="69">
        <v>3</v>
      </c>
      <c r="D7304" s="89">
        <v>1</v>
      </c>
      <c r="E7304" s="89">
        <v>1</v>
      </c>
      <c r="F7304" s="89">
        <v>1</v>
      </c>
      <c r="G7304" s="89">
        <v>1</v>
      </c>
      <c r="H7304" s="89">
        <v>1</v>
      </c>
      <c r="I7304" s="89">
        <v>1</v>
      </c>
      <c r="J7304" s="710">
        <f>(VLOOKUP($C7304,[2]Sheet1!$A$2:$P$18,$M7304+1)/12)*12*D7304</f>
        <v>219336.17893036499</v>
      </c>
      <c r="K7304" s="711"/>
      <c r="M7304" s="62">
        <f t="shared" si="587"/>
        <v>5</v>
      </c>
    </row>
    <row r="7305" spans="1:13">
      <c r="A7305" s="88">
        <f t="shared" si="590"/>
        <v>78</v>
      </c>
      <c r="B7305" s="69" t="s">
        <v>3503</v>
      </c>
      <c r="C7305" s="69">
        <v>3</v>
      </c>
      <c r="D7305" s="89">
        <v>12</v>
      </c>
      <c r="E7305" s="89">
        <v>12</v>
      </c>
      <c r="F7305" s="89">
        <v>12</v>
      </c>
      <c r="G7305" s="89">
        <v>12</v>
      </c>
      <c r="H7305" s="89">
        <v>6</v>
      </c>
      <c r="I7305" s="89">
        <v>12</v>
      </c>
      <c r="J7305" s="710">
        <f>(VLOOKUP($C7305,[2]Sheet1!$A$2:$P$18,$M7305+1)/12)*12*D7305</f>
        <v>2632034.1471643797</v>
      </c>
      <c r="K7305" s="711"/>
      <c r="M7305" s="62">
        <f t="shared" si="587"/>
        <v>5</v>
      </c>
    </row>
    <row r="7306" spans="1:13">
      <c r="A7306" s="88">
        <f t="shared" si="590"/>
        <v>79</v>
      </c>
      <c r="B7306" s="69" t="s">
        <v>1744</v>
      </c>
      <c r="C7306" s="69">
        <v>2</v>
      </c>
      <c r="D7306" s="89">
        <v>6</v>
      </c>
      <c r="E7306" s="89">
        <v>6</v>
      </c>
      <c r="F7306" s="89">
        <v>6</v>
      </c>
      <c r="G7306" s="89">
        <v>6</v>
      </c>
      <c r="H7306" s="89">
        <v>3</v>
      </c>
      <c r="I7306" s="89">
        <v>6</v>
      </c>
      <c r="J7306" s="710">
        <f>(VLOOKUP($C7306,[2]Sheet1!$A$2:$P$18,$M7306+1)/12)*12*D7306</f>
        <v>1287944.2735821903</v>
      </c>
      <c r="K7306" s="711"/>
      <c r="M7306" s="62">
        <f t="shared" si="587"/>
        <v>5</v>
      </c>
    </row>
    <row r="7307" spans="1:13">
      <c r="A7307" s="88">
        <f t="shared" si="590"/>
        <v>80</v>
      </c>
      <c r="B7307" s="69" t="s">
        <v>681</v>
      </c>
      <c r="C7307" s="69">
        <v>3</v>
      </c>
      <c r="D7307" s="89">
        <v>7</v>
      </c>
      <c r="E7307" s="89">
        <v>7</v>
      </c>
      <c r="F7307" s="89">
        <v>7</v>
      </c>
      <c r="G7307" s="89">
        <v>7</v>
      </c>
      <c r="H7307" s="89">
        <v>3</v>
      </c>
      <c r="I7307" s="89">
        <v>7</v>
      </c>
      <c r="J7307" s="710">
        <f>(VLOOKUP($C7307,[2]Sheet1!$A$2:$P$18,$M7307+1)/12)*12*D7307</f>
        <v>1535353.2525125549</v>
      </c>
      <c r="K7307" s="711"/>
      <c r="M7307" s="62">
        <f t="shared" ref="M7307:M7324" si="591">IF(C7307&gt;6,3,5)</f>
        <v>5</v>
      </c>
    </row>
    <row r="7308" spans="1:13">
      <c r="A7308" s="88">
        <f t="shared" si="590"/>
        <v>81</v>
      </c>
      <c r="B7308" s="69" t="s">
        <v>3977</v>
      </c>
      <c r="C7308" s="69">
        <v>6</v>
      </c>
      <c r="D7308" s="89">
        <v>0</v>
      </c>
      <c r="E7308" s="89">
        <v>0</v>
      </c>
      <c r="F7308" s="89">
        <v>0</v>
      </c>
      <c r="G7308" s="89">
        <v>0</v>
      </c>
      <c r="H7308" s="89">
        <v>0</v>
      </c>
      <c r="I7308" s="89">
        <v>0</v>
      </c>
      <c r="J7308" s="710">
        <f>(VLOOKUP($C7308,[2]Sheet1!$A$2:$P$18,$M7308+1)/12)*12*D7308</f>
        <v>0</v>
      </c>
      <c r="K7308" s="711"/>
      <c r="M7308" s="62">
        <f t="shared" si="591"/>
        <v>5</v>
      </c>
    </row>
    <row r="7309" spans="1:13">
      <c r="A7309" s="88">
        <f t="shared" si="590"/>
        <v>82</v>
      </c>
      <c r="B7309" s="69" t="s">
        <v>4030</v>
      </c>
      <c r="C7309" s="69">
        <v>4</v>
      </c>
      <c r="D7309" s="89">
        <v>0</v>
      </c>
      <c r="E7309" s="89">
        <v>0</v>
      </c>
      <c r="F7309" s="89">
        <v>0</v>
      </c>
      <c r="G7309" s="89">
        <v>0</v>
      </c>
      <c r="H7309" s="89">
        <v>0</v>
      </c>
      <c r="I7309" s="89">
        <v>0</v>
      </c>
      <c r="J7309" s="710">
        <f>(VLOOKUP($C7309,[2]Sheet1!$A$2:$P$18,$M7309+1)/12)*12*D7309</f>
        <v>0</v>
      </c>
      <c r="K7309" s="711"/>
      <c r="M7309" s="62">
        <f t="shared" si="591"/>
        <v>5</v>
      </c>
    </row>
    <row r="7310" spans="1:13">
      <c r="A7310" s="88"/>
      <c r="B7310" s="69"/>
      <c r="C7310" s="69"/>
      <c r="D7310" s="89"/>
      <c r="E7310" s="89"/>
      <c r="F7310" s="89"/>
      <c r="G7310" s="89"/>
      <c r="H7310" s="89"/>
      <c r="I7310" s="89"/>
      <c r="J7310" s="713"/>
      <c r="K7310" s="711"/>
      <c r="M7310" s="62">
        <f t="shared" si="591"/>
        <v>5</v>
      </c>
    </row>
    <row r="7311" spans="1:13">
      <c r="A7311" s="92"/>
      <c r="B7311" s="93" t="s">
        <v>1684</v>
      </c>
      <c r="C7311" s="94"/>
      <c r="D7311" s="123">
        <f t="shared" ref="D7311:J7311" si="592">SUM(D7217:D7310)</f>
        <v>171</v>
      </c>
      <c r="E7311" s="123">
        <f t="shared" si="592"/>
        <v>204</v>
      </c>
      <c r="F7311" s="123">
        <f t="shared" si="592"/>
        <v>183</v>
      </c>
      <c r="G7311" s="123">
        <f>SUM(G7217:G7310)</f>
        <v>183</v>
      </c>
      <c r="H7311" s="123">
        <f t="shared" si="592"/>
        <v>168</v>
      </c>
      <c r="I7311" s="123">
        <f t="shared" si="592"/>
        <v>171</v>
      </c>
      <c r="J7311" s="123">
        <f t="shared" si="592"/>
        <v>47382855.816846713</v>
      </c>
      <c r="K7311" s="378"/>
      <c r="M7311" s="62">
        <f t="shared" si="591"/>
        <v>5</v>
      </c>
    </row>
    <row r="7312" spans="1:13">
      <c r="A7312" s="88" t="s">
        <v>1840</v>
      </c>
      <c r="B7312" s="69"/>
      <c r="C7312" s="69"/>
      <c r="D7312" s="89"/>
      <c r="E7312" s="89"/>
      <c r="F7312" s="89"/>
      <c r="G7312" s="89"/>
      <c r="H7312" s="89"/>
      <c r="I7312" s="89"/>
      <c r="J7312" s="89"/>
      <c r="K7312" s="114"/>
      <c r="M7312" s="62">
        <f t="shared" si="591"/>
        <v>5</v>
      </c>
    </row>
    <row r="7313" spans="1:13">
      <c r="A7313" s="88" t="s">
        <v>1840</v>
      </c>
      <c r="B7313" s="97" t="s">
        <v>1199</v>
      </c>
      <c r="C7313" s="69"/>
      <c r="D7313" s="89"/>
      <c r="E7313" s="89"/>
      <c r="F7313" s="99"/>
      <c r="G7313" s="240" t="s">
        <v>243</v>
      </c>
      <c r="H7313" s="240" t="s">
        <v>4130</v>
      </c>
      <c r="I7313" s="240" t="s">
        <v>4202</v>
      </c>
      <c r="J7313" s="241" t="s">
        <v>4200</v>
      </c>
      <c r="K7313" s="375"/>
      <c r="M7313" s="62">
        <f t="shared" si="591"/>
        <v>5</v>
      </c>
    </row>
    <row r="7314" spans="1:13">
      <c r="A7314" s="88">
        <v>1</v>
      </c>
      <c r="B7314" s="69" t="s">
        <v>2035</v>
      </c>
      <c r="C7314" s="69"/>
      <c r="D7314" s="89"/>
      <c r="E7314" s="89"/>
      <c r="F7314" s="89"/>
      <c r="G7314" s="100">
        <f>J7311*0.2</f>
        <v>9476571.1633693427</v>
      </c>
      <c r="H7314" s="100">
        <f>G7314*1.02</f>
        <v>9666102.5866367295</v>
      </c>
      <c r="I7314" s="100">
        <f>H7314*1.02</f>
        <v>9859424.6383694634</v>
      </c>
      <c r="J7314" s="100">
        <f>SUM(G7314:I7314)</f>
        <v>29002098.388375536</v>
      </c>
      <c r="K7314" s="114"/>
      <c r="M7314" s="62">
        <f t="shared" si="591"/>
        <v>5</v>
      </c>
    </row>
    <row r="7315" spans="1:13">
      <c r="A7315" s="88">
        <v>2</v>
      </c>
      <c r="B7315" s="69" t="s">
        <v>1896</v>
      </c>
      <c r="C7315" s="69"/>
      <c r="D7315" s="89"/>
      <c r="E7315" s="89"/>
      <c r="F7315" s="89"/>
      <c r="G7315" s="100">
        <f>G7314/7</f>
        <v>1353795.8804813346</v>
      </c>
      <c r="H7315" s="100">
        <f>G7315*1.02</f>
        <v>1380871.7980909613</v>
      </c>
      <c r="I7315" s="100">
        <f>H7315*1.02</f>
        <v>1408489.2340527805</v>
      </c>
      <c r="J7315" s="100">
        <f>SUM(G7315:I7315)</f>
        <v>4143156.9126250767</v>
      </c>
      <c r="K7315" s="114"/>
      <c r="M7315" s="62">
        <f t="shared" si="591"/>
        <v>5</v>
      </c>
    </row>
    <row r="7316" spans="1:13">
      <c r="A7316" s="92" t="s">
        <v>1840</v>
      </c>
      <c r="B7316" s="93" t="s">
        <v>1684</v>
      </c>
      <c r="C7316" s="94"/>
      <c r="D7316" s="101"/>
      <c r="E7316" s="101"/>
      <c r="F7316" s="123"/>
      <c r="G7316" s="123">
        <f>SUM(G7314:G7315)</f>
        <v>10830367.043850677</v>
      </c>
      <c r="H7316" s="123">
        <f>SUM(H7314:H7315)</f>
        <v>11046974.38472769</v>
      </c>
      <c r="I7316" s="123">
        <f>SUM(I7314:I7315)</f>
        <v>11267913.872422244</v>
      </c>
      <c r="J7316" s="123">
        <f>SUM(J7314:J7315)</f>
        <v>33145255.301000614</v>
      </c>
      <c r="K7316" s="378"/>
      <c r="M7316" s="62">
        <f t="shared" si="591"/>
        <v>5</v>
      </c>
    </row>
    <row r="7317" spans="1:13">
      <c r="A7317" s="88" t="s">
        <v>1840</v>
      </c>
      <c r="B7317" s="69" t="s">
        <v>1119</v>
      </c>
      <c r="C7317" s="69"/>
      <c r="D7317" s="89"/>
      <c r="E7317" s="89"/>
      <c r="F7317" s="89"/>
      <c r="G7317" s="100">
        <f>G7316+J7311</f>
        <v>58213222.860697389</v>
      </c>
      <c r="H7317" s="100">
        <f>G7317*1.02</f>
        <v>59377487.317911334</v>
      </c>
      <c r="I7317" s="100">
        <f>H7317*1.02</f>
        <v>60565037.064269565</v>
      </c>
      <c r="J7317" s="100">
        <f>SUM(G7317:I7317)</f>
        <v>178155747.24287829</v>
      </c>
      <c r="K7317" s="114"/>
      <c r="M7317" s="62">
        <f t="shared" si="591"/>
        <v>5</v>
      </c>
    </row>
    <row r="7318" spans="1:13">
      <c r="A7318" s="88" t="s">
        <v>1840</v>
      </c>
      <c r="B7318" s="69" t="s">
        <v>3944</v>
      </c>
      <c r="C7318" s="69"/>
      <c r="D7318" s="89"/>
      <c r="E7318" s="89"/>
      <c r="F7318" s="89"/>
      <c r="G7318" s="89">
        <f>C7344</f>
        <v>30200000</v>
      </c>
      <c r="H7318" s="89">
        <f>D7344</f>
        <v>44600000</v>
      </c>
      <c r="I7318" s="89">
        <f>E7344</f>
        <v>44600000</v>
      </c>
      <c r="J7318" s="100">
        <f>SUM(G7318:I7318)</f>
        <v>119400000</v>
      </c>
      <c r="K7318" s="114"/>
      <c r="L7318" s="112"/>
      <c r="M7318" s="62">
        <f t="shared" si="591"/>
        <v>5</v>
      </c>
    </row>
    <row r="7319" spans="1:13">
      <c r="A7319" s="88" t="s">
        <v>1840</v>
      </c>
      <c r="B7319" s="97"/>
      <c r="C7319" s="69"/>
      <c r="D7319" s="89"/>
      <c r="E7319" s="89"/>
      <c r="F7319" s="89"/>
      <c r="G7319" s="89"/>
      <c r="H7319" s="89"/>
      <c r="I7319" s="89"/>
      <c r="J7319" s="89"/>
      <c r="K7319" s="114"/>
      <c r="M7319" s="62">
        <f t="shared" si="591"/>
        <v>5</v>
      </c>
    </row>
    <row r="7320" spans="1:13">
      <c r="A7320" s="92" t="s">
        <v>1840</v>
      </c>
      <c r="B7320" s="93" t="s">
        <v>2843</v>
      </c>
      <c r="C7320" s="94"/>
      <c r="D7320" s="101"/>
      <c r="E7320" s="101"/>
      <c r="F7320" s="123"/>
      <c r="G7320" s="123">
        <f>SUM(G7317:G7319)</f>
        <v>88413222.860697389</v>
      </c>
      <c r="H7320" s="123">
        <f>SUM(H7317:H7319)</f>
        <v>103977487.31791133</v>
      </c>
      <c r="I7320" s="123">
        <f>SUM(I7317:I7319)</f>
        <v>105165037.06426957</v>
      </c>
      <c r="J7320" s="123">
        <f>SUM(J7317:J7319)</f>
        <v>297555747.24287832</v>
      </c>
      <c r="K7320" s="378"/>
      <c r="M7320" s="62">
        <f t="shared" si="591"/>
        <v>5</v>
      </c>
    </row>
    <row r="7321" spans="1:13" ht="15">
      <c r="C7321" s="77"/>
      <c r="D7321" s="78" t="s">
        <v>5434</v>
      </c>
      <c r="J7321" s="584"/>
      <c r="K7321" s="584"/>
      <c r="M7321" s="62">
        <f t="shared" si="591"/>
        <v>5</v>
      </c>
    </row>
    <row r="7322" spans="1:13" ht="15">
      <c r="C7322" s="77"/>
      <c r="D7322" s="78" t="s">
        <v>716</v>
      </c>
      <c r="J7322" s="584"/>
      <c r="K7322" s="584"/>
      <c r="M7322" s="62">
        <f t="shared" si="591"/>
        <v>5</v>
      </c>
    </row>
    <row r="7323" spans="1:13" ht="15">
      <c r="C7323" s="79" t="s">
        <v>717</v>
      </c>
      <c r="D7323" s="78" t="s">
        <v>1942</v>
      </c>
      <c r="J7323" s="584"/>
      <c r="K7323" s="584"/>
      <c r="M7323" s="62">
        <f t="shared" si="591"/>
        <v>3</v>
      </c>
    </row>
    <row r="7324" spans="1:13" ht="15">
      <c r="C7324" s="79" t="s">
        <v>718</v>
      </c>
      <c r="D7324" s="78" t="s">
        <v>1763</v>
      </c>
      <c r="J7324" s="584"/>
      <c r="K7324" s="584"/>
      <c r="M7324" s="62">
        <f t="shared" si="591"/>
        <v>3</v>
      </c>
    </row>
    <row r="7325" spans="1:13" ht="15">
      <c r="A7325" s="634" t="s">
        <v>1839</v>
      </c>
      <c r="B7325" s="635" t="s">
        <v>903</v>
      </c>
      <c r="C7325" s="1037" t="s">
        <v>4127</v>
      </c>
      <c r="D7325" s="1038"/>
      <c r="E7325" s="1039"/>
      <c r="F7325" s="635" t="s">
        <v>1684</v>
      </c>
      <c r="G7325" s="1037" t="s">
        <v>4132</v>
      </c>
      <c r="H7325" s="1038"/>
      <c r="I7325" s="1039"/>
      <c r="J7325" s="726"/>
      <c r="K7325" s="727"/>
    </row>
    <row r="7326" spans="1:13">
      <c r="A7326" s="636" t="s">
        <v>1620</v>
      </c>
      <c r="B7326" s="637"/>
      <c r="C7326" s="635" t="s">
        <v>1841</v>
      </c>
      <c r="D7326" s="635" t="s">
        <v>4133</v>
      </c>
      <c r="E7326" s="635" t="s">
        <v>4133</v>
      </c>
      <c r="F7326" s="1056" t="s">
        <v>4200</v>
      </c>
      <c r="G7326" s="634" t="s">
        <v>4135</v>
      </c>
      <c r="H7326" s="1051" t="s">
        <v>4182</v>
      </c>
      <c r="I7326" s="634" t="s">
        <v>4135</v>
      </c>
      <c r="J7326" s="728" t="s">
        <v>4136</v>
      </c>
      <c r="K7326" s="727"/>
    </row>
    <row r="7327" spans="1:13" ht="12.75" customHeight="1">
      <c r="A7327" s="638" t="s">
        <v>387</v>
      </c>
      <c r="B7327" s="639"/>
      <c r="C7327" s="638">
        <v>2015</v>
      </c>
      <c r="D7327" s="638">
        <v>2016</v>
      </c>
      <c r="E7327" s="638">
        <v>2017</v>
      </c>
      <c r="F7327" s="1057"/>
      <c r="G7327" s="638" t="s">
        <v>4304</v>
      </c>
      <c r="H7327" s="1052"/>
      <c r="I7327" s="638" t="s">
        <v>4303</v>
      </c>
      <c r="J7327" s="639"/>
      <c r="K7327" s="729"/>
    </row>
    <row r="7328" spans="1:13">
      <c r="A7328" s="730"/>
      <c r="B7328" s="730"/>
      <c r="C7328" s="764"/>
      <c r="D7328" s="764"/>
      <c r="E7328" s="764"/>
      <c r="F7328" s="764"/>
      <c r="G7328" s="764"/>
      <c r="H7328" s="764"/>
      <c r="I7328" s="764"/>
      <c r="J7328" s="764"/>
      <c r="K7328" s="765"/>
      <c r="M7328" s="62" t="e">
        <f>IF(#REF!&gt;6,3,5)</f>
        <v>#REF!</v>
      </c>
    </row>
    <row r="7329" spans="1:13">
      <c r="A7329" s="730">
        <v>2</v>
      </c>
      <c r="B7329" s="733" t="s">
        <v>1695</v>
      </c>
      <c r="C7329" s="390">
        <v>2500000</v>
      </c>
      <c r="D7329" s="390">
        <v>4000000</v>
      </c>
      <c r="E7329" s="390">
        <v>4000000</v>
      </c>
      <c r="F7329" s="390">
        <f>SUM(C7329:E7329)</f>
        <v>10500000</v>
      </c>
      <c r="G7329" s="390"/>
      <c r="H7329" s="390">
        <v>4000000</v>
      </c>
      <c r="I7329" s="390">
        <v>268000</v>
      </c>
      <c r="J7329" s="390"/>
      <c r="K7329" s="734"/>
      <c r="M7329" s="62" t="e">
        <f>IF(#REF!&gt;6,3,5)</f>
        <v>#REF!</v>
      </c>
    </row>
    <row r="7330" spans="1:13">
      <c r="A7330" s="730">
        <f t="shared" ref="A7330:A7342" si="593">A7329+1</f>
        <v>3</v>
      </c>
      <c r="B7330" s="733" t="s">
        <v>1696</v>
      </c>
      <c r="C7330" s="390" t="s">
        <v>1386</v>
      </c>
      <c r="D7330" s="390" t="s">
        <v>1386</v>
      </c>
      <c r="E7330" s="390" t="s">
        <v>1386</v>
      </c>
      <c r="F7330" s="390">
        <f t="shared" ref="F7330:F7343" si="594">SUM(C7330:E7330)</f>
        <v>0</v>
      </c>
      <c r="G7330" s="390"/>
      <c r="H7330" s="390" t="s">
        <v>1386</v>
      </c>
      <c r="I7330" s="390">
        <v>0</v>
      </c>
      <c r="J7330" s="390"/>
      <c r="K7330" s="734"/>
      <c r="M7330" s="62" t="e">
        <f>IF(#REF!&gt;6,3,5)</f>
        <v>#REF!</v>
      </c>
    </row>
    <row r="7331" spans="1:13">
      <c r="A7331" s="730">
        <f t="shared" si="593"/>
        <v>4</v>
      </c>
      <c r="B7331" s="733" t="s">
        <v>1701</v>
      </c>
      <c r="C7331" s="390" t="s">
        <v>1386</v>
      </c>
      <c r="D7331" s="390" t="s">
        <v>1386</v>
      </c>
      <c r="E7331" s="390" t="s">
        <v>1386</v>
      </c>
      <c r="F7331" s="390">
        <f t="shared" si="594"/>
        <v>0</v>
      </c>
      <c r="G7331" s="390"/>
      <c r="H7331" s="390" t="s">
        <v>1386</v>
      </c>
      <c r="I7331" s="390">
        <v>0</v>
      </c>
      <c r="J7331" s="390"/>
      <c r="K7331" s="734"/>
      <c r="M7331" s="62" t="e">
        <f>IF(#REF!&gt;6,3,5)</f>
        <v>#REF!</v>
      </c>
    </row>
    <row r="7332" spans="1:13">
      <c r="A7332" s="730">
        <f t="shared" si="593"/>
        <v>5</v>
      </c>
      <c r="B7332" s="733" t="s">
        <v>1702</v>
      </c>
      <c r="C7332" s="390">
        <v>700000</v>
      </c>
      <c r="D7332" s="390">
        <v>900000</v>
      </c>
      <c r="E7332" s="390">
        <v>900000</v>
      </c>
      <c r="F7332" s="390">
        <f t="shared" si="594"/>
        <v>2500000</v>
      </c>
      <c r="G7332" s="390"/>
      <c r="H7332" s="390">
        <v>900000</v>
      </c>
      <c r="I7332" s="390">
        <v>58336</v>
      </c>
      <c r="J7332" s="390"/>
      <c r="K7332" s="734"/>
      <c r="M7332" s="62" t="e">
        <f>IF(#REF!&gt;6,3,5)</f>
        <v>#REF!</v>
      </c>
    </row>
    <row r="7333" spans="1:13" ht="25.5">
      <c r="A7333" s="730">
        <f t="shared" si="593"/>
        <v>6</v>
      </c>
      <c r="B7333" s="733" t="s">
        <v>1503</v>
      </c>
      <c r="C7333" s="390">
        <v>1000000</v>
      </c>
      <c r="D7333" s="390">
        <v>1000000</v>
      </c>
      <c r="E7333" s="390">
        <v>1000000</v>
      </c>
      <c r="F7333" s="390">
        <f t="shared" si="594"/>
        <v>3000000</v>
      </c>
      <c r="G7333" s="390"/>
      <c r="H7333" s="390">
        <v>1000000</v>
      </c>
      <c r="I7333" s="390">
        <v>1050000</v>
      </c>
      <c r="J7333" s="390"/>
      <c r="K7333" s="734"/>
      <c r="M7333" s="62" t="e">
        <f>IF(#REF!&gt;6,3,5)</f>
        <v>#REF!</v>
      </c>
    </row>
    <row r="7334" spans="1:13">
      <c r="A7334" s="730">
        <f t="shared" si="593"/>
        <v>7</v>
      </c>
      <c r="B7334" s="733" t="s">
        <v>3680</v>
      </c>
      <c r="C7334" s="390">
        <v>1000000</v>
      </c>
      <c r="D7334" s="390">
        <v>1500000</v>
      </c>
      <c r="E7334" s="390">
        <v>1500000</v>
      </c>
      <c r="F7334" s="390">
        <f t="shared" si="594"/>
        <v>4000000</v>
      </c>
      <c r="G7334" s="390"/>
      <c r="H7334" s="390">
        <v>1500000</v>
      </c>
      <c r="I7334" s="390">
        <v>1137400</v>
      </c>
      <c r="J7334" s="390"/>
      <c r="K7334" s="734"/>
      <c r="M7334" s="62" t="e">
        <f>IF(#REF!&gt;6,3,5)</f>
        <v>#REF!</v>
      </c>
    </row>
    <row r="7335" spans="1:13">
      <c r="A7335" s="730">
        <f t="shared" si="593"/>
        <v>8</v>
      </c>
      <c r="B7335" s="733" t="s">
        <v>1385</v>
      </c>
      <c r="C7335" s="390" t="s">
        <v>1386</v>
      </c>
      <c r="D7335" s="390" t="s">
        <v>1386</v>
      </c>
      <c r="E7335" s="390" t="s">
        <v>1386</v>
      </c>
      <c r="F7335" s="390">
        <f t="shared" si="594"/>
        <v>0</v>
      </c>
      <c r="G7335" s="390"/>
      <c r="H7335" s="390" t="s">
        <v>1386</v>
      </c>
      <c r="I7335" s="390"/>
      <c r="J7335" s="390"/>
      <c r="K7335" s="734"/>
      <c r="M7335" s="62" t="e">
        <f>IF(#REF!&gt;6,3,5)</f>
        <v>#REF!</v>
      </c>
    </row>
    <row r="7336" spans="1:13">
      <c r="A7336" s="730">
        <f t="shared" si="593"/>
        <v>9</v>
      </c>
      <c r="B7336" s="733" t="s">
        <v>2061</v>
      </c>
      <c r="C7336" s="390" t="s">
        <v>1386</v>
      </c>
      <c r="D7336" s="390" t="s">
        <v>1386</v>
      </c>
      <c r="E7336" s="390" t="s">
        <v>1386</v>
      </c>
      <c r="F7336" s="390">
        <f t="shared" si="594"/>
        <v>0</v>
      </c>
      <c r="G7336" s="390"/>
      <c r="H7336" s="390" t="s">
        <v>1386</v>
      </c>
      <c r="I7336" s="390"/>
      <c r="J7336" s="390"/>
      <c r="K7336" s="734"/>
      <c r="M7336" s="62" t="e">
        <f>IF(#REF!&gt;6,3,5)</f>
        <v>#REF!</v>
      </c>
    </row>
    <row r="7337" spans="1:13">
      <c r="A7337" s="730">
        <f t="shared" si="593"/>
        <v>10</v>
      </c>
      <c r="B7337" s="733" t="s">
        <v>2685</v>
      </c>
      <c r="C7337" s="390">
        <v>500000</v>
      </c>
      <c r="D7337" s="390" t="s">
        <v>1386</v>
      </c>
      <c r="E7337" s="390" t="s">
        <v>1386</v>
      </c>
      <c r="F7337" s="390">
        <f t="shared" si="594"/>
        <v>500000</v>
      </c>
      <c r="G7337" s="390"/>
      <c r="H7337" s="390" t="s">
        <v>1386</v>
      </c>
      <c r="I7337" s="390"/>
      <c r="J7337" s="390"/>
      <c r="K7337" s="734"/>
      <c r="M7337" s="62" t="e">
        <f>IF(#REF!&gt;6,3,5)</f>
        <v>#REF!</v>
      </c>
    </row>
    <row r="7338" spans="1:13">
      <c r="A7338" s="730">
        <f t="shared" si="593"/>
        <v>11</v>
      </c>
      <c r="B7338" s="733" t="s">
        <v>3630</v>
      </c>
      <c r="C7338" s="390">
        <v>100000</v>
      </c>
      <c r="D7338" s="390">
        <v>100000</v>
      </c>
      <c r="E7338" s="390">
        <v>100000</v>
      </c>
      <c r="F7338" s="390">
        <f t="shared" si="594"/>
        <v>300000</v>
      </c>
      <c r="G7338" s="390"/>
      <c r="H7338" s="390">
        <v>100000</v>
      </c>
      <c r="I7338" s="390"/>
      <c r="J7338" s="390"/>
      <c r="K7338" s="734"/>
      <c r="M7338" s="62" t="e">
        <f>IF(#REF!&gt;6,3,5)</f>
        <v>#REF!</v>
      </c>
    </row>
    <row r="7339" spans="1:13">
      <c r="A7339" s="730">
        <f t="shared" si="593"/>
        <v>12</v>
      </c>
      <c r="B7339" s="733" t="s">
        <v>2688</v>
      </c>
      <c r="C7339" s="390">
        <v>2500000</v>
      </c>
      <c r="D7339" s="390">
        <v>3000000</v>
      </c>
      <c r="E7339" s="390">
        <v>3000000</v>
      </c>
      <c r="F7339" s="390">
        <f t="shared" si="594"/>
        <v>8500000</v>
      </c>
      <c r="G7339" s="390"/>
      <c r="H7339" s="390">
        <v>3000000</v>
      </c>
      <c r="I7339" s="390">
        <v>2213316</v>
      </c>
      <c r="J7339" s="390"/>
      <c r="K7339" s="734"/>
      <c r="M7339" s="62" t="e">
        <f>IF(#REF!&gt;6,3,5)</f>
        <v>#REF!</v>
      </c>
    </row>
    <row r="7340" spans="1:13">
      <c r="A7340" s="730">
        <f t="shared" si="593"/>
        <v>13</v>
      </c>
      <c r="B7340" s="733" t="s">
        <v>2249</v>
      </c>
      <c r="C7340" s="390">
        <v>100000</v>
      </c>
      <c r="D7340" s="390">
        <v>100000</v>
      </c>
      <c r="E7340" s="390">
        <v>100000</v>
      </c>
      <c r="F7340" s="390">
        <f t="shared" si="594"/>
        <v>300000</v>
      </c>
      <c r="G7340" s="390"/>
      <c r="H7340" s="390">
        <v>100000</v>
      </c>
      <c r="I7340" s="390"/>
      <c r="J7340" s="390"/>
      <c r="K7340" s="734"/>
      <c r="M7340" s="62" t="e">
        <f>IF(#REF!&gt;6,3,5)</f>
        <v>#REF!</v>
      </c>
    </row>
    <row r="7341" spans="1:13">
      <c r="A7341" s="730">
        <f t="shared" si="593"/>
        <v>14</v>
      </c>
      <c r="B7341" s="733" t="s">
        <v>3018</v>
      </c>
      <c r="C7341" s="390">
        <v>800000</v>
      </c>
      <c r="D7341" s="390">
        <v>3000000</v>
      </c>
      <c r="E7341" s="390">
        <v>3000000</v>
      </c>
      <c r="F7341" s="390">
        <f t="shared" si="594"/>
        <v>6800000</v>
      </c>
      <c r="G7341" s="390"/>
      <c r="H7341" s="390">
        <v>3000000</v>
      </c>
      <c r="I7341" s="390"/>
      <c r="J7341" s="390"/>
      <c r="K7341" s="734"/>
      <c r="M7341" s="62" t="e">
        <f>IF(#REF!&gt;6,3,5)</f>
        <v>#REF!</v>
      </c>
    </row>
    <row r="7342" spans="1:13">
      <c r="A7342" s="730">
        <f t="shared" si="593"/>
        <v>15</v>
      </c>
      <c r="B7342" s="733" t="s">
        <v>2646</v>
      </c>
      <c r="C7342" s="390">
        <v>1000000</v>
      </c>
      <c r="D7342" s="390">
        <v>1000000</v>
      </c>
      <c r="E7342" s="390">
        <v>1000000</v>
      </c>
      <c r="F7342" s="390">
        <f t="shared" si="594"/>
        <v>3000000</v>
      </c>
      <c r="G7342" s="390"/>
      <c r="H7342" s="390">
        <v>1000000</v>
      </c>
      <c r="I7342" s="390"/>
      <c r="J7342" s="390"/>
      <c r="K7342" s="734"/>
      <c r="M7342" s="62" t="e">
        <f>IF(#REF!&gt;6,3,5)</f>
        <v>#REF!</v>
      </c>
    </row>
    <row r="7343" spans="1:13" ht="25.5">
      <c r="A7343" s="730">
        <v>16</v>
      </c>
      <c r="B7343" s="733" t="s">
        <v>4186</v>
      </c>
      <c r="C7343" s="390">
        <v>20000000</v>
      </c>
      <c r="D7343" s="390">
        <v>30000000</v>
      </c>
      <c r="E7343" s="390">
        <v>30000000</v>
      </c>
      <c r="F7343" s="390">
        <f t="shared" si="594"/>
        <v>80000000</v>
      </c>
      <c r="G7343" s="390"/>
      <c r="H7343" s="390">
        <v>30000000</v>
      </c>
      <c r="I7343" s="390">
        <v>1900000</v>
      </c>
      <c r="J7343" s="390"/>
      <c r="K7343" s="734"/>
      <c r="M7343" s="62" t="e">
        <f>IF(#REF!&gt;6,3,5)</f>
        <v>#REF!</v>
      </c>
    </row>
    <row r="7344" spans="1:13">
      <c r="A7344" s="738"/>
      <c r="B7344" s="738" t="s">
        <v>1684</v>
      </c>
      <c r="C7344" s="739">
        <f t="shared" ref="C7344:I7344" si="595">SUM(C7328:C7343)</f>
        <v>30200000</v>
      </c>
      <c r="D7344" s="739">
        <f t="shared" si="595"/>
        <v>44600000</v>
      </c>
      <c r="E7344" s="739">
        <f t="shared" si="595"/>
        <v>44600000</v>
      </c>
      <c r="F7344" s="739">
        <f t="shared" si="595"/>
        <v>119400000</v>
      </c>
      <c r="G7344" s="739">
        <f>SUM(G7328:G7343)</f>
        <v>0</v>
      </c>
      <c r="H7344" s="739">
        <f t="shared" si="595"/>
        <v>44600000</v>
      </c>
      <c r="I7344" s="739">
        <f t="shared" si="595"/>
        <v>6627052</v>
      </c>
      <c r="J7344" s="739"/>
      <c r="K7344" s="740"/>
      <c r="M7344" s="62" t="e">
        <f>IF(#REF!&gt;6,3,5)</f>
        <v>#REF!</v>
      </c>
    </row>
    <row r="7345" spans="1:13" ht="15">
      <c r="J7345" s="584"/>
      <c r="K7345" s="584"/>
      <c r="M7345" s="62">
        <f t="shared" ref="M7345:M7410" si="596">IF(C7345&gt;6,3,5)</f>
        <v>5</v>
      </c>
    </row>
    <row r="7346" spans="1:13" ht="15">
      <c r="C7346" s="77"/>
      <c r="D7346" s="78" t="s">
        <v>5434</v>
      </c>
      <c r="J7346" s="584"/>
      <c r="K7346" s="584"/>
      <c r="M7346" s="62">
        <f t="shared" si="596"/>
        <v>5</v>
      </c>
    </row>
    <row r="7347" spans="1:13" ht="15">
      <c r="C7347" s="77"/>
      <c r="D7347" s="78" t="s">
        <v>1693</v>
      </c>
      <c r="J7347" s="584"/>
      <c r="K7347" s="584"/>
      <c r="M7347" s="62">
        <f t="shared" si="596"/>
        <v>5</v>
      </c>
    </row>
    <row r="7348" spans="1:13" ht="15">
      <c r="C7348" s="79" t="s">
        <v>717</v>
      </c>
      <c r="D7348" s="78" t="s">
        <v>2774</v>
      </c>
      <c r="J7348" s="584"/>
      <c r="K7348" s="584"/>
      <c r="M7348" s="62">
        <f t="shared" si="596"/>
        <v>3</v>
      </c>
    </row>
    <row r="7349" spans="1:13" ht="15.75" thickBot="1">
      <c r="C7349" s="79" t="s">
        <v>718</v>
      </c>
      <c r="D7349" s="78" t="s">
        <v>2645</v>
      </c>
      <c r="J7349" s="584"/>
      <c r="K7349" s="584"/>
      <c r="M7349" s="62">
        <f t="shared" si="596"/>
        <v>3</v>
      </c>
    </row>
    <row r="7350" spans="1:13" ht="15.75" thickTop="1">
      <c r="A7350" s="1047" t="s">
        <v>2791</v>
      </c>
      <c r="B7350" s="1049" t="s">
        <v>4126</v>
      </c>
      <c r="C7350" s="1049" t="s">
        <v>854</v>
      </c>
      <c r="D7350" s="1040" t="s">
        <v>4127</v>
      </c>
      <c r="E7350" s="1041"/>
      <c r="F7350" s="1041"/>
      <c r="G7350" s="1040" t="s">
        <v>904</v>
      </c>
      <c r="H7350" s="1041"/>
      <c r="I7350" s="1042"/>
      <c r="J7350" s="1035" t="s">
        <v>855</v>
      </c>
      <c r="K7350" s="389"/>
    </row>
    <row r="7351" spans="1:13" ht="26.25" thickBot="1">
      <c r="A7351" s="1048"/>
      <c r="B7351" s="1050"/>
      <c r="C7351" s="1050"/>
      <c r="D7351" s="285" t="s">
        <v>5505</v>
      </c>
      <c r="E7351" s="285" t="s">
        <v>4485</v>
      </c>
      <c r="F7351" s="285" t="s">
        <v>4486</v>
      </c>
      <c r="G7351" s="287" t="s">
        <v>4487</v>
      </c>
      <c r="H7351" s="285" t="s">
        <v>4488</v>
      </c>
      <c r="I7351" s="287" t="s">
        <v>4489</v>
      </c>
      <c r="J7351" s="1036"/>
      <c r="K7351" s="712"/>
    </row>
    <row r="7352" spans="1:13" ht="13.5" thickTop="1">
      <c r="A7352" s="88" t="s">
        <v>1840</v>
      </c>
      <c r="B7352" s="90" t="s">
        <v>418</v>
      </c>
      <c r="C7352" s="69"/>
      <c r="D7352" s="89"/>
      <c r="E7352" s="89"/>
      <c r="F7352" s="89"/>
      <c r="G7352" s="89"/>
      <c r="H7352" s="89"/>
      <c r="I7352" s="89"/>
      <c r="J7352" s="713"/>
      <c r="K7352" s="711"/>
      <c r="M7352" s="62">
        <f t="shared" si="596"/>
        <v>5</v>
      </c>
    </row>
    <row r="7353" spans="1:13">
      <c r="A7353" s="88">
        <v>1</v>
      </c>
      <c r="B7353" s="69" t="s">
        <v>3532</v>
      </c>
      <c r="C7353" s="69">
        <v>16</v>
      </c>
      <c r="D7353" s="89">
        <v>1</v>
      </c>
      <c r="E7353" s="89">
        <v>1</v>
      </c>
      <c r="F7353" s="89">
        <v>1</v>
      </c>
      <c r="G7353" s="89">
        <v>1</v>
      </c>
      <c r="H7353" s="89">
        <v>1</v>
      </c>
      <c r="I7353" s="89">
        <v>0</v>
      </c>
      <c r="J7353" s="710">
        <f>(VLOOKUP($C7353,[2]Sheet1!$A$2:$P$18,$M7353+1)/12)*12*D7353</f>
        <v>677281.26084</v>
      </c>
      <c r="K7353" s="711"/>
      <c r="M7353" s="62">
        <f t="shared" si="596"/>
        <v>3</v>
      </c>
    </row>
    <row r="7354" spans="1:13">
      <c r="A7354" s="88">
        <f t="shared" ref="A7354:A7419" si="597">+A7353+1</f>
        <v>2</v>
      </c>
      <c r="B7354" s="69" t="s">
        <v>1256</v>
      </c>
      <c r="C7354" s="69">
        <v>15</v>
      </c>
      <c r="D7354" s="89">
        <v>4</v>
      </c>
      <c r="E7354" s="89">
        <v>4</v>
      </c>
      <c r="F7354" s="89">
        <v>4</v>
      </c>
      <c r="G7354" s="89">
        <v>4</v>
      </c>
      <c r="H7354" s="89">
        <v>4</v>
      </c>
      <c r="I7354" s="89">
        <v>4</v>
      </c>
      <c r="J7354" s="710">
        <f>(VLOOKUP($C7354,[2]Sheet1!$A$2:$P$18,$M7354+1)/12)*12*D7354</f>
        <v>2633327.59968</v>
      </c>
      <c r="K7354" s="711"/>
      <c r="M7354" s="62">
        <f t="shared" si="596"/>
        <v>3</v>
      </c>
    </row>
    <row r="7355" spans="1:13">
      <c r="A7355" s="88">
        <f t="shared" si="597"/>
        <v>3</v>
      </c>
      <c r="B7355" s="69" t="s">
        <v>3533</v>
      </c>
      <c r="C7355" s="69">
        <v>14</v>
      </c>
      <c r="D7355" s="89">
        <v>0</v>
      </c>
      <c r="E7355" s="89">
        <v>0</v>
      </c>
      <c r="F7355" s="89">
        <v>0</v>
      </c>
      <c r="G7355" s="89">
        <v>0</v>
      </c>
      <c r="H7355" s="89">
        <v>0</v>
      </c>
      <c r="I7355" s="89">
        <v>0</v>
      </c>
      <c r="J7355" s="710">
        <f>(VLOOKUP($C7355,[2]Sheet1!$A$2:$P$18,$M7355+1)/12)*12*D7355</f>
        <v>0</v>
      </c>
      <c r="K7355" s="711"/>
      <c r="M7355" s="62">
        <f t="shared" si="596"/>
        <v>3</v>
      </c>
    </row>
    <row r="7356" spans="1:13">
      <c r="A7356" s="88">
        <f t="shared" si="597"/>
        <v>4</v>
      </c>
      <c r="B7356" s="69" t="s">
        <v>3319</v>
      </c>
      <c r="C7356" s="69">
        <v>14</v>
      </c>
      <c r="D7356" s="89">
        <v>0</v>
      </c>
      <c r="E7356" s="89">
        <v>3</v>
      </c>
      <c r="F7356" s="89">
        <v>0</v>
      </c>
      <c r="G7356" s="89">
        <v>0</v>
      </c>
      <c r="H7356" s="89">
        <v>3</v>
      </c>
      <c r="I7356" s="89">
        <v>0</v>
      </c>
      <c r="J7356" s="710">
        <f>(VLOOKUP($C7356,[2]Sheet1!$A$2:$P$18,$M7356+1)/12)*12*D7356</f>
        <v>0</v>
      </c>
      <c r="K7356" s="711"/>
      <c r="M7356" s="62">
        <f t="shared" si="596"/>
        <v>3</v>
      </c>
    </row>
    <row r="7357" spans="1:13">
      <c r="A7357" s="88">
        <f t="shared" si="597"/>
        <v>5</v>
      </c>
      <c r="B7357" s="69" t="s">
        <v>3320</v>
      </c>
      <c r="C7357" s="69">
        <v>13</v>
      </c>
      <c r="D7357" s="89">
        <v>3</v>
      </c>
      <c r="E7357" s="89">
        <v>3</v>
      </c>
      <c r="F7357" s="89">
        <v>3</v>
      </c>
      <c r="G7357" s="89">
        <v>3</v>
      </c>
      <c r="H7357" s="89">
        <v>3</v>
      </c>
      <c r="I7357" s="89">
        <v>3</v>
      </c>
      <c r="J7357" s="710">
        <f>(VLOOKUP($C7357,[2]Sheet1!$A$2:$P$18,$M7357+1)/12)*12*D7357</f>
        <v>1886278.61412</v>
      </c>
      <c r="K7357" s="711"/>
      <c r="M7357" s="62">
        <f t="shared" si="596"/>
        <v>3</v>
      </c>
    </row>
    <row r="7358" spans="1:13">
      <c r="A7358" s="88">
        <f t="shared" si="597"/>
        <v>6</v>
      </c>
      <c r="B7358" s="69" t="s">
        <v>3321</v>
      </c>
      <c r="C7358" s="69">
        <v>12</v>
      </c>
      <c r="D7358" s="89">
        <v>0</v>
      </c>
      <c r="E7358" s="89">
        <v>0</v>
      </c>
      <c r="F7358" s="89">
        <v>0</v>
      </c>
      <c r="G7358" s="89">
        <v>0</v>
      </c>
      <c r="H7358" s="89">
        <v>0</v>
      </c>
      <c r="I7358" s="89">
        <v>0</v>
      </c>
      <c r="J7358" s="710">
        <f>(VLOOKUP($C7358,[2]Sheet1!$A$2:$P$18,$M7358+1)/12)*12*D7358</f>
        <v>0</v>
      </c>
      <c r="K7358" s="711"/>
      <c r="M7358" s="62">
        <f t="shared" si="596"/>
        <v>3</v>
      </c>
    </row>
    <row r="7359" spans="1:13">
      <c r="A7359" s="88">
        <f t="shared" si="597"/>
        <v>7</v>
      </c>
      <c r="B7359" s="69" t="s">
        <v>3498</v>
      </c>
      <c r="C7359" s="69">
        <v>10</v>
      </c>
      <c r="D7359" s="89">
        <v>0</v>
      </c>
      <c r="E7359" s="89">
        <v>2</v>
      </c>
      <c r="F7359" s="89">
        <v>0</v>
      </c>
      <c r="G7359" s="89">
        <v>0</v>
      </c>
      <c r="H7359" s="89">
        <v>2</v>
      </c>
      <c r="I7359" s="89">
        <v>0</v>
      </c>
      <c r="J7359" s="710">
        <f>(VLOOKUP($C7359,[2]Sheet1!$A$2:$P$18,$M7359+1)/12)*12*D7359</f>
        <v>0</v>
      </c>
      <c r="K7359" s="711"/>
      <c r="M7359" s="62">
        <f t="shared" si="596"/>
        <v>3</v>
      </c>
    </row>
    <row r="7360" spans="1:13">
      <c r="A7360" s="88">
        <f t="shared" si="597"/>
        <v>8</v>
      </c>
      <c r="B7360" s="69" t="s">
        <v>3394</v>
      </c>
      <c r="C7360" s="69">
        <v>9</v>
      </c>
      <c r="D7360" s="89">
        <v>3</v>
      </c>
      <c r="E7360" s="89">
        <v>3</v>
      </c>
      <c r="F7360" s="89">
        <v>3</v>
      </c>
      <c r="G7360" s="89">
        <v>3</v>
      </c>
      <c r="H7360" s="89">
        <v>3</v>
      </c>
      <c r="I7360" s="89">
        <v>3</v>
      </c>
      <c r="J7360" s="710">
        <f>(VLOOKUP($C7360,[2]Sheet1!$A$2:$P$18,$M7360+1)/12)*12*D7360</f>
        <v>1229045.7185999998</v>
      </c>
      <c r="K7360" s="711"/>
      <c r="M7360" s="62">
        <f t="shared" si="596"/>
        <v>3</v>
      </c>
    </row>
    <row r="7361" spans="1:13">
      <c r="A7361" s="88">
        <f t="shared" si="597"/>
        <v>9</v>
      </c>
      <c r="B7361" s="69" t="s">
        <v>3499</v>
      </c>
      <c r="C7361" s="69">
        <v>8</v>
      </c>
      <c r="D7361" s="89">
        <v>0</v>
      </c>
      <c r="E7361" s="89">
        <v>2</v>
      </c>
      <c r="F7361" s="89">
        <v>0</v>
      </c>
      <c r="G7361" s="89">
        <v>0</v>
      </c>
      <c r="H7361" s="89">
        <v>2</v>
      </c>
      <c r="I7361" s="89">
        <v>0</v>
      </c>
      <c r="J7361" s="710">
        <f>(VLOOKUP($C7361,[2]Sheet1!$A$2:$P$18,$M7361+1)/12)*12*D7361</f>
        <v>0</v>
      </c>
      <c r="K7361" s="711"/>
      <c r="M7361" s="62">
        <f t="shared" si="596"/>
        <v>3</v>
      </c>
    </row>
    <row r="7362" spans="1:13">
      <c r="A7362" s="88">
        <f t="shared" si="597"/>
        <v>10</v>
      </c>
      <c r="B7362" s="69" t="s">
        <v>1090</v>
      </c>
      <c r="C7362" s="69">
        <v>14</v>
      </c>
      <c r="D7362" s="89">
        <v>1</v>
      </c>
      <c r="E7362" s="89">
        <v>6</v>
      </c>
      <c r="F7362" s="89">
        <v>6</v>
      </c>
      <c r="G7362" s="89">
        <v>6</v>
      </c>
      <c r="H7362" s="89">
        <v>6</v>
      </c>
      <c r="I7362" s="89">
        <v>1</v>
      </c>
      <c r="J7362" s="710">
        <f>(VLOOKUP($C7362,[2]Sheet1!$A$2:$P$18,$M7362+1)/12)*12*D7362</f>
        <v>669099.40824000002</v>
      </c>
      <c r="K7362" s="711"/>
      <c r="M7362" s="62">
        <f t="shared" si="596"/>
        <v>3</v>
      </c>
    </row>
    <row r="7363" spans="1:13">
      <c r="A7363" s="88">
        <f t="shared" si="597"/>
        <v>11</v>
      </c>
      <c r="B7363" s="69" t="s">
        <v>1092</v>
      </c>
      <c r="C7363" s="69">
        <v>13</v>
      </c>
      <c r="D7363" s="89">
        <v>2</v>
      </c>
      <c r="E7363" s="89">
        <v>2</v>
      </c>
      <c r="F7363" s="89">
        <v>2</v>
      </c>
      <c r="G7363" s="89">
        <v>2</v>
      </c>
      <c r="H7363" s="89">
        <v>2</v>
      </c>
      <c r="I7363" s="89">
        <v>2</v>
      </c>
      <c r="J7363" s="710">
        <f>(VLOOKUP($C7363,[2]Sheet1!$A$2:$P$18,$M7363+1)/12)*12*D7363</f>
        <v>1257519.07608</v>
      </c>
      <c r="K7363" s="711"/>
      <c r="M7363" s="62">
        <f t="shared" si="596"/>
        <v>3</v>
      </c>
    </row>
    <row r="7364" spans="1:13">
      <c r="A7364" s="88">
        <f t="shared" si="597"/>
        <v>12</v>
      </c>
      <c r="B7364" s="69" t="s">
        <v>1089</v>
      </c>
      <c r="C7364" s="69">
        <v>12</v>
      </c>
      <c r="D7364" s="89">
        <v>1</v>
      </c>
      <c r="E7364" s="89">
        <v>1</v>
      </c>
      <c r="F7364" s="89">
        <v>1</v>
      </c>
      <c r="G7364" s="89">
        <v>1</v>
      </c>
      <c r="H7364" s="89">
        <v>1</v>
      </c>
      <c r="I7364" s="89">
        <v>1</v>
      </c>
      <c r="J7364" s="710">
        <f>(VLOOKUP($C7364,[2]Sheet1!$A$2:$P$18,$M7364+1)/12)*12*D7364</f>
        <v>552685.0537200002</v>
      </c>
      <c r="K7364" s="711"/>
      <c r="M7364" s="62">
        <f t="shared" si="596"/>
        <v>3</v>
      </c>
    </row>
    <row r="7365" spans="1:13">
      <c r="A7365" s="88">
        <f t="shared" si="597"/>
        <v>13</v>
      </c>
      <c r="B7365" s="69" t="s">
        <v>1368</v>
      </c>
      <c r="C7365" s="69">
        <v>10</v>
      </c>
      <c r="D7365" s="89">
        <v>2</v>
      </c>
      <c r="E7365" s="89">
        <v>2</v>
      </c>
      <c r="F7365" s="89">
        <v>2</v>
      </c>
      <c r="G7365" s="89">
        <v>2</v>
      </c>
      <c r="H7365" s="89">
        <v>2</v>
      </c>
      <c r="I7365" s="89">
        <v>2</v>
      </c>
      <c r="J7365" s="710">
        <f>(VLOOKUP($C7365,[2]Sheet1!$A$2:$P$18,$M7365+1)/12)*12*D7365</f>
        <v>967949.1374400002</v>
      </c>
      <c r="K7365" s="711"/>
      <c r="M7365" s="62">
        <f t="shared" si="596"/>
        <v>3</v>
      </c>
    </row>
    <row r="7366" spans="1:13">
      <c r="A7366" s="88">
        <f t="shared" si="597"/>
        <v>14</v>
      </c>
      <c r="B7366" s="69" t="s">
        <v>1369</v>
      </c>
      <c r="C7366" s="69">
        <v>9</v>
      </c>
      <c r="D7366" s="89">
        <v>1</v>
      </c>
      <c r="E7366" s="89">
        <v>1</v>
      </c>
      <c r="F7366" s="89">
        <v>1</v>
      </c>
      <c r="G7366" s="89">
        <v>1</v>
      </c>
      <c r="H7366" s="89">
        <v>1</v>
      </c>
      <c r="I7366" s="89">
        <v>1</v>
      </c>
      <c r="J7366" s="710">
        <f>(VLOOKUP($C7366,[2]Sheet1!$A$2:$P$18,$M7366+1)/12)*12*D7366</f>
        <v>409681.90619999997</v>
      </c>
      <c r="K7366" s="711"/>
      <c r="M7366" s="62">
        <f t="shared" si="596"/>
        <v>3</v>
      </c>
    </row>
    <row r="7367" spans="1:13">
      <c r="A7367" s="88">
        <f t="shared" si="597"/>
        <v>15</v>
      </c>
      <c r="B7367" s="69" t="s">
        <v>1085</v>
      </c>
      <c r="C7367" s="69">
        <v>8</v>
      </c>
      <c r="D7367" s="89">
        <v>2</v>
      </c>
      <c r="E7367" s="89">
        <v>2</v>
      </c>
      <c r="F7367" s="89">
        <v>2</v>
      </c>
      <c r="G7367" s="89">
        <v>2</v>
      </c>
      <c r="H7367" s="89">
        <v>2</v>
      </c>
      <c r="I7367" s="89">
        <v>2</v>
      </c>
      <c r="J7367" s="710">
        <f>(VLOOKUP($C7367,[2]Sheet1!$A$2:$P$18,$M7367+1)/12)*12*D7367</f>
        <v>684282.54816000001</v>
      </c>
      <c r="K7367" s="711"/>
      <c r="M7367" s="62">
        <f t="shared" si="596"/>
        <v>3</v>
      </c>
    </row>
    <row r="7368" spans="1:13">
      <c r="A7368" s="88">
        <f t="shared" si="597"/>
        <v>16</v>
      </c>
      <c r="B7368" s="69" t="s">
        <v>1086</v>
      </c>
      <c r="C7368" s="69">
        <v>7</v>
      </c>
      <c r="D7368" s="89">
        <v>1</v>
      </c>
      <c r="E7368" s="89">
        <v>1</v>
      </c>
      <c r="F7368" s="89">
        <v>1</v>
      </c>
      <c r="G7368" s="89">
        <v>1</v>
      </c>
      <c r="H7368" s="89">
        <v>1</v>
      </c>
      <c r="I7368" s="89">
        <v>1</v>
      </c>
      <c r="J7368" s="710">
        <f>(VLOOKUP($C7368,[2]Sheet1!$A$2:$P$18,$M7368+1)/12)*12*D7368</f>
        <v>307706.70240000007</v>
      </c>
      <c r="K7368" s="711"/>
      <c r="M7368" s="62">
        <f t="shared" si="596"/>
        <v>3</v>
      </c>
    </row>
    <row r="7369" spans="1:13">
      <c r="A7369" s="88">
        <f t="shared" si="597"/>
        <v>17</v>
      </c>
      <c r="B7369" s="69" t="s">
        <v>1087</v>
      </c>
      <c r="C7369" s="69">
        <v>4</v>
      </c>
      <c r="D7369" s="89">
        <v>10</v>
      </c>
      <c r="E7369" s="89">
        <v>1</v>
      </c>
      <c r="F7369" s="89">
        <v>1</v>
      </c>
      <c r="G7369" s="89">
        <v>1</v>
      </c>
      <c r="H7369" s="89">
        <v>1</v>
      </c>
      <c r="I7369" s="89">
        <v>10</v>
      </c>
      <c r="J7369" s="710">
        <f>(VLOOKUP($C7369,[2]Sheet1!$A$2:$P$18,$M7369+1)/12)*12*D7369</f>
        <v>2245429.7893036501</v>
      </c>
      <c r="K7369" s="711"/>
      <c r="M7369" s="62">
        <f t="shared" si="596"/>
        <v>5</v>
      </c>
    </row>
    <row r="7370" spans="1:13">
      <c r="A7370" s="88">
        <f t="shared" si="597"/>
        <v>18</v>
      </c>
      <c r="B7370" s="69" t="s">
        <v>1087</v>
      </c>
      <c r="C7370" s="69">
        <v>3</v>
      </c>
      <c r="D7370" s="89">
        <v>2</v>
      </c>
      <c r="E7370" s="89">
        <v>25</v>
      </c>
      <c r="F7370" s="89">
        <v>20</v>
      </c>
      <c r="G7370" s="89">
        <v>20</v>
      </c>
      <c r="H7370" s="89">
        <v>22</v>
      </c>
      <c r="I7370" s="89">
        <v>2</v>
      </c>
      <c r="J7370" s="710">
        <f>(VLOOKUP($C7370,[2]Sheet1!$A$2:$P$18,$M7370+1)/12)*12*D7370</f>
        <v>438672.35786072997</v>
      </c>
      <c r="K7370" s="711"/>
      <c r="M7370" s="62">
        <f t="shared" si="596"/>
        <v>5</v>
      </c>
    </row>
    <row r="7371" spans="1:13">
      <c r="A7371" s="88">
        <f t="shared" si="597"/>
        <v>19</v>
      </c>
      <c r="B7371" s="69" t="s">
        <v>1088</v>
      </c>
      <c r="C7371" s="69">
        <v>7</v>
      </c>
      <c r="D7371" s="89">
        <v>2</v>
      </c>
      <c r="E7371" s="89">
        <v>2</v>
      </c>
      <c r="F7371" s="89">
        <v>2</v>
      </c>
      <c r="G7371" s="89">
        <v>2</v>
      </c>
      <c r="H7371" s="89">
        <v>2</v>
      </c>
      <c r="I7371" s="89">
        <v>2</v>
      </c>
      <c r="J7371" s="710">
        <f>(VLOOKUP($C7371,[2]Sheet1!$A$2:$P$18,$M7371+1)/12)*12*D7371</f>
        <v>615413.40480000013</v>
      </c>
      <c r="K7371" s="711"/>
      <c r="M7371" s="62">
        <f t="shared" si="596"/>
        <v>3</v>
      </c>
    </row>
    <row r="7372" spans="1:13">
      <c r="A7372" s="88">
        <f t="shared" si="597"/>
        <v>20</v>
      </c>
      <c r="B7372" s="69" t="s">
        <v>2068</v>
      </c>
      <c r="C7372" s="69">
        <v>5</v>
      </c>
      <c r="D7372" s="89">
        <v>1</v>
      </c>
      <c r="E7372" s="89">
        <v>3</v>
      </c>
      <c r="F7372" s="89">
        <v>2</v>
      </c>
      <c r="G7372" s="89">
        <v>2</v>
      </c>
      <c r="H7372" s="89">
        <v>3</v>
      </c>
      <c r="I7372" s="89">
        <v>1</v>
      </c>
      <c r="J7372" s="710">
        <f>(VLOOKUP($C7372,[2]Sheet1!$A$2:$P$18,$M7372+1)/12)*12*D7372</f>
        <v>229569.77893036499</v>
      </c>
      <c r="K7372" s="711"/>
      <c r="M7372" s="62">
        <f t="shared" si="596"/>
        <v>5</v>
      </c>
    </row>
    <row r="7373" spans="1:13">
      <c r="A7373" s="88">
        <f t="shared" si="597"/>
        <v>21</v>
      </c>
      <c r="B7373" s="69" t="s">
        <v>2069</v>
      </c>
      <c r="C7373" s="69">
        <v>4</v>
      </c>
      <c r="D7373" s="89">
        <v>1</v>
      </c>
      <c r="E7373" s="89">
        <v>1</v>
      </c>
      <c r="F7373" s="89">
        <v>1</v>
      </c>
      <c r="G7373" s="89">
        <v>1</v>
      </c>
      <c r="H7373" s="89">
        <v>1</v>
      </c>
      <c r="I7373" s="89">
        <v>1</v>
      </c>
      <c r="J7373" s="710">
        <f>(VLOOKUP($C7373,[2]Sheet1!$A$2:$P$18,$M7373+1)/12)*12*D7373</f>
        <v>224542.978930365</v>
      </c>
      <c r="K7373" s="711"/>
      <c r="M7373" s="62">
        <f t="shared" si="596"/>
        <v>5</v>
      </c>
    </row>
    <row r="7374" spans="1:13">
      <c r="A7374" s="88">
        <f t="shared" si="597"/>
        <v>22</v>
      </c>
      <c r="B7374" s="69" t="s">
        <v>2070</v>
      </c>
      <c r="C7374" s="69">
        <v>3</v>
      </c>
      <c r="D7374" s="89">
        <v>1</v>
      </c>
      <c r="E7374" s="89">
        <v>10</v>
      </c>
      <c r="F7374" s="89">
        <v>3</v>
      </c>
      <c r="G7374" s="89">
        <v>3</v>
      </c>
      <c r="H7374" s="89">
        <v>5</v>
      </c>
      <c r="I7374" s="89">
        <v>1</v>
      </c>
      <c r="J7374" s="710">
        <f>(VLOOKUP($C7374,[2]Sheet1!$A$2:$P$18,$M7374+1)/12)*12*D7374</f>
        <v>219336.17893036499</v>
      </c>
      <c r="K7374" s="711"/>
      <c r="M7374" s="62">
        <f t="shared" si="596"/>
        <v>5</v>
      </c>
    </row>
    <row r="7375" spans="1:13">
      <c r="A7375" s="88">
        <f t="shared" si="597"/>
        <v>23</v>
      </c>
      <c r="B7375" s="69" t="s">
        <v>3026</v>
      </c>
      <c r="C7375" s="69">
        <v>7</v>
      </c>
      <c r="D7375" s="89">
        <v>1</v>
      </c>
      <c r="E7375" s="89">
        <v>3</v>
      </c>
      <c r="F7375" s="89">
        <v>3</v>
      </c>
      <c r="G7375" s="89">
        <v>3</v>
      </c>
      <c r="H7375" s="89">
        <v>3</v>
      </c>
      <c r="I7375" s="89">
        <v>1</v>
      </c>
      <c r="J7375" s="710">
        <f>(VLOOKUP($C7375,[2]Sheet1!$A$2:$P$18,$M7375+1)/12)*12*D7375</f>
        <v>307706.70240000007</v>
      </c>
      <c r="K7375" s="711"/>
      <c r="M7375" s="62">
        <f t="shared" si="596"/>
        <v>3</v>
      </c>
    </row>
    <row r="7376" spans="1:13">
      <c r="A7376" s="88">
        <f t="shared" si="597"/>
        <v>24</v>
      </c>
      <c r="B7376" s="69" t="s">
        <v>3027</v>
      </c>
      <c r="C7376" s="69">
        <v>6</v>
      </c>
      <c r="D7376" s="89">
        <v>1</v>
      </c>
      <c r="E7376" s="89">
        <v>1</v>
      </c>
      <c r="F7376" s="89">
        <v>1</v>
      </c>
      <c r="G7376" s="89">
        <v>1</v>
      </c>
      <c r="H7376" s="89">
        <v>1</v>
      </c>
      <c r="I7376" s="89">
        <v>1</v>
      </c>
      <c r="J7376" s="710">
        <f>(VLOOKUP($C7376,[2]Sheet1!$A$2:$P$18,$M7376+1)/12)*12*D7376</f>
        <v>238099.37893036497</v>
      </c>
      <c r="K7376" s="711"/>
      <c r="M7376" s="62">
        <f t="shared" si="596"/>
        <v>5</v>
      </c>
    </row>
    <row r="7377" spans="1:13">
      <c r="A7377" s="88">
        <f t="shared" si="597"/>
        <v>25</v>
      </c>
      <c r="B7377" s="69" t="s">
        <v>1645</v>
      </c>
      <c r="C7377" s="69">
        <v>5</v>
      </c>
      <c r="D7377" s="89">
        <v>1</v>
      </c>
      <c r="E7377" s="89">
        <v>1</v>
      </c>
      <c r="F7377" s="89">
        <v>1</v>
      </c>
      <c r="G7377" s="89">
        <v>1</v>
      </c>
      <c r="H7377" s="89">
        <v>1</v>
      </c>
      <c r="I7377" s="89">
        <v>1</v>
      </c>
      <c r="J7377" s="710">
        <f>(VLOOKUP($C7377,[2]Sheet1!$A$2:$P$18,$M7377+1)/12)*12*D7377</f>
        <v>229569.77893036499</v>
      </c>
      <c r="K7377" s="711"/>
      <c r="M7377" s="62">
        <f t="shared" si="596"/>
        <v>5</v>
      </c>
    </row>
    <row r="7378" spans="1:13">
      <c r="A7378" s="88">
        <f t="shared" si="597"/>
        <v>26</v>
      </c>
      <c r="B7378" s="69" t="s">
        <v>1646</v>
      </c>
      <c r="C7378" s="69">
        <v>4</v>
      </c>
      <c r="D7378" s="89">
        <v>0</v>
      </c>
      <c r="E7378" s="89">
        <v>0</v>
      </c>
      <c r="F7378" s="89">
        <v>0</v>
      </c>
      <c r="G7378" s="89">
        <v>0</v>
      </c>
      <c r="H7378" s="89">
        <v>0</v>
      </c>
      <c r="I7378" s="89">
        <v>0</v>
      </c>
      <c r="J7378" s="710">
        <f>(VLOOKUP($C7378,[2]Sheet1!$A$2:$P$18,$M7378+1)/12)*12*D7378</f>
        <v>0</v>
      </c>
      <c r="K7378" s="711"/>
      <c r="M7378" s="62">
        <f t="shared" si="596"/>
        <v>5</v>
      </c>
    </row>
    <row r="7379" spans="1:13">
      <c r="A7379" s="88">
        <f t="shared" si="597"/>
        <v>27</v>
      </c>
      <c r="B7379" s="69" t="s">
        <v>1647</v>
      </c>
      <c r="C7379" s="69">
        <v>3</v>
      </c>
      <c r="D7379" s="89">
        <v>7</v>
      </c>
      <c r="E7379" s="89">
        <v>12</v>
      </c>
      <c r="F7379" s="89">
        <v>9</v>
      </c>
      <c r="G7379" s="89">
        <v>9</v>
      </c>
      <c r="H7379" s="89">
        <v>12</v>
      </c>
      <c r="I7379" s="89">
        <v>7</v>
      </c>
      <c r="J7379" s="710">
        <f>(VLOOKUP($C7379,[2]Sheet1!$A$2:$P$18,$M7379+1)/12)*12*D7379</f>
        <v>1535353.2525125549</v>
      </c>
      <c r="K7379" s="711"/>
      <c r="M7379" s="62">
        <f t="shared" si="596"/>
        <v>5</v>
      </c>
    </row>
    <row r="7380" spans="1:13">
      <c r="A7380" s="88">
        <f t="shared" si="597"/>
        <v>28</v>
      </c>
      <c r="B7380" s="69" t="s">
        <v>3542</v>
      </c>
      <c r="C7380" s="69">
        <v>3</v>
      </c>
      <c r="D7380" s="89">
        <v>13</v>
      </c>
      <c r="E7380" s="89">
        <v>90</v>
      </c>
      <c r="F7380" s="89">
        <v>75</v>
      </c>
      <c r="G7380" s="89">
        <v>75</v>
      </c>
      <c r="H7380" s="89">
        <v>80</v>
      </c>
      <c r="I7380" s="89">
        <v>13</v>
      </c>
      <c r="J7380" s="710">
        <f>(VLOOKUP($C7380,[2]Sheet1!$A$2:$P$18,$M7380+1)/12)*12*D7380</f>
        <v>2851370.3260947447</v>
      </c>
      <c r="K7380" s="711"/>
      <c r="M7380" s="62">
        <f t="shared" si="596"/>
        <v>5</v>
      </c>
    </row>
    <row r="7381" spans="1:13">
      <c r="A7381" s="88">
        <f t="shared" si="597"/>
        <v>29</v>
      </c>
      <c r="B7381" s="69" t="s">
        <v>3543</v>
      </c>
      <c r="C7381" s="69">
        <v>2</v>
      </c>
      <c r="D7381" s="89">
        <v>28</v>
      </c>
      <c r="E7381" s="89">
        <v>80</v>
      </c>
      <c r="F7381" s="89">
        <v>78</v>
      </c>
      <c r="G7381" s="89">
        <v>78</v>
      </c>
      <c r="H7381" s="89">
        <v>78</v>
      </c>
      <c r="I7381" s="89">
        <v>28</v>
      </c>
      <c r="J7381" s="710">
        <f>(VLOOKUP($C7381,[2]Sheet1!$A$2:$P$18,$M7381+1)/12)*12*D7381</f>
        <v>6010406.610050221</v>
      </c>
      <c r="K7381" s="711"/>
      <c r="M7381" s="62">
        <f t="shared" si="596"/>
        <v>5</v>
      </c>
    </row>
    <row r="7382" spans="1:13">
      <c r="A7382" s="88">
        <f t="shared" si="597"/>
        <v>30</v>
      </c>
      <c r="B7382" s="69" t="s">
        <v>3544</v>
      </c>
      <c r="C7382" s="69">
        <v>14</v>
      </c>
      <c r="D7382" s="89">
        <v>1</v>
      </c>
      <c r="E7382" s="89">
        <v>1</v>
      </c>
      <c r="F7382" s="89">
        <v>1</v>
      </c>
      <c r="G7382" s="89">
        <v>1</v>
      </c>
      <c r="H7382" s="89">
        <v>1</v>
      </c>
      <c r="I7382" s="89">
        <v>1</v>
      </c>
      <c r="J7382" s="710">
        <f>(VLOOKUP($C7382,[2]Sheet1!$A$2:$P$18,$M7382+1)/12)*12*D7382</f>
        <v>669099.40824000002</v>
      </c>
      <c r="K7382" s="711"/>
      <c r="M7382" s="62">
        <f t="shared" si="596"/>
        <v>3</v>
      </c>
    </row>
    <row r="7383" spans="1:13">
      <c r="A7383" s="88">
        <f t="shared" si="597"/>
        <v>31</v>
      </c>
      <c r="B7383" s="69" t="s">
        <v>3545</v>
      </c>
      <c r="C7383" s="69">
        <v>13</v>
      </c>
      <c r="D7383" s="89">
        <v>0</v>
      </c>
      <c r="E7383" s="89">
        <v>0</v>
      </c>
      <c r="F7383" s="89">
        <v>0</v>
      </c>
      <c r="G7383" s="89">
        <v>0</v>
      </c>
      <c r="H7383" s="89">
        <v>0</v>
      </c>
      <c r="I7383" s="89">
        <v>0</v>
      </c>
      <c r="J7383" s="710">
        <f>(VLOOKUP($C7383,[2]Sheet1!$A$2:$P$18,$M7383+1)/12)*12*D7383</f>
        <v>0</v>
      </c>
      <c r="K7383" s="711"/>
      <c r="M7383" s="62">
        <f t="shared" si="596"/>
        <v>3</v>
      </c>
    </row>
    <row r="7384" spans="1:13">
      <c r="A7384" s="88">
        <f t="shared" si="597"/>
        <v>32</v>
      </c>
      <c r="B7384" s="69" t="s">
        <v>1929</v>
      </c>
      <c r="C7384" s="69">
        <v>12</v>
      </c>
      <c r="D7384" s="89">
        <v>0</v>
      </c>
      <c r="E7384" s="89">
        <v>0</v>
      </c>
      <c r="F7384" s="89">
        <v>0</v>
      </c>
      <c r="G7384" s="89">
        <v>0</v>
      </c>
      <c r="H7384" s="89">
        <v>0</v>
      </c>
      <c r="I7384" s="89">
        <v>0</v>
      </c>
      <c r="J7384" s="710">
        <f>(VLOOKUP($C7384,[2]Sheet1!$A$2:$P$18,$M7384+1)/12)*12*D7384</f>
        <v>0</v>
      </c>
      <c r="K7384" s="711"/>
      <c r="M7384" s="62">
        <f t="shared" si="596"/>
        <v>3</v>
      </c>
    </row>
    <row r="7385" spans="1:13">
      <c r="A7385" s="88">
        <f t="shared" si="597"/>
        <v>33</v>
      </c>
      <c r="B7385" s="69" t="s">
        <v>1930</v>
      </c>
      <c r="C7385" s="69">
        <v>10</v>
      </c>
      <c r="D7385" s="89">
        <v>0</v>
      </c>
      <c r="E7385" s="89">
        <v>0</v>
      </c>
      <c r="F7385" s="89">
        <v>0</v>
      </c>
      <c r="G7385" s="89">
        <v>0</v>
      </c>
      <c r="H7385" s="89">
        <v>0</v>
      </c>
      <c r="I7385" s="89">
        <v>0</v>
      </c>
      <c r="J7385" s="710">
        <f>(VLOOKUP($C7385,[2]Sheet1!$A$2:$P$18,$M7385+1)/12)*12*D7385</f>
        <v>0</v>
      </c>
      <c r="K7385" s="711"/>
      <c r="M7385" s="62">
        <f t="shared" si="596"/>
        <v>3</v>
      </c>
    </row>
    <row r="7386" spans="1:13">
      <c r="A7386" s="88">
        <f t="shared" si="597"/>
        <v>34</v>
      </c>
      <c r="B7386" s="69" t="s">
        <v>2075</v>
      </c>
      <c r="C7386" s="69">
        <v>9</v>
      </c>
      <c r="D7386" s="89">
        <v>0</v>
      </c>
      <c r="E7386" s="89">
        <v>0</v>
      </c>
      <c r="F7386" s="89">
        <v>0</v>
      </c>
      <c r="G7386" s="89">
        <v>0</v>
      </c>
      <c r="H7386" s="89">
        <v>0</v>
      </c>
      <c r="I7386" s="89">
        <v>0</v>
      </c>
      <c r="J7386" s="710">
        <f>(VLOOKUP($C7386,[2]Sheet1!$A$2:$P$18,$M7386+1)/12)*12*D7386</f>
        <v>0</v>
      </c>
      <c r="K7386" s="711"/>
      <c r="M7386" s="62">
        <f t="shared" si="596"/>
        <v>3</v>
      </c>
    </row>
    <row r="7387" spans="1:13">
      <c r="A7387" s="88">
        <f t="shared" si="597"/>
        <v>35</v>
      </c>
      <c r="B7387" s="69" t="s">
        <v>3549</v>
      </c>
      <c r="C7387" s="69">
        <v>8</v>
      </c>
      <c r="D7387" s="89">
        <v>0</v>
      </c>
      <c r="E7387" s="89">
        <v>0</v>
      </c>
      <c r="F7387" s="89">
        <v>0</v>
      </c>
      <c r="G7387" s="89">
        <v>0</v>
      </c>
      <c r="H7387" s="89">
        <v>0</v>
      </c>
      <c r="I7387" s="89">
        <v>0</v>
      </c>
      <c r="J7387" s="710">
        <f>(VLOOKUP($C7387,[2]Sheet1!$A$2:$P$18,$M7387+1)/12)*12*D7387</f>
        <v>0</v>
      </c>
      <c r="K7387" s="711"/>
      <c r="M7387" s="62">
        <f t="shared" si="596"/>
        <v>3</v>
      </c>
    </row>
    <row r="7388" spans="1:13" ht="13.5" thickBot="1">
      <c r="A7388" s="88">
        <f t="shared" si="597"/>
        <v>36</v>
      </c>
      <c r="B7388" s="69" t="s">
        <v>64</v>
      </c>
      <c r="C7388" s="69">
        <v>4</v>
      </c>
      <c r="D7388" s="89">
        <v>0</v>
      </c>
      <c r="E7388" s="89">
        <v>0</v>
      </c>
      <c r="F7388" s="89">
        <v>0</v>
      </c>
      <c r="G7388" s="89">
        <v>0</v>
      </c>
      <c r="H7388" s="89">
        <v>0</v>
      </c>
      <c r="I7388" s="89">
        <v>0</v>
      </c>
      <c r="J7388" s="710">
        <f>(VLOOKUP($C7388,[2]Sheet1!$A$2:$P$18,$M7388+1)/12)*12*D7388</f>
        <v>0</v>
      </c>
      <c r="K7388" s="711"/>
      <c r="M7388" s="62">
        <f t="shared" si="596"/>
        <v>5</v>
      </c>
    </row>
    <row r="7389" spans="1:13" ht="15.75" thickTop="1">
      <c r="A7389" s="1047" t="s">
        <v>2791</v>
      </c>
      <c r="B7389" s="1049" t="s">
        <v>4126</v>
      </c>
      <c r="C7389" s="1049" t="s">
        <v>854</v>
      </c>
      <c r="D7389" s="1040" t="s">
        <v>4127</v>
      </c>
      <c r="E7389" s="1041"/>
      <c r="F7389" s="1041"/>
      <c r="G7389" s="1040" t="s">
        <v>904</v>
      </c>
      <c r="H7389" s="1041"/>
      <c r="I7389" s="1042"/>
      <c r="J7389" s="1035" t="s">
        <v>855</v>
      </c>
      <c r="K7389" s="389"/>
    </row>
    <row r="7390" spans="1:13" ht="26.25" thickBot="1">
      <c r="A7390" s="1048"/>
      <c r="B7390" s="1050"/>
      <c r="C7390" s="1050"/>
      <c r="D7390" s="285" t="s">
        <v>5505</v>
      </c>
      <c r="E7390" s="285" t="s">
        <v>4485</v>
      </c>
      <c r="F7390" s="285" t="s">
        <v>4486</v>
      </c>
      <c r="G7390" s="287" t="s">
        <v>4487</v>
      </c>
      <c r="H7390" s="285" t="s">
        <v>4488</v>
      </c>
      <c r="I7390" s="287" t="s">
        <v>4489</v>
      </c>
      <c r="J7390" s="1036"/>
      <c r="K7390" s="712"/>
    </row>
    <row r="7391" spans="1:13" ht="13.5" thickTop="1">
      <c r="A7391" s="88">
        <f>+A7388+1</f>
        <v>37</v>
      </c>
      <c r="B7391" s="69" t="s">
        <v>879</v>
      </c>
      <c r="C7391" s="69">
        <v>6</v>
      </c>
      <c r="D7391" s="89">
        <v>1</v>
      </c>
      <c r="E7391" s="89">
        <v>0</v>
      </c>
      <c r="F7391" s="89">
        <v>0</v>
      </c>
      <c r="G7391" s="89">
        <v>0</v>
      </c>
      <c r="H7391" s="89">
        <v>0</v>
      </c>
      <c r="I7391" s="89">
        <v>1</v>
      </c>
      <c r="J7391" s="710">
        <f>(VLOOKUP($C7391,[2]Sheet1!$A$2:$P$18,$M7391+1)/12)*12*D7391</f>
        <v>238099.37893036497</v>
      </c>
      <c r="K7391" s="711"/>
      <c r="M7391" s="62">
        <f t="shared" si="596"/>
        <v>5</v>
      </c>
    </row>
    <row r="7392" spans="1:13">
      <c r="A7392" s="88">
        <f t="shared" si="597"/>
        <v>38</v>
      </c>
      <c r="B7392" s="69" t="s">
        <v>1735</v>
      </c>
      <c r="C7392" s="69">
        <v>5</v>
      </c>
      <c r="D7392" s="89">
        <v>7</v>
      </c>
      <c r="E7392" s="89">
        <v>3</v>
      </c>
      <c r="F7392" s="89">
        <v>1</v>
      </c>
      <c r="G7392" s="89">
        <v>1</v>
      </c>
      <c r="H7392" s="89">
        <v>3</v>
      </c>
      <c r="I7392" s="89">
        <v>7</v>
      </c>
      <c r="J7392" s="710">
        <f>(VLOOKUP($C7392,[2]Sheet1!$A$2:$P$18,$M7392+1)/12)*12*D7392</f>
        <v>1606988.4525125548</v>
      </c>
      <c r="K7392" s="711"/>
      <c r="M7392" s="62">
        <f t="shared" si="596"/>
        <v>5</v>
      </c>
    </row>
    <row r="7393" spans="1:13">
      <c r="A7393" s="88">
        <f t="shared" si="597"/>
        <v>39</v>
      </c>
      <c r="B7393" s="69" t="s">
        <v>2580</v>
      </c>
      <c r="C7393" s="69">
        <v>4</v>
      </c>
      <c r="D7393" s="89">
        <v>12</v>
      </c>
      <c r="E7393" s="89">
        <v>6</v>
      </c>
      <c r="F7393" s="89">
        <v>7</v>
      </c>
      <c r="G7393" s="89">
        <v>7</v>
      </c>
      <c r="H7393" s="89">
        <v>6</v>
      </c>
      <c r="I7393" s="89">
        <v>12</v>
      </c>
      <c r="J7393" s="710">
        <f>(VLOOKUP($C7393,[2]Sheet1!$A$2:$P$18,$M7393+1)/12)*12*D7393</f>
        <v>2694515.7471643798</v>
      </c>
      <c r="K7393" s="711"/>
      <c r="M7393" s="62">
        <f t="shared" si="596"/>
        <v>5</v>
      </c>
    </row>
    <row r="7394" spans="1:13">
      <c r="A7394" s="88">
        <f>+A7393+1</f>
        <v>40</v>
      </c>
      <c r="B7394" s="69" t="s">
        <v>2581</v>
      </c>
      <c r="C7394" s="69">
        <v>3</v>
      </c>
      <c r="D7394" s="89">
        <v>18</v>
      </c>
      <c r="E7394" s="89">
        <v>40</v>
      </c>
      <c r="F7394" s="89">
        <v>33</v>
      </c>
      <c r="G7394" s="89">
        <v>33</v>
      </c>
      <c r="H7394" s="89">
        <v>35</v>
      </c>
      <c r="I7394" s="89">
        <v>18</v>
      </c>
      <c r="J7394" s="710">
        <f>(VLOOKUP($C7394,[2]Sheet1!$A$2:$P$18,$M7394+1)/12)*12*D7394</f>
        <v>3948051.2207465698</v>
      </c>
      <c r="K7394" s="711"/>
      <c r="M7394" s="62">
        <f t="shared" si="596"/>
        <v>5</v>
      </c>
    </row>
    <row r="7395" spans="1:13">
      <c r="A7395" s="88">
        <f t="shared" si="597"/>
        <v>41</v>
      </c>
      <c r="B7395" s="69" t="s">
        <v>880</v>
      </c>
      <c r="C7395" s="69">
        <v>3</v>
      </c>
      <c r="D7395" s="89">
        <v>12</v>
      </c>
      <c r="E7395" s="89">
        <v>45</v>
      </c>
      <c r="F7395" s="89">
        <v>33</v>
      </c>
      <c r="G7395" s="89">
        <v>33</v>
      </c>
      <c r="H7395" s="89">
        <v>35</v>
      </c>
      <c r="I7395" s="89">
        <v>12</v>
      </c>
      <c r="J7395" s="710">
        <f>(VLOOKUP($C7395,[2]Sheet1!$A$2:$P$18,$M7395+1)/12)*12*D7395</f>
        <v>2632034.1471643797</v>
      </c>
      <c r="K7395" s="711"/>
      <c r="M7395" s="62">
        <f t="shared" si="596"/>
        <v>5</v>
      </c>
    </row>
    <row r="7396" spans="1:13">
      <c r="A7396" s="88">
        <f t="shared" si="597"/>
        <v>42</v>
      </c>
      <c r="B7396" s="69" t="s">
        <v>2987</v>
      </c>
      <c r="C7396" s="69">
        <v>2</v>
      </c>
      <c r="D7396" s="89">
        <v>0</v>
      </c>
      <c r="E7396" s="89">
        <v>25</v>
      </c>
      <c r="F7396" s="89">
        <v>14</v>
      </c>
      <c r="G7396" s="89">
        <v>14</v>
      </c>
      <c r="H7396" s="89">
        <v>17</v>
      </c>
      <c r="I7396" s="89">
        <v>0</v>
      </c>
      <c r="J7396" s="710">
        <f>(VLOOKUP($C7396,[2]Sheet1!$A$2:$P$18,$M7396+1)/12)*12*D7396</f>
        <v>0</v>
      </c>
      <c r="K7396" s="711"/>
      <c r="M7396" s="62">
        <f t="shared" si="596"/>
        <v>5</v>
      </c>
    </row>
    <row r="7397" spans="1:13">
      <c r="A7397" s="88">
        <f t="shared" si="597"/>
        <v>43</v>
      </c>
      <c r="B7397" s="69" t="s">
        <v>684</v>
      </c>
      <c r="C7397" s="69">
        <v>2</v>
      </c>
      <c r="D7397" s="89">
        <v>0</v>
      </c>
      <c r="E7397" s="89">
        <v>10</v>
      </c>
      <c r="F7397" s="89">
        <v>0</v>
      </c>
      <c r="G7397" s="89">
        <v>0</v>
      </c>
      <c r="H7397" s="89">
        <v>5</v>
      </c>
      <c r="I7397" s="89">
        <v>0</v>
      </c>
      <c r="J7397" s="710">
        <f>(VLOOKUP($C7397,[2]Sheet1!$A$2:$P$18,$M7397+1)/12)*12*D7397</f>
        <v>0</v>
      </c>
      <c r="K7397" s="711"/>
      <c r="M7397" s="62">
        <f t="shared" si="596"/>
        <v>5</v>
      </c>
    </row>
    <row r="7398" spans="1:13">
      <c r="A7398" s="88"/>
      <c r="B7398" s="90" t="s">
        <v>549</v>
      </c>
      <c r="C7398" s="69"/>
      <c r="D7398" s="89"/>
      <c r="E7398" s="89"/>
      <c r="F7398" s="89"/>
      <c r="G7398" s="89"/>
      <c r="H7398" s="89"/>
      <c r="I7398" s="89"/>
      <c r="J7398" s="710"/>
      <c r="K7398" s="711"/>
      <c r="M7398" s="62">
        <f t="shared" si="596"/>
        <v>5</v>
      </c>
    </row>
    <row r="7399" spans="1:13">
      <c r="A7399" s="88">
        <v>44</v>
      </c>
      <c r="B7399" s="69" t="s">
        <v>2988</v>
      </c>
      <c r="C7399" s="69">
        <v>7</v>
      </c>
      <c r="D7399" s="89">
        <v>2</v>
      </c>
      <c r="E7399" s="89">
        <v>3</v>
      </c>
      <c r="F7399" s="89">
        <v>2</v>
      </c>
      <c r="G7399" s="89">
        <v>2</v>
      </c>
      <c r="H7399" s="89">
        <v>3</v>
      </c>
      <c r="I7399" s="89">
        <v>2</v>
      </c>
      <c r="J7399" s="710">
        <f>(VLOOKUP($C7399,[2]Sheet1!$A$2:$P$18,$M7399+1)/12)*12*D7399</f>
        <v>615413.40480000013</v>
      </c>
      <c r="K7399" s="711"/>
      <c r="M7399" s="62">
        <f t="shared" si="596"/>
        <v>3</v>
      </c>
    </row>
    <row r="7400" spans="1:13">
      <c r="A7400" s="88">
        <f t="shared" si="597"/>
        <v>45</v>
      </c>
      <c r="B7400" s="69" t="s">
        <v>1094</v>
      </c>
      <c r="C7400" s="69">
        <v>6</v>
      </c>
      <c r="D7400" s="89">
        <v>1</v>
      </c>
      <c r="E7400" s="89">
        <v>1</v>
      </c>
      <c r="F7400" s="89">
        <v>1</v>
      </c>
      <c r="G7400" s="89">
        <v>1</v>
      </c>
      <c r="H7400" s="89">
        <v>1</v>
      </c>
      <c r="I7400" s="89">
        <v>1</v>
      </c>
      <c r="J7400" s="710">
        <f>(VLOOKUP($C7400,[2]Sheet1!$A$2:$P$18,$M7400+1)/12)*12*D7400</f>
        <v>238099.37893036497</v>
      </c>
      <c r="K7400" s="711"/>
      <c r="M7400" s="62">
        <f t="shared" si="596"/>
        <v>5</v>
      </c>
    </row>
    <row r="7401" spans="1:13">
      <c r="A7401" s="88">
        <f t="shared" si="597"/>
        <v>46</v>
      </c>
      <c r="B7401" s="69" t="s">
        <v>2288</v>
      </c>
      <c r="C7401" s="69">
        <v>7</v>
      </c>
      <c r="D7401" s="89">
        <v>1</v>
      </c>
      <c r="E7401" s="89">
        <v>1</v>
      </c>
      <c r="F7401" s="89">
        <v>1</v>
      </c>
      <c r="G7401" s="89">
        <v>1</v>
      </c>
      <c r="H7401" s="89">
        <v>1</v>
      </c>
      <c r="I7401" s="89">
        <v>1</v>
      </c>
      <c r="J7401" s="710">
        <f>(VLOOKUP($C7401,[2]Sheet1!$A$2:$P$18,$M7401+1)/12)*12*D7401</f>
        <v>307706.70240000007</v>
      </c>
      <c r="K7401" s="711"/>
      <c r="M7401" s="62">
        <f t="shared" si="596"/>
        <v>3</v>
      </c>
    </row>
    <row r="7402" spans="1:13">
      <c r="A7402" s="88">
        <f>+A7401+1</f>
        <v>47</v>
      </c>
      <c r="B7402" s="69" t="s">
        <v>1250</v>
      </c>
      <c r="C7402" s="69">
        <v>6</v>
      </c>
      <c r="D7402" s="89">
        <v>2</v>
      </c>
      <c r="E7402" s="89">
        <v>2</v>
      </c>
      <c r="F7402" s="89">
        <v>2</v>
      </c>
      <c r="G7402" s="89">
        <v>2</v>
      </c>
      <c r="H7402" s="89">
        <v>2</v>
      </c>
      <c r="I7402" s="89">
        <v>2</v>
      </c>
      <c r="J7402" s="710">
        <f>(VLOOKUP($C7402,[2]Sheet1!$A$2:$P$18,$M7402+1)/12)*12*D7402</f>
        <v>476198.75786072994</v>
      </c>
      <c r="K7402" s="711"/>
      <c r="M7402" s="62">
        <f t="shared" si="596"/>
        <v>5</v>
      </c>
    </row>
    <row r="7403" spans="1:13">
      <c r="A7403" s="88">
        <f>+A7401+1</f>
        <v>47</v>
      </c>
      <c r="B7403" s="69" t="s">
        <v>2989</v>
      </c>
      <c r="C7403" s="69">
        <v>5</v>
      </c>
      <c r="D7403" s="89">
        <v>3</v>
      </c>
      <c r="E7403" s="89">
        <v>3</v>
      </c>
      <c r="F7403" s="89">
        <v>3</v>
      </c>
      <c r="G7403" s="89">
        <v>3</v>
      </c>
      <c r="H7403" s="89">
        <v>3</v>
      </c>
      <c r="I7403" s="89">
        <v>3</v>
      </c>
      <c r="J7403" s="710">
        <f>(VLOOKUP($C7403,[2]Sheet1!$A$2:$P$18,$M7403+1)/12)*12*D7403</f>
        <v>688709.33679109497</v>
      </c>
      <c r="K7403" s="711"/>
      <c r="M7403" s="62">
        <f t="shared" si="596"/>
        <v>5</v>
      </c>
    </row>
    <row r="7404" spans="1:13">
      <c r="A7404" s="88">
        <f t="shared" si="597"/>
        <v>48</v>
      </c>
      <c r="B7404" s="69" t="s">
        <v>2990</v>
      </c>
      <c r="C7404" s="69">
        <v>4</v>
      </c>
      <c r="D7404" s="89">
        <v>2</v>
      </c>
      <c r="E7404" s="89">
        <v>2</v>
      </c>
      <c r="F7404" s="89">
        <v>2</v>
      </c>
      <c r="G7404" s="89">
        <v>2</v>
      </c>
      <c r="H7404" s="89">
        <v>2</v>
      </c>
      <c r="I7404" s="89">
        <v>2</v>
      </c>
      <c r="J7404" s="710">
        <f>(VLOOKUP($C7404,[2]Sheet1!$A$2:$P$18,$M7404+1)/12)*12*D7404</f>
        <v>449085.95786073001</v>
      </c>
      <c r="K7404" s="711"/>
      <c r="M7404" s="62">
        <f t="shared" si="596"/>
        <v>5</v>
      </c>
    </row>
    <row r="7405" spans="1:13">
      <c r="A7405" s="88">
        <f t="shared" si="597"/>
        <v>49</v>
      </c>
      <c r="B7405" s="69" t="s">
        <v>4030</v>
      </c>
      <c r="C7405" s="69">
        <v>3</v>
      </c>
      <c r="D7405" s="89">
        <v>2</v>
      </c>
      <c r="E7405" s="89">
        <v>2</v>
      </c>
      <c r="F7405" s="89">
        <v>2</v>
      </c>
      <c r="G7405" s="89">
        <v>2</v>
      </c>
      <c r="H7405" s="89">
        <v>2</v>
      </c>
      <c r="I7405" s="89">
        <v>2</v>
      </c>
      <c r="J7405" s="710">
        <f>(VLOOKUP($C7405,[2]Sheet1!$A$2:$P$18,$M7405+1)/12)*12*D7405</f>
        <v>438672.35786072997</v>
      </c>
      <c r="K7405" s="711"/>
      <c r="M7405" s="62">
        <f t="shared" si="596"/>
        <v>5</v>
      </c>
    </row>
    <row r="7406" spans="1:13">
      <c r="A7406" s="88">
        <f t="shared" si="597"/>
        <v>50</v>
      </c>
      <c r="B7406" s="69" t="s">
        <v>3788</v>
      </c>
      <c r="C7406" s="69">
        <v>5</v>
      </c>
      <c r="D7406" s="89">
        <v>1</v>
      </c>
      <c r="E7406" s="89">
        <v>1</v>
      </c>
      <c r="F7406" s="89">
        <v>1</v>
      </c>
      <c r="G7406" s="89">
        <v>1</v>
      </c>
      <c r="H7406" s="89">
        <v>1</v>
      </c>
      <c r="I7406" s="89">
        <v>1</v>
      </c>
      <c r="J7406" s="710">
        <f>(VLOOKUP($C7406,[2]Sheet1!$A$2:$P$18,$M7406+1)/12)*12*D7406</f>
        <v>229569.77893036499</v>
      </c>
      <c r="K7406" s="711"/>
      <c r="M7406" s="62">
        <f t="shared" si="596"/>
        <v>5</v>
      </c>
    </row>
    <row r="7407" spans="1:13">
      <c r="A7407" s="88">
        <f t="shared" si="597"/>
        <v>51</v>
      </c>
      <c r="B7407" s="69" t="s">
        <v>3896</v>
      </c>
      <c r="C7407" s="69">
        <v>4</v>
      </c>
      <c r="D7407" s="89">
        <v>1</v>
      </c>
      <c r="E7407" s="89">
        <v>1</v>
      </c>
      <c r="F7407" s="89">
        <v>1</v>
      </c>
      <c r="G7407" s="89">
        <v>1</v>
      </c>
      <c r="H7407" s="89">
        <v>1</v>
      </c>
      <c r="I7407" s="89">
        <v>1</v>
      </c>
      <c r="J7407" s="710">
        <f>(VLOOKUP($C7407,[2]Sheet1!$A$2:$P$18,$M7407+1)/12)*12*D7407</f>
        <v>224542.978930365</v>
      </c>
      <c r="K7407" s="711"/>
      <c r="M7407" s="62">
        <f t="shared" si="596"/>
        <v>5</v>
      </c>
    </row>
    <row r="7408" spans="1:13">
      <c r="A7408" s="88">
        <f t="shared" si="597"/>
        <v>52</v>
      </c>
      <c r="B7408" s="69" t="s">
        <v>2179</v>
      </c>
      <c r="C7408" s="69">
        <v>4</v>
      </c>
      <c r="D7408" s="89">
        <v>2</v>
      </c>
      <c r="E7408" s="89">
        <v>2</v>
      </c>
      <c r="F7408" s="89">
        <v>2</v>
      </c>
      <c r="G7408" s="89">
        <v>2</v>
      </c>
      <c r="H7408" s="89">
        <v>2</v>
      </c>
      <c r="I7408" s="89">
        <v>2</v>
      </c>
      <c r="J7408" s="710">
        <f>(VLOOKUP($C7408,[2]Sheet1!$A$2:$P$18,$M7408+1)/12)*12*D7408</f>
        <v>449085.95786073001</v>
      </c>
      <c r="K7408" s="711"/>
      <c r="M7408" s="62">
        <f t="shared" si="596"/>
        <v>5</v>
      </c>
    </row>
    <row r="7409" spans="1:13">
      <c r="A7409" s="88">
        <f t="shared" si="597"/>
        <v>53</v>
      </c>
      <c r="B7409" s="69" t="s">
        <v>2542</v>
      </c>
      <c r="C7409" s="69">
        <v>3</v>
      </c>
      <c r="D7409" s="89">
        <v>1</v>
      </c>
      <c r="E7409" s="89">
        <v>2</v>
      </c>
      <c r="F7409" s="89">
        <v>1</v>
      </c>
      <c r="G7409" s="89">
        <v>1</v>
      </c>
      <c r="H7409" s="89">
        <v>2</v>
      </c>
      <c r="I7409" s="89">
        <v>1</v>
      </c>
      <c r="J7409" s="710">
        <f>(VLOOKUP($C7409,[2]Sheet1!$A$2:$P$18,$M7409+1)/12)*12*D7409</f>
        <v>219336.17893036499</v>
      </c>
      <c r="K7409" s="711"/>
      <c r="M7409" s="62">
        <f t="shared" si="596"/>
        <v>5</v>
      </c>
    </row>
    <row r="7410" spans="1:13">
      <c r="A7410" s="88">
        <f t="shared" si="597"/>
        <v>54</v>
      </c>
      <c r="B7410" s="69" t="s">
        <v>2543</v>
      </c>
      <c r="C7410" s="69">
        <v>2</v>
      </c>
      <c r="D7410" s="89">
        <v>2</v>
      </c>
      <c r="E7410" s="89">
        <v>1</v>
      </c>
      <c r="F7410" s="89">
        <v>2</v>
      </c>
      <c r="G7410" s="89">
        <v>2</v>
      </c>
      <c r="H7410" s="89">
        <v>1</v>
      </c>
      <c r="I7410" s="89">
        <v>2</v>
      </c>
      <c r="J7410" s="710">
        <f>(VLOOKUP($C7410,[2]Sheet1!$A$2:$P$18,$M7410+1)/12)*12*D7410</f>
        <v>429314.75786073005</v>
      </c>
      <c r="K7410" s="711"/>
      <c r="M7410" s="62">
        <f t="shared" si="596"/>
        <v>5</v>
      </c>
    </row>
    <row r="7411" spans="1:13">
      <c r="A7411" s="88">
        <f t="shared" si="597"/>
        <v>55</v>
      </c>
      <c r="B7411" s="69" t="s">
        <v>2563</v>
      </c>
      <c r="C7411" s="69">
        <v>7</v>
      </c>
      <c r="D7411" s="89">
        <v>3</v>
      </c>
      <c r="E7411" s="89">
        <v>2</v>
      </c>
      <c r="F7411" s="89">
        <v>3</v>
      </c>
      <c r="G7411" s="89">
        <v>3</v>
      </c>
      <c r="H7411" s="89">
        <v>2</v>
      </c>
      <c r="I7411" s="89">
        <v>3</v>
      </c>
      <c r="J7411" s="710">
        <f>(VLOOKUP($C7411,[2]Sheet1!$A$2:$P$18,$M7411+1)/12)*12*D7411</f>
        <v>923120.1072000002</v>
      </c>
      <c r="K7411" s="711"/>
      <c r="M7411" s="62">
        <f t="shared" ref="M7411:M7441" si="598">IF(C7411&gt;6,3,5)</f>
        <v>3</v>
      </c>
    </row>
    <row r="7412" spans="1:13">
      <c r="A7412" s="88">
        <f t="shared" si="597"/>
        <v>56</v>
      </c>
      <c r="B7412" s="69" t="s">
        <v>3282</v>
      </c>
      <c r="C7412" s="69">
        <v>6</v>
      </c>
      <c r="D7412" s="89">
        <v>2</v>
      </c>
      <c r="E7412" s="89">
        <v>3</v>
      </c>
      <c r="F7412" s="89">
        <v>2</v>
      </c>
      <c r="G7412" s="89">
        <v>2</v>
      </c>
      <c r="H7412" s="89">
        <v>3</v>
      </c>
      <c r="I7412" s="89">
        <v>2</v>
      </c>
      <c r="J7412" s="710">
        <f>(VLOOKUP($C7412,[2]Sheet1!$A$2:$P$18,$M7412+1)/12)*12*D7412</f>
        <v>476198.75786072994</v>
      </c>
      <c r="K7412" s="711"/>
      <c r="M7412" s="62">
        <f t="shared" si="598"/>
        <v>5</v>
      </c>
    </row>
    <row r="7413" spans="1:13">
      <c r="A7413" s="88">
        <f t="shared" si="597"/>
        <v>57</v>
      </c>
      <c r="B7413" s="69" t="s">
        <v>3281</v>
      </c>
      <c r="C7413" s="69">
        <v>5</v>
      </c>
      <c r="D7413" s="89">
        <v>3</v>
      </c>
      <c r="E7413" s="89">
        <v>3</v>
      </c>
      <c r="F7413" s="89">
        <v>3</v>
      </c>
      <c r="G7413" s="89">
        <v>3</v>
      </c>
      <c r="H7413" s="89">
        <v>3</v>
      </c>
      <c r="I7413" s="89">
        <v>3</v>
      </c>
      <c r="J7413" s="710">
        <f>(VLOOKUP($C7413,[2]Sheet1!$A$2:$P$18,$M7413+1)/12)*12*D7413</f>
        <v>688709.33679109497</v>
      </c>
      <c r="K7413" s="711"/>
      <c r="M7413" s="62">
        <f t="shared" si="598"/>
        <v>5</v>
      </c>
    </row>
    <row r="7414" spans="1:13">
      <c r="A7414" s="88">
        <f t="shared" si="597"/>
        <v>58</v>
      </c>
      <c r="B7414" s="69" t="s">
        <v>2991</v>
      </c>
      <c r="C7414" s="69">
        <v>4</v>
      </c>
      <c r="D7414" s="89">
        <v>2</v>
      </c>
      <c r="E7414" s="89">
        <v>3</v>
      </c>
      <c r="F7414" s="89">
        <v>2</v>
      </c>
      <c r="G7414" s="89">
        <v>2</v>
      </c>
      <c r="H7414" s="89">
        <v>3</v>
      </c>
      <c r="I7414" s="89">
        <v>2</v>
      </c>
      <c r="J7414" s="710">
        <f>(VLOOKUP($C7414,[2]Sheet1!$A$2:$P$18,$M7414+1)/12)*12*D7414</f>
        <v>449085.95786073001</v>
      </c>
      <c r="K7414" s="711"/>
      <c r="M7414" s="62">
        <f t="shared" si="598"/>
        <v>5</v>
      </c>
    </row>
    <row r="7415" spans="1:13">
      <c r="A7415" s="88">
        <f>+A7414+1</f>
        <v>59</v>
      </c>
      <c r="B7415" s="69" t="s">
        <v>2115</v>
      </c>
      <c r="C7415" s="69">
        <v>4</v>
      </c>
      <c r="D7415" s="89">
        <v>2</v>
      </c>
      <c r="E7415" s="89">
        <v>2</v>
      </c>
      <c r="F7415" s="89">
        <v>2</v>
      </c>
      <c r="G7415" s="89">
        <v>2</v>
      </c>
      <c r="H7415" s="89">
        <v>2</v>
      </c>
      <c r="I7415" s="89">
        <v>2</v>
      </c>
      <c r="J7415" s="710">
        <f>(VLOOKUP($C7415,[2]Sheet1!$A$2:$P$18,$M7415+1)/12)*12*D7415</f>
        <v>449085.95786073001</v>
      </c>
      <c r="K7415" s="711"/>
      <c r="M7415" s="62">
        <f t="shared" si="598"/>
        <v>5</v>
      </c>
    </row>
    <row r="7416" spans="1:13">
      <c r="A7416" s="88">
        <f t="shared" si="597"/>
        <v>60</v>
      </c>
      <c r="B7416" s="69" t="s">
        <v>958</v>
      </c>
      <c r="C7416" s="69">
        <v>3</v>
      </c>
      <c r="D7416" s="89">
        <v>0</v>
      </c>
      <c r="E7416" s="89">
        <v>2</v>
      </c>
      <c r="F7416" s="89">
        <v>0</v>
      </c>
      <c r="G7416" s="89">
        <v>0</v>
      </c>
      <c r="H7416" s="89">
        <v>2</v>
      </c>
      <c r="I7416" s="89">
        <v>0</v>
      </c>
      <c r="J7416" s="710">
        <f>(VLOOKUP($C7416,[2]Sheet1!$A$2:$P$18,$M7416+1)/12)*12*D7416</f>
        <v>0</v>
      </c>
      <c r="K7416" s="711"/>
      <c r="M7416" s="62">
        <f t="shared" si="598"/>
        <v>5</v>
      </c>
    </row>
    <row r="7417" spans="1:13">
      <c r="A7417" s="88">
        <f t="shared" si="597"/>
        <v>61</v>
      </c>
      <c r="B7417" s="69" t="s">
        <v>2242</v>
      </c>
      <c r="C7417" s="69">
        <v>4</v>
      </c>
      <c r="D7417" s="89">
        <v>0</v>
      </c>
      <c r="E7417" s="89">
        <v>0</v>
      </c>
      <c r="F7417" s="89">
        <v>0</v>
      </c>
      <c r="G7417" s="89">
        <v>0</v>
      </c>
      <c r="H7417" s="89">
        <v>0</v>
      </c>
      <c r="I7417" s="89">
        <v>0</v>
      </c>
      <c r="J7417" s="710">
        <f>(VLOOKUP($C7417,[2]Sheet1!$A$2:$P$18,$M7417+1)/12)*12*D7417</f>
        <v>0</v>
      </c>
      <c r="K7417" s="711"/>
      <c r="M7417" s="62">
        <f t="shared" si="598"/>
        <v>5</v>
      </c>
    </row>
    <row r="7418" spans="1:13">
      <c r="A7418" s="88">
        <f t="shared" si="597"/>
        <v>62</v>
      </c>
      <c r="B7418" s="69" t="s">
        <v>2171</v>
      </c>
      <c r="C7418" s="69">
        <v>3</v>
      </c>
      <c r="D7418" s="89">
        <v>3</v>
      </c>
      <c r="E7418" s="89">
        <v>3</v>
      </c>
      <c r="F7418" s="89">
        <v>3</v>
      </c>
      <c r="G7418" s="89">
        <v>3</v>
      </c>
      <c r="H7418" s="89">
        <v>3</v>
      </c>
      <c r="I7418" s="89">
        <v>3</v>
      </c>
      <c r="J7418" s="710">
        <f>(VLOOKUP($C7418,[2]Sheet1!$A$2:$P$18,$M7418+1)/12)*12*D7418</f>
        <v>658008.53679109493</v>
      </c>
      <c r="K7418" s="711"/>
      <c r="M7418" s="62">
        <f t="shared" si="598"/>
        <v>5</v>
      </c>
    </row>
    <row r="7419" spans="1:13">
      <c r="A7419" s="88">
        <f t="shared" si="597"/>
        <v>63</v>
      </c>
      <c r="B7419" s="69" t="s">
        <v>2172</v>
      </c>
      <c r="C7419" s="69">
        <v>2</v>
      </c>
      <c r="D7419" s="89">
        <v>3</v>
      </c>
      <c r="E7419" s="89">
        <v>3</v>
      </c>
      <c r="F7419" s="89">
        <v>3</v>
      </c>
      <c r="G7419" s="89">
        <v>3</v>
      </c>
      <c r="H7419" s="89">
        <v>3</v>
      </c>
      <c r="I7419" s="89">
        <v>3</v>
      </c>
      <c r="J7419" s="710">
        <f>(VLOOKUP($C7419,[2]Sheet1!$A$2:$P$18,$M7419+1)/12)*12*D7419</f>
        <v>643972.13679109514</v>
      </c>
      <c r="K7419" s="711"/>
      <c r="M7419" s="62">
        <f t="shared" si="598"/>
        <v>5</v>
      </c>
    </row>
    <row r="7420" spans="1:13">
      <c r="A7420" s="88">
        <f t="shared" ref="A7420:A7427" si="599">+A7419+1</f>
        <v>64</v>
      </c>
      <c r="B7420" s="69" t="s">
        <v>1316</v>
      </c>
      <c r="C7420" s="69">
        <v>3</v>
      </c>
      <c r="D7420" s="89">
        <v>1</v>
      </c>
      <c r="E7420" s="89">
        <v>1</v>
      </c>
      <c r="F7420" s="89">
        <v>1</v>
      </c>
      <c r="G7420" s="89">
        <v>1</v>
      </c>
      <c r="H7420" s="89">
        <v>1</v>
      </c>
      <c r="I7420" s="89">
        <v>1</v>
      </c>
      <c r="J7420" s="710">
        <f>(VLOOKUP($C7420,[2]Sheet1!$A$2:$P$18,$M7420+1)/12)*12*D7420</f>
        <v>219336.17893036499</v>
      </c>
      <c r="K7420" s="711"/>
      <c r="M7420" s="62">
        <f t="shared" si="598"/>
        <v>5</v>
      </c>
    </row>
    <row r="7421" spans="1:13">
      <c r="A7421" s="88">
        <f t="shared" si="599"/>
        <v>65</v>
      </c>
      <c r="B7421" s="69" t="s">
        <v>3929</v>
      </c>
      <c r="C7421" s="69">
        <v>2</v>
      </c>
      <c r="D7421" s="89">
        <v>2</v>
      </c>
      <c r="E7421" s="89">
        <v>2</v>
      </c>
      <c r="F7421" s="89">
        <v>2</v>
      </c>
      <c r="G7421" s="89">
        <v>2</v>
      </c>
      <c r="H7421" s="89">
        <v>2</v>
      </c>
      <c r="I7421" s="89">
        <v>2</v>
      </c>
      <c r="J7421" s="710">
        <f>(VLOOKUP($C7421,[2]Sheet1!$A$2:$P$18,$M7421+1)/12)*12*D7421</f>
        <v>429314.75786073005</v>
      </c>
      <c r="K7421" s="711"/>
      <c r="M7421" s="62">
        <f t="shared" si="598"/>
        <v>5</v>
      </c>
    </row>
    <row r="7422" spans="1:13">
      <c r="A7422" s="88">
        <f t="shared" si="599"/>
        <v>66</v>
      </c>
      <c r="B7422" s="69" t="s">
        <v>3674</v>
      </c>
      <c r="C7422" s="69">
        <v>1</v>
      </c>
      <c r="D7422" s="89">
        <v>1</v>
      </c>
      <c r="E7422" s="89">
        <v>1</v>
      </c>
      <c r="F7422" s="89">
        <v>1</v>
      </c>
      <c r="G7422" s="89">
        <v>1</v>
      </c>
      <c r="H7422" s="89">
        <v>1</v>
      </c>
      <c r="I7422" s="89">
        <v>1</v>
      </c>
      <c r="J7422" s="710">
        <f>(VLOOKUP($C7422,[2]Sheet1!$A$2:$P$18,$M7422+1)/12)*12*D7422</f>
        <v>207107.57893036498</v>
      </c>
      <c r="K7422" s="711"/>
      <c r="M7422" s="62">
        <f t="shared" si="598"/>
        <v>5</v>
      </c>
    </row>
    <row r="7423" spans="1:13">
      <c r="A7423" s="88"/>
      <c r="B7423" s="90" t="s">
        <v>3930</v>
      </c>
      <c r="C7423" s="69"/>
      <c r="D7423" s="89">
        <v>0</v>
      </c>
      <c r="E7423" s="89"/>
      <c r="F7423" s="89">
        <v>0</v>
      </c>
      <c r="G7423" s="89">
        <v>0</v>
      </c>
      <c r="H7423" s="89"/>
      <c r="I7423" s="89">
        <v>0</v>
      </c>
      <c r="J7423" s="710"/>
      <c r="K7423" s="711"/>
      <c r="M7423" s="62">
        <f t="shared" si="598"/>
        <v>5</v>
      </c>
    </row>
    <row r="7424" spans="1:13">
      <c r="A7424" s="88">
        <v>67</v>
      </c>
      <c r="B7424" s="69" t="s">
        <v>3931</v>
      </c>
      <c r="C7424" s="69">
        <v>7</v>
      </c>
      <c r="D7424" s="89">
        <v>0</v>
      </c>
      <c r="E7424" s="89">
        <v>1</v>
      </c>
      <c r="F7424" s="89">
        <v>0</v>
      </c>
      <c r="G7424" s="89">
        <v>0</v>
      </c>
      <c r="H7424" s="89">
        <v>1</v>
      </c>
      <c r="I7424" s="89">
        <v>0</v>
      </c>
      <c r="J7424" s="710">
        <f>(VLOOKUP($C7424,[2]Sheet1!$A$2:$P$18,$M7424+1)/12)*12*D7424</f>
        <v>0</v>
      </c>
      <c r="K7424" s="711"/>
      <c r="M7424" s="62">
        <f t="shared" si="598"/>
        <v>3</v>
      </c>
    </row>
    <row r="7425" spans="1:13">
      <c r="A7425" s="88">
        <f t="shared" si="599"/>
        <v>68</v>
      </c>
      <c r="B7425" s="69" t="s">
        <v>2098</v>
      </c>
      <c r="C7425" s="69">
        <v>6</v>
      </c>
      <c r="D7425" s="89">
        <v>1</v>
      </c>
      <c r="E7425" s="89">
        <v>1</v>
      </c>
      <c r="F7425" s="89">
        <v>1</v>
      </c>
      <c r="G7425" s="89">
        <v>1</v>
      </c>
      <c r="H7425" s="89">
        <v>1</v>
      </c>
      <c r="I7425" s="89">
        <v>1</v>
      </c>
      <c r="J7425" s="710">
        <f>(VLOOKUP($C7425,[2]Sheet1!$A$2:$P$18,$M7425+1)/12)*12*D7425</f>
        <v>238099.37893036497</v>
      </c>
      <c r="K7425" s="711"/>
      <c r="M7425" s="62">
        <f t="shared" si="598"/>
        <v>5</v>
      </c>
    </row>
    <row r="7426" spans="1:13">
      <c r="A7426" s="88">
        <f t="shared" si="599"/>
        <v>69</v>
      </c>
      <c r="B7426" s="69" t="s">
        <v>2990</v>
      </c>
      <c r="C7426" s="69">
        <v>4</v>
      </c>
      <c r="D7426" s="89">
        <v>0</v>
      </c>
      <c r="E7426" s="89">
        <v>0</v>
      </c>
      <c r="F7426" s="89">
        <v>0</v>
      </c>
      <c r="G7426" s="89">
        <v>0</v>
      </c>
      <c r="H7426" s="89">
        <v>0</v>
      </c>
      <c r="I7426" s="89">
        <v>0</v>
      </c>
      <c r="J7426" s="710">
        <f>(VLOOKUP($C7426,[2]Sheet1!$A$2:$P$18,$M7426+1)/12)*12*D7426</f>
        <v>0</v>
      </c>
      <c r="K7426" s="711"/>
      <c r="M7426" s="62">
        <f t="shared" si="598"/>
        <v>5</v>
      </c>
    </row>
    <row r="7427" spans="1:13">
      <c r="A7427" s="88">
        <f t="shared" si="599"/>
        <v>70</v>
      </c>
      <c r="B7427" s="69" t="s">
        <v>4030</v>
      </c>
      <c r="C7427" s="69">
        <v>3</v>
      </c>
      <c r="D7427" s="89">
        <v>0</v>
      </c>
      <c r="E7427" s="89">
        <v>0</v>
      </c>
      <c r="F7427" s="89">
        <v>0</v>
      </c>
      <c r="G7427" s="89">
        <v>0</v>
      </c>
      <c r="H7427" s="89">
        <v>0</v>
      </c>
      <c r="I7427" s="89">
        <v>0</v>
      </c>
      <c r="J7427" s="710">
        <f>(VLOOKUP($C7427,[2]Sheet1!$A$2:$P$18,$M7427+1)/12)*12*D7427</f>
        <v>0</v>
      </c>
      <c r="K7427" s="711"/>
      <c r="M7427" s="62">
        <f t="shared" si="598"/>
        <v>5</v>
      </c>
    </row>
    <row r="7428" spans="1:13">
      <c r="A7428" s="88"/>
      <c r="B7428" s="69"/>
      <c r="C7428" s="69"/>
      <c r="D7428" s="89"/>
      <c r="E7428" s="89"/>
      <c r="F7428" s="89"/>
      <c r="G7428" s="89"/>
      <c r="H7428" s="89"/>
      <c r="I7428" s="89"/>
      <c r="J7428" s="710"/>
      <c r="K7428" s="711"/>
      <c r="M7428" s="62">
        <f t="shared" si="598"/>
        <v>5</v>
      </c>
    </row>
    <row r="7429" spans="1:13">
      <c r="A7429" s="92"/>
      <c r="B7429" s="93" t="s">
        <v>1684</v>
      </c>
      <c r="C7429" s="94"/>
      <c r="D7429" s="123">
        <f t="shared" ref="D7429:J7429" si="600">SUM(D7352:D7428)</f>
        <v>183</v>
      </c>
      <c r="E7429" s="123">
        <f t="shared" si="600"/>
        <v>440</v>
      </c>
      <c r="F7429" s="123">
        <f t="shared" si="600"/>
        <v>354</v>
      </c>
      <c r="G7429" s="123">
        <f>SUM(G7352:G7428)</f>
        <v>354</v>
      </c>
      <c r="H7429" s="123">
        <f t="shared" si="600"/>
        <v>392</v>
      </c>
      <c r="I7429" s="123">
        <f t="shared" si="600"/>
        <v>182</v>
      </c>
      <c r="J7429" s="123">
        <f t="shared" si="600"/>
        <v>48356890.152735464</v>
      </c>
      <c r="K7429" s="378"/>
      <c r="M7429" s="62">
        <f t="shared" si="598"/>
        <v>5</v>
      </c>
    </row>
    <row r="7430" spans="1:13">
      <c r="A7430" s="88" t="s">
        <v>1840</v>
      </c>
      <c r="B7430" s="97" t="s">
        <v>1199</v>
      </c>
      <c r="C7430" s="69"/>
      <c r="D7430" s="89"/>
      <c r="E7430" s="89"/>
      <c r="F7430" s="99"/>
      <c r="G7430" s="240" t="s">
        <v>243</v>
      </c>
      <c r="H7430" s="240" t="s">
        <v>4130</v>
      </c>
      <c r="I7430" s="240" t="s">
        <v>4202</v>
      </c>
      <c r="J7430" s="241" t="s">
        <v>4200</v>
      </c>
      <c r="K7430" s="375"/>
      <c r="M7430" s="62">
        <f t="shared" si="598"/>
        <v>5</v>
      </c>
    </row>
    <row r="7431" spans="1:13">
      <c r="A7431" s="88">
        <v>1</v>
      </c>
      <c r="B7431" s="69" t="s">
        <v>4035</v>
      </c>
      <c r="C7431" s="69"/>
      <c r="D7431" s="89"/>
      <c r="E7431" s="89"/>
      <c r="F7431" s="89"/>
      <c r="G7431" s="100">
        <f>J7429*0.2</f>
        <v>9671378.0305470936</v>
      </c>
      <c r="H7431" s="100">
        <f>G7431*1.02</f>
        <v>9864805.5911580361</v>
      </c>
      <c r="I7431" s="100">
        <f>H7431*1.02</f>
        <v>10062101.702981196</v>
      </c>
      <c r="J7431" s="100">
        <f>SUM(G7431:I7431)</f>
        <v>29598285.324686326</v>
      </c>
      <c r="K7431" s="114"/>
      <c r="M7431" s="62">
        <f t="shared" si="598"/>
        <v>5</v>
      </c>
    </row>
    <row r="7432" spans="1:13">
      <c r="A7432" s="92" t="s">
        <v>1840</v>
      </c>
      <c r="B7432" s="93" t="s">
        <v>1684</v>
      </c>
      <c r="C7432" s="94"/>
      <c r="D7432" s="101"/>
      <c r="E7432" s="101"/>
      <c r="F7432" s="123"/>
      <c r="G7432" s="123">
        <f>SUM(G7431:G7431)</f>
        <v>9671378.0305470936</v>
      </c>
      <c r="H7432" s="123">
        <f>SUM(H7431:H7431)</f>
        <v>9864805.5911580361</v>
      </c>
      <c r="I7432" s="123">
        <f>SUM(I7431:I7431)</f>
        <v>10062101.702981196</v>
      </c>
      <c r="J7432" s="123">
        <f>SUM(J7431:J7431)</f>
        <v>29598285.324686326</v>
      </c>
      <c r="K7432" s="378"/>
      <c r="M7432" s="62">
        <f t="shared" si="598"/>
        <v>5</v>
      </c>
    </row>
    <row r="7433" spans="1:13">
      <c r="A7433" s="88" t="s">
        <v>1840</v>
      </c>
      <c r="B7433" s="69" t="s">
        <v>1119</v>
      </c>
      <c r="C7433" s="69"/>
      <c r="D7433" s="89"/>
      <c r="E7433" s="89"/>
      <c r="F7433" s="89"/>
      <c r="G7433" s="100">
        <f>G7432+J7429</f>
        <v>58028268.183282554</v>
      </c>
      <c r="H7433" s="100">
        <f>G7433*1.02</f>
        <v>59188833.546948209</v>
      </c>
      <c r="I7433" s="100">
        <f>H7433*1.02</f>
        <v>60372610.217887178</v>
      </c>
      <c r="J7433" s="100">
        <f>SUM(G7433:I7433)</f>
        <v>177589711.94811794</v>
      </c>
      <c r="K7433" s="114"/>
      <c r="L7433" s="112"/>
      <c r="M7433" s="62">
        <f t="shared" si="598"/>
        <v>5</v>
      </c>
    </row>
    <row r="7434" spans="1:13">
      <c r="A7434" s="88" t="s">
        <v>1840</v>
      </c>
      <c r="B7434" s="69" t="s">
        <v>3944</v>
      </c>
      <c r="C7434" s="69"/>
      <c r="D7434" s="89"/>
      <c r="E7434" s="89"/>
      <c r="F7434" s="89"/>
      <c r="G7434" s="89">
        <f>C7467</f>
        <v>6000000</v>
      </c>
      <c r="H7434" s="89">
        <f>D7467</f>
        <v>4350000</v>
      </c>
      <c r="I7434" s="89">
        <f>E7467</f>
        <v>4350000</v>
      </c>
      <c r="J7434" s="100">
        <f>SUM(G7434:I7434)</f>
        <v>14700000</v>
      </c>
      <c r="K7434" s="114"/>
      <c r="M7434" s="62">
        <f t="shared" si="598"/>
        <v>5</v>
      </c>
    </row>
    <row r="7435" spans="1:13">
      <c r="A7435" s="88" t="s">
        <v>1840</v>
      </c>
      <c r="B7435" s="97"/>
      <c r="C7435" s="69"/>
      <c r="D7435" s="89"/>
      <c r="E7435" s="89"/>
      <c r="F7435" s="89"/>
      <c r="G7435" s="89"/>
      <c r="H7435" s="89"/>
      <c r="I7435" s="89"/>
      <c r="J7435" s="89"/>
      <c r="K7435" s="114"/>
      <c r="M7435" s="62">
        <f t="shared" si="598"/>
        <v>5</v>
      </c>
    </row>
    <row r="7436" spans="1:13">
      <c r="A7436" s="92" t="s">
        <v>1840</v>
      </c>
      <c r="B7436" s="93" t="s">
        <v>2843</v>
      </c>
      <c r="C7436" s="94"/>
      <c r="D7436" s="101"/>
      <c r="E7436" s="101"/>
      <c r="F7436" s="123"/>
      <c r="G7436" s="123">
        <f>SUM(G7433:G7435)</f>
        <v>64028268.183282554</v>
      </c>
      <c r="H7436" s="123">
        <f>SUM(H7433:H7435)</f>
        <v>63538833.546948209</v>
      </c>
      <c r="I7436" s="123">
        <f>SUM(I7433:I7435)</f>
        <v>64722610.217887178</v>
      </c>
      <c r="J7436" s="123">
        <f>SUM(J7433:J7435)</f>
        <v>192289711.94811794</v>
      </c>
      <c r="K7436" s="378"/>
      <c r="M7436" s="62">
        <f t="shared" si="598"/>
        <v>5</v>
      </c>
    </row>
    <row r="7437" spans="1:13">
      <c r="J7437" s="76"/>
      <c r="K7437" s="76"/>
      <c r="M7437" s="62">
        <f t="shared" si="598"/>
        <v>5</v>
      </c>
    </row>
    <row r="7438" spans="1:13" ht="15">
      <c r="C7438" s="77"/>
      <c r="D7438" s="78" t="s">
        <v>5434</v>
      </c>
      <c r="J7438" s="584"/>
      <c r="K7438" s="584"/>
      <c r="M7438" s="62">
        <f t="shared" si="598"/>
        <v>5</v>
      </c>
    </row>
    <row r="7439" spans="1:13" ht="15">
      <c r="C7439" s="77"/>
      <c r="D7439" s="78" t="s">
        <v>716</v>
      </c>
      <c r="J7439" s="584"/>
      <c r="K7439" s="584"/>
      <c r="M7439" s="62">
        <f t="shared" si="598"/>
        <v>5</v>
      </c>
    </row>
    <row r="7440" spans="1:13" ht="15">
      <c r="C7440" s="79" t="s">
        <v>717</v>
      </c>
      <c r="D7440" s="78" t="s">
        <v>2774</v>
      </c>
      <c r="J7440" s="584"/>
      <c r="K7440" s="584"/>
      <c r="M7440" s="62">
        <f t="shared" si="598"/>
        <v>3</v>
      </c>
    </row>
    <row r="7441" spans="1:13" ht="15">
      <c r="C7441" s="79" t="s">
        <v>718</v>
      </c>
      <c r="D7441" s="78" t="s">
        <v>2645</v>
      </c>
      <c r="J7441" s="584"/>
      <c r="K7441" s="584"/>
      <c r="M7441" s="62">
        <f t="shared" si="598"/>
        <v>3</v>
      </c>
    </row>
    <row r="7442" spans="1:13" ht="15">
      <c r="A7442" s="634" t="s">
        <v>1839</v>
      </c>
      <c r="B7442" s="635" t="s">
        <v>903</v>
      </c>
      <c r="C7442" s="1037" t="s">
        <v>4127</v>
      </c>
      <c r="D7442" s="1038"/>
      <c r="E7442" s="1039"/>
      <c r="F7442" s="635" t="s">
        <v>1684</v>
      </c>
      <c r="G7442" s="1037" t="s">
        <v>4132</v>
      </c>
      <c r="H7442" s="1038"/>
      <c r="I7442" s="1039"/>
      <c r="J7442" s="726"/>
      <c r="K7442" s="727"/>
    </row>
    <row r="7443" spans="1:13">
      <c r="A7443" s="636" t="s">
        <v>1620</v>
      </c>
      <c r="B7443" s="637"/>
      <c r="C7443" s="635" t="s">
        <v>1841</v>
      </c>
      <c r="D7443" s="635" t="s">
        <v>4133</v>
      </c>
      <c r="E7443" s="635" t="s">
        <v>4133</v>
      </c>
      <c r="F7443" s="1056" t="s">
        <v>4200</v>
      </c>
      <c r="G7443" s="634" t="s">
        <v>4135</v>
      </c>
      <c r="H7443" s="1051" t="s">
        <v>4182</v>
      </c>
      <c r="I7443" s="634" t="s">
        <v>4135</v>
      </c>
      <c r="J7443" s="728" t="s">
        <v>4136</v>
      </c>
      <c r="K7443" s="727"/>
    </row>
    <row r="7444" spans="1:13" ht="12.75" customHeight="1">
      <c r="A7444" s="638" t="s">
        <v>387</v>
      </c>
      <c r="B7444" s="639"/>
      <c r="C7444" s="638">
        <v>2015</v>
      </c>
      <c r="D7444" s="638">
        <v>2016</v>
      </c>
      <c r="E7444" s="638">
        <v>2017</v>
      </c>
      <c r="F7444" s="1057"/>
      <c r="G7444" s="638" t="s">
        <v>4304</v>
      </c>
      <c r="H7444" s="1052"/>
      <c r="I7444" s="638" t="s">
        <v>4303</v>
      </c>
      <c r="J7444" s="639"/>
      <c r="K7444" s="729"/>
    </row>
    <row r="7445" spans="1:13">
      <c r="A7445" s="730"/>
      <c r="B7445" s="730"/>
      <c r="C7445" s="764"/>
      <c r="D7445" s="764"/>
      <c r="E7445" s="764"/>
      <c r="F7445" s="764"/>
      <c r="G7445" s="764"/>
      <c r="H7445" s="764"/>
      <c r="I7445" s="764"/>
      <c r="J7445" s="764"/>
      <c r="K7445" s="765"/>
      <c r="M7445" s="62" t="e">
        <f>IF(#REF!&gt;6,3,5)</f>
        <v>#REF!</v>
      </c>
    </row>
    <row r="7446" spans="1:13">
      <c r="A7446" s="759">
        <v>2</v>
      </c>
      <c r="B7446" s="745" t="s">
        <v>1695</v>
      </c>
      <c r="C7446" s="390">
        <v>1500000</v>
      </c>
      <c r="D7446" s="390">
        <v>1000000</v>
      </c>
      <c r="E7446" s="390">
        <v>1000000</v>
      </c>
      <c r="F7446" s="390">
        <f>SUM(C7446:E7446)</f>
        <v>3500000</v>
      </c>
      <c r="G7446" s="390">
        <v>634000</v>
      </c>
      <c r="H7446" s="390">
        <v>401000</v>
      </c>
      <c r="I7446" s="390">
        <v>362000</v>
      </c>
      <c r="J7446" s="390"/>
      <c r="K7446" s="734"/>
      <c r="M7446" s="62" t="e">
        <f>IF(#REF!&gt;6,3,5)</f>
        <v>#REF!</v>
      </c>
    </row>
    <row r="7447" spans="1:13">
      <c r="A7447" s="759">
        <f t="shared" ref="A7447:A7464" si="601">+A7446+1</f>
        <v>3</v>
      </c>
      <c r="B7447" s="745" t="s">
        <v>1696</v>
      </c>
      <c r="C7447" s="731" t="s">
        <v>1386</v>
      </c>
      <c r="D7447" s="731" t="s">
        <v>1386</v>
      </c>
      <c r="E7447" s="731" t="s">
        <v>1386</v>
      </c>
      <c r="F7447" s="390">
        <f t="shared" ref="F7447:F7464" si="602">SUM(C7447:E7447)</f>
        <v>0</v>
      </c>
      <c r="G7447" s="731"/>
      <c r="H7447" s="731" t="s">
        <v>1386</v>
      </c>
      <c r="I7447" s="731"/>
      <c r="J7447" s="390"/>
      <c r="K7447" s="734"/>
      <c r="M7447" s="62" t="e">
        <f>IF(#REF!&gt;6,3,5)</f>
        <v>#REF!</v>
      </c>
    </row>
    <row r="7448" spans="1:13">
      <c r="A7448" s="759">
        <f t="shared" si="601"/>
        <v>4</v>
      </c>
      <c r="B7448" s="745" t="s">
        <v>1701</v>
      </c>
      <c r="C7448" s="731" t="s">
        <v>1386</v>
      </c>
      <c r="D7448" s="731" t="s">
        <v>1386</v>
      </c>
      <c r="E7448" s="731" t="s">
        <v>1386</v>
      </c>
      <c r="F7448" s="390">
        <f t="shared" si="602"/>
        <v>0</v>
      </c>
      <c r="G7448" s="731"/>
      <c r="H7448" s="731" t="s">
        <v>1386</v>
      </c>
      <c r="I7448" s="731"/>
      <c r="J7448" s="390"/>
      <c r="K7448" s="734"/>
      <c r="M7448" s="62" t="e">
        <f>IF(#REF!&gt;6,3,5)</f>
        <v>#REF!</v>
      </c>
    </row>
    <row r="7449" spans="1:13">
      <c r="A7449" s="759">
        <f t="shared" si="601"/>
        <v>5</v>
      </c>
      <c r="B7449" s="745" t="s">
        <v>1702</v>
      </c>
      <c r="C7449" s="390">
        <v>500000</v>
      </c>
      <c r="D7449" s="390">
        <v>500000</v>
      </c>
      <c r="E7449" s="390">
        <v>500000</v>
      </c>
      <c r="F7449" s="390">
        <f t="shared" si="602"/>
        <v>1500000</v>
      </c>
      <c r="G7449" s="731">
        <v>88500</v>
      </c>
      <c r="H7449" s="390">
        <v>53000</v>
      </c>
      <c r="I7449" s="731">
        <v>53000</v>
      </c>
      <c r="J7449" s="390"/>
      <c r="K7449" s="734"/>
      <c r="M7449" s="62" t="e">
        <f>IF(#REF!&gt;6,3,5)</f>
        <v>#REF!</v>
      </c>
    </row>
    <row r="7450" spans="1:13">
      <c r="A7450" s="759">
        <f t="shared" si="601"/>
        <v>6</v>
      </c>
      <c r="B7450" s="745" t="s">
        <v>1865</v>
      </c>
      <c r="C7450" s="390">
        <v>200000</v>
      </c>
      <c r="D7450" s="390">
        <v>200000</v>
      </c>
      <c r="E7450" s="390">
        <v>200000</v>
      </c>
      <c r="F7450" s="390">
        <f t="shared" si="602"/>
        <v>600000</v>
      </c>
      <c r="G7450" s="390">
        <v>134500</v>
      </c>
      <c r="H7450" s="390">
        <v>136050</v>
      </c>
      <c r="I7450" s="390">
        <v>136050</v>
      </c>
      <c r="J7450" s="390"/>
      <c r="K7450" s="734"/>
      <c r="M7450" s="62" t="e">
        <f>IF(#REF!&gt;6,3,5)</f>
        <v>#REF!</v>
      </c>
    </row>
    <row r="7451" spans="1:13">
      <c r="A7451" s="759">
        <f t="shared" si="601"/>
        <v>7</v>
      </c>
      <c r="B7451" s="745" t="s">
        <v>3680</v>
      </c>
      <c r="C7451" s="390">
        <v>300000</v>
      </c>
      <c r="D7451" s="390">
        <v>300000</v>
      </c>
      <c r="E7451" s="390">
        <v>300000</v>
      </c>
      <c r="F7451" s="390">
        <f t="shared" si="602"/>
        <v>900000</v>
      </c>
      <c r="G7451" s="390">
        <v>235000</v>
      </c>
      <c r="H7451" s="390">
        <v>228050</v>
      </c>
      <c r="I7451" s="390">
        <v>171050</v>
      </c>
      <c r="J7451" s="390"/>
      <c r="K7451" s="734"/>
      <c r="M7451" s="62" t="e">
        <f>IF(#REF!&gt;6,3,5)</f>
        <v>#REF!</v>
      </c>
    </row>
    <row r="7452" spans="1:13">
      <c r="A7452" s="759">
        <f t="shared" si="601"/>
        <v>8</v>
      </c>
      <c r="B7452" s="745" t="s">
        <v>2061</v>
      </c>
      <c r="C7452" s="731" t="s">
        <v>1386</v>
      </c>
      <c r="D7452" s="731" t="s">
        <v>1386</v>
      </c>
      <c r="E7452" s="731" t="s">
        <v>1386</v>
      </c>
      <c r="F7452" s="390">
        <f t="shared" si="602"/>
        <v>0</v>
      </c>
      <c r="G7452" s="731"/>
      <c r="H7452" s="731" t="s">
        <v>1386</v>
      </c>
      <c r="I7452" s="731"/>
      <c r="J7452" s="390"/>
      <c r="K7452" s="734"/>
      <c r="M7452" s="62" t="e">
        <f>IF(#REF!&gt;6,3,5)</f>
        <v>#REF!</v>
      </c>
    </row>
    <row r="7453" spans="1:13">
      <c r="A7453" s="759">
        <f t="shared" si="601"/>
        <v>9</v>
      </c>
      <c r="B7453" s="745" t="s">
        <v>1385</v>
      </c>
      <c r="C7453" s="731" t="s">
        <v>1386</v>
      </c>
      <c r="D7453" s="731" t="s">
        <v>1386</v>
      </c>
      <c r="E7453" s="731" t="s">
        <v>1386</v>
      </c>
      <c r="F7453" s="390">
        <f t="shared" si="602"/>
        <v>0</v>
      </c>
      <c r="G7453" s="731"/>
      <c r="H7453" s="731" t="s">
        <v>1386</v>
      </c>
      <c r="I7453" s="731"/>
      <c r="J7453" s="390"/>
      <c r="K7453" s="734"/>
      <c r="M7453" s="62" t="e">
        <f>IF(#REF!&gt;6,3,5)</f>
        <v>#REF!</v>
      </c>
    </row>
    <row r="7454" spans="1:13">
      <c r="A7454" s="759">
        <f t="shared" si="601"/>
        <v>10</v>
      </c>
      <c r="B7454" s="745" t="s">
        <v>2685</v>
      </c>
      <c r="C7454" s="731">
        <v>400000</v>
      </c>
      <c r="D7454" s="731">
        <v>400000</v>
      </c>
      <c r="E7454" s="731">
        <v>400000</v>
      </c>
      <c r="F7454" s="390">
        <f t="shared" si="602"/>
        <v>1200000</v>
      </c>
      <c r="G7454" s="731">
        <v>50000</v>
      </c>
      <c r="H7454" s="731">
        <v>290000</v>
      </c>
      <c r="I7454" s="731">
        <v>290000</v>
      </c>
      <c r="J7454" s="390"/>
      <c r="K7454" s="734"/>
      <c r="M7454" s="62" t="e">
        <f>IF(#REF!&gt;6,3,5)</f>
        <v>#REF!</v>
      </c>
    </row>
    <row r="7455" spans="1:13" ht="25.5">
      <c r="A7455" s="759">
        <f t="shared" si="601"/>
        <v>11</v>
      </c>
      <c r="B7455" s="745" t="s">
        <v>764</v>
      </c>
      <c r="C7455" s="731">
        <v>100000</v>
      </c>
      <c r="D7455" s="731">
        <v>100000</v>
      </c>
      <c r="E7455" s="731">
        <v>100000</v>
      </c>
      <c r="F7455" s="390">
        <f t="shared" si="602"/>
        <v>300000</v>
      </c>
      <c r="G7455" s="731">
        <v>50000</v>
      </c>
      <c r="H7455" s="731">
        <v>50950</v>
      </c>
      <c r="I7455" s="731">
        <v>50950</v>
      </c>
      <c r="J7455" s="390"/>
      <c r="K7455" s="734"/>
      <c r="M7455" s="62" t="e">
        <f>IF(#REF!&gt;6,3,5)</f>
        <v>#REF!</v>
      </c>
    </row>
    <row r="7456" spans="1:13">
      <c r="A7456" s="759">
        <f t="shared" si="601"/>
        <v>12</v>
      </c>
      <c r="B7456" s="745" t="s">
        <v>2688</v>
      </c>
      <c r="C7456" s="731">
        <v>2000000</v>
      </c>
      <c r="D7456" s="731">
        <v>1000000</v>
      </c>
      <c r="E7456" s="731">
        <v>1000000</v>
      </c>
      <c r="F7456" s="390">
        <f t="shared" si="602"/>
        <v>4000000</v>
      </c>
      <c r="G7456" s="731">
        <v>510940</v>
      </c>
      <c r="H7456" s="731">
        <v>1109554.22</v>
      </c>
      <c r="I7456" s="731">
        <v>637016</v>
      </c>
      <c r="J7456" s="390"/>
      <c r="K7456" s="734"/>
      <c r="M7456" s="62" t="e">
        <f>IF(#REF!&gt;6,3,5)</f>
        <v>#REF!</v>
      </c>
    </row>
    <row r="7457" spans="1:13">
      <c r="A7457" s="759">
        <f t="shared" si="601"/>
        <v>13</v>
      </c>
      <c r="B7457" s="745" t="s">
        <v>2249</v>
      </c>
      <c r="C7457" s="731">
        <v>100000</v>
      </c>
      <c r="D7457" s="731">
        <v>100000</v>
      </c>
      <c r="E7457" s="731">
        <v>100000</v>
      </c>
      <c r="F7457" s="390">
        <f t="shared" si="602"/>
        <v>300000</v>
      </c>
      <c r="G7457" s="731"/>
      <c r="H7457" s="731">
        <v>0</v>
      </c>
      <c r="I7457" s="731"/>
      <c r="J7457" s="390"/>
      <c r="K7457" s="734"/>
      <c r="M7457" s="62" t="e">
        <f>IF(#REF!&gt;6,3,5)</f>
        <v>#REF!</v>
      </c>
    </row>
    <row r="7458" spans="1:13">
      <c r="A7458" s="759">
        <f t="shared" si="601"/>
        <v>14</v>
      </c>
      <c r="B7458" s="745" t="s">
        <v>3018</v>
      </c>
      <c r="C7458" s="731" t="s">
        <v>1386</v>
      </c>
      <c r="D7458" s="731">
        <v>100000</v>
      </c>
      <c r="E7458" s="731">
        <v>100000</v>
      </c>
      <c r="F7458" s="390">
        <f t="shared" si="602"/>
        <v>200000</v>
      </c>
      <c r="G7458" s="731" t="s">
        <v>1386</v>
      </c>
      <c r="H7458" s="731">
        <v>0</v>
      </c>
      <c r="I7458" s="731" t="s">
        <v>1386</v>
      </c>
      <c r="J7458" s="390"/>
      <c r="K7458" s="734"/>
    </row>
    <row r="7459" spans="1:13">
      <c r="A7459" s="759">
        <f t="shared" si="601"/>
        <v>15</v>
      </c>
      <c r="B7459" s="745" t="s">
        <v>1039</v>
      </c>
      <c r="C7459" s="731">
        <v>150000</v>
      </c>
      <c r="D7459" s="731">
        <v>150000</v>
      </c>
      <c r="E7459" s="731">
        <v>150000</v>
      </c>
      <c r="F7459" s="390">
        <f t="shared" si="602"/>
        <v>450000</v>
      </c>
      <c r="G7459" s="731"/>
      <c r="H7459" s="731">
        <v>0</v>
      </c>
      <c r="I7459" s="731"/>
      <c r="J7459" s="390"/>
      <c r="K7459" s="734"/>
      <c r="M7459" s="62" t="e">
        <f>IF(#REF!&gt;6,3,5)</f>
        <v>#REF!</v>
      </c>
    </row>
    <row r="7460" spans="1:13">
      <c r="A7460" s="759">
        <f t="shared" si="601"/>
        <v>16</v>
      </c>
      <c r="B7460" s="745" t="s">
        <v>3800</v>
      </c>
      <c r="C7460" s="731">
        <v>400000</v>
      </c>
      <c r="D7460" s="731">
        <v>150000</v>
      </c>
      <c r="E7460" s="731">
        <v>150000</v>
      </c>
      <c r="F7460" s="390">
        <f t="shared" si="602"/>
        <v>700000</v>
      </c>
      <c r="G7460" s="731"/>
      <c r="H7460" s="731">
        <v>0</v>
      </c>
      <c r="I7460" s="731"/>
      <c r="J7460" s="390"/>
      <c r="K7460" s="734"/>
      <c r="M7460" s="62" t="e">
        <f>IF(#REF!&gt;6,3,5)</f>
        <v>#REF!</v>
      </c>
    </row>
    <row r="7461" spans="1:13">
      <c r="A7461" s="759">
        <f t="shared" si="601"/>
        <v>17</v>
      </c>
      <c r="B7461" s="745" t="s">
        <v>3801</v>
      </c>
      <c r="C7461" s="731">
        <v>150000</v>
      </c>
      <c r="D7461" s="731">
        <v>150000</v>
      </c>
      <c r="E7461" s="731">
        <v>150000</v>
      </c>
      <c r="F7461" s="390">
        <f t="shared" si="602"/>
        <v>450000</v>
      </c>
      <c r="G7461" s="731"/>
      <c r="H7461" s="731">
        <v>0</v>
      </c>
      <c r="I7461" s="731"/>
      <c r="J7461" s="390"/>
      <c r="K7461" s="734"/>
      <c r="M7461" s="62" t="e">
        <f>IF(#REF!&gt;6,3,5)</f>
        <v>#REF!</v>
      </c>
    </row>
    <row r="7462" spans="1:13">
      <c r="A7462" s="759">
        <f t="shared" si="601"/>
        <v>18</v>
      </c>
      <c r="B7462" s="745" t="s">
        <v>1036</v>
      </c>
      <c r="C7462" s="731">
        <v>100000</v>
      </c>
      <c r="D7462" s="731">
        <v>100000</v>
      </c>
      <c r="E7462" s="731">
        <v>100000</v>
      </c>
      <c r="F7462" s="390">
        <f t="shared" si="602"/>
        <v>300000</v>
      </c>
      <c r="G7462" s="731"/>
      <c r="H7462" s="731">
        <v>0</v>
      </c>
      <c r="I7462" s="731"/>
      <c r="J7462" s="390"/>
      <c r="K7462" s="734"/>
      <c r="M7462" s="62" t="e">
        <f>IF(#REF!&gt;6,3,5)</f>
        <v>#REF!</v>
      </c>
    </row>
    <row r="7463" spans="1:13">
      <c r="A7463" s="759">
        <f t="shared" si="601"/>
        <v>19</v>
      </c>
      <c r="B7463" s="745" t="s">
        <v>1037</v>
      </c>
      <c r="C7463" s="731">
        <v>100000</v>
      </c>
      <c r="D7463" s="731">
        <v>100000</v>
      </c>
      <c r="E7463" s="731">
        <v>100000</v>
      </c>
      <c r="F7463" s="390">
        <f t="shared" si="602"/>
        <v>300000</v>
      </c>
      <c r="G7463" s="731"/>
      <c r="H7463" s="731">
        <v>0</v>
      </c>
      <c r="I7463" s="731"/>
      <c r="J7463" s="390"/>
      <c r="K7463" s="734"/>
      <c r="M7463" s="62" t="e">
        <f>IF(#REF!&gt;6,3,5)</f>
        <v>#REF!</v>
      </c>
    </row>
    <row r="7464" spans="1:13">
      <c r="A7464" s="759">
        <f t="shared" si="601"/>
        <v>20</v>
      </c>
      <c r="B7464" s="745" t="s">
        <v>1038</v>
      </c>
      <c r="C7464" s="731" t="s">
        <v>3007</v>
      </c>
      <c r="D7464" s="731" t="s">
        <v>3007</v>
      </c>
      <c r="E7464" s="731" t="s">
        <v>3007</v>
      </c>
      <c r="F7464" s="390">
        <f t="shared" si="602"/>
        <v>0</v>
      </c>
      <c r="G7464" s="731"/>
      <c r="H7464" s="731" t="s">
        <v>3007</v>
      </c>
      <c r="I7464" s="731"/>
      <c r="J7464" s="390"/>
      <c r="K7464" s="734"/>
      <c r="M7464" s="62" t="e">
        <f>IF(#REF!&gt;6,3,5)</f>
        <v>#REF!</v>
      </c>
    </row>
    <row r="7465" spans="1:13">
      <c r="A7465" s="759"/>
      <c r="B7465" s="745"/>
      <c r="C7465" s="731"/>
      <c r="D7465" s="731"/>
      <c r="E7465" s="731"/>
      <c r="F7465" s="731"/>
      <c r="G7465" s="731"/>
      <c r="H7465" s="731"/>
      <c r="I7465" s="731"/>
      <c r="J7465" s="731"/>
      <c r="K7465" s="732"/>
      <c r="M7465" s="62" t="e">
        <f>IF(#REF!&gt;6,3,5)</f>
        <v>#REF!</v>
      </c>
    </row>
    <row r="7466" spans="1:13">
      <c r="A7466" s="759"/>
      <c r="B7466" s="745"/>
      <c r="C7466" s="731"/>
      <c r="D7466" s="731"/>
      <c r="E7466" s="731"/>
      <c r="F7466" s="731"/>
      <c r="G7466" s="731"/>
      <c r="H7466" s="731"/>
      <c r="I7466" s="731"/>
      <c r="J7466" s="731"/>
      <c r="K7466" s="732"/>
      <c r="M7466" s="62" t="e">
        <f>IF(#REF!&gt;6,3,5)</f>
        <v>#REF!</v>
      </c>
    </row>
    <row r="7467" spans="1:13">
      <c r="A7467" s="738"/>
      <c r="B7467" s="738" t="s">
        <v>1684</v>
      </c>
      <c r="C7467" s="739">
        <f t="shared" ref="C7467:I7467" si="603">SUM(C7445:C7466)</f>
        <v>6000000</v>
      </c>
      <c r="D7467" s="739">
        <f t="shared" si="603"/>
        <v>4350000</v>
      </c>
      <c r="E7467" s="739">
        <f t="shared" si="603"/>
        <v>4350000</v>
      </c>
      <c r="F7467" s="739">
        <f t="shared" si="603"/>
        <v>14700000</v>
      </c>
      <c r="G7467" s="739">
        <f>SUM(G7445:G7466)</f>
        <v>1702940</v>
      </c>
      <c r="H7467" s="739">
        <f t="shared" si="603"/>
        <v>2268604.2199999997</v>
      </c>
      <c r="I7467" s="739">
        <f t="shared" si="603"/>
        <v>1700066</v>
      </c>
      <c r="J7467" s="739"/>
      <c r="K7467" s="740"/>
      <c r="M7467" s="62" t="e">
        <f>IF(#REF!&gt;6,3,5)</f>
        <v>#REF!</v>
      </c>
    </row>
    <row r="7468" spans="1:13">
      <c r="C7468" s="76"/>
      <c r="D7468" s="78" t="s">
        <v>5434</v>
      </c>
      <c r="G7468" s="62"/>
      <c r="H7468" s="62"/>
      <c r="I7468" s="62"/>
      <c r="M7468" s="62" t="e">
        <f>IF(#REF!&gt;6,3,5)</f>
        <v>#REF!</v>
      </c>
    </row>
    <row r="7469" spans="1:13">
      <c r="B7469" s="78"/>
      <c r="C7469" s="76"/>
      <c r="D7469" s="78" t="s">
        <v>1693</v>
      </c>
      <c r="G7469" s="79"/>
      <c r="H7469" s="79"/>
      <c r="I7469" s="79"/>
      <c r="J7469" s="78"/>
      <c r="K7469" s="78"/>
    </row>
    <row r="7470" spans="1:13" ht="15">
      <c r="C7470" s="79" t="s">
        <v>717</v>
      </c>
      <c r="D7470" s="78" t="s">
        <v>3723</v>
      </c>
      <c r="J7470" s="584"/>
      <c r="K7470" s="584"/>
      <c r="M7470" s="62">
        <f t="shared" ref="M7470:M7530" si="604">IF(C7470&gt;6,3,5)</f>
        <v>3</v>
      </c>
    </row>
    <row r="7471" spans="1:13" ht="15.75" thickBot="1">
      <c r="C7471" s="79" t="s">
        <v>718</v>
      </c>
      <c r="D7471" s="78" t="s">
        <v>1864</v>
      </c>
      <c r="E7471" s="62"/>
      <c r="J7471" s="584"/>
      <c r="K7471" s="584"/>
    </row>
    <row r="7472" spans="1:13" ht="15.75" thickTop="1">
      <c r="A7472" s="1047" t="s">
        <v>2791</v>
      </c>
      <c r="B7472" s="1049" t="s">
        <v>4126</v>
      </c>
      <c r="C7472" s="1049" t="s">
        <v>854</v>
      </c>
      <c r="D7472" s="1040" t="s">
        <v>4127</v>
      </c>
      <c r="E7472" s="1041"/>
      <c r="F7472" s="1041"/>
      <c r="G7472" s="1040" t="s">
        <v>904</v>
      </c>
      <c r="H7472" s="1041"/>
      <c r="I7472" s="1042"/>
      <c r="J7472" s="1035" t="s">
        <v>855</v>
      </c>
      <c r="K7472" s="389"/>
    </row>
    <row r="7473" spans="1:13" ht="26.25" thickBot="1">
      <c r="A7473" s="1048"/>
      <c r="B7473" s="1050"/>
      <c r="C7473" s="1050"/>
      <c r="D7473" s="285" t="s">
        <v>5505</v>
      </c>
      <c r="E7473" s="285" t="s">
        <v>4485</v>
      </c>
      <c r="F7473" s="285" t="s">
        <v>4486</v>
      </c>
      <c r="G7473" s="287" t="s">
        <v>4487</v>
      </c>
      <c r="H7473" s="285" t="s">
        <v>4488</v>
      </c>
      <c r="I7473" s="287" t="s">
        <v>4489</v>
      </c>
      <c r="J7473" s="1036"/>
      <c r="K7473" s="712"/>
    </row>
    <row r="7474" spans="1:13" ht="13.5" thickTop="1">
      <c r="A7474" s="88" t="s">
        <v>1840</v>
      </c>
      <c r="B7474" s="301" t="s">
        <v>5376</v>
      </c>
      <c r="C7474" s="849"/>
      <c r="D7474" s="89"/>
      <c r="E7474" s="89"/>
      <c r="F7474" s="89"/>
      <c r="G7474" s="850"/>
      <c r="H7474" s="89"/>
      <c r="I7474" s="850"/>
      <c r="J7474" s="713"/>
      <c r="K7474" s="711"/>
      <c r="M7474" s="62">
        <f t="shared" si="604"/>
        <v>5</v>
      </c>
    </row>
    <row r="7475" spans="1:13">
      <c r="A7475" s="88">
        <v>1</v>
      </c>
      <c r="B7475" s="69" t="s">
        <v>3532</v>
      </c>
      <c r="C7475" s="69">
        <v>16</v>
      </c>
      <c r="D7475" s="89">
        <v>0</v>
      </c>
      <c r="E7475" s="89">
        <v>1</v>
      </c>
      <c r="F7475" s="89">
        <v>0</v>
      </c>
      <c r="G7475" s="89">
        <v>0</v>
      </c>
      <c r="H7475" s="89">
        <v>0</v>
      </c>
      <c r="I7475" s="89">
        <v>1</v>
      </c>
      <c r="J7475" s="710">
        <f>(VLOOKUP($C7475,[2]Sheet1!$A$2:$P$18,$M7475+1)/12)*12*D7475</f>
        <v>0</v>
      </c>
      <c r="K7475" s="711"/>
      <c r="M7475" s="62">
        <f t="shared" si="604"/>
        <v>3</v>
      </c>
    </row>
    <row r="7476" spans="1:13">
      <c r="A7476" s="88">
        <f t="shared" ref="A7476:A7509" si="605">+A7475+1</f>
        <v>2</v>
      </c>
      <c r="B7476" s="69" t="s">
        <v>1256</v>
      </c>
      <c r="C7476" s="69">
        <v>15</v>
      </c>
      <c r="D7476" s="89">
        <v>1</v>
      </c>
      <c r="E7476" s="89">
        <v>2</v>
      </c>
      <c r="F7476" s="89">
        <v>1</v>
      </c>
      <c r="G7476" s="89">
        <v>1</v>
      </c>
      <c r="H7476" s="89">
        <v>1</v>
      </c>
      <c r="I7476" s="89">
        <v>1</v>
      </c>
      <c r="J7476" s="710">
        <f>(VLOOKUP($C7476,[2]Sheet1!$A$2:$P$18,$M7476+1)/12)*12*D7476</f>
        <v>658331.89992</v>
      </c>
      <c r="K7476" s="711"/>
      <c r="M7476" s="62">
        <f t="shared" si="604"/>
        <v>3</v>
      </c>
    </row>
    <row r="7477" spans="1:13">
      <c r="A7477" s="88">
        <f t="shared" si="605"/>
        <v>3</v>
      </c>
      <c r="B7477" s="69" t="s">
        <v>3533</v>
      </c>
      <c r="C7477" s="69">
        <v>14</v>
      </c>
      <c r="D7477" s="89">
        <v>2</v>
      </c>
      <c r="E7477" s="89">
        <v>1</v>
      </c>
      <c r="F7477" s="89">
        <v>2</v>
      </c>
      <c r="G7477" s="89">
        <v>2</v>
      </c>
      <c r="H7477" s="89">
        <v>2</v>
      </c>
      <c r="I7477" s="89">
        <v>2</v>
      </c>
      <c r="J7477" s="710">
        <f>(VLOOKUP($C7477,[2]Sheet1!$A$2:$P$18,$M7477+1)/12)*12*D7477</f>
        <v>1338198.81648</v>
      </c>
      <c r="K7477" s="711"/>
      <c r="M7477" s="62">
        <f t="shared" si="604"/>
        <v>3</v>
      </c>
    </row>
    <row r="7478" spans="1:13">
      <c r="A7478" s="88">
        <f t="shared" si="605"/>
        <v>4</v>
      </c>
      <c r="B7478" s="277" t="s">
        <v>5377</v>
      </c>
      <c r="C7478" s="69">
        <v>12</v>
      </c>
      <c r="D7478" s="89">
        <v>0</v>
      </c>
      <c r="E7478" s="89">
        <v>1</v>
      </c>
      <c r="F7478" s="89">
        <v>0</v>
      </c>
      <c r="G7478" s="89">
        <v>0</v>
      </c>
      <c r="H7478" s="89">
        <v>0</v>
      </c>
      <c r="I7478" s="89">
        <v>0</v>
      </c>
      <c r="J7478" s="710">
        <f>(VLOOKUP($C7478,[2]Sheet1!$A$2:$P$18,$M7478+1)/12)*12*D7478</f>
        <v>0</v>
      </c>
      <c r="K7478" s="711"/>
      <c r="M7478" s="62">
        <f t="shared" si="604"/>
        <v>3</v>
      </c>
    </row>
    <row r="7479" spans="1:13">
      <c r="A7479" s="88"/>
      <c r="B7479" s="277" t="s">
        <v>5378</v>
      </c>
      <c r="C7479" s="69">
        <v>10</v>
      </c>
      <c r="D7479" s="89">
        <v>2</v>
      </c>
      <c r="E7479" s="89">
        <v>1</v>
      </c>
      <c r="F7479" s="89">
        <v>2</v>
      </c>
      <c r="G7479" s="89">
        <v>2</v>
      </c>
      <c r="H7479" s="89">
        <v>2</v>
      </c>
      <c r="I7479" s="89">
        <v>2</v>
      </c>
      <c r="J7479" s="710">
        <f>(VLOOKUP($C7479,[2]Sheet1!$A$2:$P$18,$M7479+1)/12)*12*D7479</f>
        <v>967949.1374400002</v>
      </c>
      <c r="K7479" s="711"/>
      <c r="M7479" s="62">
        <f t="shared" si="604"/>
        <v>3</v>
      </c>
    </row>
    <row r="7480" spans="1:13">
      <c r="A7480" s="88">
        <f>+A7478+1</f>
        <v>5</v>
      </c>
      <c r="B7480" s="277" t="s">
        <v>5379</v>
      </c>
      <c r="C7480" s="69">
        <v>9</v>
      </c>
      <c r="D7480" s="89">
        <v>17</v>
      </c>
      <c r="E7480" s="89">
        <v>31</v>
      </c>
      <c r="F7480" s="89">
        <v>17</v>
      </c>
      <c r="G7480" s="89">
        <v>17</v>
      </c>
      <c r="H7480" s="89">
        <v>17</v>
      </c>
      <c r="I7480" s="89">
        <v>17</v>
      </c>
      <c r="J7480" s="710">
        <f>(VLOOKUP($C7480,[2]Sheet1!$A$2:$P$18,$M7480+1)/12)*12*D7480</f>
        <v>6964592.4053999996</v>
      </c>
      <c r="K7480" s="711"/>
      <c r="M7480" s="62">
        <f t="shared" si="604"/>
        <v>3</v>
      </c>
    </row>
    <row r="7481" spans="1:13">
      <c r="A7481" s="88">
        <f t="shared" si="605"/>
        <v>6</v>
      </c>
      <c r="B7481" s="277" t="s">
        <v>5380</v>
      </c>
      <c r="C7481" s="69">
        <v>8</v>
      </c>
      <c r="D7481" s="89">
        <v>21</v>
      </c>
      <c r="E7481" s="89">
        <v>27</v>
      </c>
      <c r="F7481" s="89">
        <v>21</v>
      </c>
      <c r="G7481" s="89">
        <v>21</v>
      </c>
      <c r="H7481" s="89">
        <v>21</v>
      </c>
      <c r="I7481" s="89">
        <v>21</v>
      </c>
      <c r="J7481" s="710">
        <f>(VLOOKUP($C7481,[2]Sheet1!$A$2:$P$18,$M7481+1)/12)*12*D7481</f>
        <v>7184966.7556800004</v>
      </c>
      <c r="K7481" s="711"/>
      <c r="M7481" s="62">
        <f t="shared" si="604"/>
        <v>3</v>
      </c>
    </row>
    <row r="7482" spans="1:13">
      <c r="A7482" s="88">
        <f t="shared" si="605"/>
        <v>7</v>
      </c>
      <c r="B7482" s="69" t="s">
        <v>257</v>
      </c>
      <c r="C7482" s="69">
        <v>6</v>
      </c>
      <c r="D7482" s="89">
        <v>33</v>
      </c>
      <c r="E7482" s="89">
        <v>6</v>
      </c>
      <c r="F7482" s="89">
        <v>33</v>
      </c>
      <c r="G7482" s="89">
        <v>33</v>
      </c>
      <c r="H7482" s="89">
        <v>33</v>
      </c>
      <c r="I7482" s="89">
        <v>33</v>
      </c>
      <c r="J7482" s="710">
        <f>(VLOOKUP($C7482,[2]Sheet1!$A$2:$P$18,$M7482+1)/12)*12*D7482</f>
        <v>7857279.5047020437</v>
      </c>
      <c r="K7482" s="711"/>
      <c r="M7482" s="62">
        <f t="shared" si="604"/>
        <v>5</v>
      </c>
    </row>
    <row r="7483" spans="1:13">
      <c r="A7483" s="88">
        <f t="shared" si="605"/>
        <v>8</v>
      </c>
      <c r="B7483" s="69" t="s">
        <v>258</v>
      </c>
      <c r="C7483" s="69">
        <v>5</v>
      </c>
      <c r="D7483" s="89">
        <v>10</v>
      </c>
      <c r="E7483" s="89">
        <v>6</v>
      </c>
      <c r="F7483" s="89">
        <v>10</v>
      </c>
      <c r="G7483" s="89">
        <v>10</v>
      </c>
      <c r="H7483" s="89">
        <v>10</v>
      </c>
      <c r="I7483" s="89">
        <v>10</v>
      </c>
      <c r="J7483" s="710">
        <f>(VLOOKUP($C7483,[2]Sheet1!$A$2:$P$18,$M7483+1)/12)*12*D7483</f>
        <v>2295697.7893036501</v>
      </c>
      <c r="K7483" s="711"/>
      <c r="M7483" s="62">
        <f>IF(C7483&gt;6,3,5)</f>
        <v>5</v>
      </c>
    </row>
    <row r="7484" spans="1:13">
      <c r="A7484" s="88">
        <f t="shared" si="605"/>
        <v>9</v>
      </c>
      <c r="B7484" s="69" t="s">
        <v>58</v>
      </c>
      <c r="C7484" s="69">
        <v>4</v>
      </c>
      <c r="D7484" s="89">
        <v>9</v>
      </c>
      <c r="E7484" s="89">
        <v>6</v>
      </c>
      <c r="F7484" s="89">
        <v>9</v>
      </c>
      <c r="G7484" s="89">
        <v>9</v>
      </c>
      <c r="H7484" s="89">
        <v>9</v>
      </c>
      <c r="I7484" s="89">
        <v>9</v>
      </c>
      <c r="J7484" s="710">
        <f>(VLOOKUP($C7484,[2]Sheet1!$A$2:$P$18,$M7484+1)/12)*12*D7484</f>
        <v>2020886.8103732851</v>
      </c>
      <c r="K7484" s="711"/>
      <c r="M7484" s="62">
        <f>IF(C7484&gt;6,3,5)</f>
        <v>5</v>
      </c>
    </row>
    <row r="7485" spans="1:13">
      <c r="A7485" s="88">
        <f t="shared" si="605"/>
        <v>10</v>
      </c>
      <c r="B7485" s="265" t="s">
        <v>5381</v>
      </c>
      <c r="C7485" s="69">
        <v>7</v>
      </c>
      <c r="D7485" s="89">
        <v>22</v>
      </c>
      <c r="E7485" s="89">
        <v>100</v>
      </c>
      <c r="F7485" s="89">
        <v>22</v>
      </c>
      <c r="G7485" s="89">
        <v>22</v>
      </c>
      <c r="H7485" s="89">
        <v>11</v>
      </c>
      <c r="I7485" s="89">
        <v>22</v>
      </c>
      <c r="J7485" s="710">
        <f>(VLOOKUP($C7485,[2]Sheet1!$A$2:$P$18,$M7485+1)/12)*12*D7485</f>
        <v>6769547.4528000019</v>
      </c>
      <c r="K7485" s="711"/>
      <c r="M7485" s="62">
        <f t="shared" si="604"/>
        <v>3</v>
      </c>
    </row>
    <row r="7486" spans="1:13">
      <c r="A7486" s="88">
        <f t="shared" si="605"/>
        <v>11</v>
      </c>
      <c r="B7486" s="69" t="s">
        <v>5382</v>
      </c>
      <c r="C7486" s="69">
        <v>4</v>
      </c>
      <c r="D7486" s="89">
        <v>0</v>
      </c>
      <c r="E7486" s="89">
        <v>0</v>
      </c>
      <c r="F7486" s="89">
        <v>0</v>
      </c>
      <c r="G7486" s="89">
        <v>0</v>
      </c>
      <c r="H7486" s="89">
        <v>0</v>
      </c>
      <c r="I7486" s="89">
        <v>0</v>
      </c>
      <c r="J7486" s="710">
        <f>(VLOOKUP($C7486,[2]Sheet1!$A$2:$P$18,$M7486+1)/12)*12*D7486</f>
        <v>0</v>
      </c>
      <c r="K7486" s="711"/>
      <c r="M7486" s="62">
        <f t="shared" si="604"/>
        <v>5</v>
      </c>
    </row>
    <row r="7487" spans="1:13">
      <c r="A7487" s="88">
        <f t="shared" si="605"/>
        <v>12</v>
      </c>
      <c r="B7487" s="265" t="s">
        <v>5383</v>
      </c>
      <c r="C7487" s="69">
        <v>3</v>
      </c>
      <c r="D7487" s="89"/>
      <c r="E7487" s="89">
        <v>2</v>
      </c>
      <c r="F7487" s="89"/>
      <c r="G7487" s="89"/>
      <c r="H7487" s="89"/>
      <c r="I7487" s="89"/>
      <c r="J7487" s="710">
        <f>(VLOOKUP($C7487,[2]Sheet1!$A$2:$P$18,$M7487+1)/12)*12*D7487</f>
        <v>0</v>
      </c>
      <c r="K7487" s="711"/>
      <c r="M7487" s="62">
        <f t="shared" si="604"/>
        <v>5</v>
      </c>
    </row>
    <row r="7488" spans="1:13">
      <c r="A7488" s="88">
        <f t="shared" si="605"/>
        <v>13</v>
      </c>
      <c r="B7488" s="69" t="s">
        <v>3861</v>
      </c>
      <c r="C7488" s="69">
        <v>3</v>
      </c>
      <c r="D7488" s="89">
        <v>0</v>
      </c>
      <c r="E7488" s="89">
        <v>2</v>
      </c>
      <c r="F7488" s="89">
        <v>0</v>
      </c>
      <c r="G7488" s="89">
        <v>0</v>
      </c>
      <c r="H7488" s="89">
        <v>0</v>
      </c>
      <c r="I7488" s="89">
        <v>0</v>
      </c>
      <c r="J7488" s="710">
        <f>(VLOOKUP($C7488,[2]Sheet1!$A$2:$P$18,$M7488+1)/12)*12*D7488</f>
        <v>0</v>
      </c>
      <c r="K7488" s="711"/>
      <c r="M7488" s="62">
        <f t="shared" si="604"/>
        <v>5</v>
      </c>
    </row>
    <row r="7489" spans="1:13">
      <c r="A7489" s="88">
        <f t="shared" si="605"/>
        <v>14</v>
      </c>
      <c r="B7489" s="69" t="s">
        <v>5384</v>
      </c>
      <c r="C7489" s="69">
        <v>7</v>
      </c>
      <c r="D7489" s="89"/>
      <c r="E7489" s="89"/>
      <c r="F7489" s="89"/>
      <c r="G7489" s="89"/>
      <c r="H7489" s="89"/>
      <c r="I7489" s="89"/>
      <c r="J7489" s="710">
        <f>(VLOOKUP($C7489,[2]Sheet1!$A$2:$P$18,$M7489+1)/12)*12*D7489</f>
        <v>0</v>
      </c>
      <c r="K7489" s="711"/>
      <c r="M7489" s="62">
        <f t="shared" si="604"/>
        <v>3</v>
      </c>
    </row>
    <row r="7490" spans="1:13">
      <c r="A7490" s="88">
        <f t="shared" si="605"/>
        <v>15</v>
      </c>
      <c r="B7490" s="69" t="s">
        <v>5385</v>
      </c>
      <c r="C7490" s="69">
        <v>6</v>
      </c>
      <c r="D7490" s="89"/>
      <c r="E7490" s="89"/>
      <c r="F7490" s="89"/>
      <c r="G7490" s="89"/>
      <c r="H7490" s="89"/>
      <c r="I7490" s="89"/>
      <c r="J7490" s="710">
        <f>(VLOOKUP($C7490,[2]Sheet1!$A$2:$P$18,$M7490+1)/12)*12*D7490</f>
        <v>0</v>
      </c>
      <c r="K7490" s="711"/>
      <c r="M7490" s="62">
        <f t="shared" si="604"/>
        <v>5</v>
      </c>
    </row>
    <row r="7491" spans="1:13">
      <c r="A7491" s="88">
        <f t="shared" si="605"/>
        <v>16</v>
      </c>
      <c r="B7491" s="69" t="s">
        <v>5386</v>
      </c>
      <c r="C7491" s="69">
        <v>5</v>
      </c>
      <c r="D7491" s="89"/>
      <c r="E7491" s="89"/>
      <c r="F7491" s="89"/>
      <c r="G7491" s="89"/>
      <c r="H7491" s="89"/>
      <c r="I7491" s="89"/>
      <c r="J7491" s="710">
        <f>(VLOOKUP($C7491,[2]Sheet1!$A$2:$P$18,$M7491+1)/12)*12*D7491</f>
        <v>0</v>
      </c>
      <c r="K7491" s="711"/>
      <c r="M7491" s="62">
        <f t="shared" si="604"/>
        <v>5</v>
      </c>
    </row>
    <row r="7492" spans="1:13">
      <c r="A7492" s="88">
        <f t="shared" si="605"/>
        <v>17</v>
      </c>
      <c r="B7492" s="69" t="s">
        <v>2597</v>
      </c>
      <c r="C7492" s="69">
        <v>4</v>
      </c>
      <c r="D7492" s="89">
        <v>0</v>
      </c>
      <c r="E7492" s="89">
        <v>1</v>
      </c>
      <c r="F7492" s="89">
        <v>0</v>
      </c>
      <c r="G7492" s="89">
        <v>0</v>
      </c>
      <c r="H7492" s="89">
        <v>0</v>
      </c>
      <c r="I7492" s="89">
        <v>0</v>
      </c>
      <c r="J7492" s="710">
        <f>(VLOOKUP($C7492,[2]Sheet1!$A$2:$P$18,$M7492+1)/12)*12*D7492</f>
        <v>0</v>
      </c>
      <c r="K7492" s="711"/>
      <c r="M7492" s="62">
        <f t="shared" si="604"/>
        <v>5</v>
      </c>
    </row>
    <row r="7493" spans="1:13">
      <c r="A7493" s="88"/>
      <c r="B7493" s="260" t="s">
        <v>549</v>
      </c>
      <c r="C7493" s="69"/>
      <c r="D7493" s="89"/>
      <c r="E7493" s="89"/>
      <c r="F7493" s="89"/>
      <c r="G7493" s="89"/>
      <c r="H7493" s="89"/>
      <c r="I7493" s="89"/>
      <c r="J7493" s="710"/>
      <c r="K7493" s="711"/>
      <c r="M7493" s="62">
        <f t="shared" si="604"/>
        <v>5</v>
      </c>
    </row>
    <row r="7494" spans="1:13">
      <c r="A7494" s="88">
        <f>A7492+1</f>
        <v>18</v>
      </c>
      <c r="B7494" s="69" t="s">
        <v>2988</v>
      </c>
      <c r="C7494" s="69">
        <v>7</v>
      </c>
      <c r="D7494" s="89">
        <v>1</v>
      </c>
      <c r="E7494" s="89">
        <v>3</v>
      </c>
      <c r="F7494" s="89">
        <v>1</v>
      </c>
      <c r="G7494" s="89">
        <v>1</v>
      </c>
      <c r="H7494" s="89">
        <v>1</v>
      </c>
      <c r="I7494" s="89">
        <v>1</v>
      </c>
      <c r="J7494" s="710">
        <f>(VLOOKUP($C7494,[2]Sheet1!$A$2:$P$18,$M7494+1)/12)*12*D7494</f>
        <v>307706.70240000007</v>
      </c>
      <c r="K7494" s="711"/>
      <c r="M7494" s="62">
        <f t="shared" si="604"/>
        <v>3</v>
      </c>
    </row>
    <row r="7495" spans="1:13">
      <c r="A7495" s="88">
        <f t="shared" si="605"/>
        <v>19</v>
      </c>
      <c r="B7495" s="69" t="s">
        <v>1094</v>
      </c>
      <c r="C7495" s="69">
        <v>6</v>
      </c>
      <c r="D7495" s="89">
        <v>1</v>
      </c>
      <c r="E7495" s="89">
        <v>1</v>
      </c>
      <c r="F7495" s="89">
        <v>1</v>
      </c>
      <c r="G7495" s="89">
        <v>1</v>
      </c>
      <c r="H7495" s="89">
        <v>1</v>
      </c>
      <c r="I7495" s="89">
        <v>1</v>
      </c>
      <c r="J7495" s="710">
        <f>(VLOOKUP($C7495,[2]Sheet1!$A$2:$P$18,$M7495+1)/12)*12*D7495</f>
        <v>238099.37893036497</v>
      </c>
      <c r="K7495" s="711"/>
      <c r="M7495" s="62">
        <f t="shared" si="604"/>
        <v>5</v>
      </c>
    </row>
    <row r="7496" spans="1:13">
      <c r="A7496" s="88">
        <f t="shared" si="605"/>
        <v>20</v>
      </c>
      <c r="B7496" s="69" t="s">
        <v>2288</v>
      </c>
      <c r="C7496" s="69">
        <v>7</v>
      </c>
      <c r="D7496" s="89">
        <v>0</v>
      </c>
      <c r="E7496" s="89">
        <v>1</v>
      </c>
      <c r="F7496" s="89">
        <v>0</v>
      </c>
      <c r="G7496" s="89">
        <v>0</v>
      </c>
      <c r="H7496" s="89">
        <v>0</v>
      </c>
      <c r="I7496" s="89">
        <v>0</v>
      </c>
      <c r="J7496" s="710">
        <f>(VLOOKUP($C7496,[2]Sheet1!$A$2:$P$18,$M7496+1)/12)*12*D7496</f>
        <v>0</v>
      </c>
      <c r="K7496" s="711"/>
      <c r="M7496" s="62">
        <f t="shared" si="604"/>
        <v>3</v>
      </c>
    </row>
    <row r="7497" spans="1:13">
      <c r="A7497" s="88">
        <f>+A7496+1</f>
        <v>21</v>
      </c>
      <c r="B7497" s="69" t="s">
        <v>1250</v>
      </c>
      <c r="C7497" s="69">
        <v>6</v>
      </c>
      <c r="D7497" s="89">
        <v>1</v>
      </c>
      <c r="E7497" s="89">
        <v>1</v>
      </c>
      <c r="F7497" s="89">
        <v>1</v>
      </c>
      <c r="G7497" s="89">
        <v>1</v>
      </c>
      <c r="H7497" s="89">
        <v>1</v>
      </c>
      <c r="I7497" s="89">
        <v>1</v>
      </c>
      <c r="J7497" s="710">
        <f>(VLOOKUP($C7497,[2]Sheet1!$A$2:$P$18,$M7497+1)/12)*12*D7497</f>
        <v>238099.37893036497</v>
      </c>
      <c r="K7497" s="711"/>
      <c r="M7497" s="62">
        <f t="shared" si="604"/>
        <v>5</v>
      </c>
    </row>
    <row r="7498" spans="1:13">
      <c r="A7498" s="88">
        <f>+A7496+1</f>
        <v>21</v>
      </c>
      <c r="B7498" s="69" t="s">
        <v>2989</v>
      </c>
      <c r="C7498" s="69">
        <v>5</v>
      </c>
      <c r="D7498" s="89">
        <v>5</v>
      </c>
      <c r="E7498" s="89">
        <v>2</v>
      </c>
      <c r="F7498" s="89">
        <v>5</v>
      </c>
      <c r="G7498" s="89">
        <v>5</v>
      </c>
      <c r="H7498" s="89">
        <v>1</v>
      </c>
      <c r="I7498" s="89">
        <v>5</v>
      </c>
      <c r="J7498" s="710">
        <f>(VLOOKUP($C7498,[2]Sheet1!$A$2:$P$18,$M7498+1)/12)*12*D7498</f>
        <v>1147848.8946518251</v>
      </c>
      <c r="K7498" s="711"/>
      <c r="M7498" s="62">
        <f t="shared" si="604"/>
        <v>5</v>
      </c>
    </row>
    <row r="7499" spans="1:13">
      <c r="A7499" s="88">
        <f t="shared" si="605"/>
        <v>22</v>
      </c>
      <c r="B7499" s="69" t="s">
        <v>2990</v>
      </c>
      <c r="C7499" s="69">
        <v>4</v>
      </c>
      <c r="D7499" s="89">
        <v>4</v>
      </c>
      <c r="E7499" s="89">
        <v>2</v>
      </c>
      <c r="F7499" s="89">
        <v>4</v>
      </c>
      <c r="G7499" s="89">
        <v>4</v>
      </c>
      <c r="H7499" s="89">
        <v>4</v>
      </c>
      <c r="I7499" s="89">
        <v>4</v>
      </c>
      <c r="J7499" s="710">
        <f>(VLOOKUP($C7499,[2]Sheet1!$A$2:$P$18,$M7499+1)/12)*12*D7499</f>
        <v>898171.91572146001</v>
      </c>
      <c r="K7499" s="711"/>
      <c r="M7499" s="62">
        <f t="shared" si="604"/>
        <v>5</v>
      </c>
    </row>
    <row r="7500" spans="1:13">
      <c r="A7500" s="88">
        <f t="shared" si="605"/>
        <v>23</v>
      </c>
      <c r="B7500" s="69" t="s">
        <v>4030</v>
      </c>
      <c r="C7500" s="69">
        <v>3</v>
      </c>
      <c r="D7500" s="89">
        <v>3</v>
      </c>
      <c r="E7500" s="89">
        <v>1</v>
      </c>
      <c r="F7500" s="89">
        <v>3</v>
      </c>
      <c r="G7500" s="89">
        <v>3</v>
      </c>
      <c r="H7500" s="89">
        <v>3</v>
      </c>
      <c r="I7500" s="89">
        <v>3</v>
      </c>
      <c r="J7500" s="710">
        <f>(VLOOKUP($C7500,[2]Sheet1!$A$2:$P$18,$M7500+1)/12)*12*D7500</f>
        <v>658008.53679109493</v>
      </c>
      <c r="K7500" s="711"/>
      <c r="M7500" s="62">
        <f t="shared" si="604"/>
        <v>5</v>
      </c>
    </row>
    <row r="7501" spans="1:13">
      <c r="A7501" s="88">
        <f t="shared" si="605"/>
        <v>24</v>
      </c>
      <c r="B7501" s="69" t="s">
        <v>3788</v>
      </c>
      <c r="C7501" s="69">
        <v>5</v>
      </c>
      <c r="D7501" s="89">
        <v>5</v>
      </c>
      <c r="E7501" s="89">
        <v>1</v>
      </c>
      <c r="F7501" s="89">
        <v>5</v>
      </c>
      <c r="G7501" s="89">
        <v>5</v>
      </c>
      <c r="H7501" s="89">
        <v>1</v>
      </c>
      <c r="I7501" s="89">
        <v>5</v>
      </c>
      <c r="J7501" s="710">
        <f>(VLOOKUP($C7501,[2]Sheet1!$A$2:$P$18,$M7501+1)/12)*12*D7501</f>
        <v>1147848.8946518251</v>
      </c>
      <c r="K7501" s="711"/>
      <c r="M7501" s="62">
        <f t="shared" si="604"/>
        <v>5</v>
      </c>
    </row>
    <row r="7502" spans="1:13">
      <c r="A7502" s="88">
        <f t="shared" si="605"/>
        <v>25</v>
      </c>
      <c r="B7502" s="69" t="s">
        <v>3896</v>
      </c>
      <c r="C7502" s="69">
        <v>4</v>
      </c>
      <c r="D7502" s="89">
        <v>4</v>
      </c>
      <c r="E7502" s="89">
        <v>1</v>
      </c>
      <c r="F7502" s="89">
        <v>4</v>
      </c>
      <c r="G7502" s="89">
        <v>4</v>
      </c>
      <c r="H7502" s="89">
        <v>4</v>
      </c>
      <c r="I7502" s="89">
        <v>4</v>
      </c>
      <c r="J7502" s="710">
        <f>(VLOOKUP($C7502,[2]Sheet1!$A$2:$P$18,$M7502+1)/12)*12*D7502</f>
        <v>898171.91572146001</v>
      </c>
      <c r="K7502" s="711"/>
      <c r="M7502" s="62">
        <f t="shared" si="604"/>
        <v>5</v>
      </c>
    </row>
    <row r="7503" spans="1:13">
      <c r="A7503" s="88">
        <f t="shared" si="605"/>
        <v>26</v>
      </c>
      <c r="B7503" s="69" t="s">
        <v>2179</v>
      </c>
      <c r="C7503" s="69">
        <v>4</v>
      </c>
      <c r="D7503" s="89">
        <v>4</v>
      </c>
      <c r="E7503" s="89">
        <v>2</v>
      </c>
      <c r="F7503" s="89">
        <v>4</v>
      </c>
      <c r="G7503" s="89">
        <v>4</v>
      </c>
      <c r="H7503" s="89">
        <v>1</v>
      </c>
      <c r="I7503" s="89">
        <v>4</v>
      </c>
      <c r="J7503" s="710">
        <f>(VLOOKUP($C7503,[2]Sheet1!$A$2:$P$18,$M7503+1)/12)*12*D7503</f>
        <v>898171.91572146001</v>
      </c>
      <c r="K7503" s="711"/>
      <c r="M7503" s="62">
        <f t="shared" si="604"/>
        <v>5</v>
      </c>
    </row>
    <row r="7504" spans="1:13">
      <c r="A7504" s="88">
        <f t="shared" si="605"/>
        <v>27</v>
      </c>
      <c r="B7504" s="69" t="s">
        <v>2542</v>
      </c>
      <c r="C7504" s="69">
        <v>3</v>
      </c>
      <c r="D7504" s="89">
        <v>3</v>
      </c>
      <c r="E7504" s="89">
        <v>2</v>
      </c>
      <c r="F7504" s="89">
        <v>3</v>
      </c>
      <c r="G7504" s="89">
        <v>3</v>
      </c>
      <c r="H7504" s="89">
        <v>3</v>
      </c>
      <c r="I7504" s="89">
        <v>3</v>
      </c>
      <c r="J7504" s="710">
        <f>(VLOOKUP($C7504,[2]Sheet1!$A$2:$P$18,$M7504+1)/12)*12*D7504</f>
        <v>658008.53679109493</v>
      </c>
      <c r="K7504" s="711"/>
      <c r="M7504" s="62">
        <f t="shared" si="604"/>
        <v>5</v>
      </c>
    </row>
    <row r="7505" spans="1:13">
      <c r="A7505" s="88">
        <f t="shared" si="605"/>
        <v>28</v>
      </c>
      <c r="B7505" s="69" t="s">
        <v>2543</v>
      </c>
      <c r="C7505" s="69">
        <v>2</v>
      </c>
      <c r="D7505" s="89">
        <v>11</v>
      </c>
      <c r="E7505" s="89">
        <v>1</v>
      </c>
      <c r="F7505" s="89">
        <v>11</v>
      </c>
      <c r="G7505" s="89">
        <v>11</v>
      </c>
      <c r="H7505" s="89">
        <v>5</v>
      </c>
      <c r="I7505" s="89">
        <v>11</v>
      </c>
      <c r="J7505" s="710">
        <f>(VLOOKUP($C7505,[2]Sheet1!$A$2:$P$18,$M7505+1)/12)*12*D7505</f>
        <v>2361231.1682340153</v>
      </c>
      <c r="K7505" s="711"/>
      <c r="M7505" s="62">
        <f t="shared" si="604"/>
        <v>5</v>
      </c>
    </row>
    <row r="7506" spans="1:13">
      <c r="A7506" s="88">
        <f t="shared" si="605"/>
        <v>29</v>
      </c>
      <c r="B7506" s="69" t="s">
        <v>2563</v>
      </c>
      <c r="C7506" s="69">
        <v>7</v>
      </c>
      <c r="D7506" s="89">
        <v>5</v>
      </c>
      <c r="E7506" s="89">
        <v>8</v>
      </c>
      <c r="F7506" s="89">
        <v>5</v>
      </c>
      <c r="G7506" s="89">
        <v>5</v>
      </c>
      <c r="H7506" s="89">
        <v>5</v>
      </c>
      <c r="I7506" s="89">
        <v>5</v>
      </c>
      <c r="J7506" s="710">
        <f>(VLOOKUP($C7506,[2]Sheet1!$A$2:$P$18,$M7506+1)/12)*12*D7506</f>
        <v>1538533.5120000003</v>
      </c>
      <c r="K7506" s="711"/>
      <c r="M7506" s="62">
        <f t="shared" si="604"/>
        <v>3</v>
      </c>
    </row>
    <row r="7507" spans="1:13">
      <c r="A7507" s="88">
        <f t="shared" si="605"/>
        <v>30</v>
      </c>
      <c r="B7507" s="69" t="s">
        <v>3282</v>
      </c>
      <c r="C7507" s="69">
        <v>6</v>
      </c>
      <c r="D7507" s="89">
        <v>0</v>
      </c>
      <c r="E7507" s="89">
        <v>3</v>
      </c>
      <c r="F7507" s="89">
        <v>0</v>
      </c>
      <c r="G7507" s="89">
        <v>0</v>
      </c>
      <c r="H7507" s="89">
        <v>0</v>
      </c>
      <c r="I7507" s="89">
        <v>0</v>
      </c>
      <c r="J7507" s="710">
        <f>(VLOOKUP($C7507,[2]Sheet1!$A$2:$P$18,$M7507+1)/12)*12*D7507</f>
        <v>0</v>
      </c>
      <c r="K7507" s="711"/>
      <c r="M7507" s="62">
        <f t="shared" si="604"/>
        <v>5</v>
      </c>
    </row>
    <row r="7508" spans="1:13">
      <c r="A7508" s="88">
        <f t="shared" si="605"/>
        <v>31</v>
      </c>
      <c r="B7508" s="69" t="s">
        <v>3281</v>
      </c>
      <c r="C7508" s="69">
        <v>5</v>
      </c>
      <c r="D7508" s="89">
        <v>0</v>
      </c>
      <c r="E7508" s="89">
        <v>3</v>
      </c>
      <c r="F7508" s="89">
        <v>0</v>
      </c>
      <c r="G7508" s="89">
        <v>0</v>
      </c>
      <c r="H7508" s="89">
        <v>0</v>
      </c>
      <c r="I7508" s="89">
        <v>0</v>
      </c>
      <c r="J7508" s="710">
        <f>(VLOOKUP($C7508,[2]Sheet1!$A$2:$P$18,$M7508+1)/12)*12*D7508</f>
        <v>0</v>
      </c>
      <c r="K7508" s="711"/>
      <c r="M7508" s="62">
        <f t="shared" si="604"/>
        <v>5</v>
      </c>
    </row>
    <row r="7509" spans="1:13">
      <c r="A7509" s="88">
        <f t="shared" si="605"/>
        <v>32</v>
      </c>
      <c r="B7509" s="69" t="s">
        <v>2991</v>
      </c>
      <c r="C7509" s="69">
        <v>4</v>
      </c>
      <c r="D7509" s="89">
        <v>1</v>
      </c>
      <c r="E7509" s="89">
        <v>3</v>
      </c>
      <c r="F7509" s="89">
        <v>1</v>
      </c>
      <c r="G7509" s="89">
        <v>1</v>
      </c>
      <c r="H7509" s="89">
        <v>1</v>
      </c>
      <c r="I7509" s="89">
        <v>1</v>
      </c>
      <c r="J7509" s="710">
        <f>(VLOOKUP($C7509,[2]Sheet1!$A$2:$P$18,$M7509+1)/12)*12*D7509</f>
        <v>224542.978930365</v>
      </c>
      <c r="K7509" s="711"/>
      <c r="M7509" s="62">
        <f t="shared" si="604"/>
        <v>5</v>
      </c>
    </row>
    <row r="7510" spans="1:13" ht="13.5" thickBot="1">
      <c r="A7510" s="88">
        <f>+A7509+1</f>
        <v>33</v>
      </c>
      <c r="B7510" s="69" t="s">
        <v>2115</v>
      </c>
      <c r="C7510" s="69">
        <v>4</v>
      </c>
      <c r="D7510" s="89">
        <v>0</v>
      </c>
      <c r="E7510" s="89">
        <v>5</v>
      </c>
      <c r="F7510" s="89">
        <v>0</v>
      </c>
      <c r="G7510" s="89">
        <v>0</v>
      </c>
      <c r="H7510" s="89">
        <v>0</v>
      </c>
      <c r="I7510" s="89">
        <v>0</v>
      </c>
      <c r="J7510" s="710">
        <f>(VLOOKUP($C7510,[2]Sheet1!$A$2:$P$18,$M7510+1)/12)*12*D7510</f>
        <v>0</v>
      </c>
      <c r="K7510" s="711"/>
      <c r="M7510" s="62">
        <f t="shared" si="604"/>
        <v>5</v>
      </c>
    </row>
    <row r="7511" spans="1:13" ht="15.75" thickTop="1">
      <c r="A7511" s="1047" t="s">
        <v>2791</v>
      </c>
      <c r="B7511" s="1049" t="s">
        <v>4126</v>
      </c>
      <c r="C7511" s="1049" t="s">
        <v>854</v>
      </c>
      <c r="D7511" s="1040" t="s">
        <v>4127</v>
      </c>
      <c r="E7511" s="1041"/>
      <c r="F7511" s="1041"/>
      <c r="G7511" s="1040" t="s">
        <v>904</v>
      </c>
      <c r="H7511" s="1041"/>
      <c r="I7511" s="1042"/>
      <c r="J7511" s="1035" t="s">
        <v>855</v>
      </c>
      <c r="K7511" s="389"/>
    </row>
    <row r="7512" spans="1:13" ht="26.25" thickBot="1">
      <c r="A7512" s="1048"/>
      <c r="B7512" s="1050"/>
      <c r="C7512" s="1050"/>
      <c r="D7512" s="285" t="s">
        <v>5505</v>
      </c>
      <c r="E7512" s="285" t="s">
        <v>4485</v>
      </c>
      <c r="F7512" s="285" t="s">
        <v>4486</v>
      </c>
      <c r="G7512" s="287" t="s">
        <v>4487</v>
      </c>
      <c r="H7512" s="285" t="s">
        <v>4488</v>
      </c>
      <c r="I7512" s="287" t="s">
        <v>4489</v>
      </c>
      <c r="J7512" s="1036"/>
      <c r="K7512" s="712"/>
    </row>
    <row r="7513" spans="1:13" ht="13.5" thickTop="1">
      <c r="A7513" s="88">
        <f>+A7510+1</f>
        <v>34</v>
      </c>
      <c r="B7513" s="69" t="s">
        <v>958</v>
      </c>
      <c r="C7513" s="69">
        <v>3</v>
      </c>
      <c r="D7513" s="89">
        <v>0</v>
      </c>
      <c r="E7513" s="89">
        <v>4</v>
      </c>
      <c r="F7513" s="89">
        <v>0</v>
      </c>
      <c r="G7513" s="89">
        <v>0</v>
      </c>
      <c r="H7513" s="89">
        <v>0</v>
      </c>
      <c r="I7513" s="89">
        <v>0</v>
      </c>
      <c r="J7513" s="710">
        <f>(VLOOKUP($C7513,[2]Sheet1!$A$2:$P$18,$M7513+1)/12)*12*D7513</f>
        <v>0</v>
      </c>
      <c r="K7513" s="711"/>
      <c r="M7513" s="62">
        <f t="shared" si="604"/>
        <v>5</v>
      </c>
    </row>
    <row r="7514" spans="1:13">
      <c r="A7514" s="88">
        <f>+A7513+1</f>
        <v>35</v>
      </c>
      <c r="B7514" s="69" t="s">
        <v>2242</v>
      </c>
      <c r="C7514" s="69">
        <v>4</v>
      </c>
      <c r="D7514" s="89">
        <v>0</v>
      </c>
      <c r="E7514" s="89">
        <v>0</v>
      </c>
      <c r="F7514" s="89">
        <v>0</v>
      </c>
      <c r="G7514" s="89">
        <v>0</v>
      </c>
      <c r="H7514" s="89">
        <v>0</v>
      </c>
      <c r="I7514" s="89">
        <v>0</v>
      </c>
      <c r="J7514" s="710">
        <f>(VLOOKUP($C7514,[2]Sheet1!$A$2:$P$18,$M7514+1)/12)*12*D7514</f>
        <v>0</v>
      </c>
      <c r="K7514" s="711"/>
      <c r="M7514" s="62">
        <f t="shared" si="604"/>
        <v>5</v>
      </c>
    </row>
    <row r="7515" spans="1:13">
      <c r="A7515" s="88">
        <f>+A7514+1</f>
        <v>36</v>
      </c>
      <c r="B7515" s="69" t="s">
        <v>2171</v>
      </c>
      <c r="C7515" s="69">
        <v>3</v>
      </c>
      <c r="D7515" s="89">
        <v>3</v>
      </c>
      <c r="E7515" s="89">
        <v>3</v>
      </c>
      <c r="F7515" s="89">
        <v>3</v>
      </c>
      <c r="G7515" s="89">
        <v>3</v>
      </c>
      <c r="H7515" s="89">
        <v>3</v>
      </c>
      <c r="I7515" s="89">
        <v>3</v>
      </c>
      <c r="J7515" s="710">
        <f>(VLOOKUP($C7515,[2]Sheet1!$A$2:$P$18,$M7515+1)/12)*12*D7515</f>
        <v>658008.53679109493</v>
      </c>
      <c r="K7515" s="711"/>
      <c r="M7515" s="62">
        <f t="shared" si="604"/>
        <v>5</v>
      </c>
    </row>
    <row r="7516" spans="1:13">
      <c r="A7516" s="88">
        <f t="shared" ref="A7516:A7524" si="606">+A7515+1</f>
        <v>37</v>
      </c>
      <c r="B7516" s="69" t="s">
        <v>2172</v>
      </c>
      <c r="C7516" s="69">
        <v>2</v>
      </c>
      <c r="D7516" s="89">
        <v>0</v>
      </c>
      <c r="E7516" s="89">
        <v>3</v>
      </c>
      <c r="F7516" s="89">
        <v>0</v>
      </c>
      <c r="G7516" s="89">
        <v>0</v>
      </c>
      <c r="H7516" s="89">
        <v>0</v>
      </c>
      <c r="I7516" s="89">
        <v>0</v>
      </c>
      <c r="J7516" s="710">
        <f>(VLOOKUP($C7516,[2]Sheet1!$A$2:$P$18,$M7516+1)/12)*12*D7516</f>
        <v>0</v>
      </c>
      <c r="K7516" s="711"/>
      <c r="M7516" s="62">
        <f t="shared" si="604"/>
        <v>5</v>
      </c>
    </row>
    <row r="7517" spans="1:13">
      <c r="A7517" s="88">
        <f t="shared" si="606"/>
        <v>38</v>
      </c>
      <c r="B7517" s="69" t="s">
        <v>1316</v>
      </c>
      <c r="C7517" s="69">
        <v>3</v>
      </c>
      <c r="D7517" s="89">
        <v>0</v>
      </c>
      <c r="E7517" s="89">
        <v>1</v>
      </c>
      <c r="F7517" s="89">
        <v>0</v>
      </c>
      <c r="G7517" s="89">
        <v>0</v>
      </c>
      <c r="H7517" s="89">
        <v>0</v>
      </c>
      <c r="I7517" s="89">
        <v>0</v>
      </c>
      <c r="J7517" s="710">
        <f>(VLOOKUP($C7517,[2]Sheet1!$A$2:$P$18,$M7517+1)/12)*12*D7517</f>
        <v>0</v>
      </c>
      <c r="K7517" s="711"/>
      <c r="M7517" s="62">
        <f t="shared" si="604"/>
        <v>5</v>
      </c>
    </row>
    <row r="7518" spans="1:13">
      <c r="A7518" s="88">
        <f t="shared" si="606"/>
        <v>39</v>
      </c>
      <c r="B7518" s="69" t="s">
        <v>3929</v>
      </c>
      <c r="C7518" s="69">
        <v>2</v>
      </c>
      <c r="D7518" s="89">
        <v>0</v>
      </c>
      <c r="E7518" s="89">
        <v>2</v>
      </c>
      <c r="F7518" s="89">
        <v>0</v>
      </c>
      <c r="G7518" s="89">
        <v>0</v>
      </c>
      <c r="H7518" s="89">
        <v>0</v>
      </c>
      <c r="I7518" s="89">
        <v>0</v>
      </c>
      <c r="J7518" s="710">
        <f>(VLOOKUP($C7518,[2]Sheet1!$A$2:$P$18,$M7518+1)/12)*12*D7518</f>
        <v>0</v>
      </c>
      <c r="K7518" s="711"/>
      <c r="M7518" s="62">
        <f t="shared" si="604"/>
        <v>5</v>
      </c>
    </row>
    <row r="7519" spans="1:13">
      <c r="A7519" s="88">
        <f t="shared" si="606"/>
        <v>40</v>
      </c>
      <c r="B7519" s="69" t="s">
        <v>256</v>
      </c>
      <c r="C7519" s="69">
        <v>3</v>
      </c>
      <c r="D7519" s="89">
        <v>726</v>
      </c>
      <c r="E7519" s="89">
        <v>1</v>
      </c>
      <c r="F7519" s="89">
        <v>726</v>
      </c>
      <c r="G7519" s="89">
        <v>726</v>
      </c>
      <c r="H7519" s="89">
        <v>726</v>
      </c>
      <c r="I7519" s="89">
        <v>726</v>
      </c>
      <c r="J7519" s="710">
        <f>(VLOOKUP($C7519,[2]Sheet1!$A$2:$P$18,$M7519+1)/12)*12*D7519</f>
        <v>159238065.90344498</v>
      </c>
      <c r="K7519" s="711"/>
      <c r="M7519" s="62">
        <f t="shared" si="604"/>
        <v>5</v>
      </c>
    </row>
    <row r="7520" spans="1:13">
      <c r="A7520" s="88">
        <f t="shared" si="606"/>
        <v>41</v>
      </c>
      <c r="B7520" s="69" t="s">
        <v>2930</v>
      </c>
      <c r="C7520" s="69">
        <v>2</v>
      </c>
      <c r="D7520" s="89">
        <v>247</v>
      </c>
      <c r="E7520" s="89">
        <v>1</v>
      </c>
      <c r="F7520" s="89">
        <v>247</v>
      </c>
      <c r="G7520" s="89">
        <v>247</v>
      </c>
      <c r="H7520" s="89">
        <v>107</v>
      </c>
      <c r="I7520" s="89">
        <v>247</v>
      </c>
      <c r="J7520" s="710">
        <f>(VLOOKUP($C7520,[2]Sheet1!$A$2:$P$18,$M7520+1)/12)*12*D7520</f>
        <v>53020372.595800161</v>
      </c>
      <c r="K7520" s="711"/>
      <c r="M7520" s="62">
        <f>IF(C7520&gt;6,3,5)</f>
        <v>5</v>
      </c>
    </row>
    <row r="7521" spans="1:13">
      <c r="A7521" s="88"/>
      <c r="B7521" s="260" t="s">
        <v>3930</v>
      </c>
      <c r="C7521" s="69"/>
      <c r="D7521" s="89"/>
      <c r="E7521" s="89"/>
      <c r="F7521" s="89"/>
      <c r="G7521" s="89"/>
      <c r="H7521" s="89"/>
      <c r="I7521" s="89"/>
      <c r="J7521" s="710"/>
      <c r="K7521" s="711"/>
      <c r="M7521" s="62">
        <f t="shared" si="604"/>
        <v>5</v>
      </c>
    </row>
    <row r="7522" spans="1:13">
      <c r="A7522" s="88">
        <f>A7519+1</f>
        <v>41</v>
      </c>
      <c r="B7522" s="265" t="s">
        <v>3931</v>
      </c>
      <c r="C7522" s="69">
        <v>7</v>
      </c>
      <c r="D7522" s="89">
        <v>0</v>
      </c>
      <c r="E7522" s="89">
        <v>1</v>
      </c>
      <c r="F7522" s="89">
        <v>0</v>
      </c>
      <c r="G7522" s="89">
        <v>0</v>
      </c>
      <c r="H7522" s="89">
        <v>0</v>
      </c>
      <c r="I7522" s="89">
        <v>0</v>
      </c>
      <c r="J7522" s="710">
        <f>(VLOOKUP($C7522,[2]Sheet1!$A$2:$P$18,$M7522+1)/12)*12*D7522</f>
        <v>0</v>
      </c>
      <c r="K7522" s="711"/>
      <c r="M7522" s="62">
        <f t="shared" si="604"/>
        <v>3</v>
      </c>
    </row>
    <row r="7523" spans="1:13">
      <c r="A7523" s="88">
        <f t="shared" si="606"/>
        <v>42</v>
      </c>
      <c r="B7523" s="265" t="s">
        <v>2098</v>
      </c>
      <c r="C7523" s="69">
        <v>6</v>
      </c>
      <c r="D7523" s="89"/>
      <c r="E7523" s="89">
        <v>1</v>
      </c>
      <c r="F7523" s="89"/>
      <c r="G7523" s="89"/>
      <c r="H7523" s="89"/>
      <c r="I7523" s="89"/>
      <c r="J7523" s="710">
        <f>(VLOOKUP($C7523,[2]Sheet1!$A$2:$P$18,$M7523+1)/12)*12*D7523</f>
        <v>0</v>
      </c>
      <c r="K7523" s="711"/>
      <c r="M7523" s="62">
        <f t="shared" si="604"/>
        <v>5</v>
      </c>
    </row>
    <row r="7524" spans="1:13">
      <c r="A7524" s="88">
        <f t="shared" si="606"/>
        <v>43</v>
      </c>
      <c r="B7524" s="265" t="s">
        <v>2990</v>
      </c>
      <c r="C7524" s="69">
        <v>4</v>
      </c>
      <c r="D7524" s="89">
        <v>0</v>
      </c>
      <c r="E7524" s="89">
        <v>0</v>
      </c>
      <c r="F7524" s="89"/>
      <c r="G7524" s="89"/>
      <c r="H7524" s="89"/>
      <c r="I7524" s="89"/>
      <c r="J7524" s="710">
        <f>(VLOOKUP($C7524,[2]Sheet1!$A$2:$P$18,$M7524+1)/12)*12*D7524</f>
        <v>0</v>
      </c>
      <c r="K7524" s="711"/>
      <c r="M7524" s="62">
        <f t="shared" si="604"/>
        <v>5</v>
      </c>
    </row>
    <row r="7525" spans="1:13">
      <c r="A7525" s="92"/>
      <c r="B7525" s="266" t="s">
        <v>1684</v>
      </c>
      <c r="C7525" s="94"/>
      <c r="D7525" s="123">
        <f t="shared" ref="D7525:J7525" si="607">SUM(D7474:D7524)</f>
        <v>1141</v>
      </c>
      <c r="E7525" s="123">
        <f t="shared" si="607"/>
        <v>244</v>
      </c>
      <c r="F7525" s="123">
        <f t="shared" si="607"/>
        <v>1141</v>
      </c>
      <c r="G7525" s="123">
        <f>SUM(G7474:G7524)</f>
        <v>1141</v>
      </c>
      <c r="H7525" s="123">
        <f t="shared" si="607"/>
        <v>973</v>
      </c>
      <c r="I7525" s="123">
        <f t="shared" si="607"/>
        <v>1142</v>
      </c>
      <c r="J7525" s="123">
        <f t="shared" si="607"/>
        <v>260188341.33761054</v>
      </c>
      <c r="K7525" s="378"/>
      <c r="M7525" s="62">
        <f t="shared" si="604"/>
        <v>5</v>
      </c>
    </row>
    <row r="7526" spans="1:13">
      <c r="A7526" s="88" t="s">
        <v>1840</v>
      </c>
      <c r="B7526" s="69"/>
      <c r="C7526" s="69"/>
      <c r="D7526" s="89"/>
      <c r="E7526" s="89"/>
      <c r="F7526" s="89"/>
      <c r="G7526" s="89"/>
      <c r="H7526" s="89"/>
      <c r="I7526" s="89"/>
      <c r="J7526" s="89"/>
      <c r="K7526" s="114"/>
      <c r="M7526" s="62">
        <f t="shared" si="604"/>
        <v>5</v>
      </c>
    </row>
    <row r="7527" spans="1:13">
      <c r="A7527" s="88" t="s">
        <v>1840</v>
      </c>
      <c r="B7527" s="97" t="s">
        <v>1199</v>
      </c>
      <c r="C7527" s="69"/>
      <c r="D7527" s="89"/>
      <c r="E7527" s="89"/>
      <c r="F7527" s="99"/>
      <c r="G7527" s="240" t="s">
        <v>243</v>
      </c>
      <c r="H7527" s="240" t="s">
        <v>4130</v>
      </c>
      <c r="I7527" s="240" t="s">
        <v>4202</v>
      </c>
      <c r="J7527" s="241" t="s">
        <v>4200</v>
      </c>
      <c r="K7527" s="375"/>
      <c r="M7527" s="62">
        <f t="shared" si="604"/>
        <v>5</v>
      </c>
    </row>
    <row r="7528" spans="1:13">
      <c r="A7528" s="88">
        <v>1</v>
      </c>
      <c r="B7528" s="69" t="s">
        <v>4035</v>
      </c>
      <c r="C7528" s="69"/>
      <c r="D7528" s="89"/>
      <c r="E7528" s="89"/>
      <c r="F7528" s="89"/>
      <c r="G7528" s="100">
        <f>J7525*0.2</f>
        <v>52037668.267522112</v>
      </c>
      <c r="H7528" s="100">
        <f t="shared" ref="H7528:I7530" si="608">G7528*1.02</f>
        <v>53078421.632872552</v>
      </c>
      <c r="I7528" s="100">
        <f t="shared" si="608"/>
        <v>54139990.065530002</v>
      </c>
      <c r="J7528" s="100">
        <f>SUM(G7528:I7528)</f>
        <v>159256079.96592468</v>
      </c>
      <c r="K7528" s="114"/>
      <c r="M7528" s="62">
        <f t="shared" si="604"/>
        <v>5</v>
      </c>
    </row>
    <row r="7529" spans="1:13">
      <c r="A7529" s="88">
        <v>2</v>
      </c>
      <c r="B7529" s="69" t="s">
        <v>1896</v>
      </c>
      <c r="C7529" s="69"/>
      <c r="D7529" s="89"/>
      <c r="E7529" s="89"/>
      <c r="F7529" s="89"/>
      <c r="G7529" s="100">
        <v>2074916.5268000001</v>
      </c>
      <c r="H7529" s="100">
        <f t="shared" si="608"/>
        <v>2116414.8573360001</v>
      </c>
      <c r="I7529" s="100">
        <f t="shared" si="608"/>
        <v>2158743.15448272</v>
      </c>
      <c r="J7529" s="100">
        <f>SUM(G7529:I7529)</f>
        <v>6350074.5386187201</v>
      </c>
      <c r="K7529" s="114"/>
      <c r="M7529" s="62">
        <f t="shared" si="604"/>
        <v>5</v>
      </c>
    </row>
    <row r="7530" spans="1:13">
      <c r="A7530" s="88">
        <f>+A7529+1</f>
        <v>3</v>
      </c>
      <c r="B7530" s="69" t="s">
        <v>1040</v>
      </c>
      <c r="C7530" s="69"/>
      <c r="D7530" s="89"/>
      <c r="E7530" s="89"/>
      <c r="F7530" s="89"/>
      <c r="G7530" s="100">
        <v>1037458.2634000001</v>
      </c>
      <c r="H7530" s="100">
        <f t="shared" si="608"/>
        <v>1058207.428668</v>
      </c>
      <c r="I7530" s="100">
        <f t="shared" si="608"/>
        <v>1079371.57724136</v>
      </c>
      <c r="J7530" s="100">
        <f>SUM(G7530:I7530)</f>
        <v>3175037.2693093601</v>
      </c>
      <c r="K7530" s="114"/>
      <c r="M7530" s="62">
        <f t="shared" si="604"/>
        <v>5</v>
      </c>
    </row>
    <row r="7531" spans="1:13">
      <c r="A7531" s="92" t="s">
        <v>1840</v>
      </c>
      <c r="B7531" s="93" t="s">
        <v>1684</v>
      </c>
      <c r="C7531" s="94"/>
      <c r="D7531" s="101"/>
      <c r="E7531" s="101"/>
      <c r="F7531" s="123"/>
      <c r="G7531" s="123">
        <f>SUM(G7528:G7530)</f>
        <v>55150043.057722114</v>
      </c>
      <c r="H7531" s="123">
        <f>SUM(H7528:H7530)</f>
        <v>56253043.918876551</v>
      </c>
      <c r="I7531" s="123">
        <f>SUM(I7528:I7530)</f>
        <v>57378104.797254086</v>
      </c>
      <c r="J7531" s="123">
        <f>SUM(J7528:J7530)</f>
        <v>168781191.77385277</v>
      </c>
      <c r="K7531" s="378"/>
      <c r="M7531" s="62">
        <f t="shared" ref="M7531:M7591" si="609">IF(C7531&gt;6,3,5)</f>
        <v>5</v>
      </c>
    </row>
    <row r="7532" spans="1:13">
      <c r="A7532" s="88" t="s">
        <v>1840</v>
      </c>
      <c r="B7532" s="69" t="s">
        <v>1119</v>
      </c>
      <c r="C7532" s="69"/>
      <c r="D7532" s="89"/>
      <c r="E7532" s="89"/>
      <c r="F7532" s="89"/>
      <c r="G7532" s="100">
        <f>G7531+J7525</f>
        <v>315338384.39533263</v>
      </c>
      <c r="H7532" s="100">
        <f>G7532*1.02</f>
        <v>321645152.08323932</v>
      </c>
      <c r="I7532" s="100">
        <f>H7532*1.02</f>
        <v>328078055.1249041</v>
      </c>
      <c r="J7532" s="100">
        <f>SUM(G7532:I7532)</f>
        <v>965061591.60347605</v>
      </c>
      <c r="K7532" s="114"/>
      <c r="M7532" s="62">
        <f t="shared" si="609"/>
        <v>5</v>
      </c>
    </row>
    <row r="7533" spans="1:13">
      <c r="A7533" s="88" t="s">
        <v>1840</v>
      </c>
      <c r="B7533" s="69" t="s">
        <v>3944</v>
      </c>
      <c r="C7533" s="69"/>
      <c r="D7533" s="89"/>
      <c r="E7533" s="89"/>
      <c r="F7533" s="89"/>
      <c r="G7533" s="89">
        <f>C7561</f>
        <v>196000000</v>
      </c>
      <c r="H7533" s="89">
        <f>D7561</f>
        <v>109500000</v>
      </c>
      <c r="I7533" s="89">
        <f>E7561</f>
        <v>109500000</v>
      </c>
      <c r="J7533" s="100">
        <f>SUM(G7533:I7533)</f>
        <v>415000000</v>
      </c>
      <c r="K7533" s="114"/>
      <c r="M7533" s="62">
        <f t="shared" si="609"/>
        <v>5</v>
      </c>
    </row>
    <row r="7534" spans="1:13">
      <c r="A7534" s="92" t="s">
        <v>1840</v>
      </c>
      <c r="B7534" s="93" t="s">
        <v>2843</v>
      </c>
      <c r="C7534" s="94"/>
      <c r="D7534" s="101"/>
      <c r="E7534" s="101"/>
      <c r="F7534" s="123"/>
      <c r="G7534" s="123">
        <f>SUM(G7532:G7533)</f>
        <v>511338384.39533263</v>
      </c>
      <c r="H7534" s="123">
        <f>SUM(H7532:H7533)</f>
        <v>431145152.08323932</v>
      </c>
      <c r="I7534" s="123">
        <f>SUM(I7532:I7533)</f>
        <v>437578055.1249041</v>
      </c>
      <c r="J7534" s="123">
        <f>SUM(J7532:J7533)</f>
        <v>1380061591.603476</v>
      </c>
      <c r="K7534" s="378"/>
      <c r="M7534" s="62">
        <f t="shared" si="609"/>
        <v>5</v>
      </c>
    </row>
    <row r="7535" spans="1:13" ht="15">
      <c r="C7535" s="77"/>
      <c r="D7535" s="78" t="s">
        <v>5434</v>
      </c>
      <c r="J7535" s="584"/>
      <c r="K7535" s="584"/>
      <c r="M7535" s="62">
        <f t="shared" si="609"/>
        <v>5</v>
      </c>
    </row>
    <row r="7536" spans="1:13" ht="15">
      <c r="C7536" s="77"/>
      <c r="D7536" s="78" t="s">
        <v>716</v>
      </c>
      <c r="J7536" s="584"/>
      <c r="K7536" s="584"/>
      <c r="M7536" s="62">
        <f t="shared" si="609"/>
        <v>5</v>
      </c>
    </row>
    <row r="7537" spans="1:13" ht="15">
      <c r="C7537" s="79" t="s">
        <v>717</v>
      </c>
      <c r="D7537" s="78" t="s">
        <v>3723</v>
      </c>
      <c r="J7537" s="584"/>
      <c r="K7537" s="584"/>
      <c r="M7537" s="62">
        <f t="shared" si="609"/>
        <v>3</v>
      </c>
    </row>
    <row r="7538" spans="1:13" ht="15">
      <c r="C7538" s="79" t="s">
        <v>718</v>
      </c>
      <c r="D7538" s="78" t="s">
        <v>1864</v>
      </c>
      <c r="J7538" s="584"/>
      <c r="K7538" s="584"/>
      <c r="M7538" s="62">
        <f t="shared" si="609"/>
        <v>3</v>
      </c>
    </row>
    <row r="7539" spans="1:13" ht="15">
      <c r="A7539" s="634" t="s">
        <v>1839</v>
      </c>
      <c r="B7539" s="635" t="s">
        <v>903</v>
      </c>
      <c r="C7539" s="1037" t="s">
        <v>4127</v>
      </c>
      <c r="D7539" s="1038"/>
      <c r="E7539" s="1039"/>
      <c r="F7539" s="635" t="s">
        <v>1684</v>
      </c>
      <c r="G7539" s="1037" t="s">
        <v>4132</v>
      </c>
      <c r="H7539" s="1038"/>
      <c r="I7539" s="1039"/>
      <c r="J7539" s="726"/>
      <c r="K7539" s="727"/>
    </row>
    <row r="7540" spans="1:13">
      <c r="A7540" s="636" t="s">
        <v>1620</v>
      </c>
      <c r="B7540" s="637"/>
      <c r="C7540" s="635" t="s">
        <v>1841</v>
      </c>
      <c r="D7540" s="635" t="s">
        <v>4133</v>
      </c>
      <c r="E7540" s="635" t="s">
        <v>4133</v>
      </c>
      <c r="F7540" s="1056" t="s">
        <v>4200</v>
      </c>
      <c r="G7540" s="634" t="s">
        <v>4135</v>
      </c>
      <c r="H7540" s="1051" t="s">
        <v>4182</v>
      </c>
      <c r="I7540" s="634" t="s">
        <v>4135</v>
      </c>
      <c r="J7540" s="728" t="s">
        <v>4136</v>
      </c>
      <c r="K7540" s="727"/>
    </row>
    <row r="7541" spans="1:13" ht="12.75" customHeight="1">
      <c r="A7541" s="638" t="s">
        <v>387</v>
      </c>
      <c r="B7541" s="639"/>
      <c r="C7541" s="638">
        <v>2015</v>
      </c>
      <c r="D7541" s="638">
        <v>2016</v>
      </c>
      <c r="E7541" s="638">
        <v>2017</v>
      </c>
      <c r="F7541" s="1057"/>
      <c r="G7541" s="638" t="s">
        <v>4304</v>
      </c>
      <c r="H7541" s="1052"/>
      <c r="I7541" s="638" t="s">
        <v>4303</v>
      </c>
      <c r="J7541" s="639"/>
      <c r="K7541" s="729"/>
    </row>
    <row r="7542" spans="1:13">
      <c r="A7542" s="730"/>
      <c r="B7542" s="730"/>
      <c r="C7542" s="764"/>
      <c r="D7542" s="764"/>
      <c r="E7542" s="764"/>
      <c r="F7542" s="764"/>
      <c r="G7542" s="764"/>
      <c r="H7542" s="764"/>
      <c r="I7542" s="764"/>
      <c r="J7542" s="764"/>
      <c r="K7542" s="765"/>
      <c r="M7542" s="62" t="e">
        <f>IF(#REF!&gt;6,3,5)</f>
        <v>#REF!</v>
      </c>
    </row>
    <row r="7543" spans="1:13">
      <c r="A7543" s="759">
        <v>2</v>
      </c>
      <c r="B7543" s="745" t="s">
        <v>1695</v>
      </c>
      <c r="C7543" s="731" t="s">
        <v>1386</v>
      </c>
      <c r="D7543" s="390">
        <v>1500000</v>
      </c>
      <c r="E7543" s="390">
        <v>1500000</v>
      </c>
      <c r="F7543" s="390">
        <f>SUM(C7543:E7543)</f>
        <v>3000000</v>
      </c>
      <c r="G7543" s="390"/>
      <c r="H7543" s="731" t="s">
        <v>1386</v>
      </c>
      <c r="I7543" s="390"/>
      <c r="J7543" s="390"/>
      <c r="K7543" s="734"/>
      <c r="M7543" s="62" t="e">
        <f>IF(#REF!&gt;6,3,5)</f>
        <v>#REF!</v>
      </c>
    </row>
    <row r="7544" spans="1:13">
      <c r="A7544" s="759">
        <f t="shared" ref="A7544:A7559" si="610">+A7543+1</f>
        <v>3</v>
      </c>
      <c r="B7544" s="745" t="s">
        <v>1696</v>
      </c>
      <c r="C7544" s="731" t="s">
        <v>1386</v>
      </c>
      <c r="D7544" s="731" t="s">
        <v>1386</v>
      </c>
      <c r="E7544" s="731" t="s">
        <v>1386</v>
      </c>
      <c r="F7544" s="390">
        <f t="shared" ref="F7544:F7559" si="611">SUM(C7544:E7544)</f>
        <v>0</v>
      </c>
      <c r="G7544" s="731"/>
      <c r="H7544" s="731" t="s">
        <v>1386</v>
      </c>
      <c r="I7544" s="731"/>
      <c r="J7544" s="390"/>
      <c r="K7544" s="734"/>
      <c r="M7544" s="62" t="e">
        <f>IF(#REF!&gt;6,3,5)</f>
        <v>#REF!</v>
      </c>
    </row>
    <row r="7545" spans="1:13">
      <c r="A7545" s="759">
        <f t="shared" si="610"/>
        <v>4</v>
      </c>
      <c r="B7545" s="745" t="s">
        <v>1701</v>
      </c>
      <c r="C7545" s="731" t="s">
        <v>1386</v>
      </c>
      <c r="D7545" s="731" t="s">
        <v>1386</v>
      </c>
      <c r="E7545" s="731" t="s">
        <v>1386</v>
      </c>
      <c r="F7545" s="390">
        <f t="shared" si="611"/>
        <v>0</v>
      </c>
      <c r="G7545" s="731"/>
      <c r="H7545" s="731" t="s">
        <v>1386</v>
      </c>
      <c r="I7545" s="731"/>
      <c r="J7545" s="390"/>
      <c r="K7545" s="734"/>
      <c r="M7545" s="62" t="e">
        <f>IF(#REF!&gt;6,3,5)</f>
        <v>#REF!</v>
      </c>
    </row>
    <row r="7546" spans="1:13">
      <c r="A7546" s="759">
        <f t="shared" si="610"/>
        <v>5</v>
      </c>
      <c r="B7546" s="745" t="s">
        <v>1702</v>
      </c>
      <c r="C7546" s="731" t="s">
        <v>1386</v>
      </c>
      <c r="D7546" s="390">
        <v>200000</v>
      </c>
      <c r="E7546" s="390">
        <v>200000</v>
      </c>
      <c r="F7546" s="390">
        <f t="shared" si="611"/>
        <v>400000</v>
      </c>
      <c r="G7546" s="390"/>
      <c r="H7546" s="731" t="s">
        <v>1386</v>
      </c>
      <c r="I7546" s="390"/>
      <c r="J7546" s="390"/>
      <c r="K7546" s="734"/>
      <c r="M7546" s="62" t="e">
        <f>IF(#REF!&gt;6,3,5)</f>
        <v>#REF!</v>
      </c>
    </row>
    <row r="7547" spans="1:13">
      <c r="A7547" s="759">
        <f t="shared" si="610"/>
        <v>6</v>
      </c>
      <c r="B7547" s="745" t="s">
        <v>1865</v>
      </c>
      <c r="C7547" s="731" t="s">
        <v>1386</v>
      </c>
      <c r="D7547" s="390">
        <v>500000</v>
      </c>
      <c r="E7547" s="390">
        <v>500000</v>
      </c>
      <c r="F7547" s="390">
        <f t="shared" si="611"/>
        <v>1000000</v>
      </c>
      <c r="G7547" s="390"/>
      <c r="H7547" s="731" t="s">
        <v>1386</v>
      </c>
      <c r="I7547" s="390"/>
      <c r="J7547" s="390"/>
      <c r="K7547" s="734"/>
      <c r="M7547" s="62" t="e">
        <f>IF(#REF!&gt;6,3,5)</f>
        <v>#REF!</v>
      </c>
    </row>
    <row r="7548" spans="1:13">
      <c r="A7548" s="759">
        <f t="shared" si="610"/>
        <v>7</v>
      </c>
      <c r="B7548" s="745" t="s">
        <v>3680</v>
      </c>
      <c r="C7548" s="731" t="s">
        <v>1386</v>
      </c>
      <c r="D7548" s="390">
        <v>2500000</v>
      </c>
      <c r="E7548" s="390">
        <v>2500000</v>
      </c>
      <c r="F7548" s="390">
        <f t="shared" si="611"/>
        <v>5000000</v>
      </c>
      <c r="G7548" s="390"/>
      <c r="H7548" s="731" t="s">
        <v>1386</v>
      </c>
      <c r="I7548" s="390"/>
      <c r="J7548" s="390"/>
      <c r="K7548" s="734"/>
      <c r="M7548" s="62" t="e">
        <f>IF(#REF!&gt;6,3,5)</f>
        <v>#REF!</v>
      </c>
    </row>
    <row r="7549" spans="1:13">
      <c r="A7549" s="759">
        <f t="shared" si="610"/>
        <v>8</v>
      </c>
      <c r="B7549" s="745" t="s">
        <v>2061</v>
      </c>
      <c r="C7549" s="731" t="s">
        <v>1386</v>
      </c>
      <c r="D7549" s="731" t="s">
        <v>1386</v>
      </c>
      <c r="E7549" s="731" t="s">
        <v>1386</v>
      </c>
      <c r="F7549" s="390">
        <f t="shared" si="611"/>
        <v>0</v>
      </c>
      <c r="G7549" s="731"/>
      <c r="H7549" s="731" t="s">
        <v>1386</v>
      </c>
      <c r="I7549" s="731"/>
      <c r="J7549" s="390"/>
      <c r="K7549" s="734"/>
      <c r="M7549" s="62" t="e">
        <f>IF(#REF!&gt;6,3,5)</f>
        <v>#REF!</v>
      </c>
    </row>
    <row r="7550" spans="1:13">
      <c r="A7550" s="759">
        <f t="shared" si="610"/>
        <v>9</v>
      </c>
      <c r="B7550" s="745" t="s">
        <v>1385</v>
      </c>
      <c r="C7550" s="731" t="s">
        <v>1386</v>
      </c>
      <c r="D7550" s="731" t="s">
        <v>1386</v>
      </c>
      <c r="E7550" s="731" t="s">
        <v>1386</v>
      </c>
      <c r="F7550" s="390">
        <f t="shared" si="611"/>
        <v>0</v>
      </c>
      <c r="G7550" s="731"/>
      <c r="H7550" s="731" t="s">
        <v>1386</v>
      </c>
      <c r="I7550" s="731"/>
      <c r="J7550" s="390"/>
      <c r="K7550" s="734"/>
      <c r="M7550" s="62" t="e">
        <f>IF(#REF!&gt;6,3,5)</f>
        <v>#REF!</v>
      </c>
    </row>
    <row r="7551" spans="1:13">
      <c r="A7551" s="759">
        <f t="shared" si="610"/>
        <v>10</v>
      </c>
      <c r="B7551" s="745" t="s">
        <v>2685</v>
      </c>
      <c r="C7551" s="731" t="s">
        <v>1386</v>
      </c>
      <c r="D7551" s="731" t="s">
        <v>1386</v>
      </c>
      <c r="E7551" s="731" t="s">
        <v>1386</v>
      </c>
      <c r="F7551" s="390">
        <f t="shared" si="611"/>
        <v>0</v>
      </c>
      <c r="G7551" s="731"/>
      <c r="H7551" s="731" t="s">
        <v>1386</v>
      </c>
      <c r="I7551" s="731"/>
      <c r="J7551" s="390"/>
      <c r="K7551" s="734"/>
      <c r="M7551" s="62" t="e">
        <f>IF(#REF!&gt;6,3,5)</f>
        <v>#REF!</v>
      </c>
    </row>
    <row r="7552" spans="1:13" ht="25.5">
      <c r="A7552" s="759">
        <f t="shared" si="610"/>
        <v>11</v>
      </c>
      <c r="B7552" s="745" t="s">
        <v>764</v>
      </c>
      <c r="C7552" s="731" t="s">
        <v>1386</v>
      </c>
      <c r="D7552" s="731">
        <v>100000</v>
      </c>
      <c r="E7552" s="731">
        <v>100000</v>
      </c>
      <c r="F7552" s="390">
        <f t="shared" si="611"/>
        <v>200000</v>
      </c>
      <c r="G7552" s="731"/>
      <c r="H7552" s="731" t="s">
        <v>1386</v>
      </c>
      <c r="I7552" s="731"/>
      <c r="J7552" s="390"/>
      <c r="K7552" s="734"/>
      <c r="M7552" s="62" t="e">
        <f>IF(#REF!&gt;6,3,5)</f>
        <v>#REF!</v>
      </c>
    </row>
    <row r="7553" spans="1:13">
      <c r="A7553" s="759">
        <f t="shared" si="610"/>
        <v>12</v>
      </c>
      <c r="B7553" s="745" t="s">
        <v>2688</v>
      </c>
      <c r="C7553" s="731" t="s">
        <v>1386</v>
      </c>
      <c r="D7553" s="731">
        <v>2600000</v>
      </c>
      <c r="E7553" s="731">
        <v>2600000</v>
      </c>
      <c r="F7553" s="390">
        <f t="shared" si="611"/>
        <v>5200000</v>
      </c>
      <c r="G7553" s="731"/>
      <c r="H7553" s="731" t="s">
        <v>1386</v>
      </c>
      <c r="I7553" s="731"/>
      <c r="J7553" s="390"/>
      <c r="K7553" s="734"/>
      <c r="M7553" s="62" t="e">
        <f>IF(#REF!&gt;6,3,5)</f>
        <v>#REF!</v>
      </c>
    </row>
    <row r="7554" spans="1:13">
      <c r="A7554" s="759">
        <f t="shared" si="610"/>
        <v>13</v>
      </c>
      <c r="B7554" s="745" t="s">
        <v>2249</v>
      </c>
      <c r="C7554" s="731" t="s">
        <v>1386</v>
      </c>
      <c r="D7554" s="731">
        <v>100000</v>
      </c>
      <c r="E7554" s="731">
        <v>100000</v>
      </c>
      <c r="F7554" s="390">
        <f t="shared" si="611"/>
        <v>200000</v>
      </c>
      <c r="G7554" s="731"/>
      <c r="H7554" s="731" t="s">
        <v>1386</v>
      </c>
      <c r="I7554" s="731"/>
      <c r="J7554" s="390"/>
      <c r="K7554" s="734"/>
      <c r="M7554" s="62" t="e">
        <f>IF(#REF!&gt;6,3,5)</f>
        <v>#REF!</v>
      </c>
    </row>
    <row r="7555" spans="1:13">
      <c r="A7555" s="759">
        <f t="shared" si="610"/>
        <v>14</v>
      </c>
      <c r="B7555" s="745" t="s">
        <v>756</v>
      </c>
      <c r="C7555" s="731"/>
      <c r="D7555" s="731"/>
      <c r="E7555" s="731"/>
      <c r="F7555" s="390">
        <f t="shared" si="611"/>
        <v>0</v>
      </c>
      <c r="G7555" s="731"/>
      <c r="H7555" s="731"/>
      <c r="I7555" s="731"/>
      <c r="J7555" s="390"/>
      <c r="K7555" s="734"/>
      <c r="M7555" s="62" t="e">
        <f>IF(#REF!&gt;6,3,5)</f>
        <v>#REF!</v>
      </c>
    </row>
    <row r="7556" spans="1:13">
      <c r="A7556" s="759">
        <f t="shared" si="610"/>
        <v>15</v>
      </c>
      <c r="B7556" s="733" t="s">
        <v>2647</v>
      </c>
      <c r="C7556" s="390">
        <v>160000000</v>
      </c>
      <c r="D7556" s="390">
        <v>70000000</v>
      </c>
      <c r="E7556" s="390">
        <v>70000000</v>
      </c>
      <c r="F7556" s="390">
        <f t="shared" si="611"/>
        <v>300000000</v>
      </c>
      <c r="G7556" s="390">
        <v>105000000</v>
      </c>
      <c r="H7556" s="390">
        <v>186000000</v>
      </c>
      <c r="I7556" s="390">
        <v>157500000</v>
      </c>
      <c r="J7556" s="390"/>
      <c r="K7556" s="734"/>
      <c r="M7556" s="62" t="e">
        <f>IF(#REF!&gt;6,3,5)</f>
        <v>#REF!</v>
      </c>
    </row>
    <row r="7557" spans="1:13" ht="25.5">
      <c r="A7557" s="759">
        <f t="shared" si="610"/>
        <v>16</v>
      </c>
      <c r="B7557" s="733" t="s">
        <v>33</v>
      </c>
      <c r="C7557" s="731" t="s">
        <v>1386</v>
      </c>
      <c r="D7557" s="390">
        <v>500000</v>
      </c>
      <c r="E7557" s="390">
        <v>500000</v>
      </c>
      <c r="F7557" s="390">
        <f t="shared" si="611"/>
        <v>1000000</v>
      </c>
      <c r="G7557" s="390"/>
      <c r="H7557" s="731" t="s">
        <v>1386</v>
      </c>
      <c r="I7557" s="390"/>
      <c r="J7557" s="390"/>
      <c r="K7557" s="734"/>
      <c r="M7557" s="62" t="e">
        <f>IF(#REF!&gt;6,3,5)</f>
        <v>#REF!</v>
      </c>
    </row>
    <row r="7558" spans="1:13" ht="25.5">
      <c r="A7558" s="759">
        <f t="shared" si="610"/>
        <v>17</v>
      </c>
      <c r="B7558" s="733" t="s">
        <v>1863</v>
      </c>
      <c r="C7558" s="731" t="s">
        <v>1386</v>
      </c>
      <c r="D7558" s="390">
        <v>1500000</v>
      </c>
      <c r="E7558" s="390">
        <v>1500000</v>
      </c>
      <c r="F7558" s="390">
        <f t="shared" si="611"/>
        <v>3000000</v>
      </c>
      <c r="G7558" s="390"/>
      <c r="H7558" s="731" t="s">
        <v>1386</v>
      </c>
      <c r="I7558" s="390"/>
      <c r="J7558" s="390"/>
      <c r="K7558" s="734"/>
      <c r="M7558" s="62" t="e">
        <f>IF(#REF!&gt;6,3,5)</f>
        <v>#REF!</v>
      </c>
    </row>
    <row r="7559" spans="1:13">
      <c r="A7559" s="759">
        <f t="shared" si="610"/>
        <v>18</v>
      </c>
      <c r="B7559" s="733" t="s">
        <v>1584</v>
      </c>
      <c r="C7559" s="390">
        <v>36000000</v>
      </c>
      <c r="D7559" s="390">
        <v>30000000</v>
      </c>
      <c r="E7559" s="390">
        <v>30000000</v>
      </c>
      <c r="F7559" s="390">
        <f t="shared" si="611"/>
        <v>96000000</v>
      </c>
      <c r="G7559" s="390">
        <v>18600000</v>
      </c>
      <c r="H7559" s="390">
        <v>36000000</v>
      </c>
      <c r="I7559" s="390">
        <v>24800000</v>
      </c>
      <c r="J7559" s="390"/>
      <c r="K7559" s="734"/>
    </row>
    <row r="7560" spans="1:13">
      <c r="A7560" s="759"/>
      <c r="B7560" s="745"/>
      <c r="C7560" s="731"/>
      <c r="D7560" s="731"/>
      <c r="E7560" s="731"/>
      <c r="F7560" s="731"/>
      <c r="G7560" s="731"/>
      <c r="H7560" s="731"/>
      <c r="I7560" s="731"/>
      <c r="J7560" s="731"/>
      <c r="K7560" s="732"/>
      <c r="M7560" s="62" t="e">
        <f>IF(#REF!&gt;6,3,5)</f>
        <v>#REF!</v>
      </c>
    </row>
    <row r="7561" spans="1:13">
      <c r="A7561" s="738"/>
      <c r="B7561" s="738" t="s">
        <v>1684</v>
      </c>
      <c r="C7561" s="739">
        <f t="shared" ref="C7561:I7561" si="612">SUM(C7542:C7560)</f>
        <v>196000000</v>
      </c>
      <c r="D7561" s="739">
        <f t="shared" si="612"/>
        <v>109500000</v>
      </c>
      <c r="E7561" s="739">
        <f t="shared" si="612"/>
        <v>109500000</v>
      </c>
      <c r="F7561" s="739">
        <f t="shared" si="612"/>
        <v>415000000</v>
      </c>
      <c r="G7561" s="739">
        <f>SUM(G7542:G7560)</f>
        <v>123600000</v>
      </c>
      <c r="H7561" s="739">
        <f t="shared" si="612"/>
        <v>222000000</v>
      </c>
      <c r="I7561" s="739">
        <f t="shared" si="612"/>
        <v>182300000</v>
      </c>
      <c r="J7561" s="739"/>
      <c r="K7561" s="740"/>
      <c r="M7561" s="62" t="e">
        <f>IF(#REF!&gt;6,3,5)</f>
        <v>#REF!</v>
      </c>
    </row>
    <row r="7562" spans="1:13" ht="15">
      <c r="J7562" s="584"/>
      <c r="K7562" s="584"/>
      <c r="M7562" s="62">
        <f t="shared" si="609"/>
        <v>5</v>
      </c>
    </row>
    <row r="7563" spans="1:13" ht="15">
      <c r="C7563" s="77"/>
      <c r="D7563" s="78" t="s">
        <v>5434</v>
      </c>
      <c r="J7563" s="584"/>
      <c r="K7563" s="584"/>
      <c r="M7563" s="62">
        <f t="shared" si="609"/>
        <v>5</v>
      </c>
    </row>
    <row r="7564" spans="1:13" ht="15">
      <c r="C7564" s="77"/>
      <c r="D7564" s="78" t="s">
        <v>1693</v>
      </c>
      <c r="J7564" s="584"/>
      <c r="K7564" s="584"/>
      <c r="M7564" s="62">
        <f t="shared" si="609"/>
        <v>5</v>
      </c>
    </row>
    <row r="7565" spans="1:13" ht="15">
      <c r="C7565" s="79" t="s">
        <v>717</v>
      </c>
      <c r="D7565" s="78" t="s">
        <v>2619</v>
      </c>
      <c r="J7565" s="584"/>
      <c r="K7565" s="584"/>
      <c r="M7565" s="62">
        <f t="shared" si="609"/>
        <v>3</v>
      </c>
    </row>
    <row r="7566" spans="1:13" ht="15.75" thickBot="1">
      <c r="C7566" s="79" t="s">
        <v>718</v>
      </c>
      <c r="D7566" s="164">
        <v>425</v>
      </c>
      <c r="J7566" s="584"/>
      <c r="K7566" s="584"/>
      <c r="M7566" s="62">
        <f t="shared" si="609"/>
        <v>3</v>
      </c>
    </row>
    <row r="7567" spans="1:13" ht="15.75" thickTop="1">
      <c r="A7567" s="1047" t="s">
        <v>2791</v>
      </c>
      <c r="B7567" s="1049" t="s">
        <v>4126</v>
      </c>
      <c r="C7567" s="1049" t="s">
        <v>854</v>
      </c>
      <c r="D7567" s="1040" t="s">
        <v>4127</v>
      </c>
      <c r="E7567" s="1041"/>
      <c r="F7567" s="1041"/>
      <c r="G7567" s="1040" t="s">
        <v>904</v>
      </c>
      <c r="H7567" s="1041"/>
      <c r="I7567" s="1042"/>
      <c r="J7567" s="1035" t="s">
        <v>855</v>
      </c>
      <c r="K7567" s="389"/>
    </row>
    <row r="7568" spans="1:13" ht="26.25" thickBot="1">
      <c r="A7568" s="1048"/>
      <c r="B7568" s="1050"/>
      <c r="C7568" s="1050"/>
      <c r="D7568" s="285" t="s">
        <v>5505</v>
      </c>
      <c r="E7568" s="285" t="s">
        <v>4485</v>
      </c>
      <c r="F7568" s="285" t="s">
        <v>4486</v>
      </c>
      <c r="G7568" s="287" t="s">
        <v>4487</v>
      </c>
      <c r="H7568" s="285" t="s">
        <v>4488</v>
      </c>
      <c r="I7568" s="287" t="s">
        <v>4489</v>
      </c>
      <c r="J7568" s="1036"/>
      <c r="K7568" s="712"/>
    </row>
    <row r="7569" spans="1:13" ht="13.5" thickTop="1">
      <c r="A7569" s="88" t="s">
        <v>1840</v>
      </c>
      <c r="B7569" s="97" t="s">
        <v>549</v>
      </c>
      <c r="C7569" s="69"/>
      <c r="D7569" s="89"/>
      <c r="E7569" s="89"/>
      <c r="F7569" s="89"/>
      <c r="G7569" s="89"/>
      <c r="H7569" s="89"/>
      <c r="I7569" s="89"/>
      <c r="J7569" s="713"/>
      <c r="K7569" s="711"/>
      <c r="M7569" s="62">
        <f t="shared" si="609"/>
        <v>5</v>
      </c>
    </row>
    <row r="7570" spans="1:13">
      <c r="A7570" s="88">
        <v>1</v>
      </c>
      <c r="B7570" s="69" t="s">
        <v>2781</v>
      </c>
      <c r="C7570" s="69">
        <v>8</v>
      </c>
      <c r="D7570" s="89">
        <v>0</v>
      </c>
      <c r="E7570" s="89">
        <v>0</v>
      </c>
      <c r="F7570" s="89">
        <v>0</v>
      </c>
      <c r="G7570" s="89">
        <v>0</v>
      </c>
      <c r="H7570" s="89">
        <v>0</v>
      </c>
      <c r="I7570" s="89">
        <v>0</v>
      </c>
      <c r="J7570" s="710">
        <f>(VLOOKUP($C7570,[2]Sheet1!$A$2:$P$18,$M7570+1)/12)*12*D7570</f>
        <v>0</v>
      </c>
      <c r="K7570" s="711"/>
      <c r="M7570" s="62">
        <f t="shared" si="609"/>
        <v>3</v>
      </c>
    </row>
    <row r="7571" spans="1:13">
      <c r="A7571" s="88">
        <f t="shared" ref="A7571:A7593" si="613">+A7570+1</f>
        <v>2</v>
      </c>
      <c r="B7571" s="69" t="s">
        <v>2782</v>
      </c>
      <c r="C7571" s="69">
        <v>7</v>
      </c>
      <c r="D7571" s="89">
        <v>2</v>
      </c>
      <c r="E7571" s="89">
        <v>2</v>
      </c>
      <c r="F7571" s="89">
        <v>0</v>
      </c>
      <c r="G7571" s="89">
        <v>0</v>
      </c>
      <c r="H7571" s="89">
        <v>2</v>
      </c>
      <c r="I7571" s="89">
        <v>2</v>
      </c>
      <c r="J7571" s="710">
        <f>(VLOOKUP($C7571,[2]Sheet1!$A$2:$P$18,$M7571+1)/12)*12*D7571</f>
        <v>615413.40480000013</v>
      </c>
      <c r="K7571" s="711"/>
      <c r="M7571" s="62">
        <f t="shared" si="609"/>
        <v>3</v>
      </c>
    </row>
    <row r="7572" spans="1:13">
      <c r="A7572" s="88">
        <f t="shared" si="613"/>
        <v>3</v>
      </c>
      <c r="B7572" s="69" t="s">
        <v>2434</v>
      </c>
      <c r="C7572" s="69">
        <v>6</v>
      </c>
      <c r="D7572" s="89">
        <v>2</v>
      </c>
      <c r="E7572" s="89">
        <v>2</v>
      </c>
      <c r="F7572" s="89">
        <v>2</v>
      </c>
      <c r="G7572" s="89">
        <v>2</v>
      </c>
      <c r="H7572" s="89">
        <v>2</v>
      </c>
      <c r="I7572" s="89">
        <v>2</v>
      </c>
      <c r="J7572" s="710">
        <f>(VLOOKUP($C7572,[2]Sheet1!$A$2:$P$18,$M7572+1)/12)*12*D7572</f>
        <v>476198.75786072994</v>
      </c>
      <c r="K7572" s="711"/>
      <c r="M7572" s="62">
        <f t="shared" si="609"/>
        <v>5</v>
      </c>
    </row>
    <row r="7573" spans="1:13">
      <c r="A7573" s="88">
        <f t="shared" si="613"/>
        <v>4</v>
      </c>
      <c r="B7573" s="69" t="s">
        <v>1250</v>
      </c>
      <c r="C7573" s="69">
        <v>5</v>
      </c>
      <c r="D7573" s="89">
        <v>2</v>
      </c>
      <c r="E7573" s="89">
        <v>2</v>
      </c>
      <c r="F7573" s="89">
        <v>2</v>
      </c>
      <c r="G7573" s="89">
        <v>2</v>
      </c>
      <c r="H7573" s="89">
        <v>2</v>
      </c>
      <c r="I7573" s="89">
        <v>2</v>
      </c>
      <c r="J7573" s="710">
        <f>(VLOOKUP($C7573,[2]Sheet1!$A$2:$P$18,$M7573+1)/12)*12*D7573</f>
        <v>459139.55786072998</v>
      </c>
      <c r="K7573" s="711"/>
      <c r="M7573" s="62">
        <f t="shared" si="609"/>
        <v>5</v>
      </c>
    </row>
    <row r="7574" spans="1:13">
      <c r="A7574" s="88">
        <f t="shared" si="613"/>
        <v>5</v>
      </c>
      <c r="B7574" s="69" t="s">
        <v>2360</v>
      </c>
      <c r="C7574" s="69">
        <v>4</v>
      </c>
      <c r="D7574" s="89">
        <v>8</v>
      </c>
      <c r="E7574" s="89">
        <v>8</v>
      </c>
      <c r="F7574" s="89">
        <v>8</v>
      </c>
      <c r="G7574" s="89">
        <v>8</v>
      </c>
      <c r="H7574" s="89">
        <v>8</v>
      </c>
      <c r="I7574" s="89">
        <v>8</v>
      </c>
      <c r="J7574" s="710">
        <f>(VLOOKUP($C7574,[2]Sheet1!$A$2:$P$18,$M7574+1)/12)*12*D7574</f>
        <v>1796343.83144292</v>
      </c>
      <c r="K7574" s="711"/>
      <c r="M7574" s="62">
        <f t="shared" si="609"/>
        <v>5</v>
      </c>
    </row>
    <row r="7575" spans="1:13">
      <c r="A7575" s="88">
        <f t="shared" si="613"/>
        <v>6</v>
      </c>
      <c r="B7575" s="69" t="s">
        <v>4030</v>
      </c>
      <c r="C7575" s="69">
        <v>3</v>
      </c>
      <c r="D7575" s="89">
        <v>5</v>
      </c>
      <c r="E7575" s="89">
        <v>5</v>
      </c>
      <c r="F7575" s="89">
        <v>5</v>
      </c>
      <c r="G7575" s="89">
        <v>5</v>
      </c>
      <c r="H7575" s="89">
        <v>5</v>
      </c>
      <c r="I7575" s="89">
        <v>5</v>
      </c>
      <c r="J7575" s="710">
        <f>(VLOOKUP($C7575,[2]Sheet1!$A$2:$P$18,$M7575+1)/12)*12*D7575</f>
        <v>1096680.8946518248</v>
      </c>
      <c r="K7575" s="711"/>
      <c r="M7575" s="62">
        <f t="shared" si="609"/>
        <v>5</v>
      </c>
    </row>
    <row r="7576" spans="1:13">
      <c r="A7576" s="88">
        <f t="shared" si="613"/>
        <v>7</v>
      </c>
      <c r="B7576" s="69" t="s">
        <v>319</v>
      </c>
      <c r="C7576" s="69">
        <v>9</v>
      </c>
      <c r="D7576" s="89">
        <v>0</v>
      </c>
      <c r="E7576" s="89">
        <v>0</v>
      </c>
      <c r="F7576" s="89">
        <v>0</v>
      </c>
      <c r="G7576" s="89">
        <v>0</v>
      </c>
      <c r="H7576" s="89">
        <v>0</v>
      </c>
      <c r="I7576" s="89">
        <v>0</v>
      </c>
      <c r="J7576" s="710">
        <f>(VLOOKUP($C7576,[2]Sheet1!$A$2:$P$18,$M7576+1)/12)*12*D7576</f>
        <v>0</v>
      </c>
      <c r="K7576" s="711"/>
      <c r="M7576" s="62">
        <f t="shared" si="609"/>
        <v>3</v>
      </c>
    </row>
    <row r="7577" spans="1:13">
      <c r="A7577" s="88">
        <f t="shared" si="613"/>
        <v>8</v>
      </c>
      <c r="B7577" s="69" t="s">
        <v>1441</v>
      </c>
      <c r="C7577" s="69">
        <v>8</v>
      </c>
      <c r="D7577" s="89">
        <v>0</v>
      </c>
      <c r="E7577" s="89">
        <v>0</v>
      </c>
      <c r="F7577" s="89">
        <v>0</v>
      </c>
      <c r="G7577" s="89">
        <v>0</v>
      </c>
      <c r="H7577" s="89">
        <v>0</v>
      </c>
      <c r="I7577" s="89">
        <v>0</v>
      </c>
      <c r="J7577" s="710">
        <f>(VLOOKUP($C7577,[2]Sheet1!$A$2:$P$18,$M7577+1)/12)*12*D7577</f>
        <v>0</v>
      </c>
      <c r="K7577" s="711"/>
      <c r="M7577" s="62">
        <f t="shared" si="609"/>
        <v>3</v>
      </c>
    </row>
    <row r="7578" spans="1:13">
      <c r="A7578" s="88">
        <f t="shared" si="613"/>
        <v>9</v>
      </c>
      <c r="B7578" s="69" t="s">
        <v>2572</v>
      </c>
      <c r="C7578" s="69">
        <v>7</v>
      </c>
      <c r="D7578" s="89">
        <v>0</v>
      </c>
      <c r="E7578" s="89">
        <v>0</v>
      </c>
      <c r="F7578" s="89">
        <v>0</v>
      </c>
      <c r="G7578" s="89">
        <v>0</v>
      </c>
      <c r="H7578" s="89">
        <v>0</v>
      </c>
      <c r="I7578" s="89">
        <v>0</v>
      </c>
      <c r="J7578" s="710">
        <f>(VLOOKUP($C7578,[2]Sheet1!$A$2:$P$18,$M7578+1)/12)*12*D7578</f>
        <v>0</v>
      </c>
      <c r="K7578" s="711"/>
      <c r="M7578" s="62">
        <f t="shared" si="609"/>
        <v>3</v>
      </c>
    </row>
    <row r="7579" spans="1:13">
      <c r="A7579" s="88">
        <f t="shared" si="613"/>
        <v>10</v>
      </c>
      <c r="B7579" s="69" t="s">
        <v>1749</v>
      </c>
      <c r="C7579" s="69">
        <v>6</v>
      </c>
      <c r="D7579" s="89">
        <v>0</v>
      </c>
      <c r="E7579" s="89">
        <v>0</v>
      </c>
      <c r="F7579" s="89">
        <v>0</v>
      </c>
      <c r="G7579" s="89">
        <v>0</v>
      </c>
      <c r="H7579" s="89">
        <v>0</v>
      </c>
      <c r="I7579" s="89">
        <v>0</v>
      </c>
      <c r="J7579" s="710">
        <f>(VLOOKUP($C7579,[2]Sheet1!$A$2:$P$18,$M7579+1)/12)*12*D7579</f>
        <v>0</v>
      </c>
      <c r="K7579" s="711"/>
      <c r="M7579" s="62">
        <f t="shared" si="609"/>
        <v>5</v>
      </c>
    </row>
    <row r="7580" spans="1:13">
      <c r="A7580" s="88">
        <f t="shared" si="613"/>
        <v>11</v>
      </c>
      <c r="B7580" s="69" t="s">
        <v>3796</v>
      </c>
      <c r="C7580" s="69">
        <v>5</v>
      </c>
      <c r="D7580" s="89">
        <v>0</v>
      </c>
      <c r="E7580" s="89">
        <v>0</v>
      </c>
      <c r="F7580" s="89">
        <v>0</v>
      </c>
      <c r="G7580" s="89">
        <v>0</v>
      </c>
      <c r="H7580" s="89">
        <v>0</v>
      </c>
      <c r="I7580" s="89">
        <v>0</v>
      </c>
      <c r="J7580" s="710">
        <f>(VLOOKUP($C7580,[2]Sheet1!$A$2:$P$18,$M7580+1)/12)*12*D7580</f>
        <v>0</v>
      </c>
      <c r="K7580" s="711"/>
      <c r="M7580" s="62">
        <f t="shared" si="609"/>
        <v>5</v>
      </c>
    </row>
    <row r="7581" spans="1:13">
      <c r="A7581" s="88">
        <f t="shared" si="613"/>
        <v>12</v>
      </c>
      <c r="B7581" s="69" t="s">
        <v>3797</v>
      </c>
      <c r="C7581" s="69">
        <v>4</v>
      </c>
      <c r="D7581" s="89">
        <v>0</v>
      </c>
      <c r="E7581" s="89">
        <v>0</v>
      </c>
      <c r="F7581" s="89">
        <v>0</v>
      </c>
      <c r="G7581" s="89">
        <v>0</v>
      </c>
      <c r="H7581" s="89">
        <v>0</v>
      </c>
      <c r="I7581" s="89">
        <v>0</v>
      </c>
      <c r="J7581" s="710">
        <f>(VLOOKUP($C7581,[2]Sheet1!$A$2:$P$18,$M7581+1)/12)*12*D7581</f>
        <v>0</v>
      </c>
      <c r="K7581" s="711"/>
      <c r="M7581" s="62">
        <f t="shared" si="609"/>
        <v>5</v>
      </c>
    </row>
    <row r="7582" spans="1:13">
      <c r="A7582" s="88">
        <f t="shared" si="613"/>
        <v>13</v>
      </c>
      <c r="B7582" s="69" t="s">
        <v>3249</v>
      </c>
      <c r="C7582" s="69">
        <v>3</v>
      </c>
      <c r="D7582" s="89">
        <v>1</v>
      </c>
      <c r="E7582" s="89">
        <v>1</v>
      </c>
      <c r="F7582" s="89">
        <v>1</v>
      </c>
      <c r="G7582" s="89">
        <v>1</v>
      </c>
      <c r="H7582" s="89">
        <v>1</v>
      </c>
      <c r="I7582" s="89">
        <v>1</v>
      </c>
      <c r="J7582" s="710">
        <f>(VLOOKUP($C7582,[2]Sheet1!$A$2:$P$18,$M7582+1)/12)*12*D7582</f>
        <v>219336.17893036499</v>
      </c>
      <c r="K7582" s="711"/>
      <c r="M7582" s="62">
        <f t="shared" si="609"/>
        <v>5</v>
      </c>
    </row>
    <row r="7583" spans="1:13">
      <c r="A7583" s="88">
        <f t="shared" si="613"/>
        <v>14</v>
      </c>
      <c r="B7583" s="69" t="s">
        <v>3250</v>
      </c>
      <c r="C7583" s="69">
        <v>7</v>
      </c>
      <c r="D7583" s="89">
        <v>5</v>
      </c>
      <c r="E7583" s="89">
        <v>1</v>
      </c>
      <c r="F7583" s="89">
        <v>1</v>
      </c>
      <c r="G7583" s="89">
        <v>1</v>
      </c>
      <c r="H7583" s="89">
        <v>1</v>
      </c>
      <c r="I7583" s="89">
        <v>5</v>
      </c>
      <c r="J7583" s="710">
        <f>(VLOOKUP($C7583,[2]Sheet1!$A$2:$P$18,$M7583+1)/12)*12*D7583</f>
        <v>1538533.5120000003</v>
      </c>
      <c r="K7583" s="711"/>
      <c r="M7583" s="62">
        <f t="shared" si="609"/>
        <v>3</v>
      </c>
    </row>
    <row r="7584" spans="1:13">
      <c r="A7584" s="88">
        <f t="shared" si="613"/>
        <v>15</v>
      </c>
      <c r="B7584" s="69" t="s">
        <v>3251</v>
      </c>
      <c r="C7584" s="69">
        <v>6</v>
      </c>
      <c r="D7584" s="89">
        <v>6</v>
      </c>
      <c r="E7584" s="89">
        <v>6</v>
      </c>
      <c r="F7584" s="89">
        <v>6</v>
      </c>
      <c r="G7584" s="89">
        <v>6</v>
      </c>
      <c r="H7584" s="89">
        <v>6</v>
      </c>
      <c r="I7584" s="89">
        <v>6</v>
      </c>
      <c r="J7584" s="710">
        <f>(VLOOKUP($C7584,[2]Sheet1!$A$2:$P$18,$M7584+1)/12)*12*D7584</f>
        <v>1428596.2735821898</v>
      </c>
      <c r="K7584" s="711"/>
      <c r="M7584" s="62">
        <f t="shared" si="609"/>
        <v>5</v>
      </c>
    </row>
    <row r="7585" spans="1:13">
      <c r="A7585" s="88">
        <f t="shared" si="613"/>
        <v>16</v>
      </c>
      <c r="B7585" s="69" t="s">
        <v>3252</v>
      </c>
      <c r="C7585" s="69">
        <v>3</v>
      </c>
      <c r="D7585" s="89">
        <v>8</v>
      </c>
      <c r="E7585" s="89">
        <v>8</v>
      </c>
      <c r="F7585" s="89">
        <v>8</v>
      </c>
      <c r="G7585" s="89">
        <v>8</v>
      </c>
      <c r="H7585" s="89">
        <v>8</v>
      </c>
      <c r="I7585" s="89">
        <v>8</v>
      </c>
      <c r="J7585" s="710">
        <f>(VLOOKUP($C7585,[2]Sheet1!$A$2:$P$18,$M7585+1)/12)*12*D7585</f>
        <v>1754689.4314429199</v>
      </c>
      <c r="K7585" s="711"/>
      <c r="M7585" s="62">
        <f t="shared" si="609"/>
        <v>5</v>
      </c>
    </row>
    <row r="7586" spans="1:13">
      <c r="A7586" s="88">
        <f t="shared" si="613"/>
        <v>17</v>
      </c>
      <c r="B7586" s="69" t="s">
        <v>2179</v>
      </c>
      <c r="C7586" s="69">
        <v>4</v>
      </c>
      <c r="D7586" s="89">
        <v>6</v>
      </c>
      <c r="E7586" s="89">
        <v>6</v>
      </c>
      <c r="F7586" s="89">
        <v>6</v>
      </c>
      <c r="G7586" s="89">
        <v>6</v>
      </c>
      <c r="H7586" s="89">
        <v>6</v>
      </c>
      <c r="I7586" s="89">
        <v>6</v>
      </c>
      <c r="J7586" s="710">
        <f>(VLOOKUP($C7586,[2]Sheet1!$A$2:$P$18,$M7586+1)/12)*12*D7586</f>
        <v>1347257.8735821899</v>
      </c>
      <c r="K7586" s="711"/>
      <c r="M7586" s="62">
        <f t="shared" si="609"/>
        <v>5</v>
      </c>
    </row>
    <row r="7587" spans="1:13">
      <c r="A7587" s="88">
        <f t="shared" si="613"/>
        <v>18</v>
      </c>
      <c r="B7587" s="69" t="s">
        <v>2542</v>
      </c>
      <c r="C7587" s="69">
        <v>3</v>
      </c>
      <c r="D7587" s="89">
        <v>2</v>
      </c>
      <c r="E7587" s="89">
        <v>6</v>
      </c>
      <c r="F7587" s="89">
        <v>6</v>
      </c>
      <c r="G7587" s="89">
        <v>6</v>
      </c>
      <c r="H7587" s="89">
        <v>6</v>
      </c>
      <c r="I7587" s="89">
        <v>2</v>
      </c>
      <c r="J7587" s="710">
        <f>(VLOOKUP($C7587,[2]Sheet1!$A$2:$P$18,$M7587+1)/12)*12*D7587</f>
        <v>438672.35786072997</v>
      </c>
      <c r="K7587" s="711"/>
      <c r="M7587" s="62">
        <f t="shared" si="609"/>
        <v>5</v>
      </c>
    </row>
    <row r="7588" spans="1:13">
      <c r="A7588" s="88">
        <f t="shared" si="613"/>
        <v>19</v>
      </c>
      <c r="B7588" s="69" t="s">
        <v>2543</v>
      </c>
      <c r="C7588" s="69">
        <v>2</v>
      </c>
      <c r="D7588" s="89">
        <v>10</v>
      </c>
      <c r="E7588" s="89">
        <v>10</v>
      </c>
      <c r="F7588" s="89">
        <v>10</v>
      </c>
      <c r="G7588" s="89">
        <v>10</v>
      </c>
      <c r="H7588" s="89">
        <v>10</v>
      </c>
      <c r="I7588" s="89">
        <v>10</v>
      </c>
      <c r="J7588" s="710">
        <f>(VLOOKUP($C7588,[2]Sheet1!$A$2:$P$18,$M7588+1)/12)*12*D7588</f>
        <v>2146573.7893036501</v>
      </c>
      <c r="K7588" s="711"/>
      <c r="M7588" s="62">
        <f t="shared" si="609"/>
        <v>5</v>
      </c>
    </row>
    <row r="7589" spans="1:13">
      <c r="A7589" s="88">
        <f t="shared" si="613"/>
        <v>20</v>
      </c>
      <c r="B7589" s="69" t="s">
        <v>2364</v>
      </c>
      <c r="C7589" s="69">
        <v>2</v>
      </c>
      <c r="D7589" s="89">
        <v>12</v>
      </c>
      <c r="E7589" s="89">
        <v>12</v>
      </c>
      <c r="F7589" s="89">
        <v>12</v>
      </c>
      <c r="G7589" s="89">
        <v>12</v>
      </c>
      <c r="H7589" s="89">
        <v>12</v>
      </c>
      <c r="I7589" s="89">
        <v>12</v>
      </c>
      <c r="J7589" s="710">
        <f>(VLOOKUP($C7589,[2]Sheet1!$A$2:$P$18,$M7589+1)/12)*12*D7589</f>
        <v>2575888.5471643806</v>
      </c>
      <c r="K7589" s="711"/>
      <c r="M7589" s="62">
        <f t="shared" si="609"/>
        <v>5</v>
      </c>
    </row>
    <row r="7590" spans="1:13">
      <c r="A7590" s="88">
        <f t="shared" si="613"/>
        <v>21</v>
      </c>
      <c r="B7590" s="69" t="s">
        <v>3253</v>
      </c>
      <c r="C7590" s="69">
        <v>2</v>
      </c>
      <c r="D7590" s="89">
        <v>10</v>
      </c>
      <c r="E7590" s="89">
        <v>8</v>
      </c>
      <c r="F7590" s="89">
        <v>5</v>
      </c>
      <c r="G7590" s="89">
        <v>5</v>
      </c>
      <c r="H7590" s="89">
        <v>8</v>
      </c>
      <c r="I7590" s="89">
        <v>10</v>
      </c>
      <c r="J7590" s="710">
        <f>(VLOOKUP($C7590,[2]Sheet1!$A$2:$P$18,$M7590+1)/12)*12*D7590</f>
        <v>2146573.7893036501</v>
      </c>
      <c r="K7590" s="711"/>
      <c r="M7590" s="62">
        <f t="shared" si="609"/>
        <v>5</v>
      </c>
    </row>
    <row r="7591" spans="1:13">
      <c r="A7591" s="88">
        <f t="shared" si="613"/>
        <v>22</v>
      </c>
      <c r="B7591" s="69" t="s">
        <v>3256</v>
      </c>
      <c r="C7591" s="69">
        <v>2</v>
      </c>
      <c r="D7591" s="89">
        <v>35</v>
      </c>
      <c r="E7591" s="89">
        <v>35</v>
      </c>
      <c r="F7591" s="89">
        <v>35</v>
      </c>
      <c r="G7591" s="89">
        <v>35</v>
      </c>
      <c r="H7591" s="89">
        <v>35</v>
      </c>
      <c r="I7591" s="89">
        <v>35</v>
      </c>
      <c r="J7591" s="710">
        <f>(VLOOKUP($C7591,[2]Sheet1!$A$2:$P$18,$M7591+1)/12)*12*D7591</f>
        <v>7513008.262562776</v>
      </c>
      <c r="K7591" s="711"/>
      <c r="M7591" s="62">
        <f t="shared" si="609"/>
        <v>5</v>
      </c>
    </row>
    <row r="7592" spans="1:13">
      <c r="A7592" s="88">
        <f t="shared" si="613"/>
        <v>23</v>
      </c>
      <c r="B7592" s="69" t="s">
        <v>3674</v>
      </c>
      <c r="C7592" s="69">
        <v>2</v>
      </c>
      <c r="D7592" s="89">
        <v>10</v>
      </c>
      <c r="E7592" s="89">
        <v>10</v>
      </c>
      <c r="F7592" s="89">
        <v>10</v>
      </c>
      <c r="G7592" s="89">
        <v>10</v>
      </c>
      <c r="H7592" s="89">
        <v>10</v>
      </c>
      <c r="I7592" s="89">
        <v>10</v>
      </c>
      <c r="J7592" s="710">
        <f>(VLOOKUP($C7592,[2]Sheet1!$A$2:$P$18,$M7592+1)/12)*12*D7592</f>
        <v>2146573.7893036501</v>
      </c>
      <c r="K7592" s="711"/>
      <c r="M7592" s="62">
        <f t="shared" ref="M7592:M7671" si="614">IF(C7592&gt;6,3,5)</f>
        <v>5</v>
      </c>
    </row>
    <row r="7593" spans="1:13">
      <c r="A7593" s="88">
        <f t="shared" si="613"/>
        <v>24</v>
      </c>
      <c r="B7593" s="69" t="s">
        <v>3858</v>
      </c>
      <c r="C7593" s="69">
        <v>2</v>
      </c>
      <c r="D7593" s="89">
        <v>30</v>
      </c>
      <c r="E7593" s="89">
        <v>30</v>
      </c>
      <c r="F7593" s="89">
        <v>30</v>
      </c>
      <c r="G7593" s="89">
        <v>30</v>
      </c>
      <c r="H7593" s="89">
        <v>30</v>
      </c>
      <c r="I7593" s="89">
        <v>30</v>
      </c>
      <c r="J7593" s="710">
        <f>(VLOOKUP($C7593,[2]Sheet1!$A$2:$P$18,$M7593+1)/12)*12*D7593</f>
        <v>6439721.3679109504</v>
      </c>
      <c r="K7593" s="711"/>
      <c r="M7593" s="62">
        <f t="shared" si="614"/>
        <v>5</v>
      </c>
    </row>
    <row r="7594" spans="1:13">
      <c r="A7594" s="88"/>
      <c r="B7594" s="97" t="s">
        <v>1487</v>
      </c>
      <c r="C7594" s="69"/>
      <c r="D7594" s="89"/>
      <c r="E7594" s="89"/>
      <c r="F7594" s="89"/>
      <c r="G7594" s="89"/>
      <c r="H7594" s="89"/>
      <c r="I7594" s="89"/>
      <c r="J7594" s="710"/>
      <c r="K7594" s="711"/>
      <c r="M7594" s="62">
        <f t="shared" si="614"/>
        <v>5</v>
      </c>
    </row>
    <row r="7595" spans="1:13">
      <c r="A7595" s="88">
        <f>+A7593+1</f>
        <v>25</v>
      </c>
      <c r="B7595" s="69" t="s">
        <v>2932</v>
      </c>
      <c r="C7595" s="69">
        <v>6</v>
      </c>
      <c r="D7595" s="89">
        <v>1</v>
      </c>
      <c r="E7595" s="89">
        <v>1</v>
      </c>
      <c r="F7595" s="89">
        <v>1</v>
      </c>
      <c r="G7595" s="89">
        <v>1</v>
      </c>
      <c r="H7595" s="89">
        <v>1</v>
      </c>
      <c r="I7595" s="89">
        <v>1</v>
      </c>
      <c r="J7595" s="710">
        <f>(VLOOKUP($C7595,[2]Sheet1!$A$2:$P$18,$M7595+1)/12)*12*D7595</f>
        <v>238099.37893036497</v>
      </c>
      <c r="K7595" s="711"/>
      <c r="M7595" s="62">
        <f t="shared" si="614"/>
        <v>5</v>
      </c>
    </row>
    <row r="7596" spans="1:13">
      <c r="A7596" s="88">
        <f>+A7595+1</f>
        <v>26</v>
      </c>
      <c r="B7596" s="69" t="s">
        <v>1854</v>
      </c>
      <c r="C7596" s="69">
        <v>5</v>
      </c>
      <c r="D7596" s="89">
        <v>0</v>
      </c>
      <c r="E7596" s="89">
        <v>0</v>
      </c>
      <c r="F7596" s="89">
        <v>0</v>
      </c>
      <c r="G7596" s="89">
        <v>0</v>
      </c>
      <c r="H7596" s="89">
        <v>0</v>
      </c>
      <c r="I7596" s="89">
        <v>0</v>
      </c>
      <c r="J7596" s="710">
        <f>(VLOOKUP($C7596,[2]Sheet1!$A$2:$P$18,$M7596+1)/12)*12*D7596</f>
        <v>0</v>
      </c>
      <c r="K7596" s="711"/>
      <c r="M7596" s="62">
        <f t="shared" si="614"/>
        <v>5</v>
      </c>
    </row>
    <row r="7597" spans="1:13">
      <c r="A7597" s="88">
        <f>+A7596+1</f>
        <v>27</v>
      </c>
      <c r="B7597" s="69" t="s">
        <v>3620</v>
      </c>
      <c r="C7597" s="69">
        <v>3</v>
      </c>
      <c r="D7597" s="89">
        <v>0</v>
      </c>
      <c r="E7597" s="89">
        <v>0</v>
      </c>
      <c r="F7597" s="89">
        <v>0</v>
      </c>
      <c r="G7597" s="89">
        <v>0</v>
      </c>
      <c r="H7597" s="89">
        <v>0</v>
      </c>
      <c r="I7597" s="89">
        <v>0</v>
      </c>
      <c r="J7597" s="710">
        <f>(VLOOKUP($C7597,[2]Sheet1!$A$2:$P$18,$M7597+1)/12)*12*D7597</f>
        <v>0</v>
      </c>
      <c r="K7597" s="711"/>
      <c r="M7597" s="62">
        <f t="shared" si="614"/>
        <v>5</v>
      </c>
    </row>
    <row r="7598" spans="1:13">
      <c r="A7598" s="88">
        <f>+A7597+1</f>
        <v>28</v>
      </c>
      <c r="B7598" s="69" t="s">
        <v>2784</v>
      </c>
      <c r="C7598" s="69">
        <v>7</v>
      </c>
      <c r="D7598" s="89">
        <v>0</v>
      </c>
      <c r="E7598" s="89">
        <v>0</v>
      </c>
      <c r="F7598" s="89">
        <v>0</v>
      </c>
      <c r="G7598" s="89">
        <v>0</v>
      </c>
      <c r="H7598" s="89">
        <v>0</v>
      </c>
      <c r="I7598" s="89">
        <v>0</v>
      </c>
      <c r="J7598" s="710">
        <f>(VLOOKUP($C7598,[2]Sheet1!$A$2:$P$18,$M7598+1)/12)*12*D7598</f>
        <v>0</v>
      </c>
      <c r="K7598" s="711"/>
      <c r="M7598" s="62">
        <f t="shared" si="614"/>
        <v>3</v>
      </c>
    </row>
    <row r="7599" spans="1:13">
      <c r="A7599" s="88">
        <f>+A7598+1</f>
        <v>29</v>
      </c>
      <c r="B7599" s="69" t="s">
        <v>2785</v>
      </c>
      <c r="C7599" s="69">
        <v>6</v>
      </c>
      <c r="D7599" s="89">
        <v>0</v>
      </c>
      <c r="E7599" s="89">
        <v>0</v>
      </c>
      <c r="F7599" s="89">
        <v>0</v>
      </c>
      <c r="G7599" s="89">
        <v>0</v>
      </c>
      <c r="H7599" s="89">
        <v>0</v>
      </c>
      <c r="I7599" s="89">
        <v>0</v>
      </c>
      <c r="J7599" s="710">
        <f>(VLOOKUP($C7599,[2]Sheet1!$A$2:$P$18,$M7599+1)/12)*12*D7599</f>
        <v>0</v>
      </c>
      <c r="K7599" s="711"/>
      <c r="M7599" s="62">
        <f t="shared" si="614"/>
        <v>5</v>
      </c>
    </row>
    <row r="7600" spans="1:13" ht="13.5" thickBot="1">
      <c r="A7600" s="88">
        <f>+A7599+1</f>
        <v>30</v>
      </c>
      <c r="B7600" s="69" t="s">
        <v>2416</v>
      </c>
      <c r="C7600" s="69">
        <v>4</v>
      </c>
      <c r="D7600" s="89">
        <v>0</v>
      </c>
      <c r="E7600" s="89">
        <v>0</v>
      </c>
      <c r="F7600" s="89">
        <v>0</v>
      </c>
      <c r="G7600" s="89">
        <v>0</v>
      </c>
      <c r="H7600" s="89">
        <v>0</v>
      </c>
      <c r="I7600" s="89">
        <v>0</v>
      </c>
      <c r="J7600" s="710">
        <f>(VLOOKUP($C7600,[2]Sheet1!$A$2:$P$18,$M7600+1)/12)*12*D7600</f>
        <v>0</v>
      </c>
      <c r="K7600" s="711"/>
      <c r="M7600" s="62">
        <f t="shared" si="614"/>
        <v>5</v>
      </c>
    </row>
    <row r="7601" spans="1:13" ht="15.75" thickTop="1">
      <c r="A7601" s="1047" t="s">
        <v>2791</v>
      </c>
      <c r="B7601" s="1049" t="s">
        <v>4126</v>
      </c>
      <c r="C7601" s="1049" t="s">
        <v>854</v>
      </c>
      <c r="D7601" s="1040" t="s">
        <v>4127</v>
      </c>
      <c r="E7601" s="1041"/>
      <c r="F7601" s="1041"/>
      <c r="G7601" s="1040" t="s">
        <v>904</v>
      </c>
      <c r="H7601" s="1041"/>
      <c r="I7601" s="1042"/>
      <c r="J7601" s="1035" t="s">
        <v>855</v>
      </c>
      <c r="K7601" s="389"/>
    </row>
    <row r="7602" spans="1:13" ht="26.25" thickBot="1">
      <c r="A7602" s="1048"/>
      <c r="B7602" s="1050"/>
      <c r="C7602" s="1050"/>
      <c r="D7602" s="285" t="s">
        <v>5505</v>
      </c>
      <c r="E7602" s="285" t="s">
        <v>4485</v>
      </c>
      <c r="F7602" s="285" t="s">
        <v>4486</v>
      </c>
      <c r="G7602" s="287" t="s">
        <v>4487</v>
      </c>
      <c r="H7602" s="285" t="s">
        <v>4488</v>
      </c>
      <c r="I7602" s="287" t="s">
        <v>4489</v>
      </c>
      <c r="J7602" s="1036"/>
      <c r="K7602" s="712"/>
    </row>
    <row r="7603" spans="1:13" ht="13.5" thickTop="1">
      <c r="A7603" s="88"/>
      <c r="B7603" s="90" t="s">
        <v>3928</v>
      </c>
      <c r="C7603" s="69"/>
      <c r="D7603" s="89"/>
      <c r="E7603" s="89"/>
      <c r="F7603" s="89"/>
      <c r="G7603" s="89"/>
      <c r="H7603" s="89"/>
      <c r="I7603" s="89"/>
      <c r="J7603" s="713"/>
      <c r="K7603" s="711"/>
      <c r="M7603" s="62">
        <f t="shared" si="614"/>
        <v>5</v>
      </c>
    </row>
    <row r="7604" spans="1:13">
      <c r="A7604" s="88">
        <f>+A7600+1</f>
        <v>31</v>
      </c>
      <c r="B7604" s="69" t="s">
        <v>3532</v>
      </c>
      <c r="C7604" s="69">
        <v>16</v>
      </c>
      <c r="D7604" s="89">
        <v>1</v>
      </c>
      <c r="E7604" s="89">
        <v>1</v>
      </c>
      <c r="F7604" s="89">
        <v>0</v>
      </c>
      <c r="G7604" s="89">
        <v>0</v>
      </c>
      <c r="H7604" s="89">
        <v>1</v>
      </c>
      <c r="I7604" s="89">
        <v>1</v>
      </c>
      <c r="J7604" s="710">
        <f>(VLOOKUP($C7604,[2]Sheet1!$A$2:$P$18,$M7604+1)/12)*12*D7604</f>
        <v>677281.26084</v>
      </c>
      <c r="K7604" s="711"/>
      <c r="M7604" s="62">
        <f t="shared" si="614"/>
        <v>3</v>
      </c>
    </row>
    <row r="7605" spans="1:13">
      <c r="A7605" s="88">
        <f t="shared" ref="A7605:A7618" si="615">+A7604+1</f>
        <v>32</v>
      </c>
      <c r="B7605" s="69" t="s">
        <v>1256</v>
      </c>
      <c r="C7605" s="69">
        <v>15</v>
      </c>
      <c r="D7605" s="89">
        <v>0</v>
      </c>
      <c r="E7605" s="89">
        <v>2</v>
      </c>
      <c r="F7605" s="89">
        <v>1</v>
      </c>
      <c r="G7605" s="89">
        <v>1</v>
      </c>
      <c r="H7605" s="89">
        <v>2</v>
      </c>
      <c r="I7605" s="89">
        <v>0</v>
      </c>
      <c r="J7605" s="710">
        <f>(VLOOKUP($C7605,[2]Sheet1!$A$2:$P$18,$M7605+1)/12)*12*D7605</f>
        <v>0</v>
      </c>
      <c r="K7605" s="711"/>
      <c r="M7605" s="62">
        <f t="shared" si="614"/>
        <v>3</v>
      </c>
    </row>
    <row r="7606" spans="1:13">
      <c r="A7606" s="88">
        <f t="shared" si="615"/>
        <v>33</v>
      </c>
      <c r="B7606" s="265" t="s">
        <v>4228</v>
      </c>
      <c r="C7606" s="69">
        <v>14</v>
      </c>
      <c r="D7606" s="89">
        <v>1</v>
      </c>
      <c r="E7606" s="89">
        <v>3</v>
      </c>
      <c r="F7606" s="89">
        <v>2</v>
      </c>
      <c r="G7606" s="89">
        <v>2</v>
      </c>
      <c r="H7606" s="89">
        <v>3</v>
      </c>
      <c r="I7606" s="89">
        <v>1</v>
      </c>
      <c r="J7606" s="710">
        <f>(VLOOKUP($C7606,[2]Sheet1!$A$2:$P$18,$M7606+1)/12)*12*D7606</f>
        <v>669099.40824000002</v>
      </c>
      <c r="K7606" s="711"/>
      <c r="M7606" s="62">
        <f t="shared" si="614"/>
        <v>3</v>
      </c>
    </row>
    <row r="7607" spans="1:13">
      <c r="A7607" s="88">
        <f t="shared" si="615"/>
        <v>34</v>
      </c>
      <c r="B7607" s="265" t="s">
        <v>227</v>
      </c>
      <c r="C7607" s="69">
        <v>14</v>
      </c>
      <c r="D7607" s="89">
        <v>2</v>
      </c>
      <c r="E7607" s="89">
        <v>6</v>
      </c>
      <c r="F7607" s="89">
        <v>6</v>
      </c>
      <c r="G7607" s="89">
        <v>6</v>
      </c>
      <c r="H7607" s="89">
        <v>0</v>
      </c>
      <c r="I7607" s="89">
        <v>2</v>
      </c>
      <c r="J7607" s="710">
        <f>(VLOOKUP($C7607,[2]Sheet1!$A$2:$P$18,$M7607+1)/12)*12*D7607</f>
        <v>1338198.81648</v>
      </c>
      <c r="K7607" s="711"/>
      <c r="M7607" s="62">
        <f t="shared" si="614"/>
        <v>3</v>
      </c>
    </row>
    <row r="7608" spans="1:13">
      <c r="A7608" s="88">
        <f t="shared" si="615"/>
        <v>35</v>
      </c>
      <c r="B7608" s="265" t="s">
        <v>228</v>
      </c>
      <c r="C7608" s="69">
        <v>12</v>
      </c>
      <c r="D7608" s="89">
        <v>3</v>
      </c>
      <c r="E7608" s="89">
        <v>4</v>
      </c>
      <c r="F7608" s="89">
        <v>4</v>
      </c>
      <c r="G7608" s="89">
        <v>4</v>
      </c>
      <c r="H7608" s="89">
        <v>4</v>
      </c>
      <c r="I7608" s="89">
        <v>1</v>
      </c>
      <c r="J7608" s="710">
        <f>(VLOOKUP($C7608,[2]Sheet1!$A$2:$P$18,$M7608+1)/12)*12*D7608</f>
        <v>1658055.1611600006</v>
      </c>
      <c r="K7608" s="711"/>
      <c r="M7608" s="62">
        <f t="shared" si="614"/>
        <v>3</v>
      </c>
    </row>
    <row r="7609" spans="1:13">
      <c r="A7609" s="88">
        <f t="shared" si="615"/>
        <v>36</v>
      </c>
      <c r="B7609" s="265" t="s">
        <v>3527</v>
      </c>
      <c r="C7609" s="69">
        <v>10</v>
      </c>
      <c r="D7609" s="89">
        <v>3</v>
      </c>
      <c r="E7609" s="89">
        <v>2</v>
      </c>
      <c r="F7609" s="89">
        <v>2</v>
      </c>
      <c r="G7609" s="89">
        <v>2</v>
      </c>
      <c r="H7609" s="89">
        <v>2</v>
      </c>
      <c r="I7609" s="89">
        <v>0</v>
      </c>
      <c r="J7609" s="710">
        <f>(VLOOKUP($C7609,[2]Sheet1!$A$2:$P$18,$M7609+1)/12)*12*D7609</f>
        <v>1451923.7061600003</v>
      </c>
      <c r="K7609" s="711"/>
      <c r="M7609" s="62">
        <f t="shared" si="614"/>
        <v>3</v>
      </c>
    </row>
    <row r="7610" spans="1:13">
      <c r="A7610" s="88">
        <f>+A7609+1</f>
        <v>37</v>
      </c>
      <c r="B7610" s="69" t="s">
        <v>1758</v>
      </c>
      <c r="C7610" s="69">
        <v>9</v>
      </c>
      <c r="D7610" s="89">
        <v>2</v>
      </c>
      <c r="E7610" s="89">
        <v>11</v>
      </c>
      <c r="F7610" s="89">
        <v>8</v>
      </c>
      <c r="G7610" s="89">
        <v>8</v>
      </c>
      <c r="H7610" s="89">
        <v>8</v>
      </c>
      <c r="I7610" s="89">
        <v>1</v>
      </c>
      <c r="J7610" s="710">
        <f>(VLOOKUP($C7610,[2]Sheet1!$A$2:$P$18,$M7610+1)/12)*12*D7610</f>
        <v>819363.81239999994</v>
      </c>
      <c r="K7610" s="711"/>
      <c r="M7610" s="62">
        <f t="shared" si="614"/>
        <v>3</v>
      </c>
    </row>
    <row r="7611" spans="1:13">
      <c r="A7611" s="88">
        <f t="shared" si="615"/>
        <v>38</v>
      </c>
      <c r="B7611" s="69" t="s">
        <v>1759</v>
      </c>
      <c r="C7611" s="69">
        <v>8</v>
      </c>
      <c r="D7611" s="89">
        <v>2</v>
      </c>
      <c r="E7611" s="89">
        <v>5</v>
      </c>
      <c r="F7611" s="89">
        <v>5</v>
      </c>
      <c r="G7611" s="89">
        <v>5</v>
      </c>
      <c r="H7611" s="89">
        <v>5</v>
      </c>
      <c r="I7611" s="89">
        <v>2</v>
      </c>
      <c r="J7611" s="710">
        <f>(VLOOKUP($C7611,[2]Sheet1!$A$2:$P$18,$M7611+1)/12)*12*D7611</f>
        <v>684282.54816000001</v>
      </c>
      <c r="K7611" s="711"/>
      <c r="M7611" s="62">
        <f t="shared" si="614"/>
        <v>3</v>
      </c>
    </row>
    <row r="7612" spans="1:13">
      <c r="A7612" s="88">
        <f t="shared" si="615"/>
        <v>39</v>
      </c>
      <c r="B7612" s="277" t="s">
        <v>1760</v>
      </c>
      <c r="C7612" s="69">
        <v>7</v>
      </c>
      <c r="D7612" s="89">
        <v>1</v>
      </c>
      <c r="E7612" s="89">
        <v>6</v>
      </c>
      <c r="F7612" s="89">
        <v>6</v>
      </c>
      <c r="G7612" s="89">
        <v>6</v>
      </c>
      <c r="H7612" s="89">
        <v>0</v>
      </c>
      <c r="I7612" s="89">
        <v>1</v>
      </c>
      <c r="J7612" s="710">
        <f>(VLOOKUP($C7612,[2]Sheet1!$A$2:$P$18,$M7612+1)/12)*12*D7612</f>
        <v>307706.70240000007</v>
      </c>
      <c r="K7612" s="711"/>
      <c r="M7612" s="62">
        <f t="shared" si="614"/>
        <v>3</v>
      </c>
    </row>
    <row r="7613" spans="1:13">
      <c r="A7613" s="88">
        <f t="shared" si="615"/>
        <v>40</v>
      </c>
      <c r="B7613" s="69" t="s">
        <v>1943</v>
      </c>
      <c r="C7613" s="69">
        <v>6</v>
      </c>
      <c r="D7613" s="89">
        <v>2</v>
      </c>
      <c r="E7613" s="89">
        <v>3</v>
      </c>
      <c r="F7613" s="89">
        <v>3</v>
      </c>
      <c r="G7613" s="89">
        <v>3</v>
      </c>
      <c r="H7613" s="89">
        <v>0</v>
      </c>
      <c r="I7613" s="89">
        <v>2</v>
      </c>
      <c r="J7613" s="710">
        <f>(VLOOKUP($C7613,[2]Sheet1!$A$2:$P$18,$M7613+1)/12)*12*D7613</f>
        <v>476198.75786072994</v>
      </c>
      <c r="K7613" s="711"/>
      <c r="M7613" s="62">
        <f t="shared" si="614"/>
        <v>5</v>
      </c>
    </row>
    <row r="7614" spans="1:13">
      <c r="A7614" s="88">
        <f>+A7613+1</f>
        <v>41</v>
      </c>
      <c r="B7614" s="69" t="s">
        <v>1953</v>
      </c>
      <c r="C7614" s="69">
        <v>5</v>
      </c>
      <c r="D7614" s="89">
        <v>2</v>
      </c>
      <c r="E7614" s="89">
        <v>6</v>
      </c>
      <c r="F7614" s="89">
        <v>6</v>
      </c>
      <c r="G7614" s="89">
        <v>6</v>
      </c>
      <c r="H7614" s="89">
        <v>0</v>
      </c>
      <c r="I7614" s="89">
        <v>2</v>
      </c>
      <c r="J7614" s="710">
        <f>(VLOOKUP($C7614,[2]Sheet1!$A$2:$P$18,$M7614+1)/12)*12*D7614</f>
        <v>459139.55786072998</v>
      </c>
      <c r="K7614" s="711"/>
      <c r="M7614" s="62">
        <f t="shared" si="614"/>
        <v>5</v>
      </c>
    </row>
    <row r="7615" spans="1:13">
      <c r="A7615" s="88">
        <f t="shared" si="615"/>
        <v>42</v>
      </c>
      <c r="B7615" s="69" t="s">
        <v>894</v>
      </c>
      <c r="C7615" s="69">
        <v>4</v>
      </c>
      <c r="D7615" s="89">
        <v>1</v>
      </c>
      <c r="E7615" s="89">
        <v>6</v>
      </c>
      <c r="F7615" s="89">
        <v>6</v>
      </c>
      <c r="G7615" s="89">
        <v>6</v>
      </c>
      <c r="H7615" s="89">
        <v>0</v>
      </c>
      <c r="I7615" s="89">
        <v>1</v>
      </c>
      <c r="J7615" s="710">
        <f>(VLOOKUP($C7615,[2]Sheet1!$A$2:$P$18,$M7615+1)/12)*12*D7615</f>
        <v>224542.978930365</v>
      </c>
      <c r="K7615" s="711"/>
      <c r="M7615" s="62">
        <f t="shared" si="614"/>
        <v>5</v>
      </c>
    </row>
    <row r="7616" spans="1:13">
      <c r="A7616" s="88">
        <f t="shared" si="615"/>
        <v>43</v>
      </c>
      <c r="B7616" s="69" t="s">
        <v>893</v>
      </c>
      <c r="C7616" s="69">
        <v>3</v>
      </c>
      <c r="D7616" s="89">
        <v>2</v>
      </c>
      <c r="E7616" s="89">
        <v>6</v>
      </c>
      <c r="F7616" s="89">
        <v>6</v>
      </c>
      <c r="G7616" s="89">
        <v>6</v>
      </c>
      <c r="H7616" s="89">
        <v>3</v>
      </c>
      <c r="I7616" s="89">
        <v>2</v>
      </c>
      <c r="J7616" s="710">
        <f>(VLOOKUP($C7616,[2]Sheet1!$A$2:$P$18,$M7616+1)/12)*12*D7616</f>
        <v>438672.35786072997</v>
      </c>
      <c r="K7616" s="711"/>
      <c r="M7616" s="62">
        <f t="shared" si="614"/>
        <v>5</v>
      </c>
    </row>
    <row r="7617" spans="1:13">
      <c r="A7617" s="88">
        <f t="shared" si="615"/>
        <v>44</v>
      </c>
      <c r="B7617" s="265" t="s">
        <v>4230</v>
      </c>
      <c r="C7617" s="69">
        <v>13</v>
      </c>
      <c r="D7617" s="89">
        <v>1</v>
      </c>
      <c r="E7617" s="89">
        <v>4</v>
      </c>
      <c r="F7617" s="89">
        <v>4</v>
      </c>
      <c r="G7617" s="89">
        <v>4</v>
      </c>
      <c r="H7617" s="89">
        <v>4</v>
      </c>
      <c r="I7617" s="89">
        <v>1</v>
      </c>
      <c r="J7617" s="710">
        <f>(VLOOKUP($C7617,[2]Sheet1!$A$2:$P$18,$M7617+1)/12)*12*D7617</f>
        <v>13</v>
      </c>
      <c r="K7617" s="711"/>
    </row>
    <row r="7618" spans="1:13">
      <c r="A7618" s="88">
        <f t="shared" si="615"/>
        <v>45</v>
      </c>
      <c r="B7618" s="265" t="s">
        <v>4229</v>
      </c>
      <c r="C7618" s="69">
        <v>13</v>
      </c>
      <c r="D7618" s="89">
        <v>2</v>
      </c>
      <c r="E7618" s="89">
        <v>4</v>
      </c>
      <c r="F7618" s="89">
        <v>4</v>
      </c>
      <c r="G7618" s="89">
        <v>4</v>
      </c>
      <c r="H7618" s="89">
        <v>4</v>
      </c>
      <c r="I7618" s="89">
        <v>2</v>
      </c>
      <c r="J7618" s="710">
        <f>(VLOOKUP($C7618,[2]Sheet1!$A$2:$P$18,$M7618+1)/12)*12*D7618</f>
        <v>26</v>
      </c>
      <c r="K7618" s="711"/>
    </row>
    <row r="7619" spans="1:13">
      <c r="A7619" s="88"/>
      <c r="B7619" s="90" t="s">
        <v>3373</v>
      </c>
      <c r="C7619" s="69"/>
      <c r="D7619" s="89"/>
      <c r="E7619" s="89"/>
      <c r="F7619" s="89"/>
      <c r="G7619" s="89"/>
      <c r="H7619" s="89"/>
      <c r="I7619" s="89"/>
      <c r="J7619" s="710"/>
      <c r="K7619" s="711"/>
      <c r="M7619" s="62">
        <f t="shared" ref="M7619:M7632" si="616">IF(C7619&gt;6,3,5)</f>
        <v>5</v>
      </c>
    </row>
    <row r="7620" spans="1:13">
      <c r="A7620" s="88">
        <f>+A7616+1</f>
        <v>44</v>
      </c>
      <c r="B7620" s="69" t="s">
        <v>3532</v>
      </c>
      <c r="C7620" s="69">
        <v>16</v>
      </c>
      <c r="D7620" s="89">
        <v>0</v>
      </c>
      <c r="E7620" s="89">
        <v>0</v>
      </c>
      <c r="F7620" s="89">
        <v>0</v>
      </c>
      <c r="G7620" s="89">
        <v>0</v>
      </c>
      <c r="H7620" s="89">
        <v>0</v>
      </c>
      <c r="I7620" s="89">
        <v>0</v>
      </c>
      <c r="J7620" s="710">
        <f>(VLOOKUP($C7620,[2]Sheet1!$A$2:$P$18,$M7620+1)/12)*12*D7620</f>
        <v>0</v>
      </c>
      <c r="K7620" s="711"/>
      <c r="M7620" s="62">
        <f t="shared" si="616"/>
        <v>3</v>
      </c>
    </row>
    <row r="7621" spans="1:13">
      <c r="A7621" s="88">
        <f>+A7620+1</f>
        <v>45</v>
      </c>
      <c r="B7621" s="69" t="s">
        <v>1256</v>
      </c>
      <c r="C7621" s="69">
        <v>15</v>
      </c>
      <c r="D7621" s="89">
        <v>0</v>
      </c>
      <c r="E7621" s="89">
        <v>1</v>
      </c>
      <c r="F7621" s="89">
        <v>0</v>
      </c>
      <c r="G7621" s="89">
        <v>0</v>
      </c>
      <c r="H7621" s="89">
        <v>1</v>
      </c>
      <c r="I7621" s="89">
        <v>0</v>
      </c>
      <c r="J7621" s="710">
        <f>(VLOOKUP($C7621,[2]Sheet1!$A$2:$P$18,$M7621+1)/12)*12*D7621</f>
        <v>0</v>
      </c>
      <c r="K7621" s="711"/>
      <c r="M7621" s="62">
        <f t="shared" si="616"/>
        <v>3</v>
      </c>
    </row>
    <row r="7622" spans="1:13">
      <c r="A7622" s="88">
        <f>+A7621+1</f>
        <v>46</v>
      </c>
      <c r="B7622" s="69" t="s">
        <v>3533</v>
      </c>
      <c r="C7622" s="69">
        <v>14</v>
      </c>
      <c r="D7622" s="89">
        <v>1</v>
      </c>
      <c r="E7622" s="89">
        <v>1</v>
      </c>
      <c r="F7622" s="89">
        <v>0</v>
      </c>
      <c r="G7622" s="89">
        <v>0</v>
      </c>
      <c r="H7622" s="89">
        <v>1</v>
      </c>
      <c r="I7622" s="89">
        <v>1</v>
      </c>
      <c r="J7622" s="710">
        <f>(VLOOKUP($C7622,[2]Sheet1!$A$2:$P$18,$M7622+1)/12)*12*D7622</f>
        <v>669099.40824000002</v>
      </c>
      <c r="K7622" s="711"/>
      <c r="M7622" s="62">
        <f t="shared" si="616"/>
        <v>3</v>
      </c>
    </row>
    <row r="7623" spans="1:13">
      <c r="A7623" s="88">
        <f>+A7622+1</f>
        <v>47</v>
      </c>
      <c r="B7623" s="69" t="s">
        <v>3374</v>
      </c>
      <c r="C7623" s="69">
        <v>14</v>
      </c>
      <c r="D7623" s="89">
        <v>1</v>
      </c>
      <c r="E7623" s="89">
        <v>1</v>
      </c>
      <c r="F7623" s="89">
        <v>0</v>
      </c>
      <c r="G7623" s="89">
        <v>0</v>
      </c>
      <c r="H7623" s="89">
        <v>1</v>
      </c>
      <c r="I7623" s="89">
        <v>1</v>
      </c>
      <c r="J7623" s="710">
        <f>(VLOOKUP($C7623,[2]Sheet1!$A$2:$P$18,$M7623+1)/12)*12*D7623</f>
        <v>669099.40824000002</v>
      </c>
      <c r="K7623" s="711"/>
      <c r="M7623" s="62">
        <f t="shared" si="616"/>
        <v>3</v>
      </c>
    </row>
    <row r="7624" spans="1:13">
      <c r="A7624" s="88">
        <f>+A7623+1</f>
        <v>48</v>
      </c>
      <c r="B7624" s="69" t="s">
        <v>3376</v>
      </c>
      <c r="C7624" s="69">
        <v>12</v>
      </c>
      <c r="D7624" s="89">
        <v>1</v>
      </c>
      <c r="E7624" s="89">
        <v>1</v>
      </c>
      <c r="F7624" s="89">
        <v>0</v>
      </c>
      <c r="G7624" s="89">
        <v>0</v>
      </c>
      <c r="H7624" s="89">
        <v>1</v>
      </c>
      <c r="I7624" s="89">
        <v>1</v>
      </c>
      <c r="J7624" s="710">
        <f>(VLOOKUP($C7624,[2]Sheet1!$A$2:$P$18,$M7624+1)/12)*12*D7624</f>
        <v>552685.0537200002</v>
      </c>
      <c r="K7624" s="711"/>
      <c r="M7624" s="62">
        <f t="shared" si="616"/>
        <v>3</v>
      </c>
    </row>
    <row r="7625" spans="1:13">
      <c r="A7625" s="88">
        <f>+A7624+1</f>
        <v>49</v>
      </c>
      <c r="B7625" s="69" t="s">
        <v>3377</v>
      </c>
      <c r="C7625" s="69">
        <v>10</v>
      </c>
      <c r="D7625" s="89">
        <v>0</v>
      </c>
      <c r="E7625" s="89">
        <v>1</v>
      </c>
      <c r="F7625" s="89">
        <v>0</v>
      </c>
      <c r="G7625" s="89">
        <v>0</v>
      </c>
      <c r="H7625" s="89">
        <v>1</v>
      </c>
      <c r="I7625" s="89">
        <v>0</v>
      </c>
      <c r="J7625" s="710">
        <f>(VLOOKUP($C7625,[2]Sheet1!$A$2:$P$18,$M7625+1)/12)*12*D7625</f>
        <v>0</v>
      </c>
      <c r="K7625" s="711"/>
      <c r="M7625" s="62">
        <f t="shared" si="616"/>
        <v>3</v>
      </c>
    </row>
    <row r="7626" spans="1:13">
      <c r="A7626" s="88">
        <f>+A7623+1</f>
        <v>48</v>
      </c>
      <c r="B7626" s="69" t="s">
        <v>3375</v>
      </c>
      <c r="C7626" s="69">
        <v>9</v>
      </c>
      <c r="D7626" s="89">
        <v>0</v>
      </c>
      <c r="E7626" s="89">
        <v>2</v>
      </c>
      <c r="F7626" s="89">
        <v>0</v>
      </c>
      <c r="G7626" s="89">
        <v>0</v>
      </c>
      <c r="H7626" s="89">
        <v>0</v>
      </c>
      <c r="I7626" s="89">
        <v>0</v>
      </c>
      <c r="J7626" s="710">
        <f>(VLOOKUP($C7626,[2]Sheet1!$A$2:$P$18,$M7626+1)/12)*12*D7626</f>
        <v>0</v>
      </c>
      <c r="K7626" s="711"/>
      <c r="M7626" s="62">
        <f t="shared" si="616"/>
        <v>3</v>
      </c>
    </row>
    <row r="7627" spans="1:13">
      <c r="A7627" s="88">
        <f t="shared" ref="A7627:A7633" si="617">+A7626+1</f>
        <v>49</v>
      </c>
      <c r="B7627" s="69" t="s">
        <v>3378</v>
      </c>
      <c r="C7627" s="69">
        <v>8</v>
      </c>
      <c r="D7627" s="89">
        <v>0</v>
      </c>
      <c r="E7627" s="89">
        <v>5</v>
      </c>
      <c r="F7627" s="89">
        <v>0</v>
      </c>
      <c r="G7627" s="89">
        <v>0</v>
      </c>
      <c r="H7627" s="89">
        <v>0</v>
      </c>
      <c r="I7627" s="89">
        <v>0</v>
      </c>
      <c r="J7627" s="710">
        <f>(VLOOKUP($C7627,[2]Sheet1!$A$2:$P$18,$M7627+1)/12)*12*D7627</f>
        <v>0</v>
      </c>
      <c r="K7627" s="711"/>
      <c r="M7627" s="62">
        <f t="shared" si="616"/>
        <v>3</v>
      </c>
    </row>
    <row r="7628" spans="1:13">
      <c r="A7628" s="88">
        <f t="shared" si="617"/>
        <v>50</v>
      </c>
      <c r="B7628" s="69" t="s">
        <v>3379</v>
      </c>
      <c r="C7628" s="69">
        <v>7</v>
      </c>
      <c r="D7628" s="89">
        <v>0</v>
      </c>
      <c r="E7628" s="89">
        <v>6</v>
      </c>
      <c r="F7628" s="89">
        <v>0</v>
      </c>
      <c r="G7628" s="89">
        <v>0</v>
      </c>
      <c r="H7628" s="89">
        <v>0</v>
      </c>
      <c r="I7628" s="89">
        <v>0</v>
      </c>
      <c r="J7628" s="710">
        <f>(VLOOKUP($C7628,[2]Sheet1!$A$2:$P$18,$M7628+1)/12)*12*D7628</f>
        <v>0</v>
      </c>
      <c r="K7628" s="711"/>
      <c r="M7628" s="62">
        <f t="shared" si="616"/>
        <v>3</v>
      </c>
    </row>
    <row r="7629" spans="1:13">
      <c r="A7629" s="88">
        <f t="shared" si="617"/>
        <v>51</v>
      </c>
      <c r="B7629" s="69" t="s">
        <v>3380</v>
      </c>
      <c r="C7629" s="69">
        <v>6</v>
      </c>
      <c r="D7629" s="89">
        <v>2</v>
      </c>
      <c r="E7629" s="89">
        <v>3</v>
      </c>
      <c r="F7629" s="89">
        <v>0</v>
      </c>
      <c r="G7629" s="89">
        <v>0</v>
      </c>
      <c r="H7629" s="89">
        <v>0</v>
      </c>
      <c r="I7629" s="89">
        <v>2</v>
      </c>
      <c r="J7629" s="710">
        <f>(VLOOKUP($C7629,[2]Sheet1!$A$2:$P$18,$M7629+1)/12)*12*D7629</f>
        <v>476198.75786072994</v>
      </c>
      <c r="K7629" s="711"/>
      <c r="M7629" s="62">
        <f t="shared" si="616"/>
        <v>5</v>
      </c>
    </row>
    <row r="7630" spans="1:13">
      <c r="A7630" s="88">
        <f t="shared" si="617"/>
        <v>52</v>
      </c>
      <c r="B7630" s="69" t="s">
        <v>3381</v>
      </c>
      <c r="C7630" s="69">
        <v>5</v>
      </c>
      <c r="D7630" s="89">
        <v>17</v>
      </c>
      <c r="E7630" s="89">
        <v>6</v>
      </c>
      <c r="F7630" s="89">
        <v>0</v>
      </c>
      <c r="G7630" s="89">
        <v>0</v>
      </c>
      <c r="H7630" s="89">
        <v>0</v>
      </c>
      <c r="I7630" s="89">
        <v>17</v>
      </c>
      <c r="J7630" s="710">
        <f>(VLOOKUP($C7630,[2]Sheet1!$A$2:$P$18,$M7630+1)/12)*12*D7630</f>
        <v>3902686.241816205</v>
      </c>
      <c r="K7630" s="711"/>
      <c r="M7630" s="62">
        <f t="shared" si="616"/>
        <v>5</v>
      </c>
    </row>
    <row r="7631" spans="1:13">
      <c r="A7631" s="88">
        <f t="shared" si="617"/>
        <v>53</v>
      </c>
      <c r="B7631" s="69" t="s">
        <v>3713</v>
      </c>
      <c r="C7631" s="69">
        <v>4</v>
      </c>
      <c r="D7631" s="89">
        <v>8</v>
      </c>
      <c r="E7631" s="89">
        <v>6</v>
      </c>
      <c r="F7631" s="89">
        <v>0</v>
      </c>
      <c r="G7631" s="89">
        <v>0</v>
      </c>
      <c r="H7631" s="89">
        <v>0</v>
      </c>
      <c r="I7631" s="89">
        <v>8</v>
      </c>
      <c r="J7631" s="710">
        <f>(VLOOKUP($C7631,[2]Sheet1!$A$2:$P$18,$M7631+1)/12)*12*D7631</f>
        <v>1796343.83144292</v>
      </c>
      <c r="K7631" s="711"/>
      <c r="M7631" s="62">
        <f t="shared" si="616"/>
        <v>5</v>
      </c>
    </row>
    <row r="7632" spans="1:13">
      <c r="A7632" s="88">
        <f t="shared" si="617"/>
        <v>54</v>
      </c>
      <c r="B7632" s="69" t="s">
        <v>3714</v>
      </c>
      <c r="C7632" s="69">
        <v>3</v>
      </c>
      <c r="D7632" s="89">
        <v>4</v>
      </c>
      <c r="E7632" s="89">
        <v>6</v>
      </c>
      <c r="F7632" s="89">
        <v>0</v>
      </c>
      <c r="G7632" s="89">
        <v>0</v>
      </c>
      <c r="H7632" s="89">
        <v>0</v>
      </c>
      <c r="I7632" s="89">
        <v>4</v>
      </c>
      <c r="J7632" s="710">
        <f>(VLOOKUP($C7632,[2]Sheet1!$A$2:$P$18,$M7632+1)/12)*12*D7632</f>
        <v>877344.71572145994</v>
      </c>
      <c r="K7632" s="711"/>
      <c r="M7632" s="62">
        <f t="shared" si="616"/>
        <v>5</v>
      </c>
    </row>
    <row r="7633" spans="1:13">
      <c r="A7633" s="88">
        <f t="shared" si="617"/>
        <v>55</v>
      </c>
      <c r="B7633" s="69" t="s">
        <v>4231</v>
      </c>
      <c r="C7633" s="69">
        <v>2</v>
      </c>
      <c r="D7633" s="89">
        <v>1</v>
      </c>
      <c r="E7633" s="89">
        <v>6</v>
      </c>
      <c r="F7633" s="89">
        <v>0</v>
      </c>
      <c r="G7633" s="89">
        <v>0</v>
      </c>
      <c r="H7633" s="89">
        <v>0</v>
      </c>
      <c r="I7633" s="89">
        <v>1</v>
      </c>
      <c r="J7633" s="710">
        <f>(VLOOKUP($C7633,[2]Sheet1!$A$2:$P$18,$M7633+1)/12)*12*D7633</f>
        <v>214657.37893036503</v>
      </c>
      <c r="K7633" s="711"/>
      <c r="M7633" s="62">
        <f>IF(C7633&gt;6,3,5)</f>
        <v>5</v>
      </c>
    </row>
    <row r="7634" spans="1:13">
      <c r="A7634" s="88"/>
      <c r="B7634" s="182" t="s">
        <v>1245</v>
      </c>
      <c r="C7634" s="69"/>
      <c r="D7634" s="89"/>
      <c r="E7634" s="89"/>
      <c r="F7634" s="89"/>
      <c r="G7634" s="89"/>
      <c r="H7634" s="89"/>
      <c r="I7634" s="89"/>
      <c r="J7634" s="710"/>
      <c r="K7634" s="711"/>
      <c r="M7634" s="62">
        <f t="shared" si="614"/>
        <v>5</v>
      </c>
    </row>
    <row r="7635" spans="1:13">
      <c r="A7635" s="88">
        <f>+A7616+1</f>
        <v>44</v>
      </c>
      <c r="B7635" s="127" t="s">
        <v>3532</v>
      </c>
      <c r="C7635" s="69">
        <v>16</v>
      </c>
      <c r="D7635" s="89">
        <v>0</v>
      </c>
      <c r="E7635" s="89">
        <v>0</v>
      </c>
      <c r="F7635" s="89">
        <v>0</v>
      </c>
      <c r="G7635" s="89">
        <v>0</v>
      </c>
      <c r="H7635" s="89">
        <v>0</v>
      </c>
      <c r="I7635" s="89">
        <v>0</v>
      </c>
      <c r="J7635" s="710">
        <f>(VLOOKUP($C7635,[2]Sheet1!$A$2:$P$18,$M7635+1)/12)*12*D7635</f>
        <v>0</v>
      </c>
      <c r="K7635" s="711"/>
      <c r="M7635" s="62">
        <f t="shared" si="614"/>
        <v>3</v>
      </c>
    </row>
    <row r="7636" spans="1:13">
      <c r="A7636" s="88">
        <f>+A7635+1</f>
        <v>45</v>
      </c>
      <c r="B7636" s="127" t="s">
        <v>1256</v>
      </c>
      <c r="C7636" s="69">
        <v>15</v>
      </c>
      <c r="D7636" s="89">
        <v>0</v>
      </c>
      <c r="E7636" s="89">
        <v>1</v>
      </c>
      <c r="F7636" s="89">
        <v>0</v>
      </c>
      <c r="G7636" s="89">
        <v>0</v>
      </c>
      <c r="H7636" s="89">
        <v>1</v>
      </c>
      <c r="I7636" s="89">
        <v>0</v>
      </c>
      <c r="J7636" s="710">
        <f>(VLOOKUP($C7636,[2]Sheet1!$A$2:$P$18,$M7636+1)/12)*12*D7636</f>
        <v>0</v>
      </c>
      <c r="K7636" s="711"/>
      <c r="M7636" s="62">
        <f t="shared" si="614"/>
        <v>3</v>
      </c>
    </row>
    <row r="7637" spans="1:13">
      <c r="A7637" s="88">
        <f t="shared" ref="A7637:A7672" si="618">+A7636+1</f>
        <v>46</v>
      </c>
      <c r="B7637" s="127" t="s">
        <v>3533</v>
      </c>
      <c r="C7637" s="69">
        <v>14</v>
      </c>
      <c r="D7637" s="89">
        <v>1</v>
      </c>
      <c r="E7637" s="89">
        <v>3</v>
      </c>
      <c r="F7637" s="89">
        <v>3</v>
      </c>
      <c r="G7637" s="89">
        <v>3</v>
      </c>
      <c r="H7637" s="89">
        <v>3</v>
      </c>
      <c r="I7637" s="89">
        <v>1</v>
      </c>
      <c r="J7637" s="710">
        <f>(VLOOKUP($C7637,[2]Sheet1!$A$2:$P$18,$M7637+1)/12)*12*D7637</f>
        <v>669099.40824000002</v>
      </c>
      <c r="K7637" s="711"/>
      <c r="M7637" s="62">
        <f t="shared" si="614"/>
        <v>3</v>
      </c>
    </row>
    <row r="7638" spans="1:13">
      <c r="A7638" s="88">
        <f t="shared" si="618"/>
        <v>47</v>
      </c>
      <c r="B7638" s="127" t="s">
        <v>1246</v>
      </c>
      <c r="C7638" s="69">
        <v>13</v>
      </c>
      <c r="D7638" s="89">
        <v>1</v>
      </c>
      <c r="E7638" s="89">
        <v>3</v>
      </c>
      <c r="F7638" s="89">
        <v>3</v>
      </c>
      <c r="G7638" s="89">
        <v>3</v>
      </c>
      <c r="H7638" s="89">
        <v>3</v>
      </c>
      <c r="I7638" s="89">
        <v>0</v>
      </c>
      <c r="J7638" s="710">
        <f>(VLOOKUP($C7638,[2]Sheet1!$A$2:$P$18,$M7638+1)/12)*12*D7638</f>
        <v>628759.53804000001</v>
      </c>
      <c r="K7638" s="711"/>
      <c r="M7638" s="62">
        <f t="shared" si="614"/>
        <v>3</v>
      </c>
    </row>
    <row r="7639" spans="1:13">
      <c r="A7639" s="88">
        <f t="shared" si="618"/>
        <v>48</v>
      </c>
      <c r="B7639" s="127" t="s">
        <v>1247</v>
      </c>
      <c r="C7639" s="69">
        <v>12</v>
      </c>
      <c r="D7639" s="89">
        <v>0</v>
      </c>
      <c r="E7639" s="89">
        <v>3</v>
      </c>
      <c r="F7639" s="89">
        <v>3</v>
      </c>
      <c r="G7639" s="89">
        <v>3</v>
      </c>
      <c r="H7639" s="89">
        <v>3</v>
      </c>
      <c r="I7639" s="89">
        <v>0</v>
      </c>
      <c r="J7639" s="710">
        <f>(VLOOKUP($C7639,[2]Sheet1!$A$2:$P$18,$M7639+1)/12)*12*D7639</f>
        <v>0</v>
      </c>
      <c r="K7639" s="711"/>
      <c r="M7639" s="62">
        <f t="shared" si="614"/>
        <v>3</v>
      </c>
    </row>
    <row r="7640" spans="1:13">
      <c r="A7640" s="88">
        <f t="shared" si="618"/>
        <v>49</v>
      </c>
      <c r="B7640" s="127" t="s">
        <v>3888</v>
      </c>
      <c r="C7640" s="69">
        <v>10</v>
      </c>
      <c r="D7640" s="89">
        <v>1</v>
      </c>
      <c r="E7640" s="89">
        <v>5</v>
      </c>
      <c r="F7640" s="89">
        <v>5</v>
      </c>
      <c r="G7640" s="89">
        <v>5</v>
      </c>
      <c r="H7640" s="89">
        <v>5</v>
      </c>
      <c r="I7640" s="89">
        <v>0</v>
      </c>
      <c r="J7640" s="710">
        <f>(VLOOKUP($C7640,[2]Sheet1!$A$2:$P$18,$M7640+1)/12)*12*D7640</f>
        <v>483974.5687200001</v>
      </c>
      <c r="K7640" s="711"/>
      <c r="M7640" s="62">
        <f t="shared" si="614"/>
        <v>3</v>
      </c>
    </row>
    <row r="7641" spans="1:13">
      <c r="A7641" s="88">
        <f t="shared" si="618"/>
        <v>50</v>
      </c>
      <c r="B7641" s="127" t="s">
        <v>3889</v>
      </c>
      <c r="C7641" s="69">
        <v>9</v>
      </c>
      <c r="D7641" s="89">
        <v>4</v>
      </c>
      <c r="E7641" s="89">
        <v>4</v>
      </c>
      <c r="F7641" s="89">
        <v>4</v>
      </c>
      <c r="G7641" s="89">
        <v>4</v>
      </c>
      <c r="H7641" s="89">
        <v>3</v>
      </c>
      <c r="I7641" s="89">
        <v>0</v>
      </c>
      <c r="J7641" s="710">
        <f>(VLOOKUP($C7641,[2]Sheet1!$A$2:$P$18,$M7641+1)/12)*12*D7641</f>
        <v>1638727.6247999999</v>
      </c>
      <c r="K7641" s="711"/>
      <c r="M7641" s="62">
        <f t="shared" si="614"/>
        <v>3</v>
      </c>
    </row>
    <row r="7642" spans="1:13">
      <c r="A7642" s="88">
        <f t="shared" si="618"/>
        <v>51</v>
      </c>
      <c r="B7642" s="127" t="s">
        <v>3890</v>
      </c>
      <c r="C7642" s="69">
        <v>8</v>
      </c>
      <c r="D7642" s="89">
        <v>10</v>
      </c>
      <c r="E7642" s="89">
        <v>8</v>
      </c>
      <c r="F7642" s="89">
        <v>5</v>
      </c>
      <c r="G7642" s="89">
        <v>5</v>
      </c>
      <c r="H7642" s="89">
        <v>5</v>
      </c>
      <c r="I7642" s="89">
        <v>10</v>
      </c>
      <c r="J7642" s="710">
        <f>(VLOOKUP($C7642,[2]Sheet1!$A$2:$P$18,$M7642+1)/12)*12*D7642</f>
        <v>3421412.7407999998</v>
      </c>
      <c r="K7642" s="711"/>
      <c r="M7642" s="62">
        <f t="shared" si="614"/>
        <v>3</v>
      </c>
    </row>
    <row r="7643" spans="1:13" ht="13.5" thickBot="1">
      <c r="A7643" s="88">
        <f t="shared" si="618"/>
        <v>52</v>
      </c>
      <c r="B7643" s="127" t="s">
        <v>1189</v>
      </c>
      <c r="C7643" s="69">
        <v>7</v>
      </c>
      <c r="D7643" s="89">
        <v>0</v>
      </c>
      <c r="E7643" s="89">
        <v>3</v>
      </c>
      <c r="F7643" s="89">
        <v>3</v>
      </c>
      <c r="G7643" s="89">
        <v>3</v>
      </c>
      <c r="H7643" s="89">
        <v>3</v>
      </c>
      <c r="I7643" s="89">
        <v>0</v>
      </c>
      <c r="J7643" s="710">
        <f>(VLOOKUP($C7643,[2]Sheet1!$A$2:$P$18,$M7643+1)/12)*12*D7643</f>
        <v>0</v>
      </c>
      <c r="K7643" s="711"/>
      <c r="M7643" s="62">
        <f t="shared" si="614"/>
        <v>3</v>
      </c>
    </row>
    <row r="7644" spans="1:13" ht="15.75" thickTop="1">
      <c r="A7644" s="1047" t="s">
        <v>2791</v>
      </c>
      <c r="B7644" s="1049" t="s">
        <v>4126</v>
      </c>
      <c r="C7644" s="1049" t="s">
        <v>854</v>
      </c>
      <c r="D7644" s="1040" t="s">
        <v>4127</v>
      </c>
      <c r="E7644" s="1041"/>
      <c r="F7644" s="1041"/>
      <c r="G7644" s="1040" t="s">
        <v>904</v>
      </c>
      <c r="H7644" s="1041"/>
      <c r="I7644" s="1042"/>
      <c r="J7644" s="1035" t="s">
        <v>855</v>
      </c>
      <c r="K7644" s="389"/>
    </row>
    <row r="7645" spans="1:13" ht="26.25" thickBot="1">
      <c r="A7645" s="1048"/>
      <c r="B7645" s="1050"/>
      <c r="C7645" s="1050"/>
      <c r="D7645" s="285" t="s">
        <v>5505</v>
      </c>
      <c r="E7645" s="285" t="s">
        <v>4485</v>
      </c>
      <c r="F7645" s="285" t="s">
        <v>4486</v>
      </c>
      <c r="G7645" s="287" t="s">
        <v>4487</v>
      </c>
      <c r="H7645" s="285" t="s">
        <v>4488</v>
      </c>
      <c r="I7645" s="287" t="s">
        <v>4489</v>
      </c>
      <c r="J7645" s="1036"/>
      <c r="K7645" s="712"/>
    </row>
    <row r="7646" spans="1:13" ht="13.5" thickTop="1">
      <c r="A7646" s="88">
        <f>+A7643+1</f>
        <v>53</v>
      </c>
      <c r="B7646" s="127" t="s">
        <v>1249</v>
      </c>
      <c r="C7646" s="69">
        <v>6</v>
      </c>
      <c r="D7646" s="89">
        <v>0</v>
      </c>
      <c r="E7646" s="89">
        <v>5</v>
      </c>
      <c r="F7646" s="89">
        <v>5</v>
      </c>
      <c r="G7646" s="89">
        <v>5</v>
      </c>
      <c r="H7646" s="89">
        <v>3</v>
      </c>
      <c r="I7646" s="89">
        <v>0</v>
      </c>
      <c r="J7646" s="710">
        <f>(VLOOKUP($C7646,[2]Sheet1!$A$2:$P$18,$M7646+1)/12)*12*D7646</f>
        <v>0</v>
      </c>
      <c r="K7646" s="711"/>
      <c r="M7646" s="62">
        <f t="shared" si="614"/>
        <v>5</v>
      </c>
    </row>
    <row r="7647" spans="1:13">
      <c r="A7647" s="88">
        <f>+A7646+1</f>
        <v>54</v>
      </c>
      <c r="B7647" s="127" t="s">
        <v>1577</v>
      </c>
      <c r="C7647" s="69">
        <v>5</v>
      </c>
      <c r="D7647" s="89">
        <v>4</v>
      </c>
      <c r="E7647" s="89">
        <v>4</v>
      </c>
      <c r="F7647" s="89">
        <v>4</v>
      </c>
      <c r="G7647" s="89">
        <v>4</v>
      </c>
      <c r="H7647" s="89">
        <v>4</v>
      </c>
      <c r="I7647" s="89">
        <v>4</v>
      </c>
      <c r="J7647" s="710">
        <f>(VLOOKUP($C7647,[2]Sheet1!$A$2:$P$18,$M7647+1)/12)*12*D7647</f>
        <v>918279.11572145997</v>
      </c>
      <c r="K7647" s="711"/>
      <c r="M7647" s="62">
        <f t="shared" si="614"/>
        <v>5</v>
      </c>
    </row>
    <row r="7648" spans="1:13">
      <c r="A7648" s="88">
        <f t="shared" si="618"/>
        <v>55</v>
      </c>
      <c r="B7648" s="127" t="s">
        <v>2762</v>
      </c>
      <c r="C7648" s="69">
        <v>4</v>
      </c>
      <c r="D7648" s="89">
        <v>8</v>
      </c>
      <c r="E7648" s="89">
        <v>6</v>
      </c>
      <c r="F7648" s="89">
        <v>6</v>
      </c>
      <c r="G7648" s="89">
        <v>6</v>
      </c>
      <c r="H7648" s="89">
        <v>3</v>
      </c>
      <c r="I7648" s="89">
        <v>8</v>
      </c>
      <c r="J7648" s="710">
        <f>(VLOOKUP($C7648,[2]Sheet1!$A$2:$P$18,$M7648+1)/12)*12*D7648</f>
        <v>1796343.83144292</v>
      </c>
      <c r="K7648" s="711"/>
      <c r="M7648" s="62">
        <f t="shared" si="614"/>
        <v>5</v>
      </c>
    </row>
    <row r="7649" spans="1:13">
      <c r="A7649" s="88">
        <f t="shared" si="618"/>
        <v>56</v>
      </c>
      <c r="B7649" s="127" t="s">
        <v>2763</v>
      </c>
      <c r="C7649" s="69">
        <v>3</v>
      </c>
      <c r="D7649" s="89">
        <v>9</v>
      </c>
      <c r="E7649" s="89">
        <v>20</v>
      </c>
      <c r="F7649" s="89">
        <v>20</v>
      </c>
      <c r="G7649" s="89">
        <v>20</v>
      </c>
      <c r="H7649" s="89">
        <v>5</v>
      </c>
      <c r="I7649" s="89">
        <v>9</v>
      </c>
      <c r="J7649" s="710">
        <f>(VLOOKUP($C7649,[2]Sheet1!$A$2:$P$18,$M7649+1)/12)*12*D7649</f>
        <v>1974025.6103732849</v>
      </c>
      <c r="K7649" s="711"/>
      <c r="M7649" s="62">
        <f t="shared" si="614"/>
        <v>5</v>
      </c>
    </row>
    <row r="7650" spans="1:13">
      <c r="A7650" s="88">
        <f>+A7649+1</f>
        <v>57</v>
      </c>
      <c r="B7650" s="127" t="s">
        <v>2409</v>
      </c>
      <c r="C7650" s="156">
        <v>8</v>
      </c>
      <c r="D7650" s="89">
        <v>2</v>
      </c>
      <c r="E7650" s="89">
        <v>4</v>
      </c>
      <c r="F7650" s="89">
        <v>2</v>
      </c>
      <c r="G7650" s="89">
        <v>2</v>
      </c>
      <c r="H7650" s="89">
        <v>4</v>
      </c>
      <c r="I7650" s="89">
        <v>2</v>
      </c>
      <c r="J7650" s="710">
        <f>(VLOOKUP($C7650,[2]Sheet1!$A$2:$P$18,$M7650+1)/12)*12*D7650</f>
        <v>684282.54816000001</v>
      </c>
      <c r="K7650" s="711"/>
      <c r="M7650" s="62">
        <f t="shared" si="614"/>
        <v>3</v>
      </c>
    </row>
    <row r="7651" spans="1:13">
      <c r="A7651" s="88">
        <f t="shared" si="618"/>
        <v>58</v>
      </c>
      <c r="B7651" s="127" t="s">
        <v>2410</v>
      </c>
      <c r="C7651" s="69">
        <v>4</v>
      </c>
      <c r="D7651" s="89">
        <v>2</v>
      </c>
      <c r="E7651" s="89">
        <v>2</v>
      </c>
      <c r="F7651" s="89">
        <v>2</v>
      </c>
      <c r="G7651" s="89">
        <v>2</v>
      </c>
      <c r="H7651" s="89">
        <v>2</v>
      </c>
      <c r="I7651" s="89">
        <v>2</v>
      </c>
      <c r="J7651" s="710">
        <f>(VLOOKUP($C7651,[2]Sheet1!$A$2:$P$18,$M7651+1)/12)*12*D7651</f>
        <v>449085.95786073001</v>
      </c>
      <c r="K7651" s="711"/>
      <c r="M7651" s="62">
        <f t="shared" si="614"/>
        <v>5</v>
      </c>
    </row>
    <row r="7652" spans="1:13">
      <c r="A7652" s="88">
        <f t="shared" si="618"/>
        <v>59</v>
      </c>
      <c r="B7652" s="127" t="s">
        <v>2768</v>
      </c>
      <c r="C7652" s="69">
        <v>8</v>
      </c>
      <c r="D7652" s="89">
        <v>1</v>
      </c>
      <c r="E7652" s="89">
        <v>1</v>
      </c>
      <c r="F7652" s="89">
        <v>1</v>
      </c>
      <c r="G7652" s="89">
        <v>1</v>
      </c>
      <c r="H7652" s="89">
        <v>1</v>
      </c>
      <c r="I7652" s="89">
        <v>1</v>
      </c>
      <c r="J7652" s="710">
        <f>(VLOOKUP($C7652,[2]Sheet1!$A$2:$P$18,$M7652+1)/12)*12*D7652</f>
        <v>342141.27408</v>
      </c>
      <c r="K7652" s="711"/>
      <c r="M7652" s="62">
        <f t="shared" si="614"/>
        <v>3</v>
      </c>
    </row>
    <row r="7653" spans="1:13">
      <c r="A7653" s="88">
        <f t="shared" si="618"/>
        <v>60</v>
      </c>
      <c r="B7653" s="127" t="s">
        <v>2927</v>
      </c>
      <c r="C7653" s="69">
        <v>4</v>
      </c>
      <c r="D7653" s="89">
        <v>3</v>
      </c>
      <c r="E7653" s="89">
        <v>3</v>
      </c>
      <c r="F7653" s="89">
        <v>3</v>
      </c>
      <c r="G7653" s="89">
        <v>3</v>
      </c>
      <c r="H7653" s="89">
        <v>3</v>
      </c>
      <c r="I7653" s="89">
        <v>3</v>
      </c>
      <c r="J7653" s="710">
        <f>(VLOOKUP($C7653,[2]Sheet1!$A$2:$P$18,$M7653+1)/12)*12*D7653</f>
        <v>673628.93679109495</v>
      </c>
      <c r="K7653" s="711"/>
      <c r="M7653" s="62">
        <f t="shared" si="614"/>
        <v>5</v>
      </c>
    </row>
    <row r="7654" spans="1:13">
      <c r="A7654" s="88">
        <f t="shared" si="618"/>
        <v>61</v>
      </c>
      <c r="B7654" s="127" t="s">
        <v>2928</v>
      </c>
      <c r="C7654" s="69">
        <v>5</v>
      </c>
      <c r="D7654" s="89">
        <v>0</v>
      </c>
      <c r="E7654" s="89">
        <v>0</v>
      </c>
      <c r="F7654" s="89">
        <v>0</v>
      </c>
      <c r="G7654" s="89">
        <v>0</v>
      </c>
      <c r="H7654" s="89">
        <v>0</v>
      </c>
      <c r="I7654" s="89">
        <v>0</v>
      </c>
      <c r="J7654" s="710">
        <f>(VLOOKUP($C7654,[2]Sheet1!$A$2:$P$18,$M7654+1)/12)*12*D7654</f>
        <v>0</v>
      </c>
      <c r="K7654" s="711"/>
      <c r="M7654" s="62">
        <f t="shared" si="614"/>
        <v>5</v>
      </c>
    </row>
    <row r="7655" spans="1:13">
      <c r="A7655" s="88">
        <f t="shared" si="618"/>
        <v>62</v>
      </c>
      <c r="B7655" s="127" t="s">
        <v>3636</v>
      </c>
      <c r="C7655" s="69">
        <v>3</v>
      </c>
      <c r="D7655" s="89">
        <v>4</v>
      </c>
      <c r="E7655" s="89">
        <v>4</v>
      </c>
      <c r="F7655" s="89">
        <v>4</v>
      </c>
      <c r="G7655" s="89">
        <v>4</v>
      </c>
      <c r="H7655" s="89">
        <v>4</v>
      </c>
      <c r="I7655" s="89">
        <v>4</v>
      </c>
      <c r="J7655" s="710">
        <f>(VLOOKUP($C7655,[2]Sheet1!$A$2:$P$18,$M7655+1)/12)*12*D7655</f>
        <v>877344.71572145994</v>
      </c>
      <c r="K7655" s="711"/>
      <c r="M7655" s="62">
        <f t="shared" si="614"/>
        <v>5</v>
      </c>
    </row>
    <row r="7656" spans="1:13">
      <c r="A7656" s="88">
        <f t="shared" si="618"/>
        <v>63</v>
      </c>
      <c r="B7656" s="127" t="s">
        <v>3637</v>
      </c>
      <c r="C7656" s="69">
        <v>5</v>
      </c>
      <c r="D7656" s="89">
        <v>3</v>
      </c>
      <c r="E7656" s="89">
        <v>3</v>
      </c>
      <c r="F7656" s="89">
        <v>3</v>
      </c>
      <c r="G7656" s="89">
        <v>3</v>
      </c>
      <c r="H7656" s="89">
        <v>3</v>
      </c>
      <c r="I7656" s="89">
        <v>3</v>
      </c>
      <c r="J7656" s="710">
        <f>(VLOOKUP($C7656,[2]Sheet1!$A$2:$P$18,$M7656+1)/12)*12*D7656</f>
        <v>688709.33679109497</v>
      </c>
      <c r="K7656" s="711"/>
      <c r="M7656" s="62">
        <f t="shared" si="614"/>
        <v>5</v>
      </c>
    </row>
    <row r="7657" spans="1:13">
      <c r="A7657" s="88">
        <f t="shared" si="618"/>
        <v>64</v>
      </c>
      <c r="B7657" s="127" t="s">
        <v>2126</v>
      </c>
      <c r="C7657" s="69">
        <v>3</v>
      </c>
      <c r="D7657" s="89">
        <v>1</v>
      </c>
      <c r="E7657" s="89">
        <v>1</v>
      </c>
      <c r="F7657" s="89">
        <v>1</v>
      </c>
      <c r="G7657" s="89">
        <v>1</v>
      </c>
      <c r="H7657" s="89">
        <v>1</v>
      </c>
      <c r="I7657" s="89">
        <v>1</v>
      </c>
      <c r="J7657" s="710">
        <f>(VLOOKUP($C7657,[2]Sheet1!$A$2:$P$18,$M7657+1)/12)*12*D7657</f>
        <v>219336.17893036499</v>
      </c>
      <c r="K7657" s="711"/>
      <c r="M7657" s="62">
        <f t="shared" si="614"/>
        <v>5</v>
      </c>
    </row>
    <row r="7658" spans="1:13">
      <c r="A7658" s="88">
        <f t="shared" si="618"/>
        <v>65</v>
      </c>
      <c r="B7658" s="127" t="s">
        <v>2353</v>
      </c>
      <c r="C7658" s="69">
        <v>2</v>
      </c>
      <c r="D7658" s="89">
        <v>1</v>
      </c>
      <c r="E7658" s="89">
        <v>1</v>
      </c>
      <c r="F7658" s="89">
        <v>1</v>
      </c>
      <c r="G7658" s="89">
        <v>1</v>
      </c>
      <c r="H7658" s="89">
        <v>1</v>
      </c>
      <c r="I7658" s="89">
        <v>1</v>
      </c>
      <c r="J7658" s="710">
        <f>(VLOOKUP($C7658,[2]Sheet1!$A$2:$P$18,$M7658+1)/12)*12*D7658</f>
        <v>214657.37893036503</v>
      </c>
      <c r="K7658" s="711"/>
      <c r="M7658" s="62">
        <f t="shared" si="614"/>
        <v>5</v>
      </c>
    </row>
    <row r="7659" spans="1:13">
      <c r="A7659" s="88">
        <f t="shared" si="618"/>
        <v>66</v>
      </c>
      <c r="B7659" s="127" t="s">
        <v>2354</v>
      </c>
      <c r="C7659" s="69">
        <v>8</v>
      </c>
      <c r="D7659" s="89">
        <v>1</v>
      </c>
      <c r="E7659" s="89">
        <v>3</v>
      </c>
      <c r="F7659" s="89">
        <v>1</v>
      </c>
      <c r="G7659" s="89">
        <v>1</v>
      </c>
      <c r="H7659" s="89">
        <v>3</v>
      </c>
      <c r="I7659" s="89">
        <v>1</v>
      </c>
      <c r="J7659" s="710">
        <f>(VLOOKUP($C7659,[2]Sheet1!$A$2:$P$18,$M7659+1)/12)*12*D7659</f>
        <v>342141.27408</v>
      </c>
      <c r="K7659" s="711"/>
      <c r="M7659" s="62">
        <f t="shared" si="614"/>
        <v>3</v>
      </c>
    </row>
    <row r="7660" spans="1:13">
      <c r="A7660" s="88">
        <f t="shared" si="618"/>
        <v>67</v>
      </c>
      <c r="B7660" s="127" t="s">
        <v>3602</v>
      </c>
      <c r="C7660" s="69">
        <v>5</v>
      </c>
      <c r="D7660" s="89">
        <v>3</v>
      </c>
      <c r="E7660" s="89">
        <v>1</v>
      </c>
      <c r="F7660" s="89">
        <v>1</v>
      </c>
      <c r="G7660" s="89">
        <v>1</v>
      </c>
      <c r="H7660" s="89">
        <v>1</v>
      </c>
      <c r="I7660" s="89">
        <v>3</v>
      </c>
      <c r="J7660" s="710">
        <f>(VLOOKUP($C7660,[2]Sheet1!$A$2:$P$18,$M7660+1)/12)*12*D7660</f>
        <v>688709.33679109497</v>
      </c>
      <c r="K7660" s="711"/>
      <c r="M7660" s="62">
        <f t="shared" si="614"/>
        <v>5</v>
      </c>
    </row>
    <row r="7661" spans="1:13">
      <c r="A7661" s="88">
        <f t="shared" si="618"/>
        <v>68</v>
      </c>
      <c r="B7661" s="127" t="s">
        <v>547</v>
      </c>
      <c r="C7661" s="69">
        <v>7</v>
      </c>
      <c r="D7661" s="89">
        <v>1</v>
      </c>
      <c r="E7661" s="89">
        <v>1</v>
      </c>
      <c r="F7661" s="89">
        <v>1</v>
      </c>
      <c r="G7661" s="89">
        <v>1</v>
      </c>
      <c r="H7661" s="89">
        <v>1</v>
      </c>
      <c r="I7661" s="89">
        <v>1</v>
      </c>
      <c r="J7661" s="710">
        <f>(VLOOKUP($C7661,[2]Sheet1!$A$2:$P$18,$M7661+1)/12)*12*D7661</f>
        <v>307706.70240000007</v>
      </c>
      <c r="K7661" s="711"/>
      <c r="M7661" s="62">
        <f t="shared" si="614"/>
        <v>3</v>
      </c>
    </row>
    <row r="7662" spans="1:13">
      <c r="A7662" s="88">
        <f t="shared" si="618"/>
        <v>69</v>
      </c>
      <c r="B7662" s="127" t="s">
        <v>2918</v>
      </c>
      <c r="C7662" s="69">
        <v>6</v>
      </c>
      <c r="D7662" s="89">
        <v>2</v>
      </c>
      <c r="E7662" s="89">
        <v>2</v>
      </c>
      <c r="F7662" s="89">
        <v>2</v>
      </c>
      <c r="G7662" s="89">
        <v>2</v>
      </c>
      <c r="H7662" s="89">
        <v>2</v>
      </c>
      <c r="I7662" s="89">
        <v>2</v>
      </c>
      <c r="J7662" s="710">
        <f>(VLOOKUP($C7662,[2]Sheet1!$A$2:$P$18,$M7662+1)/12)*12*D7662</f>
        <v>476198.75786072994</v>
      </c>
      <c r="K7662" s="711"/>
      <c r="M7662" s="62">
        <f t="shared" si="614"/>
        <v>5</v>
      </c>
    </row>
    <row r="7663" spans="1:13">
      <c r="A7663" s="88">
        <f t="shared" si="618"/>
        <v>70</v>
      </c>
      <c r="B7663" s="127" t="s">
        <v>2356</v>
      </c>
      <c r="C7663" s="69">
        <v>6</v>
      </c>
      <c r="D7663" s="89">
        <v>2</v>
      </c>
      <c r="E7663" s="89">
        <v>2</v>
      </c>
      <c r="F7663" s="89">
        <v>2</v>
      </c>
      <c r="G7663" s="89">
        <v>2</v>
      </c>
      <c r="H7663" s="89">
        <v>2</v>
      </c>
      <c r="I7663" s="89">
        <v>2</v>
      </c>
      <c r="J7663" s="710">
        <f>(VLOOKUP($C7663,[2]Sheet1!$A$2:$P$18,$M7663+1)/12)*12*D7663</f>
        <v>476198.75786072994</v>
      </c>
      <c r="K7663" s="711"/>
      <c r="M7663" s="62">
        <f t="shared" si="614"/>
        <v>5</v>
      </c>
    </row>
    <row r="7664" spans="1:13">
      <c r="A7664" s="88">
        <f t="shared" si="618"/>
        <v>71</v>
      </c>
      <c r="B7664" s="127" t="s">
        <v>3735</v>
      </c>
      <c r="C7664" s="69">
        <v>7</v>
      </c>
      <c r="D7664" s="89">
        <v>1</v>
      </c>
      <c r="E7664" s="89">
        <v>1</v>
      </c>
      <c r="F7664" s="89">
        <v>1</v>
      </c>
      <c r="G7664" s="89">
        <v>1</v>
      </c>
      <c r="H7664" s="89">
        <v>1</v>
      </c>
      <c r="I7664" s="89">
        <v>1</v>
      </c>
      <c r="J7664" s="710">
        <f>(VLOOKUP($C7664,[2]Sheet1!$A$2:$P$18,$M7664+1)/12)*12*D7664</f>
        <v>307706.70240000007</v>
      </c>
      <c r="K7664" s="711"/>
      <c r="M7664" s="62">
        <f t="shared" si="614"/>
        <v>3</v>
      </c>
    </row>
    <row r="7665" spans="1:13">
      <c r="A7665" s="88">
        <f t="shared" si="618"/>
        <v>72</v>
      </c>
      <c r="B7665" s="127" t="s">
        <v>1541</v>
      </c>
      <c r="C7665" s="69">
        <v>5</v>
      </c>
      <c r="D7665" s="89">
        <v>2</v>
      </c>
      <c r="E7665" s="89">
        <v>2</v>
      </c>
      <c r="F7665" s="89">
        <v>2</v>
      </c>
      <c r="G7665" s="89">
        <v>2</v>
      </c>
      <c r="H7665" s="89">
        <v>2</v>
      </c>
      <c r="I7665" s="89">
        <v>2</v>
      </c>
      <c r="J7665" s="710">
        <f>(VLOOKUP($C7665,[2]Sheet1!$A$2:$P$18,$M7665+1)/12)*12*D7665</f>
        <v>459139.55786072998</v>
      </c>
      <c r="K7665" s="711"/>
      <c r="M7665" s="62">
        <f t="shared" si="614"/>
        <v>5</v>
      </c>
    </row>
    <row r="7666" spans="1:13">
      <c r="A7666" s="88">
        <f t="shared" si="618"/>
        <v>73</v>
      </c>
      <c r="B7666" s="127" t="s">
        <v>2357</v>
      </c>
      <c r="C7666" s="69">
        <v>5</v>
      </c>
      <c r="D7666" s="89">
        <v>3</v>
      </c>
      <c r="E7666" s="89">
        <v>3</v>
      </c>
      <c r="F7666" s="89">
        <v>3</v>
      </c>
      <c r="G7666" s="89">
        <v>3</v>
      </c>
      <c r="H7666" s="89">
        <v>3</v>
      </c>
      <c r="I7666" s="89">
        <v>3</v>
      </c>
      <c r="J7666" s="710">
        <f>(VLOOKUP($C7666,[2]Sheet1!$A$2:$P$18,$M7666+1)/12)*12*D7666</f>
        <v>688709.33679109497</v>
      </c>
      <c r="K7666" s="711"/>
      <c r="M7666" s="62">
        <f t="shared" si="614"/>
        <v>5</v>
      </c>
    </row>
    <row r="7667" spans="1:13">
      <c r="A7667" s="88">
        <f t="shared" si="618"/>
        <v>74</v>
      </c>
      <c r="B7667" s="127" t="s">
        <v>2358</v>
      </c>
      <c r="C7667" s="69">
        <v>3</v>
      </c>
      <c r="D7667" s="89">
        <v>6</v>
      </c>
      <c r="E7667" s="89">
        <v>6</v>
      </c>
      <c r="F7667" s="89">
        <v>6</v>
      </c>
      <c r="G7667" s="89">
        <v>6</v>
      </c>
      <c r="H7667" s="89">
        <v>6</v>
      </c>
      <c r="I7667" s="89">
        <v>6</v>
      </c>
      <c r="J7667" s="710">
        <f>(VLOOKUP($C7667,[2]Sheet1!$A$2:$P$18,$M7667+1)/12)*12*D7667</f>
        <v>1316017.0735821899</v>
      </c>
      <c r="K7667" s="711"/>
      <c r="M7667" s="62">
        <f t="shared" si="614"/>
        <v>5</v>
      </c>
    </row>
    <row r="7668" spans="1:13">
      <c r="A7668" s="88">
        <f t="shared" si="618"/>
        <v>75</v>
      </c>
      <c r="B7668" s="127" t="s">
        <v>2359</v>
      </c>
      <c r="C7668" s="69">
        <v>2</v>
      </c>
      <c r="D7668" s="89">
        <v>5</v>
      </c>
      <c r="E7668" s="89">
        <v>5</v>
      </c>
      <c r="F7668" s="89">
        <v>5</v>
      </c>
      <c r="G7668" s="89">
        <v>5</v>
      </c>
      <c r="H7668" s="89">
        <v>5</v>
      </c>
      <c r="I7668" s="89">
        <v>5</v>
      </c>
      <c r="J7668" s="710">
        <f>(VLOOKUP($C7668,[2]Sheet1!$A$2:$P$18,$M7668+1)/12)*12*D7668</f>
        <v>1073286.8946518251</v>
      </c>
      <c r="K7668" s="711"/>
      <c r="M7668" s="62">
        <f t="shared" si="614"/>
        <v>5</v>
      </c>
    </row>
    <row r="7669" spans="1:13">
      <c r="A7669" s="88">
        <f t="shared" si="618"/>
        <v>76</v>
      </c>
      <c r="B7669" s="127" t="s">
        <v>2919</v>
      </c>
      <c r="C7669" s="69">
        <v>3</v>
      </c>
      <c r="D7669" s="89">
        <v>8</v>
      </c>
      <c r="E7669" s="89">
        <v>8</v>
      </c>
      <c r="F7669" s="89">
        <v>8</v>
      </c>
      <c r="G7669" s="89">
        <v>8</v>
      </c>
      <c r="H7669" s="89">
        <v>5</v>
      </c>
      <c r="I7669" s="89">
        <v>8</v>
      </c>
      <c r="J7669" s="710">
        <f>(VLOOKUP($C7669,[2]Sheet1!$A$2:$P$18,$M7669+1)/12)*12*D7669</f>
        <v>1754689.4314429199</v>
      </c>
      <c r="K7669" s="711"/>
      <c r="M7669" s="62">
        <f t="shared" si="614"/>
        <v>5</v>
      </c>
    </row>
    <row r="7670" spans="1:13">
      <c r="A7670" s="88">
        <f t="shared" si="618"/>
        <v>77</v>
      </c>
      <c r="B7670" s="127" t="s">
        <v>3448</v>
      </c>
      <c r="C7670" s="69">
        <v>2</v>
      </c>
      <c r="D7670" s="89">
        <v>8</v>
      </c>
      <c r="E7670" s="89">
        <v>8</v>
      </c>
      <c r="F7670" s="89">
        <v>8</v>
      </c>
      <c r="G7670" s="89">
        <v>8</v>
      </c>
      <c r="H7670" s="89">
        <v>5</v>
      </c>
      <c r="I7670" s="89">
        <v>8</v>
      </c>
      <c r="J7670" s="710">
        <f>(VLOOKUP($C7670,[2]Sheet1!$A$2:$P$18,$M7670+1)/12)*12*D7670</f>
        <v>1717259.0314429202</v>
      </c>
      <c r="K7670" s="711"/>
      <c r="M7670" s="62">
        <f t="shared" si="614"/>
        <v>5</v>
      </c>
    </row>
    <row r="7671" spans="1:13">
      <c r="A7671" s="88">
        <f t="shared" si="618"/>
        <v>78</v>
      </c>
      <c r="B7671" s="127" t="s">
        <v>3449</v>
      </c>
      <c r="C7671" s="69">
        <v>4</v>
      </c>
      <c r="D7671" s="89">
        <v>3</v>
      </c>
      <c r="E7671" s="89">
        <v>3</v>
      </c>
      <c r="F7671" s="89">
        <v>3</v>
      </c>
      <c r="G7671" s="89">
        <v>3</v>
      </c>
      <c r="H7671" s="89">
        <v>3</v>
      </c>
      <c r="I7671" s="89">
        <v>3</v>
      </c>
      <c r="J7671" s="710">
        <f>(VLOOKUP($C7671,[2]Sheet1!$A$2:$P$18,$M7671+1)/12)*12*D7671</f>
        <v>673628.93679109495</v>
      </c>
      <c r="K7671" s="711"/>
      <c r="M7671" s="62">
        <f t="shared" si="614"/>
        <v>5</v>
      </c>
    </row>
    <row r="7672" spans="1:13">
      <c r="A7672" s="88">
        <f t="shared" si="618"/>
        <v>79</v>
      </c>
      <c r="B7672" s="127" t="s">
        <v>3450</v>
      </c>
      <c r="C7672" s="69">
        <v>5</v>
      </c>
      <c r="D7672" s="89">
        <v>3</v>
      </c>
      <c r="E7672" s="89">
        <v>3</v>
      </c>
      <c r="F7672" s="89">
        <v>3</v>
      </c>
      <c r="G7672" s="89">
        <v>3</v>
      </c>
      <c r="H7672" s="89">
        <v>3</v>
      </c>
      <c r="I7672" s="89">
        <v>3</v>
      </c>
      <c r="J7672" s="710">
        <f>(VLOOKUP($C7672,[2]Sheet1!$A$2:$P$18,$M7672+1)/12)*12*D7672</f>
        <v>688709.33679109497</v>
      </c>
      <c r="K7672" s="711"/>
      <c r="M7672" s="62">
        <f t="shared" ref="M7672:M7729" si="619">IF(C7672&gt;6,3,5)</f>
        <v>5</v>
      </c>
    </row>
    <row r="7673" spans="1:13">
      <c r="A7673" s="92"/>
      <c r="B7673" s="93" t="s">
        <v>1684</v>
      </c>
      <c r="C7673" s="94"/>
      <c r="D7673" s="123">
        <v>207</v>
      </c>
      <c r="E7673" s="123">
        <f>SUM(E7569:E7672)</f>
        <v>399</v>
      </c>
      <c r="F7673" s="123">
        <v>207</v>
      </c>
      <c r="G7673" s="123">
        <v>207</v>
      </c>
      <c r="H7673" s="123">
        <f>SUM(H7569:H7672)</f>
        <v>296</v>
      </c>
      <c r="I7673" s="123">
        <v>207</v>
      </c>
      <c r="J7673" s="123">
        <f>SUM(J7569:J7672)</f>
        <v>79389829.758967459</v>
      </c>
      <c r="K7673" s="378"/>
      <c r="M7673" s="62">
        <f t="shared" si="619"/>
        <v>5</v>
      </c>
    </row>
    <row r="7674" spans="1:13">
      <c r="A7674" s="88" t="s">
        <v>1840</v>
      </c>
      <c r="B7674" s="69"/>
      <c r="C7674" s="69"/>
      <c r="D7674" s="89"/>
      <c r="E7674" s="89"/>
      <c r="F7674" s="89"/>
      <c r="G7674" s="89"/>
      <c r="H7674" s="89"/>
      <c r="I7674" s="89"/>
      <c r="J7674" s="89"/>
      <c r="K7674" s="114"/>
      <c r="M7674" s="62">
        <f t="shared" si="619"/>
        <v>5</v>
      </c>
    </row>
    <row r="7675" spans="1:13">
      <c r="A7675" s="88" t="s">
        <v>1840</v>
      </c>
      <c r="B7675" s="97" t="s">
        <v>1199</v>
      </c>
      <c r="C7675" s="69"/>
      <c r="D7675" s="89"/>
      <c r="E7675" s="89"/>
      <c r="F7675" s="99"/>
      <c r="G7675" s="240" t="s">
        <v>243</v>
      </c>
      <c r="H7675" s="240" t="s">
        <v>4130</v>
      </c>
      <c r="I7675" s="240" t="s">
        <v>4202</v>
      </c>
      <c r="J7675" s="241" t="s">
        <v>4200</v>
      </c>
      <c r="K7675" s="375"/>
      <c r="M7675" s="62">
        <f t="shared" si="619"/>
        <v>5</v>
      </c>
    </row>
    <row r="7676" spans="1:13">
      <c r="A7676" s="88">
        <v>1</v>
      </c>
      <c r="B7676" s="69" t="s">
        <v>2786</v>
      </c>
      <c r="C7676" s="69"/>
      <c r="D7676" s="89"/>
      <c r="E7676" s="89"/>
      <c r="F7676" s="89"/>
      <c r="G7676" s="100">
        <f>J7673*0.2</f>
        <v>15877965.951793492</v>
      </c>
      <c r="H7676" s="100">
        <f>G7676*1.02</f>
        <v>16195525.270829363</v>
      </c>
      <c r="I7676" s="100">
        <f>H7676*1.02</f>
        <v>16519435.77624595</v>
      </c>
      <c r="J7676" s="100">
        <f>SUM(G7676:I7676)</f>
        <v>48592926.998868808</v>
      </c>
      <c r="K7676" s="114"/>
      <c r="M7676" s="62">
        <f t="shared" si="619"/>
        <v>5</v>
      </c>
    </row>
    <row r="7677" spans="1:13">
      <c r="A7677" s="88"/>
      <c r="B7677" s="69"/>
      <c r="C7677" s="69"/>
      <c r="D7677" s="89"/>
      <c r="E7677" s="89"/>
      <c r="F7677" s="89"/>
      <c r="G7677" s="111"/>
      <c r="H7677" s="111"/>
      <c r="I7677" s="111"/>
      <c r="J7677" s="111"/>
      <c r="K7677" s="114"/>
      <c r="M7677" s="62">
        <f t="shared" si="619"/>
        <v>5</v>
      </c>
    </row>
    <row r="7678" spans="1:13">
      <c r="A7678" s="92" t="s">
        <v>1840</v>
      </c>
      <c r="B7678" s="93" t="s">
        <v>1684</v>
      </c>
      <c r="C7678" s="94"/>
      <c r="D7678" s="101"/>
      <c r="E7678" s="101"/>
      <c r="F7678" s="123"/>
      <c r="G7678" s="123">
        <f>SUM(G7676:G7677)</f>
        <v>15877965.951793492</v>
      </c>
      <c r="H7678" s="123">
        <f>SUM(H7676:H7677)</f>
        <v>16195525.270829363</v>
      </c>
      <c r="I7678" s="123">
        <f>SUM(I7676:I7677)</f>
        <v>16519435.77624595</v>
      </c>
      <c r="J7678" s="123">
        <f>SUM(J7676:J7677)</f>
        <v>48592926.998868808</v>
      </c>
      <c r="K7678" s="378"/>
      <c r="M7678" s="62">
        <f t="shared" si="619"/>
        <v>5</v>
      </c>
    </row>
    <row r="7679" spans="1:13">
      <c r="A7679" s="88"/>
      <c r="B7679" s="97"/>
      <c r="C7679" s="69"/>
      <c r="D7679" s="89"/>
      <c r="E7679" s="89"/>
      <c r="F7679" s="126"/>
      <c r="G7679" s="126"/>
      <c r="H7679" s="126"/>
      <c r="I7679" s="126"/>
      <c r="J7679" s="126"/>
      <c r="K7679" s="132"/>
      <c r="M7679" s="62">
        <f t="shared" si="619"/>
        <v>5</v>
      </c>
    </row>
    <row r="7680" spans="1:13">
      <c r="A7680" s="88" t="s">
        <v>1840</v>
      </c>
      <c r="B7680" s="69" t="s">
        <v>1119</v>
      </c>
      <c r="C7680" s="69"/>
      <c r="D7680" s="89"/>
      <c r="E7680" s="89"/>
      <c r="F7680" s="89"/>
      <c r="G7680" s="100">
        <f>G7678+J7673</f>
        <v>95267795.710760951</v>
      </c>
      <c r="H7680" s="100">
        <f>G7680*1.02</f>
        <v>97173151.624976173</v>
      </c>
      <c r="I7680" s="100">
        <f>H7680*1.02</f>
        <v>99116614.657475695</v>
      </c>
      <c r="J7680" s="100">
        <f>SUM(G7680:I7680)</f>
        <v>291557561.99321282</v>
      </c>
      <c r="K7680" s="114"/>
      <c r="L7680" s="112"/>
      <c r="M7680" s="62">
        <f t="shared" si="619"/>
        <v>5</v>
      </c>
    </row>
    <row r="7681" spans="1:13">
      <c r="A7681" s="88" t="s">
        <v>1840</v>
      </c>
      <c r="B7681" s="69" t="s">
        <v>3944</v>
      </c>
      <c r="C7681" s="69"/>
      <c r="D7681" s="89"/>
      <c r="E7681" s="89"/>
      <c r="F7681" s="89"/>
      <c r="G7681" s="89">
        <f>C7710</f>
        <v>59200000</v>
      </c>
      <c r="H7681" s="89">
        <f>D7710</f>
        <v>125700000</v>
      </c>
      <c r="I7681" s="89">
        <f>E7710</f>
        <v>125700000</v>
      </c>
      <c r="J7681" s="100">
        <f>SUM(G7681:I7681)</f>
        <v>310600000</v>
      </c>
      <c r="K7681" s="114"/>
      <c r="M7681" s="62">
        <f t="shared" si="619"/>
        <v>5</v>
      </c>
    </row>
    <row r="7682" spans="1:13">
      <c r="A7682" s="88" t="s">
        <v>1840</v>
      </c>
      <c r="B7682" s="97"/>
      <c r="C7682" s="69"/>
      <c r="D7682" s="89"/>
      <c r="E7682" s="89"/>
      <c r="F7682" s="89"/>
      <c r="G7682" s="89"/>
      <c r="H7682" s="89"/>
      <c r="I7682" s="89"/>
      <c r="J7682" s="89"/>
      <c r="K7682" s="114"/>
      <c r="M7682" s="62">
        <f t="shared" si="619"/>
        <v>5</v>
      </c>
    </row>
    <row r="7683" spans="1:13">
      <c r="A7683" s="92" t="s">
        <v>1840</v>
      </c>
      <c r="B7683" s="93" t="s">
        <v>2843</v>
      </c>
      <c r="C7683" s="94"/>
      <c r="D7683" s="101"/>
      <c r="E7683" s="101"/>
      <c r="F7683" s="123"/>
      <c r="G7683" s="123">
        <f>SUM(G7680:G7682)</f>
        <v>154467795.71076095</v>
      </c>
      <c r="H7683" s="123">
        <f>SUM(H7680:H7682)</f>
        <v>222873151.62497616</v>
      </c>
      <c r="I7683" s="123">
        <f>SUM(I7680:I7682)</f>
        <v>224816614.65747571</v>
      </c>
      <c r="J7683" s="123">
        <f>SUM(J7680:J7682)</f>
        <v>602157561.99321282</v>
      </c>
      <c r="K7683" s="378"/>
      <c r="M7683" s="62">
        <f t="shared" si="619"/>
        <v>5</v>
      </c>
    </row>
    <row r="7684" spans="1:13">
      <c r="J7684" s="76"/>
      <c r="K7684" s="76"/>
      <c r="M7684" s="62">
        <f t="shared" si="619"/>
        <v>5</v>
      </c>
    </row>
    <row r="7685" spans="1:13" ht="15">
      <c r="C7685" s="77"/>
      <c r="D7685" s="78" t="s">
        <v>5434</v>
      </c>
      <c r="J7685" s="584"/>
      <c r="K7685" s="584"/>
      <c r="M7685" s="62">
        <f t="shared" si="619"/>
        <v>5</v>
      </c>
    </row>
    <row r="7686" spans="1:13" ht="15">
      <c r="C7686" s="77"/>
      <c r="D7686" s="78" t="s">
        <v>716</v>
      </c>
      <c r="J7686" s="584"/>
      <c r="K7686" s="584"/>
      <c r="M7686" s="62">
        <f t="shared" si="619"/>
        <v>5</v>
      </c>
    </row>
    <row r="7687" spans="1:13" ht="15">
      <c r="C7687" s="79" t="s">
        <v>717</v>
      </c>
      <c r="D7687" s="78" t="s">
        <v>2619</v>
      </c>
      <c r="J7687" s="584"/>
      <c r="K7687" s="584"/>
      <c r="M7687" s="62">
        <f t="shared" si="619"/>
        <v>3</v>
      </c>
    </row>
    <row r="7688" spans="1:13" ht="15">
      <c r="C7688" s="79" t="s">
        <v>718</v>
      </c>
      <c r="D7688" s="78">
        <v>425</v>
      </c>
      <c r="J7688" s="584"/>
      <c r="K7688" s="584"/>
      <c r="M7688" s="62">
        <f t="shared" si="619"/>
        <v>3</v>
      </c>
    </row>
    <row r="7689" spans="1:13" ht="15">
      <c r="A7689" s="634" t="s">
        <v>1839</v>
      </c>
      <c r="B7689" s="635" t="s">
        <v>903</v>
      </c>
      <c r="C7689" s="1037" t="s">
        <v>4127</v>
      </c>
      <c r="D7689" s="1038"/>
      <c r="E7689" s="1039"/>
      <c r="F7689" s="635" t="s">
        <v>1684</v>
      </c>
      <c r="G7689" s="1037" t="s">
        <v>4132</v>
      </c>
      <c r="H7689" s="1038"/>
      <c r="I7689" s="1039"/>
      <c r="J7689" s="726"/>
      <c r="K7689" s="727"/>
    </row>
    <row r="7690" spans="1:13">
      <c r="A7690" s="636" t="s">
        <v>1620</v>
      </c>
      <c r="B7690" s="637"/>
      <c r="C7690" s="635" t="s">
        <v>1841</v>
      </c>
      <c r="D7690" s="635" t="s">
        <v>4133</v>
      </c>
      <c r="E7690" s="635" t="s">
        <v>4133</v>
      </c>
      <c r="F7690" s="1056" t="s">
        <v>4200</v>
      </c>
      <c r="G7690" s="634" t="s">
        <v>4135</v>
      </c>
      <c r="H7690" s="1051" t="s">
        <v>4182</v>
      </c>
      <c r="I7690" s="634" t="s">
        <v>4135</v>
      </c>
      <c r="J7690" s="728" t="s">
        <v>4136</v>
      </c>
      <c r="K7690" s="727"/>
    </row>
    <row r="7691" spans="1:13" ht="12.75" customHeight="1">
      <c r="A7691" s="638" t="s">
        <v>387</v>
      </c>
      <c r="B7691" s="639"/>
      <c r="C7691" s="638">
        <v>2015</v>
      </c>
      <c r="D7691" s="638">
        <v>2016</v>
      </c>
      <c r="E7691" s="638">
        <v>2017</v>
      </c>
      <c r="F7691" s="1057"/>
      <c r="G7691" s="638" t="s">
        <v>4304</v>
      </c>
      <c r="H7691" s="1052"/>
      <c r="I7691" s="638" t="s">
        <v>4303</v>
      </c>
      <c r="J7691" s="639"/>
      <c r="K7691" s="729"/>
    </row>
    <row r="7692" spans="1:13">
      <c r="A7692" s="730"/>
      <c r="B7692" s="730"/>
      <c r="C7692" s="764"/>
      <c r="D7692" s="764"/>
      <c r="E7692" s="764"/>
      <c r="F7692" s="764"/>
      <c r="G7692" s="764"/>
      <c r="H7692" s="764"/>
      <c r="I7692" s="764"/>
      <c r="J7692" s="764"/>
      <c r="K7692" s="765"/>
      <c r="M7692" s="62" t="e">
        <f>IF(#REF!&gt;6,3,5)</f>
        <v>#REF!</v>
      </c>
    </row>
    <row r="7693" spans="1:13">
      <c r="A7693" s="730">
        <v>2</v>
      </c>
      <c r="B7693" s="733" t="s">
        <v>1695</v>
      </c>
      <c r="C7693" s="390">
        <v>1500000</v>
      </c>
      <c r="D7693" s="390">
        <v>1500000</v>
      </c>
      <c r="E7693" s="390">
        <v>1500000</v>
      </c>
      <c r="F7693" s="390">
        <f>SUM(C7693:E7693)</f>
        <v>4500000</v>
      </c>
      <c r="G7693" s="390">
        <v>640000</v>
      </c>
      <c r="H7693" s="390">
        <v>1300000</v>
      </c>
      <c r="I7693" s="390">
        <v>741000</v>
      </c>
      <c r="J7693" s="390"/>
      <c r="K7693" s="734"/>
      <c r="M7693" s="62" t="e">
        <f>IF(#REF!&gt;6,3,5)</f>
        <v>#REF!</v>
      </c>
    </row>
    <row r="7694" spans="1:13">
      <c r="A7694" s="730">
        <f t="shared" ref="A7694:A7708" si="620">+A7693+1</f>
        <v>3</v>
      </c>
      <c r="B7694" s="733" t="s">
        <v>1696</v>
      </c>
      <c r="C7694" s="390" t="s">
        <v>1386</v>
      </c>
      <c r="D7694" s="390" t="s">
        <v>1386</v>
      </c>
      <c r="E7694" s="390" t="s">
        <v>1386</v>
      </c>
      <c r="F7694" s="390">
        <f t="shared" ref="F7694:F7708" si="621">SUM(C7694:E7694)</f>
        <v>0</v>
      </c>
      <c r="G7694" s="390"/>
      <c r="H7694" s="390" t="s">
        <v>1386</v>
      </c>
      <c r="I7694" s="390"/>
      <c r="J7694" s="390"/>
      <c r="K7694" s="734"/>
      <c r="M7694" s="62" t="e">
        <f>IF(#REF!&gt;6,3,5)</f>
        <v>#REF!</v>
      </c>
    </row>
    <row r="7695" spans="1:13">
      <c r="A7695" s="730">
        <f t="shared" si="620"/>
        <v>4</v>
      </c>
      <c r="B7695" s="733" t="s">
        <v>1701</v>
      </c>
      <c r="C7695" s="390" t="s">
        <v>1386</v>
      </c>
      <c r="D7695" s="390" t="s">
        <v>1386</v>
      </c>
      <c r="E7695" s="390" t="s">
        <v>1386</v>
      </c>
      <c r="F7695" s="390">
        <f t="shared" si="621"/>
        <v>0</v>
      </c>
      <c r="G7695" s="390"/>
      <c r="H7695" s="390" t="s">
        <v>1386</v>
      </c>
      <c r="I7695" s="390"/>
      <c r="J7695" s="390"/>
      <c r="K7695" s="734"/>
      <c r="M7695" s="62" t="e">
        <f>IF(#REF!&gt;6,3,5)</f>
        <v>#REF!</v>
      </c>
    </row>
    <row r="7696" spans="1:13">
      <c r="A7696" s="730">
        <f t="shared" si="620"/>
        <v>5</v>
      </c>
      <c r="B7696" s="733" t="s">
        <v>1702</v>
      </c>
      <c r="C7696" s="390">
        <v>1000000</v>
      </c>
      <c r="D7696" s="390">
        <v>2000000</v>
      </c>
      <c r="E7696" s="390">
        <v>2000000</v>
      </c>
      <c r="F7696" s="390">
        <f t="shared" si="621"/>
        <v>5000000</v>
      </c>
      <c r="G7696" s="390">
        <v>925900</v>
      </c>
      <c r="H7696" s="390">
        <v>1000000</v>
      </c>
      <c r="I7696" s="390">
        <v>1031000</v>
      </c>
      <c r="J7696" s="390"/>
      <c r="K7696" s="734"/>
      <c r="M7696" s="62" t="e">
        <f>IF(#REF!&gt;6,3,5)</f>
        <v>#REF!</v>
      </c>
    </row>
    <row r="7697" spans="1:13">
      <c r="A7697" s="730">
        <f t="shared" si="620"/>
        <v>6</v>
      </c>
      <c r="B7697" s="733" t="s">
        <v>3826</v>
      </c>
      <c r="C7697" s="390">
        <v>1000000</v>
      </c>
      <c r="D7697" s="390">
        <v>1000000</v>
      </c>
      <c r="E7697" s="390">
        <v>1000000</v>
      </c>
      <c r="F7697" s="390">
        <f t="shared" si="621"/>
        <v>3000000</v>
      </c>
      <c r="G7697" s="390">
        <v>250000</v>
      </c>
      <c r="H7697" s="390">
        <v>500000</v>
      </c>
      <c r="I7697" s="390">
        <v>349000</v>
      </c>
      <c r="J7697" s="390"/>
      <c r="K7697" s="734"/>
      <c r="M7697" s="62" t="e">
        <f>IF(#REF!&gt;6,3,5)</f>
        <v>#REF!</v>
      </c>
    </row>
    <row r="7698" spans="1:13">
      <c r="A7698" s="730">
        <f t="shared" si="620"/>
        <v>7</v>
      </c>
      <c r="B7698" s="733" t="s">
        <v>3680</v>
      </c>
      <c r="C7698" s="390">
        <v>1000000</v>
      </c>
      <c r="D7698" s="390">
        <v>1000000</v>
      </c>
      <c r="E7698" s="390">
        <v>1000000</v>
      </c>
      <c r="F7698" s="390">
        <f t="shared" si="621"/>
        <v>3000000</v>
      </c>
      <c r="G7698" s="390">
        <v>1239500</v>
      </c>
      <c r="H7698" s="390">
        <v>1000000</v>
      </c>
      <c r="I7698" s="390">
        <v>1239500</v>
      </c>
      <c r="J7698" s="390"/>
      <c r="K7698" s="734"/>
      <c r="M7698" s="62" t="e">
        <f>IF(#REF!&gt;6,3,5)</f>
        <v>#REF!</v>
      </c>
    </row>
    <row r="7699" spans="1:13">
      <c r="A7699" s="730">
        <f t="shared" si="620"/>
        <v>8</v>
      </c>
      <c r="B7699" s="733" t="s">
        <v>1385</v>
      </c>
      <c r="C7699" s="390" t="s">
        <v>1386</v>
      </c>
      <c r="D7699" s="390" t="s">
        <v>1386</v>
      </c>
      <c r="E7699" s="390" t="s">
        <v>1386</v>
      </c>
      <c r="F7699" s="390">
        <f t="shared" si="621"/>
        <v>0</v>
      </c>
      <c r="G7699" s="390"/>
      <c r="H7699" s="390" t="s">
        <v>1386</v>
      </c>
      <c r="I7699" s="390"/>
      <c r="J7699" s="390"/>
      <c r="K7699" s="734"/>
      <c r="M7699" s="62" t="e">
        <f>IF(#REF!&gt;6,3,5)</f>
        <v>#REF!</v>
      </c>
    </row>
    <row r="7700" spans="1:13">
      <c r="A7700" s="730">
        <f t="shared" si="620"/>
        <v>9</v>
      </c>
      <c r="B7700" s="733" t="s">
        <v>2061</v>
      </c>
      <c r="C7700" s="390" t="s">
        <v>1386</v>
      </c>
      <c r="D7700" s="390" t="s">
        <v>1386</v>
      </c>
      <c r="E7700" s="390" t="s">
        <v>1386</v>
      </c>
      <c r="F7700" s="390">
        <f t="shared" si="621"/>
        <v>0</v>
      </c>
      <c r="G7700" s="390"/>
      <c r="H7700" s="390" t="s">
        <v>1386</v>
      </c>
      <c r="I7700" s="390"/>
      <c r="J7700" s="390"/>
      <c r="K7700" s="734"/>
      <c r="M7700" s="62" t="e">
        <f>IF(#REF!&gt;6,3,5)</f>
        <v>#REF!</v>
      </c>
    </row>
    <row r="7701" spans="1:13">
      <c r="A7701" s="730">
        <f t="shared" si="620"/>
        <v>10</v>
      </c>
      <c r="B7701" s="733" t="s">
        <v>2685</v>
      </c>
      <c r="C7701" s="390">
        <v>1000000</v>
      </c>
      <c r="D7701" s="390">
        <v>1000000</v>
      </c>
      <c r="E7701" s="390">
        <v>1000000</v>
      </c>
      <c r="F7701" s="390">
        <f t="shared" si="621"/>
        <v>3000000</v>
      </c>
      <c r="G7701" s="390">
        <v>480000</v>
      </c>
      <c r="H7701" s="390">
        <v>800000</v>
      </c>
      <c r="I7701" s="390">
        <v>640000</v>
      </c>
      <c r="J7701" s="390"/>
      <c r="K7701" s="734"/>
      <c r="M7701" s="62" t="e">
        <f>IF(#REF!&gt;6,3,5)</f>
        <v>#REF!</v>
      </c>
    </row>
    <row r="7702" spans="1:13">
      <c r="A7702" s="730">
        <f t="shared" si="620"/>
        <v>11</v>
      </c>
      <c r="B7702" s="733" t="s">
        <v>2687</v>
      </c>
      <c r="C7702" s="390">
        <v>100000</v>
      </c>
      <c r="D7702" s="390">
        <v>100000</v>
      </c>
      <c r="E7702" s="390">
        <v>100000</v>
      </c>
      <c r="F7702" s="390">
        <f t="shared" si="621"/>
        <v>300000</v>
      </c>
      <c r="G7702" s="390">
        <v>55000</v>
      </c>
      <c r="H7702" s="390">
        <v>100000</v>
      </c>
      <c r="I7702" s="390">
        <v>55000</v>
      </c>
      <c r="J7702" s="390"/>
      <c r="K7702" s="734"/>
      <c r="M7702" s="62" t="e">
        <f>IF(#REF!&gt;6,3,5)</f>
        <v>#REF!</v>
      </c>
    </row>
    <row r="7703" spans="1:13">
      <c r="A7703" s="730">
        <f t="shared" si="620"/>
        <v>12</v>
      </c>
      <c r="B7703" s="733" t="s">
        <v>2688</v>
      </c>
      <c r="C7703" s="390">
        <v>1500000</v>
      </c>
      <c r="D7703" s="390">
        <v>3000000</v>
      </c>
      <c r="E7703" s="390">
        <v>3000000</v>
      </c>
      <c r="F7703" s="390">
        <f t="shared" si="621"/>
        <v>7500000</v>
      </c>
      <c r="G7703" s="390">
        <v>1766000</v>
      </c>
      <c r="H7703" s="390">
        <v>2000000</v>
      </c>
      <c r="I7703" s="390">
        <v>1731000</v>
      </c>
      <c r="J7703" s="390"/>
      <c r="K7703" s="734"/>
      <c r="M7703" s="62" t="e">
        <f>IF(#REF!&gt;6,3,5)</f>
        <v>#REF!</v>
      </c>
    </row>
    <row r="7704" spans="1:13">
      <c r="A7704" s="730">
        <f t="shared" si="620"/>
        <v>13</v>
      </c>
      <c r="B7704" s="733" t="s">
        <v>2249</v>
      </c>
      <c r="C7704" s="390">
        <v>100000</v>
      </c>
      <c r="D7704" s="390">
        <v>100000</v>
      </c>
      <c r="E7704" s="390">
        <v>100000</v>
      </c>
      <c r="F7704" s="390">
        <f t="shared" si="621"/>
        <v>300000</v>
      </c>
      <c r="G7704" s="390"/>
      <c r="H7704" s="390">
        <v>100000</v>
      </c>
      <c r="I7704" s="390"/>
      <c r="J7704" s="390"/>
      <c r="K7704" s="734"/>
      <c r="M7704" s="62" t="e">
        <f>IF(#REF!&gt;6,3,5)</f>
        <v>#REF!</v>
      </c>
    </row>
    <row r="7705" spans="1:13">
      <c r="A7705" s="730">
        <f t="shared" si="620"/>
        <v>14</v>
      </c>
      <c r="B7705" s="733" t="s">
        <v>3018</v>
      </c>
      <c r="C7705" s="390">
        <v>1000000</v>
      </c>
      <c r="D7705" s="390">
        <v>3000000</v>
      </c>
      <c r="E7705" s="390">
        <v>3000000</v>
      </c>
      <c r="F7705" s="390">
        <f t="shared" si="621"/>
        <v>7000000</v>
      </c>
      <c r="G7705" s="390">
        <v>1485000</v>
      </c>
      <c r="H7705" s="390">
        <v>1000000</v>
      </c>
      <c r="I7705" s="390">
        <v>58000</v>
      </c>
      <c r="J7705" s="390"/>
      <c r="K7705" s="734"/>
      <c r="M7705" s="62" t="e">
        <f>IF(#REF!&gt;6,3,5)</f>
        <v>#REF!</v>
      </c>
    </row>
    <row r="7706" spans="1:13">
      <c r="A7706" s="730">
        <f t="shared" si="620"/>
        <v>15</v>
      </c>
      <c r="B7706" s="733" t="s">
        <v>2848</v>
      </c>
      <c r="C7706" s="390">
        <v>20000000</v>
      </c>
      <c r="D7706" s="390">
        <v>40000000</v>
      </c>
      <c r="E7706" s="390">
        <v>40000000</v>
      </c>
      <c r="F7706" s="390">
        <f t="shared" si="621"/>
        <v>100000000</v>
      </c>
      <c r="G7706" s="390">
        <f>26932600+400000</f>
        <v>27332600</v>
      </c>
      <c r="H7706" s="390">
        <v>30000000</v>
      </c>
      <c r="I7706" s="390">
        <v>9000000</v>
      </c>
      <c r="J7706" s="390"/>
      <c r="K7706" s="734"/>
      <c r="M7706" s="62" t="e">
        <f>IF(#REF!&gt;6,3,5)</f>
        <v>#REF!</v>
      </c>
    </row>
    <row r="7707" spans="1:13">
      <c r="A7707" s="730">
        <f t="shared" si="620"/>
        <v>16</v>
      </c>
      <c r="B7707" s="733" t="s">
        <v>3451</v>
      </c>
      <c r="C7707" s="390">
        <v>30000000</v>
      </c>
      <c r="D7707" s="390">
        <v>70000000</v>
      </c>
      <c r="E7707" s="390">
        <v>70000000</v>
      </c>
      <c r="F7707" s="390">
        <f t="shared" si="621"/>
        <v>170000000</v>
      </c>
      <c r="G7707" s="390">
        <v>31601000</v>
      </c>
      <c r="H7707" s="390">
        <v>30000000</v>
      </c>
      <c r="I7707" s="390">
        <f>1993000+500000+4094000</f>
        <v>6587000</v>
      </c>
      <c r="J7707" s="390"/>
      <c r="K7707" s="734"/>
      <c r="M7707" s="62" t="e">
        <f>IF(#REF!&gt;6,3,5)</f>
        <v>#REF!</v>
      </c>
    </row>
    <row r="7708" spans="1:13" ht="25.5">
      <c r="A7708" s="730">
        <f t="shared" si="620"/>
        <v>17</v>
      </c>
      <c r="B7708" s="733" t="s">
        <v>2150</v>
      </c>
      <c r="C7708" s="390">
        <v>1000000</v>
      </c>
      <c r="D7708" s="390">
        <v>3000000</v>
      </c>
      <c r="E7708" s="390">
        <v>3000000</v>
      </c>
      <c r="F7708" s="390">
        <f t="shared" si="621"/>
        <v>7000000</v>
      </c>
      <c r="G7708" s="390"/>
      <c r="H7708" s="390">
        <v>3000000</v>
      </c>
      <c r="I7708" s="390"/>
      <c r="J7708" s="390"/>
      <c r="K7708" s="734"/>
      <c r="M7708" s="62" t="e">
        <f>IF(#REF!&gt;6,3,5)</f>
        <v>#REF!</v>
      </c>
    </row>
    <row r="7709" spans="1:13">
      <c r="A7709" s="730"/>
      <c r="B7709" s="733"/>
      <c r="C7709" s="390"/>
      <c r="D7709" s="390"/>
      <c r="E7709" s="390"/>
      <c r="F7709" s="390"/>
      <c r="G7709" s="390"/>
      <c r="H7709" s="390"/>
      <c r="I7709" s="390"/>
      <c r="J7709" s="390"/>
      <c r="K7709" s="734"/>
      <c r="M7709" s="62" t="e">
        <f>IF(#REF!&gt;6,3,5)</f>
        <v>#REF!</v>
      </c>
    </row>
    <row r="7710" spans="1:13">
      <c r="A7710" s="738"/>
      <c r="B7710" s="738" t="s">
        <v>1684</v>
      </c>
      <c r="C7710" s="739">
        <f t="shared" ref="C7710:I7710" si="622">SUM(C7692:C7709)</f>
        <v>59200000</v>
      </c>
      <c r="D7710" s="739">
        <f t="shared" si="622"/>
        <v>125700000</v>
      </c>
      <c r="E7710" s="739">
        <f t="shared" si="622"/>
        <v>125700000</v>
      </c>
      <c r="F7710" s="739">
        <f t="shared" si="622"/>
        <v>310600000</v>
      </c>
      <c r="G7710" s="739">
        <f>SUM(G7692:G7709)</f>
        <v>65775000</v>
      </c>
      <c r="H7710" s="739">
        <f t="shared" si="622"/>
        <v>70800000</v>
      </c>
      <c r="I7710" s="739">
        <f t="shared" si="622"/>
        <v>21431500</v>
      </c>
      <c r="J7710" s="739"/>
      <c r="K7710" s="740"/>
      <c r="M7710" s="62" t="e">
        <f>IF(#REF!&gt;6,3,5)</f>
        <v>#REF!</v>
      </c>
    </row>
    <row r="7711" spans="1:13" ht="15">
      <c r="J7711" s="584"/>
      <c r="K7711" s="584"/>
      <c r="M7711" s="62">
        <f t="shared" si="619"/>
        <v>5</v>
      </c>
    </row>
    <row r="7712" spans="1:13" ht="15">
      <c r="C7712" s="77"/>
      <c r="D7712" s="78" t="s">
        <v>5434</v>
      </c>
      <c r="J7712" s="584"/>
      <c r="K7712" s="584"/>
      <c r="M7712" s="62">
        <f t="shared" si="619"/>
        <v>5</v>
      </c>
    </row>
    <row r="7713" spans="1:13" ht="15">
      <c r="C7713" s="77"/>
      <c r="D7713" s="78" t="s">
        <v>1693</v>
      </c>
      <c r="J7713" s="584"/>
      <c r="K7713" s="584"/>
      <c r="M7713" s="62">
        <f t="shared" si="619"/>
        <v>5</v>
      </c>
    </row>
    <row r="7714" spans="1:13" ht="15">
      <c r="C7714" s="79" t="s">
        <v>717</v>
      </c>
      <c r="D7714" s="78" t="s">
        <v>2028</v>
      </c>
      <c r="J7714" s="584"/>
      <c r="K7714" s="584"/>
      <c r="M7714" s="62">
        <f t="shared" si="619"/>
        <v>3</v>
      </c>
    </row>
    <row r="7715" spans="1:13" ht="15.75" thickBot="1">
      <c r="C7715" s="79" t="s">
        <v>718</v>
      </c>
      <c r="D7715" s="78">
        <v>426</v>
      </c>
      <c r="J7715" s="584"/>
      <c r="K7715" s="584"/>
      <c r="M7715" s="62">
        <f t="shared" si="619"/>
        <v>3</v>
      </c>
    </row>
    <row r="7716" spans="1:13" ht="15.75" thickTop="1">
      <c r="A7716" s="1047" t="s">
        <v>2791</v>
      </c>
      <c r="B7716" s="1049" t="s">
        <v>4126</v>
      </c>
      <c r="C7716" s="1049" t="s">
        <v>854</v>
      </c>
      <c r="D7716" s="1040" t="s">
        <v>4127</v>
      </c>
      <c r="E7716" s="1041"/>
      <c r="F7716" s="1041"/>
      <c r="G7716" s="1040" t="s">
        <v>904</v>
      </c>
      <c r="H7716" s="1041"/>
      <c r="I7716" s="1042"/>
      <c r="J7716" s="1035" t="s">
        <v>855</v>
      </c>
      <c r="K7716" s="389"/>
    </row>
    <row r="7717" spans="1:13" ht="26.25" thickBot="1">
      <c r="A7717" s="1048"/>
      <c r="B7717" s="1050"/>
      <c r="C7717" s="1050"/>
      <c r="D7717" s="285" t="s">
        <v>5505</v>
      </c>
      <c r="E7717" s="285" t="s">
        <v>4485</v>
      </c>
      <c r="F7717" s="285" t="s">
        <v>4486</v>
      </c>
      <c r="G7717" s="287" t="s">
        <v>4487</v>
      </c>
      <c r="H7717" s="285" t="s">
        <v>4488</v>
      </c>
      <c r="I7717" s="287" t="s">
        <v>4489</v>
      </c>
      <c r="J7717" s="1036"/>
      <c r="K7717" s="712"/>
    </row>
    <row r="7718" spans="1:13" ht="13.5" thickTop="1">
      <c r="A7718" s="88">
        <v>1</v>
      </c>
      <c r="B7718" s="69" t="s">
        <v>2966</v>
      </c>
      <c r="C7718" s="69" t="s">
        <v>2335</v>
      </c>
      <c r="D7718" s="89">
        <v>1</v>
      </c>
      <c r="E7718" s="89">
        <v>1</v>
      </c>
      <c r="F7718" s="89">
        <v>1</v>
      </c>
      <c r="G7718" s="89">
        <v>1</v>
      </c>
      <c r="H7718" s="89">
        <v>1</v>
      </c>
      <c r="I7718" s="89">
        <v>1</v>
      </c>
      <c r="J7718" s="713"/>
      <c r="K7718" s="711"/>
      <c r="M7718" s="62">
        <f t="shared" si="619"/>
        <v>3</v>
      </c>
    </row>
    <row r="7719" spans="1:13">
      <c r="A7719" s="88" t="s">
        <v>1840</v>
      </c>
      <c r="B7719" s="90" t="s">
        <v>483</v>
      </c>
      <c r="C7719" s="69"/>
      <c r="D7719" s="89"/>
      <c r="E7719" s="89"/>
      <c r="F7719" s="89"/>
      <c r="G7719" s="89"/>
      <c r="H7719" s="89"/>
      <c r="I7719" s="89"/>
      <c r="J7719" s="713"/>
      <c r="K7719" s="711"/>
      <c r="M7719" s="62">
        <f t="shared" si="619"/>
        <v>5</v>
      </c>
    </row>
    <row r="7720" spans="1:13">
      <c r="A7720" s="88" t="s">
        <v>1840</v>
      </c>
      <c r="B7720" s="90" t="s">
        <v>484</v>
      </c>
      <c r="C7720" s="69"/>
      <c r="D7720" s="89"/>
      <c r="E7720" s="89"/>
      <c r="F7720" s="89"/>
      <c r="G7720" s="89"/>
      <c r="H7720" s="89"/>
      <c r="I7720" s="89"/>
      <c r="J7720" s="713"/>
      <c r="K7720" s="711"/>
      <c r="M7720" s="62">
        <f t="shared" si="619"/>
        <v>5</v>
      </c>
    </row>
    <row r="7721" spans="1:13">
      <c r="A7721" s="88">
        <v>2</v>
      </c>
      <c r="B7721" s="69" t="s">
        <v>3532</v>
      </c>
      <c r="C7721" s="69">
        <v>16</v>
      </c>
      <c r="D7721" s="89">
        <v>0</v>
      </c>
      <c r="E7721" s="89">
        <v>0</v>
      </c>
      <c r="F7721" s="89">
        <v>0</v>
      </c>
      <c r="G7721" s="89">
        <v>0</v>
      </c>
      <c r="H7721" s="89">
        <v>0</v>
      </c>
      <c r="I7721" s="89">
        <v>0</v>
      </c>
      <c r="J7721" s="710">
        <f>(VLOOKUP($C7721,[2]Sheet1!$A$2:$P$18,$M7721+1)/12)*12*D7721</f>
        <v>0</v>
      </c>
      <c r="K7721" s="711"/>
      <c r="M7721" s="62">
        <f t="shared" si="619"/>
        <v>3</v>
      </c>
    </row>
    <row r="7722" spans="1:13">
      <c r="A7722" s="88">
        <f>+A7721+1</f>
        <v>3</v>
      </c>
      <c r="B7722" s="69" t="s">
        <v>1256</v>
      </c>
      <c r="C7722" s="69">
        <v>15</v>
      </c>
      <c r="D7722" s="89">
        <v>0</v>
      </c>
      <c r="E7722" s="89">
        <v>0</v>
      </c>
      <c r="F7722" s="89">
        <v>0</v>
      </c>
      <c r="G7722" s="89">
        <v>0</v>
      </c>
      <c r="H7722" s="89">
        <v>0</v>
      </c>
      <c r="I7722" s="89">
        <v>0</v>
      </c>
      <c r="J7722" s="710">
        <f>(VLOOKUP($C7722,[2]Sheet1!$A$2:$P$18,$M7722+1)/12)*12*D7722</f>
        <v>0</v>
      </c>
      <c r="K7722" s="711"/>
      <c r="M7722" s="62">
        <f t="shared" si="619"/>
        <v>3</v>
      </c>
    </row>
    <row r="7723" spans="1:13">
      <c r="A7723" s="88">
        <f>+A7722+1</f>
        <v>4</v>
      </c>
      <c r="B7723" s="69" t="s">
        <v>485</v>
      </c>
      <c r="C7723" s="69">
        <v>14</v>
      </c>
      <c r="D7723" s="89">
        <v>1</v>
      </c>
      <c r="E7723" s="89">
        <v>1</v>
      </c>
      <c r="F7723" s="89">
        <v>1</v>
      </c>
      <c r="G7723" s="89">
        <v>1</v>
      </c>
      <c r="H7723" s="89">
        <v>1</v>
      </c>
      <c r="I7723" s="89">
        <v>1</v>
      </c>
      <c r="J7723" s="710">
        <f>(VLOOKUP($C7723,[2]Sheet1!$A$2:$P$18,$M7723+1)/12)*12*D7723</f>
        <v>669099.40824000002</v>
      </c>
      <c r="K7723" s="711"/>
      <c r="M7723" s="62">
        <f t="shared" si="619"/>
        <v>3</v>
      </c>
    </row>
    <row r="7724" spans="1:13">
      <c r="A7724" s="88">
        <f>+A7723+1</f>
        <v>5</v>
      </c>
      <c r="B7724" s="69" t="s">
        <v>3009</v>
      </c>
      <c r="C7724" s="69">
        <v>13</v>
      </c>
      <c r="D7724" s="89">
        <v>5</v>
      </c>
      <c r="E7724" s="89">
        <v>0</v>
      </c>
      <c r="F7724" s="89">
        <v>5</v>
      </c>
      <c r="G7724" s="89">
        <v>5</v>
      </c>
      <c r="H7724" s="89">
        <v>5</v>
      </c>
      <c r="I7724" s="89">
        <v>5</v>
      </c>
      <c r="J7724" s="710">
        <f>(VLOOKUP($C7724,[2]Sheet1!$A$2:$P$18,$M7724+1)/12)*12*D7724</f>
        <v>3143797.6902000001</v>
      </c>
      <c r="K7724" s="711"/>
      <c r="M7724" s="62">
        <f t="shared" si="619"/>
        <v>3</v>
      </c>
    </row>
    <row r="7725" spans="1:13">
      <c r="A7725" s="88">
        <f t="shared" ref="A7725:A7754" si="623">+A7724+1</f>
        <v>6</v>
      </c>
      <c r="B7725" s="69" t="s">
        <v>3010</v>
      </c>
      <c r="C7725" s="69">
        <v>12</v>
      </c>
      <c r="D7725" s="89">
        <v>5</v>
      </c>
      <c r="E7725" s="89">
        <v>0</v>
      </c>
      <c r="F7725" s="89">
        <v>5</v>
      </c>
      <c r="G7725" s="89">
        <v>5</v>
      </c>
      <c r="H7725" s="89">
        <v>5</v>
      </c>
      <c r="I7725" s="89">
        <v>5</v>
      </c>
      <c r="J7725" s="710">
        <f>(VLOOKUP($C7725,[2]Sheet1!$A$2:$P$18,$M7725+1)/12)*12*D7725</f>
        <v>2763425.268600001</v>
      </c>
      <c r="K7725" s="711"/>
      <c r="M7725" s="62">
        <f t="shared" si="619"/>
        <v>3</v>
      </c>
    </row>
    <row r="7726" spans="1:13">
      <c r="A7726" s="88">
        <f t="shared" si="623"/>
        <v>7</v>
      </c>
      <c r="B7726" s="69" t="s">
        <v>487</v>
      </c>
      <c r="C7726" s="69">
        <v>10</v>
      </c>
      <c r="D7726" s="89">
        <v>4</v>
      </c>
      <c r="E7726" s="89">
        <v>0</v>
      </c>
      <c r="F7726" s="89">
        <v>4</v>
      </c>
      <c r="G7726" s="89">
        <v>4</v>
      </c>
      <c r="H7726" s="89">
        <v>4</v>
      </c>
      <c r="I7726" s="89">
        <v>4</v>
      </c>
      <c r="J7726" s="710">
        <f>(VLOOKUP($C7726,[2]Sheet1!$A$2:$P$18,$M7726+1)/12)*12*D7726</f>
        <v>1935898.2748800004</v>
      </c>
      <c r="K7726" s="711"/>
      <c r="M7726" s="62">
        <f t="shared" si="619"/>
        <v>3</v>
      </c>
    </row>
    <row r="7727" spans="1:13">
      <c r="A7727" s="88">
        <f t="shared" si="623"/>
        <v>8</v>
      </c>
      <c r="B7727" s="69" t="s">
        <v>949</v>
      </c>
      <c r="C7727" s="69">
        <v>9</v>
      </c>
      <c r="D7727" s="89">
        <v>5</v>
      </c>
      <c r="E7727" s="89">
        <v>0</v>
      </c>
      <c r="F7727" s="89">
        <v>5</v>
      </c>
      <c r="G7727" s="89">
        <v>5</v>
      </c>
      <c r="H7727" s="89">
        <v>5</v>
      </c>
      <c r="I7727" s="89">
        <v>5</v>
      </c>
      <c r="J7727" s="710">
        <f>(VLOOKUP($C7727,[2]Sheet1!$A$2:$P$18,$M7727+1)/12)*12*D7727</f>
        <v>2048409.531</v>
      </c>
      <c r="K7727" s="711"/>
      <c r="M7727" s="62">
        <f t="shared" si="619"/>
        <v>3</v>
      </c>
    </row>
    <row r="7728" spans="1:13">
      <c r="A7728" s="88">
        <f t="shared" si="623"/>
        <v>9</v>
      </c>
      <c r="B7728" s="69" t="s">
        <v>950</v>
      </c>
      <c r="C7728" s="69">
        <v>8</v>
      </c>
      <c r="D7728" s="89">
        <v>5</v>
      </c>
      <c r="E7728" s="89">
        <v>3</v>
      </c>
      <c r="F7728" s="89">
        <v>5</v>
      </c>
      <c r="G7728" s="89">
        <v>5</v>
      </c>
      <c r="H7728" s="89">
        <v>5</v>
      </c>
      <c r="I7728" s="89">
        <v>5</v>
      </c>
      <c r="J7728" s="710">
        <f>(VLOOKUP($C7728,[2]Sheet1!$A$2:$P$18,$M7728+1)/12)*12*D7728</f>
        <v>1710706.3703999999</v>
      </c>
      <c r="K7728" s="711"/>
      <c r="M7728" s="62">
        <f t="shared" si="619"/>
        <v>3</v>
      </c>
    </row>
    <row r="7729" spans="1:13">
      <c r="A7729" s="88">
        <f t="shared" si="623"/>
        <v>10</v>
      </c>
      <c r="B7729" s="69" t="s">
        <v>1076</v>
      </c>
      <c r="C7729" s="69">
        <v>8</v>
      </c>
      <c r="D7729" s="89">
        <v>2</v>
      </c>
      <c r="E7729" s="89">
        <v>1</v>
      </c>
      <c r="F7729" s="89">
        <v>1</v>
      </c>
      <c r="G7729" s="89">
        <v>1</v>
      </c>
      <c r="H7729" s="89">
        <v>1</v>
      </c>
      <c r="I7729" s="89">
        <v>2</v>
      </c>
      <c r="J7729" s="710">
        <f>(VLOOKUP($C7729,[2]Sheet1!$A$2:$P$18,$M7729+1)/12)*12*D7729</f>
        <v>684282.54816000001</v>
      </c>
      <c r="K7729" s="711"/>
      <c r="M7729" s="62">
        <f t="shared" si="619"/>
        <v>3</v>
      </c>
    </row>
    <row r="7730" spans="1:13">
      <c r="A7730" s="88">
        <f t="shared" si="623"/>
        <v>11</v>
      </c>
      <c r="B7730" s="69" t="s">
        <v>3414</v>
      </c>
      <c r="C7730" s="69">
        <v>7</v>
      </c>
      <c r="D7730" s="89">
        <v>0</v>
      </c>
      <c r="E7730" s="89">
        <v>0</v>
      </c>
      <c r="F7730" s="89">
        <v>0</v>
      </c>
      <c r="G7730" s="89">
        <v>0</v>
      </c>
      <c r="H7730" s="89">
        <v>0</v>
      </c>
      <c r="I7730" s="89">
        <v>0</v>
      </c>
      <c r="J7730" s="710">
        <f>(VLOOKUP($C7730,[2]Sheet1!$A$2:$P$18,$M7730+1)/12)*12*D7730</f>
        <v>0</v>
      </c>
      <c r="K7730" s="711"/>
      <c r="M7730" s="62">
        <f t="shared" ref="M7730:M7784" si="624">IF(C7730&gt;6,3,5)</f>
        <v>3</v>
      </c>
    </row>
    <row r="7731" spans="1:13">
      <c r="A7731" s="88">
        <f t="shared" si="623"/>
        <v>12</v>
      </c>
      <c r="B7731" s="69" t="s">
        <v>3415</v>
      </c>
      <c r="C7731" s="69">
        <v>6</v>
      </c>
      <c r="D7731" s="89">
        <v>3</v>
      </c>
      <c r="E7731" s="89">
        <v>2</v>
      </c>
      <c r="F7731" s="89">
        <v>3</v>
      </c>
      <c r="G7731" s="89">
        <v>3</v>
      </c>
      <c r="H7731" s="89">
        <v>3</v>
      </c>
      <c r="I7731" s="89">
        <v>3</v>
      </c>
      <c r="J7731" s="710">
        <f>(VLOOKUP($C7731,[2]Sheet1!$A$2:$P$18,$M7731+1)/12)*12*D7731</f>
        <v>714298.1367910949</v>
      </c>
      <c r="K7731" s="711"/>
      <c r="M7731" s="62">
        <f t="shared" si="624"/>
        <v>5</v>
      </c>
    </row>
    <row r="7732" spans="1:13">
      <c r="A7732" s="88">
        <f t="shared" si="623"/>
        <v>13</v>
      </c>
      <c r="B7732" s="69" t="s">
        <v>1250</v>
      </c>
      <c r="C7732" s="69">
        <v>5</v>
      </c>
      <c r="D7732" s="89">
        <v>0</v>
      </c>
      <c r="E7732" s="89">
        <v>0</v>
      </c>
      <c r="F7732" s="89">
        <v>0</v>
      </c>
      <c r="G7732" s="89">
        <v>0</v>
      </c>
      <c r="H7732" s="89">
        <v>0</v>
      </c>
      <c r="I7732" s="89">
        <v>0</v>
      </c>
      <c r="J7732" s="710">
        <f>(VLOOKUP($C7732,[2]Sheet1!$A$2:$P$18,$M7732+1)/12)*12*D7732</f>
        <v>0</v>
      </c>
      <c r="K7732" s="711"/>
      <c r="M7732" s="62">
        <f t="shared" si="624"/>
        <v>5</v>
      </c>
    </row>
    <row r="7733" spans="1:13">
      <c r="A7733" s="88">
        <f t="shared" si="623"/>
        <v>14</v>
      </c>
      <c r="B7733" s="69" t="s">
        <v>2360</v>
      </c>
      <c r="C7733" s="69">
        <v>4</v>
      </c>
      <c r="D7733" s="89">
        <v>3</v>
      </c>
      <c r="E7733" s="89">
        <v>2</v>
      </c>
      <c r="F7733" s="89">
        <v>3</v>
      </c>
      <c r="G7733" s="89">
        <v>3</v>
      </c>
      <c r="H7733" s="89">
        <v>3</v>
      </c>
      <c r="I7733" s="89">
        <v>3</v>
      </c>
      <c r="J7733" s="710">
        <f>(VLOOKUP($C7733,[2]Sheet1!$A$2:$P$18,$M7733+1)/12)*12*D7733</f>
        <v>673628.93679109495</v>
      </c>
      <c r="K7733" s="711"/>
      <c r="M7733" s="62">
        <f t="shared" si="624"/>
        <v>5</v>
      </c>
    </row>
    <row r="7734" spans="1:13">
      <c r="A7734" s="88">
        <f t="shared" si="623"/>
        <v>15</v>
      </c>
      <c r="B7734" s="69" t="s">
        <v>4030</v>
      </c>
      <c r="C7734" s="69">
        <v>3</v>
      </c>
      <c r="D7734" s="89">
        <v>2</v>
      </c>
      <c r="E7734" s="89">
        <v>0</v>
      </c>
      <c r="F7734" s="89">
        <v>2</v>
      </c>
      <c r="G7734" s="89">
        <v>2</v>
      </c>
      <c r="H7734" s="89">
        <v>2</v>
      </c>
      <c r="I7734" s="89">
        <v>2</v>
      </c>
      <c r="J7734" s="710">
        <f>(VLOOKUP($C7734,[2]Sheet1!$A$2:$P$18,$M7734+1)/12)*12*D7734</f>
        <v>438672.35786072997</v>
      </c>
      <c r="K7734" s="711"/>
      <c r="M7734" s="62">
        <f t="shared" si="624"/>
        <v>5</v>
      </c>
    </row>
    <row r="7735" spans="1:13">
      <c r="A7735" s="88">
        <f t="shared" si="623"/>
        <v>16</v>
      </c>
      <c r="B7735" s="69" t="s">
        <v>3798</v>
      </c>
      <c r="C7735" s="69">
        <v>3</v>
      </c>
      <c r="D7735" s="155">
        <v>2</v>
      </c>
      <c r="E7735" s="155">
        <v>2</v>
      </c>
      <c r="F7735" s="155">
        <v>2</v>
      </c>
      <c r="G7735" s="155">
        <v>2</v>
      </c>
      <c r="H7735" s="155">
        <v>2</v>
      </c>
      <c r="I7735" s="155">
        <v>2</v>
      </c>
      <c r="J7735" s="710">
        <f>(VLOOKUP($C7735,[2]Sheet1!$A$2:$P$18,$M7735+1)/12)*12*D7735</f>
        <v>438672.35786072997</v>
      </c>
      <c r="K7735" s="711"/>
      <c r="M7735" s="62">
        <f t="shared" si="624"/>
        <v>5</v>
      </c>
    </row>
    <row r="7736" spans="1:13">
      <c r="A7736" s="88">
        <f>+A7735+1</f>
        <v>17</v>
      </c>
      <c r="B7736" s="69" t="s">
        <v>984</v>
      </c>
      <c r="C7736" s="69">
        <v>6</v>
      </c>
      <c r="D7736" s="155">
        <v>0</v>
      </c>
      <c r="E7736" s="155">
        <v>1</v>
      </c>
      <c r="F7736" s="155">
        <v>1</v>
      </c>
      <c r="G7736" s="155">
        <v>1</v>
      </c>
      <c r="H7736" s="155">
        <v>1</v>
      </c>
      <c r="I7736" s="155">
        <v>0</v>
      </c>
      <c r="J7736" s="710">
        <f>(VLOOKUP($C7736,[2]Sheet1!$A$2:$P$18,$M7736+1)/12)*12*D7736</f>
        <v>0</v>
      </c>
      <c r="K7736" s="711"/>
      <c r="M7736" s="62">
        <f t="shared" si="624"/>
        <v>5</v>
      </c>
    </row>
    <row r="7737" spans="1:13">
      <c r="A7737" s="88">
        <f>+A7736+1</f>
        <v>18</v>
      </c>
      <c r="B7737" s="69" t="s">
        <v>2543</v>
      </c>
      <c r="C7737" s="69">
        <v>2</v>
      </c>
      <c r="D7737" s="155">
        <v>0</v>
      </c>
      <c r="E7737" s="155">
        <v>0</v>
      </c>
      <c r="F7737" s="155">
        <v>1</v>
      </c>
      <c r="G7737" s="155">
        <v>1</v>
      </c>
      <c r="H7737" s="155">
        <v>1</v>
      </c>
      <c r="I7737" s="155">
        <v>0</v>
      </c>
      <c r="J7737" s="710">
        <f>(VLOOKUP($C7737,[2]Sheet1!$A$2:$P$18,$M7737+1)/12)*12*D7737</f>
        <v>0</v>
      </c>
      <c r="K7737" s="711"/>
      <c r="M7737" s="62">
        <f t="shared" si="624"/>
        <v>5</v>
      </c>
    </row>
    <row r="7738" spans="1:13">
      <c r="A7738" s="88">
        <f>+A7735+1</f>
        <v>17</v>
      </c>
      <c r="B7738" s="69" t="s">
        <v>3858</v>
      </c>
      <c r="C7738" s="69">
        <v>3</v>
      </c>
      <c r="D7738" s="155">
        <v>2</v>
      </c>
      <c r="E7738" s="155">
        <v>0</v>
      </c>
      <c r="F7738" s="155">
        <v>2</v>
      </c>
      <c r="G7738" s="155">
        <v>2</v>
      </c>
      <c r="H7738" s="155">
        <v>2</v>
      </c>
      <c r="I7738" s="155">
        <v>2</v>
      </c>
      <c r="J7738" s="710">
        <f>(VLOOKUP($C7738,[2]Sheet1!$A$2:$P$18,$M7738+1)/12)*12*D7738</f>
        <v>438672.35786072997</v>
      </c>
      <c r="K7738" s="711"/>
      <c r="M7738" s="62">
        <f t="shared" si="624"/>
        <v>5</v>
      </c>
    </row>
    <row r="7739" spans="1:13">
      <c r="A7739" s="88">
        <f>+A7738+1</f>
        <v>18</v>
      </c>
      <c r="B7739" s="69" t="s">
        <v>2179</v>
      </c>
      <c r="C7739" s="69">
        <v>6</v>
      </c>
      <c r="D7739" s="155">
        <v>0</v>
      </c>
      <c r="E7739" s="155">
        <v>1</v>
      </c>
      <c r="F7739" s="155">
        <v>1</v>
      </c>
      <c r="G7739" s="155">
        <v>1</v>
      </c>
      <c r="H7739" s="155">
        <v>1</v>
      </c>
      <c r="I7739" s="155">
        <v>0</v>
      </c>
      <c r="J7739" s="710">
        <f>(VLOOKUP($C7739,[2]Sheet1!$A$2:$P$18,$M7739+1)/12)*12*D7739</f>
        <v>0</v>
      </c>
      <c r="K7739" s="711"/>
      <c r="M7739" s="62">
        <f t="shared" si="624"/>
        <v>5</v>
      </c>
    </row>
    <row r="7740" spans="1:13">
      <c r="A7740" s="88">
        <f t="shared" si="623"/>
        <v>19</v>
      </c>
      <c r="B7740" s="69" t="s">
        <v>2542</v>
      </c>
      <c r="C7740" s="69">
        <v>3</v>
      </c>
      <c r="D7740" s="155">
        <v>1</v>
      </c>
      <c r="E7740" s="155">
        <v>0</v>
      </c>
      <c r="F7740" s="155">
        <v>1</v>
      </c>
      <c r="G7740" s="155">
        <v>1</v>
      </c>
      <c r="H7740" s="155">
        <v>1</v>
      </c>
      <c r="I7740" s="155">
        <v>1</v>
      </c>
      <c r="J7740" s="710">
        <f>(VLOOKUP($C7740,[2]Sheet1!$A$2:$P$18,$M7740+1)/12)*12*D7740</f>
        <v>219336.17893036499</v>
      </c>
      <c r="K7740" s="711"/>
      <c r="M7740" s="62">
        <f t="shared" si="624"/>
        <v>5</v>
      </c>
    </row>
    <row r="7741" spans="1:13">
      <c r="A7741" s="88">
        <f t="shared" si="623"/>
        <v>20</v>
      </c>
      <c r="B7741" s="69" t="s">
        <v>3675</v>
      </c>
      <c r="C7741" s="69">
        <v>3</v>
      </c>
      <c r="D7741" s="155">
        <v>2</v>
      </c>
      <c r="E7741" s="155">
        <v>0</v>
      </c>
      <c r="F7741" s="155">
        <v>2</v>
      </c>
      <c r="G7741" s="155">
        <v>2</v>
      </c>
      <c r="H7741" s="155">
        <v>2</v>
      </c>
      <c r="I7741" s="155">
        <v>2</v>
      </c>
      <c r="J7741" s="710">
        <f>(VLOOKUP($C7741,[2]Sheet1!$A$2:$P$18,$M7741+1)/12)*12*D7741</f>
        <v>438672.35786072997</v>
      </c>
      <c r="K7741" s="711"/>
      <c r="M7741" s="62">
        <f t="shared" si="624"/>
        <v>5</v>
      </c>
    </row>
    <row r="7742" spans="1:13">
      <c r="A7742" s="88">
        <f t="shared" si="623"/>
        <v>21</v>
      </c>
      <c r="B7742" s="69" t="s">
        <v>3896</v>
      </c>
      <c r="C7742" s="69">
        <v>6</v>
      </c>
      <c r="D7742" s="155">
        <v>2</v>
      </c>
      <c r="E7742" s="155">
        <v>2</v>
      </c>
      <c r="F7742" s="155">
        <v>2</v>
      </c>
      <c r="G7742" s="155">
        <v>2</v>
      </c>
      <c r="H7742" s="155">
        <v>2</v>
      </c>
      <c r="I7742" s="155">
        <v>2</v>
      </c>
      <c r="J7742" s="710">
        <f>(VLOOKUP($C7742,[2]Sheet1!$A$2:$P$18,$M7742+1)/12)*12*D7742</f>
        <v>476198.75786072994</v>
      </c>
      <c r="K7742" s="711"/>
      <c r="M7742" s="62">
        <f t="shared" si="624"/>
        <v>5</v>
      </c>
    </row>
    <row r="7743" spans="1:13">
      <c r="A7743" s="88">
        <f t="shared" si="623"/>
        <v>22</v>
      </c>
      <c r="B7743" s="69" t="s">
        <v>507</v>
      </c>
      <c r="C7743" s="69">
        <v>4</v>
      </c>
      <c r="D7743" s="155">
        <v>4</v>
      </c>
      <c r="E7743" s="155">
        <v>0</v>
      </c>
      <c r="F7743" s="155">
        <v>4</v>
      </c>
      <c r="G7743" s="155">
        <v>4</v>
      </c>
      <c r="H7743" s="155">
        <v>4</v>
      </c>
      <c r="I7743" s="155">
        <v>4</v>
      </c>
      <c r="J7743" s="710">
        <f>(VLOOKUP($C7743,[2]Sheet1!$A$2:$P$18,$M7743+1)/12)*12*D7743</f>
        <v>898171.91572146001</v>
      </c>
      <c r="K7743" s="711"/>
      <c r="M7743" s="62">
        <f t="shared" si="624"/>
        <v>5</v>
      </c>
    </row>
    <row r="7744" spans="1:13">
      <c r="A7744" s="88">
        <f t="shared" si="623"/>
        <v>23</v>
      </c>
      <c r="B7744" s="69" t="s">
        <v>508</v>
      </c>
      <c r="C7744" s="69">
        <v>3</v>
      </c>
      <c r="D7744" s="155">
        <v>2</v>
      </c>
      <c r="E7744" s="155">
        <v>0</v>
      </c>
      <c r="F7744" s="155">
        <v>2</v>
      </c>
      <c r="G7744" s="155">
        <v>2</v>
      </c>
      <c r="H7744" s="155">
        <v>2</v>
      </c>
      <c r="I7744" s="155">
        <v>2</v>
      </c>
      <c r="J7744" s="710">
        <f>(VLOOKUP($C7744,[2]Sheet1!$A$2:$P$18,$M7744+1)/12)*12*D7744</f>
        <v>438672.35786072997</v>
      </c>
      <c r="K7744" s="711"/>
      <c r="M7744" s="62">
        <f t="shared" si="624"/>
        <v>5</v>
      </c>
    </row>
    <row r="7745" spans="1:13">
      <c r="A7745" s="88">
        <f t="shared" si="623"/>
        <v>24</v>
      </c>
      <c r="B7745" s="69" t="s">
        <v>1626</v>
      </c>
      <c r="C7745" s="69">
        <v>3</v>
      </c>
      <c r="D7745" s="155">
        <v>2</v>
      </c>
      <c r="E7745" s="155">
        <v>0</v>
      </c>
      <c r="F7745" s="155">
        <v>2</v>
      </c>
      <c r="G7745" s="155">
        <v>2</v>
      </c>
      <c r="H7745" s="155">
        <v>2</v>
      </c>
      <c r="I7745" s="155">
        <v>2</v>
      </c>
      <c r="J7745" s="710">
        <f>(VLOOKUP($C7745,[2]Sheet1!$A$2:$P$18,$M7745+1)/12)*12*D7745</f>
        <v>438672.35786072997</v>
      </c>
      <c r="K7745" s="711"/>
      <c r="M7745" s="62">
        <f t="shared" si="624"/>
        <v>5</v>
      </c>
    </row>
    <row r="7746" spans="1:13">
      <c r="A7746" s="88"/>
      <c r="B7746" s="90" t="s">
        <v>128</v>
      </c>
      <c r="C7746" s="69"/>
      <c r="D7746" s="155"/>
      <c r="E7746" s="155"/>
      <c r="F7746" s="155"/>
      <c r="G7746" s="155"/>
      <c r="H7746" s="155"/>
      <c r="I7746" s="155"/>
      <c r="J7746" s="710"/>
      <c r="K7746" s="711"/>
      <c r="M7746" s="62">
        <f t="shared" si="624"/>
        <v>5</v>
      </c>
    </row>
    <row r="7747" spans="1:13">
      <c r="A7747" s="88">
        <f>+A7745+1</f>
        <v>25</v>
      </c>
      <c r="B7747" s="69" t="s">
        <v>3532</v>
      </c>
      <c r="C7747" s="69">
        <v>16</v>
      </c>
      <c r="D7747" s="89">
        <v>0</v>
      </c>
      <c r="E7747" s="89">
        <v>0</v>
      </c>
      <c r="F7747" s="89">
        <v>0</v>
      </c>
      <c r="G7747" s="89">
        <v>0</v>
      </c>
      <c r="H7747" s="89">
        <v>0</v>
      </c>
      <c r="I7747" s="89">
        <v>0</v>
      </c>
      <c r="J7747" s="710">
        <f>(VLOOKUP($C7747,[2]Sheet1!$A$2:$P$18,$M7747+1)/12)*12*D7747</f>
        <v>0</v>
      </c>
      <c r="K7747" s="711"/>
      <c r="M7747" s="62">
        <f t="shared" si="624"/>
        <v>3</v>
      </c>
    </row>
    <row r="7748" spans="1:13">
      <c r="A7748" s="88">
        <f t="shared" si="623"/>
        <v>26</v>
      </c>
      <c r="B7748" s="69" t="s">
        <v>1256</v>
      </c>
      <c r="C7748" s="69">
        <v>15</v>
      </c>
      <c r="D7748" s="89">
        <v>0</v>
      </c>
      <c r="E7748" s="89">
        <v>1</v>
      </c>
      <c r="F7748" s="89">
        <v>0</v>
      </c>
      <c r="G7748" s="89">
        <v>0</v>
      </c>
      <c r="H7748" s="89">
        <v>0</v>
      </c>
      <c r="I7748" s="89">
        <v>0</v>
      </c>
      <c r="J7748" s="710">
        <f>(VLOOKUP($C7748,[2]Sheet1!$A$2:$P$18,$M7748+1)/12)*12*D7748</f>
        <v>0</v>
      </c>
      <c r="K7748" s="711"/>
      <c r="M7748" s="62">
        <f t="shared" si="624"/>
        <v>3</v>
      </c>
    </row>
    <row r="7749" spans="1:13">
      <c r="A7749" s="88">
        <f t="shared" si="623"/>
        <v>27</v>
      </c>
      <c r="B7749" s="69" t="s">
        <v>3533</v>
      </c>
      <c r="C7749" s="69">
        <v>14</v>
      </c>
      <c r="D7749" s="89">
        <v>4</v>
      </c>
      <c r="E7749" s="89">
        <v>4</v>
      </c>
      <c r="F7749" s="89">
        <v>4</v>
      </c>
      <c r="G7749" s="89">
        <v>4</v>
      </c>
      <c r="H7749" s="89">
        <v>4</v>
      </c>
      <c r="I7749" s="89">
        <v>4</v>
      </c>
      <c r="J7749" s="710">
        <f>(VLOOKUP($C7749,[2]Sheet1!$A$2:$P$18,$M7749+1)/12)*12*D7749</f>
        <v>2676397.6329600001</v>
      </c>
      <c r="K7749" s="711"/>
      <c r="M7749" s="62">
        <f t="shared" si="624"/>
        <v>3</v>
      </c>
    </row>
    <row r="7750" spans="1:13">
      <c r="A7750" s="88">
        <f t="shared" si="623"/>
        <v>28</v>
      </c>
      <c r="B7750" s="69" t="s">
        <v>485</v>
      </c>
      <c r="C7750" s="69">
        <v>13</v>
      </c>
      <c r="D7750" s="89">
        <v>4</v>
      </c>
      <c r="E7750" s="89">
        <v>4</v>
      </c>
      <c r="F7750" s="89">
        <v>4</v>
      </c>
      <c r="G7750" s="89">
        <v>4</v>
      </c>
      <c r="H7750" s="89">
        <v>4</v>
      </c>
      <c r="I7750" s="89">
        <v>4</v>
      </c>
      <c r="J7750" s="710">
        <f>(VLOOKUP($C7750,[2]Sheet1!$A$2:$P$18,$M7750+1)/12)*12*D7750</f>
        <v>2515038.1521600001</v>
      </c>
      <c r="K7750" s="711"/>
      <c r="M7750" s="62">
        <f t="shared" si="624"/>
        <v>3</v>
      </c>
    </row>
    <row r="7751" spans="1:13">
      <c r="A7751" s="88">
        <f t="shared" si="623"/>
        <v>29</v>
      </c>
      <c r="B7751" s="69" t="s">
        <v>3010</v>
      </c>
      <c r="C7751" s="69">
        <v>12</v>
      </c>
      <c r="D7751" s="89">
        <v>4</v>
      </c>
      <c r="E7751" s="89">
        <v>4</v>
      </c>
      <c r="F7751" s="89">
        <v>4</v>
      </c>
      <c r="G7751" s="89">
        <v>4</v>
      </c>
      <c r="H7751" s="89">
        <v>4</v>
      </c>
      <c r="I7751" s="89">
        <v>4</v>
      </c>
      <c r="J7751" s="710">
        <f>(VLOOKUP($C7751,[2]Sheet1!$A$2:$P$18,$M7751+1)/12)*12*D7751</f>
        <v>2210740.2148800008</v>
      </c>
      <c r="K7751" s="711"/>
      <c r="M7751" s="62">
        <f t="shared" si="624"/>
        <v>3</v>
      </c>
    </row>
    <row r="7752" spans="1:13">
      <c r="A7752" s="88">
        <f t="shared" si="623"/>
        <v>30</v>
      </c>
      <c r="B7752" s="69" t="s">
        <v>487</v>
      </c>
      <c r="C7752" s="69">
        <v>10</v>
      </c>
      <c r="D7752" s="89">
        <v>6</v>
      </c>
      <c r="E7752" s="89">
        <v>6</v>
      </c>
      <c r="F7752" s="89">
        <v>6</v>
      </c>
      <c r="G7752" s="89">
        <v>6</v>
      </c>
      <c r="H7752" s="89">
        <v>6</v>
      </c>
      <c r="I7752" s="89">
        <v>6</v>
      </c>
      <c r="J7752" s="710">
        <f>(VLOOKUP($C7752,[2]Sheet1!$A$2:$P$18,$M7752+1)/12)*12*D7752</f>
        <v>2903847.4123200006</v>
      </c>
      <c r="K7752" s="711"/>
      <c r="M7752" s="62">
        <f t="shared" si="624"/>
        <v>3</v>
      </c>
    </row>
    <row r="7753" spans="1:13">
      <c r="A7753" s="88">
        <f t="shared" si="623"/>
        <v>31</v>
      </c>
      <c r="B7753" s="69" t="s">
        <v>1950</v>
      </c>
      <c r="C7753" s="69">
        <v>9</v>
      </c>
      <c r="D7753" s="89">
        <v>2</v>
      </c>
      <c r="E7753" s="89">
        <v>2</v>
      </c>
      <c r="F7753" s="89">
        <v>2</v>
      </c>
      <c r="G7753" s="89">
        <v>2</v>
      </c>
      <c r="H7753" s="89">
        <v>2</v>
      </c>
      <c r="I7753" s="89">
        <v>2</v>
      </c>
      <c r="J7753" s="710">
        <f>(VLOOKUP($C7753,[2]Sheet1!$A$2:$P$18,$M7753+1)/12)*12*D7753</f>
        <v>819363.81239999994</v>
      </c>
      <c r="K7753" s="711"/>
      <c r="M7753" s="62">
        <f t="shared" si="624"/>
        <v>3</v>
      </c>
    </row>
    <row r="7754" spans="1:13" ht="13.5" thickBot="1">
      <c r="A7754" s="88">
        <f t="shared" si="623"/>
        <v>32</v>
      </c>
      <c r="B7754" s="69" t="s">
        <v>3411</v>
      </c>
      <c r="C7754" s="69">
        <v>9</v>
      </c>
      <c r="D7754" s="89">
        <v>3</v>
      </c>
      <c r="E7754" s="89">
        <v>3</v>
      </c>
      <c r="F7754" s="89">
        <v>3</v>
      </c>
      <c r="G7754" s="89">
        <v>3</v>
      </c>
      <c r="H7754" s="89">
        <v>3</v>
      </c>
      <c r="I7754" s="89">
        <v>3</v>
      </c>
      <c r="J7754" s="710">
        <f>(VLOOKUP($C7754,[2]Sheet1!$A$2:$P$18,$M7754+1)/12)*12*D7754</f>
        <v>1229045.7185999998</v>
      </c>
      <c r="K7754" s="711"/>
      <c r="M7754" s="62">
        <f t="shared" si="624"/>
        <v>3</v>
      </c>
    </row>
    <row r="7755" spans="1:13" ht="15.75" thickTop="1">
      <c r="A7755" s="1047" t="s">
        <v>2791</v>
      </c>
      <c r="B7755" s="1049" t="s">
        <v>4126</v>
      </c>
      <c r="C7755" s="1049" t="s">
        <v>854</v>
      </c>
      <c r="D7755" s="1040" t="s">
        <v>4127</v>
      </c>
      <c r="E7755" s="1041"/>
      <c r="F7755" s="1041"/>
      <c r="G7755" s="1040" t="s">
        <v>904</v>
      </c>
      <c r="H7755" s="1041"/>
      <c r="I7755" s="1042"/>
      <c r="J7755" s="1035" t="s">
        <v>855</v>
      </c>
      <c r="K7755" s="389"/>
    </row>
    <row r="7756" spans="1:13" ht="26.25" thickBot="1">
      <c r="A7756" s="1048"/>
      <c r="B7756" s="1050"/>
      <c r="C7756" s="1050"/>
      <c r="D7756" s="285" t="s">
        <v>5505</v>
      </c>
      <c r="E7756" s="285" t="s">
        <v>4485</v>
      </c>
      <c r="F7756" s="285" t="s">
        <v>4486</v>
      </c>
      <c r="G7756" s="287" t="s">
        <v>4487</v>
      </c>
      <c r="H7756" s="285" t="s">
        <v>4488</v>
      </c>
      <c r="I7756" s="287" t="s">
        <v>4489</v>
      </c>
      <c r="J7756" s="1036"/>
      <c r="K7756" s="712"/>
    </row>
    <row r="7757" spans="1:13" ht="13.5" thickTop="1">
      <c r="A7757" s="88">
        <f>+A7754+1</f>
        <v>33</v>
      </c>
      <c r="B7757" s="69" t="s">
        <v>1597</v>
      </c>
      <c r="C7757" s="69">
        <v>8</v>
      </c>
      <c r="D7757" s="89">
        <v>11</v>
      </c>
      <c r="E7757" s="89">
        <v>11</v>
      </c>
      <c r="F7757" s="89">
        <v>2</v>
      </c>
      <c r="G7757" s="89">
        <v>2</v>
      </c>
      <c r="H7757" s="89">
        <v>2</v>
      </c>
      <c r="I7757" s="89">
        <v>11</v>
      </c>
      <c r="J7757" s="710">
        <f>(VLOOKUP($C7757,[2]Sheet1!$A$2:$P$18,$M7757+1)/12)*12*D7757</f>
        <v>3763554.0148800001</v>
      </c>
      <c r="K7757" s="711"/>
      <c r="M7757" s="62">
        <f t="shared" si="624"/>
        <v>3</v>
      </c>
    </row>
    <row r="7758" spans="1:13">
      <c r="A7758" s="88">
        <f t="shared" ref="A7758:A7763" si="625">+A7757+1</f>
        <v>34</v>
      </c>
      <c r="B7758" s="69" t="s">
        <v>2305</v>
      </c>
      <c r="C7758" s="69">
        <v>7</v>
      </c>
      <c r="D7758" s="89">
        <v>11</v>
      </c>
      <c r="E7758" s="89">
        <v>3</v>
      </c>
      <c r="F7758" s="89">
        <v>11</v>
      </c>
      <c r="G7758" s="89">
        <v>11</v>
      </c>
      <c r="H7758" s="89">
        <v>4</v>
      </c>
      <c r="I7758" s="89">
        <v>11</v>
      </c>
      <c r="J7758" s="710">
        <f>(VLOOKUP($C7758,[2]Sheet1!$A$2:$P$18,$M7758+1)/12)*12*D7758</f>
        <v>3384773.726400001</v>
      </c>
      <c r="K7758" s="711"/>
      <c r="M7758" s="62">
        <f t="shared" si="624"/>
        <v>3</v>
      </c>
    </row>
    <row r="7759" spans="1:13">
      <c r="A7759" s="88">
        <f t="shared" si="625"/>
        <v>35</v>
      </c>
      <c r="B7759" s="69" t="s">
        <v>3415</v>
      </c>
      <c r="C7759" s="69">
        <v>6</v>
      </c>
      <c r="D7759" s="89">
        <v>3</v>
      </c>
      <c r="E7759" s="89">
        <v>8</v>
      </c>
      <c r="F7759" s="89">
        <v>3</v>
      </c>
      <c r="G7759" s="89">
        <v>3</v>
      </c>
      <c r="H7759" s="89">
        <v>3</v>
      </c>
      <c r="I7759" s="89">
        <v>3</v>
      </c>
      <c r="J7759" s="710">
        <f>(VLOOKUP($C7759,[2]Sheet1!$A$2:$P$18,$M7759+1)/12)*12*D7759</f>
        <v>714298.1367910949</v>
      </c>
      <c r="K7759" s="711"/>
      <c r="M7759" s="62">
        <f t="shared" si="624"/>
        <v>5</v>
      </c>
    </row>
    <row r="7760" spans="1:13">
      <c r="A7760" s="88">
        <f t="shared" si="625"/>
        <v>36</v>
      </c>
      <c r="B7760" s="69" t="s">
        <v>1250</v>
      </c>
      <c r="C7760" s="69">
        <v>5</v>
      </c>
      <c r="D7760" s="89">
        <v>8</v>
      </c>
      <c r="E7760" s="89">
        <v>2</v>
      </c>
      <c r="F7760" s="89">
        <v>8</v>
      </c>
      <c r="G7760" s="89">
        <v>8</v>
      </c>
      <c r="H7760" s="89">
        <v>8</v>
      </c>
      <c r="I7760" s="89">
        <v>8</v>
      </c>
      <c r="J7760" s="710">
        <f>(VLOOKUP($C7760,[2]Sheet1!$A$2:$P$18,$M7760+1)/12)*12*D7760</f>
        <v>1836558.2314429199</v>
      </c>
      <c r="K7760" s="711"/>
      <c r="M7760" s="62">
        <f t="shared" si="624"/>
        <v>5</v>
      </c>
    </row>
    <row r="7761" spans="1:13">
      <c r="A7761" s="88">
        <f t="shared" si="625"/>
        <v>37</v>
      </c>
      <c r="B7761" s="69" t="s">
        <v>2360</v>
      </c>
      <c r="C7761" s="69">
        <v>4</v>
      </c>
      <c r="D7761" s="89">
        <v>8</v>
      </c>
      <c r="E7761" s="89">
        <v>8</v>
      </c>
      <c r="F7761" s="89">
        <v>2</v>
      </c>
      <c r="G7761" s="89">
        <v>2</v>
      </c>
      <c r="H7761" s="89">
        <v>2</v>
      </c>
      <c r="I7761" s="89">
        <v>8</v>
      </c>
      <c r="J7761" s="710">
        <f>(VLOOKUP($C7761,[2]Sheet1!$A$2:$P$18,$M7761+1)/12)*12*D7761</f>
        <v>1796343.83144292</v>
      </c>
      <c r="K7761" s="711"/>
      <c r="M7761" s="62">
        <f t="shared" si="624"/>
        <v>5</v>
      </c>
    </row>
    <row r="7762" spans="1:13">
      <c r="A7762" s="88">
        <f t="shared" si="625"/>
        <v>38</v>
      </c>
      <c r="B7762" s="69" t="s">
        <v>4030</v>
      </c>
      <c r="C7762" s="69">
        <v>3</v>
      </c>
      <c r="D7762" s="89">
        <v>8</v>
      </c>
      <c r="E7762" s="89">
        <v>6</v>
      </c>
      <c r="F7762" s="89">
        <v>8</v>
      </c>
      <c r="G7762" s="89">
        <v>8</v>
      </c>
      <c r="H7762" s="89">
        <v>3</v>
      </c>
      <c r="I7762" s="89">
        <v>8</v>
      </c>
      <c r="J7762" s="710">
        <f>(VLOOKUP($C7762,[2]Sheet1!$A$2:$P$18,$M7762+1)/12)*12*D7762</f>
        <v>1754689.4314429199</v>
      </c>
      <c r="K7762" s="711"/>
      <c r="M7762" s="62">
        <f t="shared" si="624"/>
        <v>5</v>
      </c>
    </row>
    <row r="7763" spans="1:13">
      <c r="A7763" s="88">
        <f t="shared" si="625"/>
        <v>39</v>
      </c>
      <c r="B7763" s="69" t="s">
        <v>2306</v>
      </c>
      <c r="C7763" s="69">
        <v>2</v>
      </c>
      <c r="D7763" s="89">
        <v>6</v>
      </c>
      <c r="E7763" s="89">
        <v>1</v>
      </c>
      <c r="F7763" s="89">
        <v>6</v>
      </c>
      <c r="G7763" s="89">
        <v>6</v>
      </c>
      <c r="H7763" s="89">
        <v>3</v>
      </c>
      <c r="I7763" s="89">
        <v>6</v>
      </c>
      <c r="J7763" s="710">
        <f>(VLOOKUP($C7763,[2]Sheet1!$A$2:$P$18,$M7763+1)/12)*12*D7763</f>
        <v>1287944.2735821903</v>
      </c>
      <c r="K7763" s="711"/>
      <c r="M7763" s="62">
        <f t="shared" si="624"/>
        <v>5</v>
      </c>
    </row>
    <row r="7764" spans="1:13">
      <c r="A7764" s="88" t="s">
        <v>1840</v>
      </c>
      <c r="B7764" s="90" t="s">
        <v>2307</v>
      </c>
      <c r="C7764" s="69"/>
      <c r="D7764" s="89"/>
      <c r="E7764" s="89"/>
      <c r="F7764" s="89"/>
      <c r="G7764" s="89"/>
      <c r="H7764" s="89"/>
      <c r="I7764" s="89"/>
      <c r="J7764" s="710"/>
      <c r="K7764" s="711"/>
      <c r="M7764" s="62">
        <f t="shared" si="624"/>
        <v>5</v>
      </c>
    </row>
    <row r="7765" spans="1:13">
      <c r="A7765" s="88">
        <f>+A7763+1</f>
        <v>40</v>
      </c>
      <c r="B7765" s="69" t="s">
        <v>3532</v>
      </c>
      <c r="C7765" s="69">
        <v>16</v>
      </c>
      <c r="D7765" s="89">
        <v>0</v>
      </c>
      <c r="E7765" s="89">
        <v>0</v>
      </c>
      <c r="F7765" s="89">
        <v>0</v>
      </c>
      <c r="G7765" s="89">
        <v>0</v>
      </c>
      <c r="H7765" s="89">
        <v>0</v>
      </c>
      <c r="I7765" s="89">
        <v>0</v>
      </c>
      <c r="J7765" s="710">
        <f>(VLOOKUP($C7765,[2]Sheet1!$A$2:$P$18,$M7765+1)/12)*12*D7765</f>
        <v>0</v>
      </c>
      <c r="K7765" s="711"/>
      <c r="M7765" s="62">
        <f t="shared" si="624"/>
        <v>3</v>
      </c>
    </row>
    <row r="7766" spans="1:13">
      <c r="A7766" s="88">
        <f>A7765+1</f>
        <v>41</v>
      </c>
      <c r="B7766" s="69" t="s">
        <v>1256</v>
      </c>
      <c r="C7766" s="69">
        <v>15</v>
      </c>
      <c r="D7766" s="89">
        <v>0</v>
      </c>
      <c r="E7766" s="89">
        <v>0</v>
      </c>
      <c r="F7766" s="89">
        <v>0</v>
      </c>
      <c r="G7766" s="89">
        <v>0</v>
      </c>
      <c r="H7766" s="89">
        <v>0</v>
      </c>
      <c r="I7766" s="89">
        <v>0</v>
      </c>
      <c r="J7766" s="710">
        <f>(VLOOKUP($C7766,[2]Sheet1!$A$2:$P$18,$M7766+1)/12)*12*D7766</f>
        <v>0</v>
      </c>
      <c r="K7766" s="711"/>
      <c r="M7766" s="62">
        <f t="shared" si="624"/>
        <v>3</v>
      </c>
    </row>
    <row r="7767" spans="1:13">
      <c r="A7767" s="88">
        <f>A7766+1</f>
        <v>42</v>
      </c>
      <c r="B7767" s="69" t="s">
        <v>3533</v>
      </c>
      <c r="C7767" s="69">
        <v>14</v>
      </c>
      <c r="D7767" s="89">
        <v>1</v>
      </c>
      <c r="E7767" s="89">
        <v>0</v>
      </c>
      <c r="F7767" s="89">
        <v>1</v>
      </c>
      <c r="G7767" s="89">
        <v>1</v>
      </c>
      <c r="H7767" s="89">
        <v>1</v>
      </c>
      <c r="I7767" s="89">
        <v>1</v>
      </c>
      <c r="J7767" s="710">
        <f>(VLOOKUP($C7767,[2]Sheet1!$A$2:$P$18,$M7767+1)/12)*12*D7767</f>
        <v>669099.40824000002</v>
      </c>
      <c r="K7767" s="711"/>
      <c r="M7767" s="62">
        <f t="shared" si="624"/>
        <v>3</v>
      </c>
    </row>
    <row r="7768" spans="1:13">
      <c r="A7768" s="88">
        <f>A7767+1</f>
        <v>43</v>
      </c>
      <c r="B7768" s="69" t="s">
        <v>3009</v>
      </c>
      <c r="C7768" s="69">
        <v>13</v>
      </c>
      <c r="D7768" s="89">
        <v>3</v>
      </c>
      <c r="E7768" s="89">
        <v>0</v>
      </c>
      <c r="F7768" s="89">
        <v>3</v>
      </c>
      <c r="G7768" s="89">
        <v>3</v>
      </c>
      <c r="H7768" s="89">
        <v>3</v>
      </c>
      <c r="I7768" s="89">
        <v>3</v>
      </c>
      <c r="J7768" s="710">
        <f>(VLOOKUP($C7768,[2]Sheet1!$A$2:$P$18,$M7768+1)/12)*12*D7768</f>
        <v>1886278.61412</v>
      </c>
      <c r="K7768" s="711"/>
      <c r="M7768" s="62">
        <f t="shared" si="624"/>
        <v>3</v>
      </c>
    </row>
    <row r="7769" spans="1:13">
      <c r="A7769" s="88">
        <f>A7768+1</f>
        <v>44</v>
      </c>
      <c r="B7769" s="69" t="s">
        <v>2308</v>
      </c>
      <c r="C7769" s="69">
        <v>12</v>
      </c>
      <c r="D7769" s="89">
        <v>4</v>
      </c>
      <c r="E7769" s="89">
        <v>0</v>
      </c>
      <c r="F7769" s="89">
        <v>4</v>
      </c>
      <c r="G7769" s="89">
        <v>4</v>
      </c>
      <c r="H7769" s="89">
        <v>4</v>
      </c>
      <c r="I7769" s="89">
        <v>4</v>
      </c>
      <c r="J7769" s="710">
        <f>(VLOOKUP($C7769,[2]Sheet1!$A$2:$P$18,$M7769+1)/12)*12*D7769</f>
        <v>2210740.2148800008</v>
      </c>
      <c r="K7769" s="711"/>
      <c r="M7769" s="62">
        <f t="shared" si="624"/>
        <v>3</v>
      </c>
    </row>
    <row r="7770" spans="1:13">
      <c r="A7770" s="88">
        <f t="shared" ref="A7770:A7776" si="626">+A7769+1</f>
        <v>45</v>
      </c>
      <c r="B7770" s="69" t="s">
        <v>2309</v>
      </c>
      <c r="C7770" s="69">
        <v>9</v>
      </c>
      <c r="D7770" s="89">
        <v>0</v>
      </c>
      <c r="E7770" s="89">
        <v>0</v>
      </c>
      <c r="F7770" s="89">
        <v>0</v>
      </c>
      <c r="G7770" s="89">
        <v>0</v>
      </c>
      <c r="H7770" s="89">
        <v>0</v>
      </c>
      <c r="I7770" s="89">
        <v>0</v>
      </c>
      <c r="J7770" s="710">
        <f>(VLOOKUP($C7770,[2]Sheet1!$A$2:$P$18,$M7770+1)/12)*12*D7770</f>
        <v>0</v>
      </c>
      <c r="K7770" s="711"/>
      <c r="M7770" s="62">
        <f t="shared" si="624"/>
        <v>3</v>
      </c>
    </row>
    <row r="7771" spans="1:13">
      <c r="A7771" s="88">
        <f t="shared" si="626"/>
        <v>46</v>
      </c>
      <c r="B7771" s="69" t="s">
        <v>2066</v>
      </c>
      <c r="C7771" s="69">
        <v>8</v>
      </c>
      <c r="D7771" s="89">
        <v>3</v>
      </c>
      <c r="E7771" s="89">
        <v>3</v>
      </c>
      <c r="F7771" s="89">
        <v>3</v>
      </c>
      <c r="G7771" s="89">
        <v>3</v>
      </c>
      <c r="H7771" s="89">
        <v>3</v>
      </c>
      <c r="I7771" s="89">
        <v>3</v>
      </c>
      <c r="J7771" s="710">
        <f>(VLOOKUP($C7771,[2]Sheet1!$A$2:$P$18,$M7771+1)/12)*12*D7771</f>
        <v>1026423.82224</v>
      </c>
      <c r="K7771" s="711"/>
      <c r="M7771" s="62">
        <f t="shared" si="624"/>
        <v>3</v>
      </c>
    </row>
    <row r="7772" spans="1:13">
      <c r="A7772" s="88">
        <f t="shared" si="626"/>
        <v>47</v>
      </c>
      <c r="B7772" s="69" t="s">
        <v>1076</v>
      </c>
      <c r="C7772" s="69">
        <v>8</v>
      </c>
      <c r="D7772" s="89">
        <v>1</v>
      </c>
      <c r="E7772" s="89">
        <v>2</v>
      </c>
      <c r="F7772" s="89">
        <v>1</v>
      </c>
      <c r="G7772" s="89">
        <v>1</v>
      </c>
      <c r="H7772" s="89">
        <v>1</v>
      </c>
      <c r="I7772" s="89">
        <v>1</v>
      </c>
      <c r="J7772" s="710">
        <f>(VLOOKUP($C7772,[2]Sheet1!$A$2:$P$18,$M7772+1)/12)*12*D7772</f>
        <v>342141.27408</v>
      </c>
      <c r="K7772" s="711"/>
      <c r="M7772" s="62">
        <f t="shared" si="624"/>
        <v>3</v>
      </c>
    </row>
    <row r="7773" spans="1:13">
      <c r="A7773" s="88">
        <f t="shared" si="626"/>
        <v>48</v>
      </c>
      <c r="B7773" s="69" t="s">
        <v>3414</v>
      </c>
      <c r="C7773" s="69">
        <v>7</v>
      </c>
      <c r="D7773" s="89">
        <v>0</v>
      </c>
      <c r="E7773" s="89">
        <v>0</v>
      </c>
      <c r="F7773" s="89">
        <v>0</v>
      </c>
      <c r="G7773" s="89">
        <v>0</v>
      </c>
      <c r="H7773" s="89">
        <v>0</v>
      </c>
      <c r="I7773" s="89">
        <v>0</v>
      </c>
      <c r="J7773" s="710">
        <f>(VLOOKUP($C7773,[2]Sheet1!$A$2:$P$18,$M7773+1)/12)*12*D7773</f>
        <v>0</v>
      </c>
      <c r="K7773" s="711"/>
      <c r="M7773" s="62">
        <f t="shared" si="624"/>
        <v>3</v>
      </c>
    </row>
    <row r="7774" spans="1:13">
      <c r="A7774" s="88">
        <f t="shared" si="626"/>
        <v>49</v>
      </c>
      <c r="B7774" s="69" t="s">
        <v>3031</v>
      </c>
      <c r="C7774" s="69">
        <v>6</v>
      </c>
      <c r="D7774" s="89">
        <v>1</v>
      </c>
      <c r="E7774" s="89">
        <v>1</v>
      </c>
      <c r="F7774" s="89">
        <v>1</v>
      </c>
      <c r="G7774" s="89">
        <v>1</v>
      </c>
      <c r="H7774" s="89">
        <v>1</v>
      </c>
      <c r="I7774" s="89">
        <v>1</v>
      </c>
      <c r="J7774" s="710">
        <f>(VLOOKUP($C7774,[2]Sheet1!$A$2:$P$18,$M7774+1)/12)*12*D7774</f>
        <v>238099.37893036497</v>
      </c>
      <c r="K7774" s="711"/>
      <c r="M7774" s="62">
        <f t="shared" si="624"/>
        <v>5</v>
      </c>
    </row>
    <row r="7775" spans="1:13">
      <c r="A7775" s="88">
        <f t="shared" si="626"/>
        <v>50</v>
      </c>
      <c r="B7775" s="69" t="s">
        <v>1250</v>
      </c>
      <c r="C7775" s="69">
        <v>5</v>
      </c>
      <c r="D7775" s="89">
        <v>0</v>
      </c>
      <c r="E7775" s="89">
        <v>0</v>
      </c>
      <c r="F7775" s="89">
        <v>0</v>
      </c>
      <c r="G7775" s="89">
        <v>0</v>
      </c>
      <c r="H7775" s="89">
        <v>0</v>
      </c>
      <c r="I7775" s="89">
        <v>0</v>
      </c>
      <c r="J7775" s="710">
        <f>(VLOOKUP($C7775,[2]Sheet1!$A$2:$P$18,$M7775+1)/12)*12*D7775</f>
        <v>0</v>
      </c>
      <c r="K7775" s="711"/>
      <c r="M7775" s="62">
        <f t="shared" si="624"/>
        <v>5</v>
      </c>
    </row>
    <row r="7776" spans="1:13">
      <c r="A7776" s="88">
        <f t="shared" si="626"/>
        <v>51</v>
      </c>
      <c r="B7776" s="69" t="s">
        <v>2360</v>
      </c>
      <c r="C7776" s="69">
        <v>4</v>
      </c>
      <c r="D7776" s="89">
        <v>1</v>
      </c>
      <c r="E7776" s="89">
        <v>1</v>
      </c>
      <c r="F7776" s="89">
        <v>1</v>
      </c>
      <c r="G7776" s="89">
        <v>1</v>
      </c>
      <c r="H7776" s="89">
        <v>1</v>
      </c>
      <c r="I7776" s="89">
        <v>1</v>
      </c>
      <c r="J7776" s="710">
        <f>(VLOOKUP($C7776,[2]Sheet1!$A$2:$P$18,$M7776+1)/12)*12*D7776</f>
        <v>224542.978930365</v>
      </c>
      <c r="K7776" s="711"/>
      <c r="M7776" s="62">
        <f t="shared" si="624"/>
        <v>5</v>
      </c>
    </row>
    <row r="7777" spans="1:13">
      <c r="A7777" s="88">
        <f>+A7775+1</f>
        <v>51</v>
      </c>
      <c r="B7777" s="69" t="s">
        <v>4030</v>
      </c>
      <c r="C7777" s="69">
        <v>3</v>
      </c>
      <c r="D7777" s="89">
        <v>0</v>
      </c>
      <c r="E7777" s="89">
        <v>0</v>
      </c>
      <c r="F7777" s="89">
        <v>0</v>
      </c>
      <c r="G7777" s="89">
        <v>0</v>
      </c>
      <c r="H7777" s="89">
        <v>0</v>
      </c>
      <c r="I7777" s="89">
        <v>0</v>
      </c>
      <c r="J7777" s="710">
        <f>(VLOOKUP($C7777,[2]Sheet1!$A$2:$P$18,$M7777+1)/12)*12*D7777</f>
        <v>0</v>
      </c>
      <c r="K7777" s="711"/>
      <c r="M7777" s="62">
        <f t="shared" si="624"/>
        <v>5</v>
      </c>
    </row>
    <row r="7778" spans="1:13">
      <c r="A7778" s="92"/>
      <c r="B7778" s="93" t="s">
        <v>2120</v>
      </c>
      <c r="C7778" s="94"/>
      <c r="D7778" s="123">
        <v>81</v>
      </c>
      <c r="E7778" s="123">
        <f>SUM(E7718:E7777)</f>
        <v>86</v>
      </c>
      <c r="F7778" s="123">
        <v>81</v>
      </c>
      <c r="G7778" s="123">
        <v>81</v>
      </c>
      <c r="H7778" s="123">
        <f>SUM(H7718:H7777)</f>
        <v>117</v>
      </c>
      <c r="I7778" s="123">
        <v>81</v>
      </c>
      <c r="J7778" s="123">
        <f>SUM(J7718:J7777)</f>
        <v>52059207.445461899</v>
      </c>
      <c r="K7778" s="378"/>
      <c r="M7778" s="62">
        <f t="shared" si="624"/>
        <v>5</v>
      </c>
    </row>
    <row r="7779" spans="1:13">
      <c r="A7779" s="88" t="s">
        <v>1840</v>
      </c>
      <c r="B7779" s="97" t="s">
        <v>1199</v>
      </c>
      <c r="C7779" s="69"/>
      <c r="D7779" s="89"/>
      <c r="E7779" s="89"/>
      <c r="F7779" s="99"/>
      <c r="G7779" s="240" t="s">
        <v>243</v>
      </c>
      <c r="H7779" s="240" t="s">
        <v>4130</v>
      </c>
      <c r="I7779" s="240" t="s">
        <v>4202</v>
      </c>
      <c r="J7779" s="241" t="s">
        <v>4200</v>
      </c>
      <c r="K7779" s="375"/>
      <c r="M7779" s="62">
        <f t="shared" si="624"/>
        <v>5</v>
      </c>
    </row>
    <row r="7780" spans="1:13">
      <c r="A7780" s="88">
        <v>1</v>
      </c>
      <c r="B7780" s="69" t="s">
        <v>4035</v>
      </c>
      <c r="C7780" s="69"/>
      <c r="D7780" s="89"/>
      <c r="E7780" s="89"/>
      <c r="F7780" s="89"/>
      <c r="G7780" s="100">
        <f>J7778*0.2</f>
        <v>10411841.48909238</v>
      </c>
      <c r="H7780" s="100">
        <f>G7780*1.02</f>
        <v>10620078.318874227</v>
      </c>
      <c r="I7780" s="100">
        <f>H7780*1.02</f>
        <v>10832479.885251712</v>
      </c>
      <c r="J7780" s="100">
        <f>SUM(G7780:I7780)</f>
        <v>31864399.693218317</v>
      </c>
      <c r="K7780" s="114"/>
      <c r="M7780" s="62">
        <f t="shared" si="624"/>
        <v>5</v>
      </c>
    </row>
    <row r="7781" spans="1:13">
      <c r="A7781" s="88">
        <v>2</v>
      </c>
      <c r="B7781" s="69" t="s">
        <v>1040</v>
      </c>
      <c r="C7781" s="69"/>
      <c r="D7781" s="89"/>
      <c r="E7781" s="89"/>
      <c r="F7781" s="89"/>
      <c r="G7781" s="100">
        <v>570596.29327999998</v>
      </c>
      <c r="H7781" s="100">
        <f>G7781*1.02</f>
        <v>582008.21914559999</v>
      </c>
      <c r="I7781" s="100">
        <f>H7781*1.02</f>
        <v>593648.38352851197</v>
      </c>
      <c r="J7781" s="100">
        <f>SUM(G7781:I7781)</f>
        <v>1746252.8959541121</v>
      </c>
      <c r="K7781" s="114"/>
      <c r="M7781" s="62">
        <f t="shared" si="624"/>
        <v>5</v>
      </c>
    </row>
    <row r="7782" spans="1:13">
      <c r="A7782" s="92" t="s">
        <v>1840</v>
      </c>
      <c r="B7782" s="93" t="s">
        <v>2120</v>
      </c>
      <c r="C7782" s="94"/>
      <c r="D7782" s="101"/>
      <c r="E7782" s="101"/>
      <c r="F7782" s="123"/>
      <c r="G7782" s="123">
        <f>SUM(G7780:G7781)</f>
        <v>10982437.78237238</v>
      </c>
      <c r="H7782" s="123">
        <f>SUM(H7780:H7781)</f>
        <v>11202086.538019827</v>
      </c>
      <c r="I7782" s="123">
        <f>SUM(I7780:I7781)</f>
        <v>11426128.268780224</v>
      </c>
      <c r="J7782" s="123">
        <f>SUM(J7780:J7781)</f>
        <v>33610652.58917243</v>
      </c>
      <c r="K7782" s="378"/>
      <c r="M7782" s="62">
        <f t="shared" si="624"/>
        <v>5</v>
      </c>
    </row>
    <row r="7783" spans="1:13">
      <c r="A7783" s="88"/>
      <c r="B7783" s="69" t="s">
        <v>1119</v>
      </c>
      <c r="C7783" s="69"/>
      <c r="D7783" s="89"/>
      <c r="E7783" s="89"/>
      <c r="F7783" s="89"/>
      <c r="G7783" s="100">
        <f>G7782+J7778</f>
        <v>63041645.227834277</v>
      </c>
      <c r="H7783" s="100">
        <f>G7783*1.02</f>
        <v>64302478.132390961</v>
      </c>
      <c r="I7783" s="100">
        <f>H7783*1.02</f>
        <v>65588527.695038781</v>
      </c>
      <c r="J7783" s="100">
        <f>SUM(G7783:I7783)</f>
        <v>192932651.055264</v>
      </c>
      <c r="K7783" s="114"/>
      <c r="L7783" s="112"/>
      <c r="M7783" s="62">
        <f t="shared" si="624"/>
        <v>5</v>
      </c>
    </row>
    <row r="7784" spans="1:13">
      <c r="A7784" s="88"/>
      <c r="B7784" s="69" t="s">
        <v>3944</v>
      </c>
      <c r="C7784" s="69"/>
      <c r="D7784" s="89"/>
      <c r="E7784" s="89"/>
      <c r="F7784" s="89"/>
      <c r="G7784" s="89">
        <f>C7813</f>
        <v>8000000</v>
      </c>
      <c r="H7784" s="89">
        <f>D7813</f>
        <v>15000000</v>
      </c>
      <c r="I7784" s="89">
        <f>E7813</f>
        <v>15000000</v>
      </c>
      <c r="J7784" s="100">
        <f>SUM(G7784:I7784)</f>
        <v>38000000</v>
      </c>
      <c r="K7784" s="114"/>
      <c r="M7784" s="62">
        <f t="shared" si="624"/>
        <v>5</v>
      </c>
    </row>
    <row r="7785" spans="1:13">
      <c r="A7785" s="88"/>
      <c r="B7785" s="69"/>
      <c r="C7785" s="69"/>
      <c r="D7785" s="89"/>
      <c r="E7785" s="89"/>
      <c r="F7785" s="89"/>
      <c r="G7785" s="89"/>
      <c r="H7785" s="89"/>
      <c r="I7785" s="89"/>
      <c r="J7785" s="89"/>
      <c r="K7785" s="114"/>
      <c r="M7785" s="62">
        <f t="shared" ref="M7785:M7844" si="627">IF(C7785&gt;6,3,5)</f>
        <v>5</v>
      </c>
    </row>
    <row r="7786" spans="1:13">
      <c r="A7786" s="92"/>
      <c r="B7786" s="93" t="s">
        <v>2843</v>
      </c>
      <c r="C7786" s="94"/>
      <c r="D7786" s="101"/>
      <c r="E7786" s="101"/>
      <c r="F7786" s="123"/>
      <c r="G7786" s="123">
        <f>SUM(G7783:G7784)</f>
        <v>71041645.227834284</v>
      </c>
      <c r="H7786" s="123">
        <f>SUM(H7783:H7784)</f>
        <v>79302478.132390961</v>
      </c>
      <c r="I7786" s="123">
        <f>SUM(I7783:I7784)</f>
        <v>80588527.695038781</v>
      </c>
      <c r="J7786" s="123">
        <f>SUM(J7783:J7784)</f>
        <v>230932651.055264</v>
      </c>
      <c r="K7786" s="378"/>
      <c r="M7786" s="62">
        <f t="shared" si="627"/>
        <v>5</v>
      </c>
    </row>
    <row r="7787" spans="1:13" ht="15">
      <c r="C7787" s="77"/>
      <c r="D7787" s="78" t="s">
        <v>5434</v>
      </c>
      <c r="J7787" s="584"/>
      <c r="K7787" s="584"/>
      <c r="M7787" s="62">
        <f t="shared" si="627"/>
        <v>5</v>
      </c>
    </row>
    <row r="7788" spans="1:13" ht="15">
      <c r="C7788" s="77"/>
      <c r="D7788" s="78" t="s">
        <v>716</v>
      </c>
      <c r="J7788" s="584"/>
      <c r="K7788" s="584"/>
      <c r="M7788" s="62">
        <f t="shared" si="627"/>
        <v>5</v>
      </c>
    </row>
    <row r="7789" spans="1:13" ht="15">
      <c r="C7789" s="79" t="s">
        <v>717</v>
      </c>
      <c r="D7789" s="78" t="s">
        <v>2028</v>
      </c>
      <c r="J7789" s="584"/>
      <c r="K7789" s="584"/>
      <c r="M7789" s="62">
        <f t="shared" si="627"/>
        <v>3</v>
      </c>
    </row>
    <row r="7790" spans="1:13" ht="15">
      <c r="C7790" s="79" t="s">
        <v>718</v>
      </c>
      <c r="D7790" s="78">
        <v>426</v>
      </c>
      <c r="J7790" s="584"/>
      <c r="K7790" s="584"/>
      <c r="M7790" s="62">
        <f t="shared" si="627"/>
        <v>3</v>
      </c>
    </row>
    <row r="7791" spans="1:13" ht="15">
      <c r="A7791" s="634" t="s">
        <v>1839</v>
      </c>
      <c r="B7791" s="635" t="s">
        <v>903</v>
      </c>
      <c r="C7791" s="1037" t="s">
        <v>4127</v>
      </c>
      <c r="D7791" s="1038"/>
      <c r="E7791" s="1039"/>
      <c r="F7791" s="635" t="s">
        <v>1684</v>
      </c>
      <c r="G7791" s="1037" t="s">
        <v>4132</v>
      </c>
      <c r="H7791" s="1038"/>
      <c r="I7791" s="1039"/>
      <c r="J7791" s="726"/>
      <c r="K7791" s="727"/>
    </row>
    <row r="7792" spans="1:13">
      <c r="A7792" s="636" t="s">
        <v>1620</v>
      </c>
      <c r="B7792" s="637"/>
      <c r="C7792" s="635" t="s">
        <v>1841</v>
      </c>
      <c r="D7792" s="635" t="s">
        <v>4133</v>
      </c>
      <c r="E7792" s="635" t="s">
        <v>4133</v>
      </c>
      <c r="F7792" s="1056" t="s">
        <v>4200</v>
      </c>
      <c r="G7792" s="634" t="s">
        <v>4135</v>
      </c>
      <c r="H7792" s="1051" t="s">
        <v>4182</v>
      </c>
      <c r="I7792" s="634" t="s">
        <v>4135</v>
      </c>
      <c r="J7792" s="728" t="s">
        <v>4136</v>
      </c>
      <c r="K7792" s="727"/>
    </row>
    <row r="7793" spans="1:13" ht="12.75" customHeight="1">
      <c r="A7793" s="638" t="s">
        <v>387</v>
      </c>
      <c r="B7793" s="639"/>
      <c r="C7793" s="638">
        <v>2015</v>
      </c>
      <c r="D7793" s="638">
        <v>2016</v>
      </c>
      <c r="E7793" s="638">
        <v>2017</v>
      </c>
      <c r="F7793" s="1057"/>
      <c r="G7793" s="638" t="s">
        <v>4304</v>
      </c>
      <c r="H7793" s="1052"/>
      <c r="I7793" s="638" t="s">
        <v>4303</v>
      </c>
      <c r="J7793" s="639"/>
      <c r="K7793" s="729"/>
    </row>
    <row r="7794" spans="1:13">
      <c r="A7794" s="768"/>
      <c r="B7794" s="768"/>
      <c r="C7794" s="390"/>
      <c r="D7794" s="390"/>
      <c r="E7794" s="390"/>
      <c r="F7794" s="390"/>
      <c r="G7794" s="390"/>
      <c r="H7794" s="390"/>
      <c r="I7794" s="390"/>
      <c r="J7794" s="390"/>
      <c r="K7794" s="734"/>
      <c r="M7794" s="62" t="e">
        <f>IF(#REF!&gt;6,3,5)</f>
        <v>#REF!</v>
      </c>
    </row>
    <row r="7795" spans="1:13">
      <c r="A7795" s="768">
        <v>2</v>
      </c>
      <c r="B7795" s="769" t="s">
        <v>1695</v>
      </c>
      <c r="C7795" s="390">
        <v>1500000</v>
      </c>
      <c r="D7795" s="390">
        <v>3000000</v>
      </c>
      <c r="E7795" s="390">
        <v>3000000</v>
      </c>
      <c r="F7795" s="390">
        <f>SUM(C7795:E7795)</f>
        <v>7500000</v>
      </c>
      <c r="G7795" s="390">
        <v>189000</v>
      </c>
      <c r="H7795" s="390">
        <v>1500000</v>
      </c>
      <c r="I7795" s="390">
        <v>770800</v>
      </c>
      <c r="J7795" s="390"/>
      <c r="K7795" s="734"/>
      <c r="M7795" s="62" t="e">
        <f>IF(#REF!&gt;6,3,5)</f>
        <v>#REF!</v>
      </c>
    </row>
    <row r="7796" spans="1:13">
      <c r="A7796" s="768">
        <f t="shared" ref="A7796:A7809" si="628">+A7795+1</f>
        <v>3</v>
      </c>
      <c r="B7796" s="768" t="s">
        <v>1696</v>
      </c>
      <c r="C7796" s="390" t="s">
        <v>1386</v>
      </c>
      <c r="D7796" s="390">
        <v>300000</v>
      </c>
      <c r="E7796" s="390">
        <v>300000</v>
      </c>
      <c r="F7796" s="390">
        <f t="shared" ref="F7796:F7809" si="629">SUM(C7796:E7796)</f>
        <v>600000</v>
      </c>
      <c r="G7796" s="390"/>
      <c r="H7796" s="390" t="s">
        <v>1386</v>
      </c>
      <c r="I7796" s="390"/>
      <c r="J7796" s="390"/>
      <c r="K7796" s="734"/>
      <c r="M7796" s="62" t="e">
        <f>IF(#REF!&gt;6,3,5)</f>
        <v>#REF!</v>
      </c>
    </row>
    <row r="7797" spans="1:13">
      <c r="A7797" s="768">
        <f t="shared" si="628"/>
        <v>4</v>
      </c>
      <c r="B7797" s="768" t="s">
        <v>1701</v>
      </c>
      <c r="C7797" s="390" t="s">
        <v>1386</v>
      </c>
      <c r="D7797" s="390" t="s">
        <v>1386</v>
      </c>
      <c r="E7797" s="390" t="s">
        <v>1386</v>
      </c>
      <c r="F7797" s="390">
        <f t="shared" si="629"/>
        <v>0</v>
      </c>
      <c r="G7797" s="390"/>
      <c r="H7797" s="390" t="s">
        <v>1386</v>
      </c>
      <c r="I7797" s="390"/>
      <c r="J7797" s="390"/>
      <c r="K7797" s="734"/>
      <c r="M7797" s="62" t="e">
        <f>IF(#REF!&gt;6,3,5)</f>
        <v>#REF!</v>
      </c>
    </row>
    <row r="7798" spans="1:13">
      <c r="A7798" s="768">
        <f t="shared" si="628"/>
        <v>5</v>
      </c>
      <c r="B7798" s="768" t="s">
        <v>998</v>
      </c>
      <c r="C7798" s="390">
        <v>800000</v>
      </c>
      <c r="D7798" s="390">
        <v>2000000</v>
      </c>
      <c r="E7798" s="390">
        <v>2000000</v>
      </c>
      <c r="F7798" s="390">
        <f t="shared" si="629"/>
        <v>4800000</v>
      </c>
      <c r="G7798" s="390">
        <v>200000</v>
      </c>
      <c r="H7798" s="390">
        <v>800000</v>
      </c>
      <c r="I7798" s="390">
        <v>572200</v>
      </c>
      <c r="J7798" s="390"/>
      <c r="K7798" s="734"/>
      <c r="M7798" s="62" t="e">
        <f>IF(#REF!&gt;6,3,5)</f>
        <v>#REF!</v>
      </c>
    </row>
    <row r="7799" spans="1:13">
      <c r="A7799" s="768">
        <f t="shared" si="628"/>
        <v>6</v>
      </c>
      <c r="B7799" s="825" t="s">
        <v>1544</v>
      </c>
      <c r="C7799" s="390">
        <v>700000</v>
      </c>
      <c r="D7799" s="390">
        <v>1000000</v>
      </c>
      <c r="E7799" s="390">
        <v>1000000</v>
      </c>
      <c r="F7799" s="390">
        <f t="shared" si="629"/>
        <v>2700000</v>
      </c>
      <c r="G7799" s="390">
        <v>76000</v>
      </c>
      <c r="H7799" s="390">
        <v>800000</v>
      </c>
      <c r="I7799" s="390">
        <v>374600</v>
      </c>
      <c r="J7799" s="390"/>
      <c r="K7799" s="734"/>
      <c r="M7799" s="62" t="e">
        <f>IF(#REF!&gt;6,3,5)</f>
        <v>#REF!</v>
      </c>
    </row>
    <row r="7800" spans="1:13">
      <c r="A7800" s="768">
        <f t="shared" si="628"/>
        <v>7</v>
      </c>
      <c r="B7800" s="825" t="s">
        <v>897</v>
      </c>
      <c r="C7800" s="390">
        <v>800000</v>
      </c>
      <c r="D7800" s="390">
        <v>2000000</v>
      </c>
      <c r="E7800" s="390">
        <v>2000000</v>
      </c>
      <c r="F7800" s="390">
        <f t="shared" si="629"/>
        <v>4800000</v>
      </c>
      <c r="G7800" s="390"/>
      <c r="H7800" s="390">
        <v>800000</v>
      </c>
      <c r="I7800" s="390">
        <v>368000</v>
      </c>
      <c r="J7800" s="390"/>
      <c r="K7800" s="734"/>
      <c r="M7800" s="62" t="e">
        <f>IF(#REF!&gt;6,3,5)</f>
        <v>#REF!</v>
      </c>
    </row>
    <row r="7801" spans="1:13">
      <c r="A7801" s="768">
        <f t="shared" si="628"/>
        <v>8</v>
      </c>
      <c r="B7801" s="768" t="s">
        <v>1001</v>
      </c>
      <c r="C7801" s="390" t="s">
        <v>1386</v>
      </c>
      <c r="D7801" s="390" t="s">
        <v>1386</v>
      </c>
      <c r="E7801" s="390" t="s">
        <v>1386</v>
      </c>
      <c r="F7801" s="390">
        <f t="shared" si="629"/>
        <v>0</v>
      </c>
      <c r="G7801" s="390"/>
      <c r="H7801" s="390" t="s">
        <v>1386</v>
      </c>
      <c r="I7801" s="390"/>
      <c r="J7801" s="390"/>
      <c r="K7801" s="734"/>
      <c r="M7801" s="62" t="e">
        <f>IF(#REF!&gt;6,3,5)</f>
        <v>#REF!</v>
      </c>
    </row>
    <row r="7802" spans="1:13">
      <c r="A7802" s="768">
        <f t="shared" si="628"/>
        <v>9</v>
      </c>
      <c r="B7802" s="768" t="s">
        <v>2061</v>
      </c>
      <c r="C7802" s="390" t="s">
        <v>1386</v>
      </c>
      <c r="D7802" s="390" t="s">
        <v>1386</v>
      </c>
      <c r="E7802" s="390" t="s">
        <v>1386</v>
      </c>
      <c r="F7802" s="390">
        <f t="shared" si="629"/>
        <v>0</v>
      </c>
      <c r="G7802" s="390"/>
      <c r="H7802" s="390" t="s">
        <v>1386</v>
      </c>
      <c r="I7802" s="390"/>
      <c r="J7802" s="390"/>
      <c r="K7802" s="734"/>
      <c r="M7802" s="62" t="e">
        <f>IF(#REF!&gt;6,3,5)</f>
        <v>#REF!</v>
      </c>
    </row>
    <row r="7803" spans="1:13">
      <c r="A7803" s="768">
        <f t="shared" si="628"/>
        <v>10</v>
      </c>
      <c r="B7803" s="768" t="s">
        <v>1680</v>
      </c>
      <c r="C7803" s="390">
        <v>700000</v>
      </c>
      <c r="D7803" s="390">
        <v>1000000</v>
      </c>
      <c r="E7803" s="390">
        <v>1000000</v>
      </c>
      <c r="F7803" s="390">
        <f t="shared" si="629"/>
        <v>2700000</v>
      </c>
      <c r="G7803" s="390"/>
      <c r="H7803" s="390">
        <v>700000</v>
      </c>
      <c r="I7803" s="390"/>
      <c r="J7803" s="390"/>
      <c r="K7803" s="734"/>
      <c r="M7803" s="62" t="e">
        <f>IF(#REF!&gt;6,3,5)</f>
        <v>#REF!</v>
      </c>
    </row>
    <row r="7804" spans="1:13">
      <c r="A7804" s="768">
        <f t="shared" si="628"/>
        <v>11</v>
      </c>
      <c r="B7804" s="768" t="s">
        <v>1681</v>
      </c>
      <c r="C7804" s="390">
        <v>100000</v>
      </c>
      <c r="D7804" s="390">
        <v>300000</v>
      </c>
      <c r="E7804" s="390">
        <v>300000</v>
      </c>
      <c r="F7804" s="390">
        <f t="shared" si="629"/>
        <v>700000</v>
      </c>
      <c r="G7804" s="390">
        <v>29000</v>
      </c>
      <c r="H7804" s="390">
        <v>100000</v>
      </c>
      <c r="I7804" s="390">
        <v>59000</v>
      </c>
      <c r="J7804" s="390"/>
      <c r="K7804" s="734"/>
      <c r="M7804" s="62" t="e">
        <f>IF(#REF!&gt;6,3,5)</f>
        <v>#REF!</v>
      </c>
    </row>
    <row r="7805" spans="1:13">
      <c r="A7805" s="768">
        <f t="shared" si="628"/>
        <v>12</v>
      </c>
      <c r="B7805" s="768" t="s">
        <v>1682</v>
      </c>
      <c r="C7805" s="390">
        <v>1500000</v>
      </c>
      <c r="D7805" s="390">
        <v>1500000</v>
      </c>
      <c r="E7805" s="390">
        <v>1500000</v>
      </c>
      <c r="F7805" s="390">
        <f t="shared" si="629"/>
        <v>4500000</v>
      </c>
      <c r="G7805" s="390">
        <v>152000</v>
      </c>
      <c r="H7805" s="390">
        <v>2000000</v>
      </c>
      <c r="I7805" s="390">
        <v>501793</v>
      </c>
      <c r="J7805" s="390"/>
      <c r="K7805" s="734"/>
      <c r="M7805" s="62" t="e">
        <f>IF(#REF!&gt;6,3,5)</f>
        <v>#REF!</v>
      </c>
    </row>
    <row r="7806" spans="1:13">
      <c r="A7806" s="768">
        <f t="shared" si="628"/>
        <v>13</v>
      </c>
      <c r="B7806" s="768" t="s">
        <v>2249</v>
      </c>
      <c r="C7806" s="390">
        <v>100000</v>
      </c>
      <c r="D7806" s="390">
        <v>100000</v>
      </c>
      <c r="E7806" s="390">
        <v>100000</v>
      </c>
      <c r="F7806" s="390">
        <f t="shared" si="629"/>
        <v>300000</v>
      </c>
      <c r="G7806" s="390"/>
      <c r="H7806" s="390">
        <v>100000</v>
      </c>
      <c r="I7806" s="390"/>
      <c r="J7806" s="390"/>
      <c r="K7806" s="734"/>
      <c r="M7806" s="62" t="e">
        <f>IF(#REF!&gt;6,3,5)</f>
        <v>#REF!</v>
      </c>
    </row>
    <row r="7807" spans="1:13">
      <c r="A7807" s="768">
        <f t="shared" si="628"/>
        <v>14</v>
      </c>
      <c r="B7807" s="825" t="s">
        <v>1336</v>
      </c>
      <c r="C7807" s="390">
        <v>800000</v>
      </c>
      <c r="D7807" s="390">
        <v>1000000</v>
      </c>
      <c r="E7807" s="390">
        <v>1000000</v>
      </c>
      <c r="F7807" s="390">
        <f t="shared" si="629"/>
        <v>2800000</v>
      </c>
      <c r="G7807" s="390"/>
      <c r="H7807" s="390">
        <v>1000000</v>
      </c>
      <c r="I7807" s="390"/>
      <c r="J7807" s="390"/>
      <c r="K7807" s="734"/>
      <c r="M7807" s="62" t="e">
        <f>IF(#REF!&gt;6,3,5)</f>
        <v>#REF!</v>
      </c>
    </row>
    <row r="7808" spans="1:13">
      <c r="A7808" s="768">
        <f t="shared" si="628"/>
        <v>15</v>
      </c>
      <c r="B7808" s="825" t="s">
        <v>2027</v>
      </c>
      <c r="C7808" s="390">
        <v>1000000</v>
      </c>
      <c r="D7808" s="390">
        <v>800000</v>
      </c>
      <c r="E7808" s="390">
        <v>800000</v>
      </c>
      <c r="F7808" s="390">
        <f t="shared" si="629"/>
        <v>2600000</v>
      </c>
      <c r="G7808" s="390"/>
      <c r="H7808" s="390">
        <v>800000</v>
      </c>
      <c r="I7808" s="390"/>
      <c r="J7808" s="390"/>
      <c r="K7808" s="734"/>
      <c r="M7808" s="62" t="e">
        <f>IF(#REF!&gt;6,3,5)</f>
        <v>#REF!</v>
      </c>
    </row>
    <row r="7809" spans="1:13">
      <c r="A7809" s="768">
        <f t="shared" si="628"/>
        <v>16</v>
      </c>
      <c r="B7809" s="825" t="s">
        <v>2245</v>
      </c>
      <c r="C7809" s="390" t="s">
        <v>1386</v>
      </c>
      <c r="D7809" s="390">
        <v>2000000</v>
      </c>
      <c r="E7809" s="390">
        <v>2000000</v>
      </c>
      <c r="F7809" s="390">
        <f t="shared" si="629"/>
        <v>4000000</v>
      </c>
      <c r="G7809" s="390"/>
      <c r="H7809" s="390" t="s">
        <v>1386</v>
      </c>
      <c r="I7809" s="390"/>
      <c r="J7809" s="390"/>
      <c r="K7809" s="734"/>
      <c r="M7809" s="62" t="e">
        <f>IF(#REF!&gt;6,3,5)</f>
        <v>#REF!</v>
      </c>
    </row>
    <row r="7810" spans="1:13">
      <c r="A7810" s="768"/>
      <c r="B7810" s="768"/>
      <c r="C7810" s="390"/>
      <c r="D7810" s="390"/>
      <c r="E7810" s="390"/>
      <c r="F7810" s="390"/>
      <c r="G7810" s="390"/>
      <c r="H7810" s="390"/>
      <c r="I7810" s="390"/>
      <c r="J7810" s="390"/>
      <c r="K7810" s="734"/>
      <c r="M7810" s="62" t="e">
        <f>IF(#REF!&gt;6,3,5)</f>
        <v>#REF!</v>
      </c>
    </row>
    <row r="7811" spans="1:13">
      <c r="A7811" s="768"/>
      <c r="B7811" s="768"/>
      <c r="C7811" s="390"/>
      <c r="D7811" s="390"/>
      <c r="E7811" s="390"/>
      <c r="F7811" s="390"/>
      <c r="G7811" s="390"/>
      <c r="H7811" s="390"/>
      <c r="I7811" s="390"/>
      <c r="J7811" s="390"/>
      <c r="K7811" s="734"/>
      <c r="M7811" s="62" t="e">
        <f>IF(#REF!&gt;6,3,5)</f>
        <v>#REF!</v>
      </c>
    </row>
    <row r="7812" spans="1:13">
      <c r="A7812" s="768"/>
      <c r="B7812" s="768"/>
      <c r="C7812" s="390"/>
      <c r="D7812" s="390"/>
      <c r="E7812" s="390"/>
      <c r="F7812" s="390"/>
      <c r="G7812" s="390"/>
      <c r="H7812" s="390"/>
      <c r="I7812" s="390"/>
      <c r="J7812" s="390"/>
      <c r="K7812" s="734"/>
      <c r="M7812" s="62" t="e">
        <f>IF(#REF!&gt;6,3,5)</f>
        <v>#REF!</v>
      </c>
    </row>
    <row r="7813" spans="1:13">
      <c r="A7813" s="770"/>
      <c r="B7813" s="770" t="s">
        <v>1684</v>
      </c>
      <c r="C7813" s="771">
        <f t="shared" ref="C7813:I7813" si="630">SUM(C7794:C7812)</f>
        <v>8000000</v>
      </c>
      <c r="D7813" s="771">
        <f t="shared" si="630"/>
        <v>15000000</v>
      </c>
      <c r="E7813" s="771">
        <f t="shared" si="630"/>
        <v>15000000</v>
      </c>
      <c r="F7813" s="771">
        <f t="shared" si="630"/>
        <v>38000000</v>
      </c>
      <c r="G7813" s="771">
        <f>SUM(G7794:G7812)</f>
        <v>646000</v>
      </c>
      <c r="H7813" s="771">
        <f t="shared" si="630"/>
        <v>8600000</v>
      </c>
      <c r="I7813" s="771">
        <f t="shared" si="630"/>
        <v>2646393</v>
      </c>
      <c r="J7813" s="771"/>
      <c r="K7813" s="772"/>
      <c r="M7813" s="62" t="e">
        <f>IF(#REF!&gt;6,3,5)</f>
        <v>#REF!</v>
      </c>
    </row>
    <row r="7814" spans="1:13" ht="15">
      <c r="C7814" s="77"/>
      <c r="D7814" s="78" t="s">
        <v>5434</v>
      </c>
      <c r="J7814" s="584"/>
      <c r="K7814" s="584"/>
      <c r="M7814" s="62">
        <f t="shared" si="627"/>
        <v>5</v>
      </c>
    </row>
    <row r="7815" spans="1:13" ht="15">
      <c r="C7815" s="77"/>
      <c r="D7815" s="78" t="s">
        <v>1693</v>
      </c>
      <c r="J7815" s="584"/>
      <c r="K7815" s="584"/>
      <c r="M7815" s="62">
        <f t="shared" si="627"/>
        <v>5</v>
      </c>
    </row>
    <row r="7816" spans="1:13" ht="15">
      <c r="C7816" s="79" t="s">
        <v>717</v>
      </c>
      <c r="D7816" s="78" t="s">
        <v>3736</v>
      </c>
      <c r="J7816" s="584"/>
      <c r="K7816" s="584"/>
      <c r="M7816" s="62">
        <f t="shared" si="627"/>
        <v>3</v>
      </c>
    </row>
    <row r="7817" spans="1:13" ht="15.75" thickBot="1">
      <c r="C7817" s="79" t="s">
        <v>718</v>
      </c>
      <c r="D7817" s="78">
        <v>427</v>
      </c>
      <c r="J7817" s="584"/>
      <c r="K7817" s="584"/>
      <c r="M7817" s="62">
        <f t="shared" si="627"/>
        <v>3</v>
      </c>
    </row>
    <row r="7818" spans="1:13" ht="15.75" thickTop="1">
      <c r="A7818" s="1047" t="s">
        <v>2791</v>
      </c>
      <c r="B7818" s="1049" t="s">
        <v>4126</v>
      </c>
      <c r="C7818" s="1049" t="s">
        <v>854</v>
      </c>
      <c r="D7818" s="1040" t="s">
        <v>4127</v>
      </c>
      <c r="E7818" s="1041"/>
      <c r="F7818" s="1041"/>
      <c r="G7818" s="1040" t="s">
        <v>904</v>
      </c>
      <c r="H7818" s="1041"/>
      <c r="I7818" s="1042"/>
      <c r="J7818" s="1035" t="s">
        <v>855</v>
      </c>
      <c r="K7818" s="389"/>
    </row>
    <row r="7819" spans="1:13" ht="26.25" thickBot="1">
      <c r="A7819" s="1048"/>
      <c r="B7819" s="1050"/>
      <c r="C7819" s="1050"/>
      <c r="D7819" s="285" t="s">
        <v>5505</v>
      </c>
      <c r="E7819" s="285" t="s">
        <v>4485</v>
      </c>
      <c r="F7819" s="285" t="s">
        <v>4486</v>
      </c>
      <c r="G7819" s="287" t="s">
        <v>4487</v>
      </c>
      <c r="H7819" s="285" t="s">
        <v>4488</v>
      </c>
      <c r="I7819" s="287" t="s">
        <v>4489</v>
      </c>
      <c r="J7819" s="1036"/>
      <c r="K7819" s="712"/>
    </row>
    <row r="7820" spans="1:13" ht="13.5" thickTop="1">
      <c r="A7820" s="88">
        <v>1</v>
      </c>
      <c r="B7820" s="69" t="s">
        <v>2970</v>
      </c>
      <c r="C7820" s="69" t="s">
        <v>2335</v>
      </c>
      <c r="D7820" s="89">
        <v>1</v>
      </c>
      <c r="E7820" s="89">
        <v>1</v>
      </c>
      <c r="F7820" s="89">
        <v>1</v>
      </c>
      <c r="G7820" s="89">
        <v>1</v>
      </c>
      <c r="H7820" s="89">
        <v>1</v>
      </c>
      <c r="I7820" s="89">
        <v>1</v>
      </c>
      <c r="J7820" s="713"/>
      <c r="K7820" s="711"/>
      <c r="M7820" s="62">
        <f t="shared" si="627"/>
        <v>3</v>
      </c>
    </row>
    <row r="7821" spans="1:13">
      <c r="A7821" s="88">
        <f>+A7820+1</f>
        <v>2</v>
      </c>
      <c r="B7821" s="69" t="s">
        <v>3032</v>
      </c>
      <c r="C7821" s="69" t="s">
        <v>2335</v>
      </c>
      <c r="D7821" s="89">
        <v>5</v>
      </c>
      <c r="E7821" s="89">
        <v>8</v>
      </c>
      <c r="F7821" s="89">
        <v>5</v>
      </c>
      <c r="G7821" s="89">
        <v>5</v>
      </c>
      <c r="H7821" s="89">
        <v>5</v>
      </c>
      <c r="I7821" s="89">
        <v>5</v>
      </c>
      <c r="J7821" s="713"/>
      <c r="K7821" s="711"/>
      <c r="M7821" s="62">
        <f t="shared" si="627"/>
        <v>3</v>
      </c>
    </row>
    <row r="7822" spans="1:13">
      <c r="A7822" s="88">
        <f>+A7821+1</f>
        <v>3</v>
      </c>
      <c r="B7822" s="69" t="s">
        <v>2333</v>
      </c>
      <c r="C7822" s="69">
        <v>16</v>
      </c>
      <c r="D7822" s="89">
        <v>1</v>
      </c>
      <c r="E7822" s="89">
        <v>1</v>
      </c>
      <c r="F7822" s="89">
        <v>1</v>
      </c>
      <c r="G7822" s="89">
        <v>1</v>
      </c>
      <c r="H7822" s="89">
        <v>1</v>
      </c>
      <c r="I7822" s="89">
        <v>1</v>
      </c>
      <c r="J7822" s="710">
        <f>(VLOOKUP($C7822,[2]Sheet1!$A$2:$P$18,$M7822+1)/12)*12*D7822</f>
        <v>677281.26084</v>
      </c>
      <c r="K7822" s="711"/>
      <c r="M7822" s="62">
        <f t="shared" si="627"/>
        <v>3</v>
      </c>
    </row>
    <row r="7823" spans="1:13">
      <c r="A7823" s="88" t="s">
        <v>1840</v>
      </c>
      <c r="B7823" s="97" t="s">
        <v>3033</v>
      </c>
      <c r="C7823" s="69"/>
      <c r="D7823" s="89"/>
      <c r="E7823" s="89"/>
      <c r="F7823" s="89"/>
      <c r="G7823" s="89"/>
      <c r="H7823" s="89"/>
      <c r="I7823" s="89"/>
      <c r="J7823" s="710"/>
      <c r="K7823" s="711"/>
      <c r="M7823" s="62">
        <f t="shared" si="627"/>
        <v>5</v>
      </c>
    </row>
    <row r="7824" spans="1:13">
      <c r="A7824" s="88">
        <f>+A7822+1</f>
        <v>4</v>
      </c>
      <c r="B7824" s="69" t="s">
        <v>255</v>
      </c>
      <c r="C7824" s="69">
        <v>10</v>
      </c>
      <c r="D7824" s="89">
        <v>1</v>
      </c>
      <c r="E7824" s="89">
        <v>1</v>
      </c>
      <c r="F7824" s="89">
        <v>1</v>
      </c>
      <c r="G7824" s="89">
        <v>1</v>
      </c>
      <c r="H7824" s="89">
        <v>1</v>
      </c>
      <c r="I7824" s="89">
        <v>1</v>
      </c>
      <c r="J7824" s="710">
        <f>(VLOOKUP($C7824,[2]Sheet1!$A$2:$P$18,$M7824+1)/12)*12*D7824</f>
        <v>483974.5687200001</v>
      </c>
      <c r="K7824" s="711"/>
      <c r="M7824" s="62">
        <f t="shared" si="627"/>
        <v>3</v>
      </c>
    </row>
    <row r="7825" spans="1:13">
      <c r="A7825" s="88">
        <v>5</v>
      </c>
      <c r="B7825" s="69" t="s">
        <v>1867</v>
      </c>
      <c r="C7825" s="69">
        <v>9</v>
      </c>
      <c r="D7825" s="89">
        <v>0</v>
      </c>
      <c r="E7825" s="89">
        <v>1</v>
      </c>
      <c r="F7825" s="89">
        <v>0</v>
      </c>
      <c r="G7825" s="89">
        <v>0</v>
      </c>
      <c r="H7825" s="89">
        <v>0</v>
      </c>
      <c r="I7825" s="89">
        <v>0</v>
      </c>
      <c r="J7825" s="710">
        <f>(VLOOKUP($C7825,[2]Sheet1!$A$2:$P$18,$M7825+1)/12)*12*D7825</f>
        <v>0</v>
      </c>
      <c r="K7825" s="711"/>
      <c r="M7825" s="62">
        <f>IF(C7825&gt;6,3,5)</f>
        <v>3</v>
      </c>
    </row>
    <row r="7826" spans="1:13">
      <c r="A7826" s="88">
        <v>6</v>
      </c>
      <c r="B7826" s="69" t="s">
        <v>2612</v>
      </c>
      <c r="C7826" s="69">
        <v>8</v>
      </c>
      <c r="D7826" s="89">
        <v>0</v>
      </c>
      <c r="E7826" s="89">
        <v>0</v>
      </c>
      <c r="F7826" s="89">
        <v>0</v>
      </c>
      <c r="G7826" s="89">
        <v>0</v>
      </c>
      <c r="H7826" s="89">
        <v>0</v>
      </c>
      <c r="I7826" s="89">
        <v>0</v>
      </c>
      <c r="J7826" s="710">
        <f>(VLOOKUP($C7826,[2]Sheet1!$A$2:$P$18,$M7826+1)/12)*12*D7826</f>
        <v>0</v>
      </c>
      <c r="K7826" s="711"/>
      <c r="M7826" s="62">
        <f t="shared" si="627"/>
        <v>3</v>
      </c>
    </row>
    <row r="7827" spans="1:13">
      <c r="A7827" s="88">
        <f t="shared" ref="A7827:A7839" si="631">A7826+1</f>
        <v>7</v>
      </c>
      <c r="B7827" s="69" t="s">
        <v>2865</v>
      </c>
      <c r="C7827" s="69">
        <v>9</v>
      </c>
      <c r="D7827" s="89">
        <v>1</v>
      </c>
      <c r="E7827" s="89">
        <v>0</v>
      </c>
      <c r="F7827" s="89">
        <v>1</v>
      </c>
      <c r="G7827" s="89">
        <v>1</v>
      </c>
      <c r="H7827" s="89">
        <v>1</v>
      </c>
      <c r="I7827" s="89">
        <v>1</v>
      </c>
      <c r="J7827" s="710">
        <f>(VLOOKUP($C7827,[2]Sheet1!$A$2:$P$18,$M7827+1)/12)*12*D7827</f>
        <v>409681.90619999997</v>
      </c>
      <c r="K7827" s="711"/>
      <c r="M7827" s="62">
        <f t="shared" si="627"/>
        <v>3</v>
      </c>
    </row>
    <row r="7828" spans="1:13">
      <c r="A7828" s="88">
        <f t="shared" si="631"/>
        <v>8</v>
      </c>
      <c r="B7828" s="69" t="s">
        <v>1661</v>
      </c>
      <c r="C7828" s="69">
        <v>9</v>
      </c>
      <c r="D7828" s="89">
        <v>1</v>
      </c>
      <c r="E7828" s="89">
        <v>1</v>
      </c>
      <c r="F7828" s="89">
        <v>1</v>
      </c>
      <c r="G7828" s="89">
        <v>1</v>
      </c>
      <c r="H7828" s="89">
        <v>1</v>
      </c>
      <c r="I7828" s="89">
        <v>1</v>
      </c>
      <c r="J7828" s="710">
        <f>(VLOOKUP($C7828,[2]Sheet1!$A$2:$P$18,$M7828+1)/12)*12*D7828</f>
        <v>409681.90619999997</v>
      </c>
      <c r="K7828" s="711"/>
      <c r="M7828" s="62">
        <f t="shared" si="627"/>
        <v>3</v>
      </c>
    </row>
    <row r="7829" spans="1:13">
      <c r="A7829" s="88">
        <f t="shared" si="631"/>
        <v>9</v>
      </c>
      <c r="B7829" s="69" t="s">
        <v>1868</v>
      </c>
      <c r="C7829" s="69">
        <v>7</v>
      </c>
      <c r="D7829" s="89">
        <v>2</v>
      </c>
      <c r="E7829" s="89">
        <v>3</v>
      </c>
      <c r="F7829" s="89">
        <v>2</v>
      </c>
      <c r="G7829" s="89">
        <v>2</v>
      </c>
      <c r="H7829" s="89">
        <v>2</v>
      </c>
      <c r="I7829" s="89">
        <v>2</v>
      </c>
      <c r="J7829" s="710">
        <f>(VLOOKUP($C7829,[2]Sheet1!$A$2:$P$18,$M7829+1)/12)*12*D7829</f>
        <v>615413.40480000013</v>
      </c>
      <c r="K7829" s="711"/>
      <c r="M7829" s="62">
        <f t="shared" si="627"/>
        <v>3</v>
      </c>
    </row>
    <row r="7830" spans="1:13">
      <c r="A7830" s="88">
        <f t="shared" si="631"/>
        <v>10</v>
      </c>
      <c r="B7830" s="69" t="s">
        <v>1869</v>
      </c>
      <c r="C7830" s="69">
        <v>5</v>
      </c>
      <c r="D7830" s="89">
        <v>0</v>
      </c>
      <c r="E7830" s="89">
        <v>0</v>
      </c>
      <c r="F7830" s="89">
        <v>0</v>
      </c>
      <c r="G7830" s="89">
        <v>0</v>
      </c>
      <c r="H7830" s="89">
        <v>0</v>
      </c>
      <c r="I7830" s="89">
        <v>0</v>
      </c>
      <c r="J7830" s="710">
        <f>(VLOOKUP($C7830,[2]Sheet1!$A$2:$P$18,$M7830+1)/12)*12*D7830</f>
        <v>0</v>
      </c>
      <c r="K7830" s="711"/>
      <c r="M7830" s="62">
        <f t="shared" si="627"/>
        <v>5</v>
      </c>
    </row>
    <row r="7831" spans="1:13">
      <c r="A7831" s="88">
        <f t="shared" si="631"/>
        <v>11</v>
      </c>
      <c r="B7831" s="69" t="s">
        <v>1265</v>
      </c>
      <c r="C7831" s="69">
        <v>3</v>
      </c>
      <c r="D7831" s="89">
        <v>0</v>
      </c>
      <c r="E7831" s="89">
        <v>2</v>
      </c>
      <c r="F7831" s="89">
        <v>0</v>
      </c>
      <c r="G7831" s="89">
        <v>0</v>
      </c>
      <c r="H7831" s="89">
        <v>0</v>
      </c>
      <c r="I7831" s="89">
        <v>0</v>
      </c>
      <c r="J7831" s="710">
        <f>(VLOOKUP($C7831,[2]Sheet1!$A$2:$P$18,$M7831+1)/12)*12*D7831</f>
        <v>0</v>
      </c>
      <c r="K7831" s="711"/>
      <c r="M7831" s="62">
        <f t="shared" si="627"/>
        <v>5</v>
      </c>
    </row>
    <row r="7832" spans="1:13">
      <c r="A7832" s="88">
        <f t="shared" si="631"/>
        <v>12</v>
      </c>
      <c r="B7832" s="69" t="s">
        <v>3745</v>
      </c>
      <c r="C7832" s="69">
        <v>5</v>
      </c>
      <c r="D7832" s="89">
        <v>1</v>
      </c>
      <c r="E7832" s="89">
        <v>1</v>
      </c>
      <c r="F7832" s="89">
        <v>1</v>
      </c>
      <c r="G7832" s="89">
        <v>1</v>
      </c>
      <c r="H7832" s="89">
        <v>1</v>
      </c>
      <c r="I7832" s="89">
        <v>1</v>
      </c>
      <c r="J7832" s="710">
        <f>(VLOOKUP($C7832,[2]Sheet1!$A$2:$P$18,$M7832+1)/12)*12*D7832</f>
        <v>229569.77893036499</v>
      </c>
      <c r="K7832" s="711"/>
      <c r="M7832" s="62">
        <f t="shared" si="627"/>
        <v>5</v>
      </c>
    </row>
    <row r="7833" spans="1:13">
      <c r="A7833" s="88">
        <f t="shared" si="631"/>
        <v>13</v>
      </c>
      <c r="B7833" s="69" t="s">
        <v>3674</v>
      </c>
      <c r="C7833" s="69">
        <v>3</v>
      </c>
      <c r="D7833" s="89">
        <v>1</v>
      </c>
      <c r="E7833" s="89">
        <v>0</v>
      </c>
      <c r="F7833" s="89">
        <v>1</v>
      </c>
      <c r="G7833" s="89">
        <v>1</v>
      </c>
      <c r="H7833" s="89">
        <v>1</v>
      </c>
      <c r="I7833" s="89">
        <v>1</v>
      </c>
      <c r="J7833" s="710">
        <f>(VLOOKUP($C7833,[2]Sheet1!$A$2:$P$18,$M7833+1)/12)*12*D7833</f>
        <v>219336.17893036499</v>
      </c>
      <c r="K7833" s="711"/>
      <c r="M7833" s="62">
        <f t="shared" si="627"/>
        <v>5</v>
      </c>
    </row>
    <row r="7834" spans="1:13">
      <c r="A7834" s="88">
        <f t="shared" si="631"/>
        <v>14</v>
      </c>
      <c r="B7834" s="69" t="s">
        <v>2439</v>
      </c>
      <c r="C7834" s="69">
        <v>3</v>
      </c>
      <c r="D7834" s="89">
        <v>3</v>
      </c>
      <c r="E7834" s="89">
        <v>0</v>
      </c>
      <c r="F7834" s="89">
        <v>3</v>
      </c>
      <c r="G7834" s="89">
        <v>3</v>
      </c>
      <c r="H7834" s="89">
        <v>3</v>
      </c>
      <c r="I7834" s="89">
        <v>3</v>
      </c>
      <c r="J7834" s="710">
        <f>(VLOOKUP($C7834,[2]Sheet1!$A$2:$P$18,$M7834+1)/12)*12*D7834</f>
        <v>658008.53679109493</v>
      </c>
      <c r="K7834" s="711"/>
      <c r="M7834" s="62">
        <f t="shared" si="627"/>
        <v>5</v>
      </c>
    </row>
    <row r="7835" spans="1:13">
      <c r="A7835" s="88">
        <f t="shared" si="631"/>
        <v>15</v>
      </c>
      <c r="B7835" s="69" t="s">
        <v>2172</v>
      </c>
      <c r="C7835" s="69">
        <v>3</v>
      </c>
      <c r="D7835" s="89">
        <v>5</v>
      </c>
      <c r="E7835" s="89">
        <v>0</v>
      </c>
      <c r="F7835" s="89">
        <v>5</v>
      </c>
      <c r="G7835" s="89">
        <v>5</v>
      </c>
      <c r="H7835" s="89">
        <v>5</v>
      </c>
      <c r="I7835" s="89">
        <v>5</v>
      </c>
      <c r="J7835" s="710">
        <f>(VLOOKUP($C7835,[2]Sheet1!$A$2:$P$18,$M7835+1)/12)*12*D7835</f>
        <v>1096680.8946518248</v>
      </c>
      <c r="K7835" s="711"/>
      <c r="M7835" s="62">
        <f t="shared" si="627"/>
        <v>5</v>
      </c>
    </row>
    <row r="7836" spans="1:13">
      <c r="A7836" s="88">
        <f t="shared" si="631"/>
        <v>16</v>
      </c>
      <c r="B7836" s="97" t="s">
        <v>1487</v>
      </c>
      <c r="C7836" s="69"/>
      <c r="D7836" s="89"/>
      <c r="E7836" s="89"/>
      <c r="F7836" s="89"/>
      <c r="G7836" s="89"/>
      <c r="H7836" s="89"/>
      <c r="I7836" s="89"/>
      <c r="J7836" s="710"/>
      <c r="K7836" s="711"/>
      <c r="M7836" s="62">
        <f t="shared" si="627"/>
        <v>5</v>
      </c>
    </row>
    <row r="7837" spans="1:13">
      <c r="A7837" s="88">
        <f t="shared" si="631"/>
        <v>17</v>
      </c>
      <c r="B7837" s="69" t="s">
        <v>3749</v>
      </c>
      <c r="C7837" s="69">
        <v>10</v>
      </c>
      <c r="D7837" s="89">
        <v>1</v>
      </c>
      <c r="E7837" s="89">
        <v>1</v>
      </c>
      <c r="F7837" s="89">
        <v>1</v>
      </c>
      <c r="G7837" s="89">
        <v>1</v>
      </c>
      <c r="H7837" s="89">
        <v>1</v>
      </c>
      <c r="I7837" s="89">
        <v>1</v>
      </c>
      <c r="J7837" s="710">
        <f>(VLOOKUP($C7837,[2]Sheet1!$A$2:$P$18,$M7837+1)/12)*12*D7837</f>
        <v>483974.5687200001</v>
      </c>
      <c r="K7837" s="711"/>
      <c r="M7837" s="62">
        <f t="shared" si="627"/>
        <v>3</v>
      </c>
    </row>
    <row r="7838" spans="1:13">
      <c r="A7838" s="88">
        <f t="shared" si="631"/>
        <v>18</v>
      </c>
      <c r="B7838" s="69" t="s">
        <v>602</v>
      </c>
      <c r="C7838" s="69">
        <v>5</v>
      </c>
      <c r="D7838" s="89">
        <v>0</v>
      </c>
      <c r="E7838" s="89">
        <v>0</v>
      </c>
      <c r="F7838" s="89">
        <v>0</v>
      </c>
      <c r="G7838" s="89">
        <v>0</v>
      </c>
      <c r="H7838" s="89">
        <v>0</v>
      </c>
      <c r="I7838" s="89">
        <v>0</v>
      </c>
      <c r="J7838" s="710">
        <f>(VLOOKUP($C7838,[2]Sheet1!$A$2:$P$18,$M7838+1)/12)*12*D7838</f>
        <v>0</v>
      </c>
      <c r="K7838" s="711"/>
      <c r="M7838" s="62">
        <f t="shared" si="627"/>
        <v>5</v>
      </c>
    </row>
    <row r="7839" spans="1:13">
      <c r="A7839" s="88">
        <f t="shared" si="631"/>
        <v>19</v>
      </c>
      <c r="B7839" s="69" t="s">
        <v>3034</v>
      </c>
      <c r="C7839" s="69">
        <v>5</v>
      </c>
      <c r="D7839" s="89">
        <v>0</v>
      </c>
      <c r="E7839" s="89">
        <v>0</v>
      </c>
      <c r="F7839" s="89">
        <v>0</v>
      </c>
      <c r="G7839" s="89">
        <v>0</v>
      </c>
      <c r="H7839" s="89">
        <v>0</v>
      </c>
      <c r="I7839" s="89">
        <v>0</v>
      </c>
      <c r="J7839" s="710">
        <f>(VLOOKUP($C7839,[2]Sheet1!$A$2:$P$18,$M7839+1)/12)*12*D7839</f>
        <v>0</v>
      </c>
      <c r="K7839" s="711"/>
      <c r="M7839" s="62">
        <f t="shared" si="627"/>
        <v>5</v>
      </c>
    </row>
    <row r="7840" spans="1:13">
      <c r="A7840" s="92"/>
      <c r="B7840" s="93" t="s">
        <v>2120</v>
      </c>
      <c r="C7840" s="94"/>
      <c r="D7840" s="123">
        <f t="shared" ref="D7840:J7840" si="632">SUM(D7820:D7839)</f>
        <v>23</v>
      </c>
      <c r="E7840" s="123">
        <f t="shared" si="632"/>
        <v>20</v>
      </c>
      <c r="F7840" s="123">
        <f t="shared" si="632"/>
        <v>23</v>
      </c>
      <c r="G7840" s="123">
        <f>SUM(G7820:G7839)</f>
        <v>23</v>
      </c>
      <c r="H7840" s="123">
        <f t="shared" si="632"/>
        <v>23</v>
      </c>
      <c r="I7840" s="123">
        <f t="shared" si="632"/>
        <v>23</v>
      </c>
      <c r="J7840" s="123">
        <f t="shared" si="632"/>
        <v>5283603.0047836499</v>
      </c>
      <c r="K7840" s="378"/>
      <c r="M7840" s="62">
        <f t="shared" si="627"/>
        <v>5</v>
      </c>
    </row>
    <row r="7841" spans="1:13">
      <c r="A7841" s="88"/>
      <c r="B7841" s="97" t="s">
        <v>3035</v>
      </c>
      <c r="C7841" s="69"/>
      <c r="D7841" s="89"/>
      <c r="E7841" s="89"/>
      <c r="F7841" s="99"/>
      <c r="G7841" s="240" t="s">
        <v>243</v>
      </c>
      <c r="H7841" s="240" t="s">
        <v>4130</v>
      </c>
      <c r="I7841" s="240" t="s">
        <v>4202</v>
      </c>
      <c r="J7841" s="241" t="s">
        <v>4200</v>
      </c>
      <c r="K7841" s="375"/>
      <c r="M7841" s="62">
        <f t="shared" si="627"/>
        <v>5</v>
      </c>
    </row>
    <row r="7842" spans="1:13">
      <c r="A7842" s="88">
        <v>1</v>
      </c>
      <c r="B7842" s="69" t="s">
        <v>4035</v>
      </c>
      <c r="C7842" s="69"/>
      <c r="D7842" s="89"/>
      <c r="E7842" s="89"/>
      <c r="F7842" s="89"/>
      <c r="G7842" s="100">
        <f>J7840*0.2</f>
        <v>1056720.6009567301</v>
      </c>
      <c r="H7842" s="100">
        <f>G7842*1.02</f>
        <v>1077855.0129758648</v>
      </c>
      <c r="I7842" s="100">
        <f>H7842*1.02</f>
        <v>1099412.1132353821</v>
      </c>
      <c r="J7842" s="100">
        <f>SUM(G7842:I7842)</f>
        <v>3233987.727167977</v>
      </c>
      <c r="K7842" s="114"/>
      <c r="M7842" s="62">
        <f t="shared" si="627"/>
        <v>5</v>
      </c>
    </row>
    <row r="7843" spans="1:13">
      <c r="A7843" s="92"/>
      <c r="B7843" s="93" t="s">
        <v>2120</v>
      </c>
      <c r="C7843" s="94"/>
      <c r="D7843" s="101"/>
      <c r="E7843" s="101"/>
      <c r="F7843" s="123"/>
      <c r="G7843" s="123">
        <f>SUM(G7842:G7842)</f>
        <v>1056720.6009567301</v>
      </c>
      <c r="H7843" s="123">
        <f>SUM(H7842:H7842)</f>
        <v>1077855.0129758648</v>
      </c>
      <c r="I7843" s="123">
        <f>SUM(I7842:I7842)</f>
        <v>1099412.1132353821</v>
      </c>
      <c r="J7843" s="123">
        <f>SUM(J7842:J7842)</f>
        <v>3233987.727167977</v>
      </c>
      <c r="K7843" s="378"/>
      <c r="M7843" s="62">
        <f t="shared" si="627"/>
        <v>5</v>
      </c>
    </row>
    <row r="7844" spans="1:13">
      <c r="A7844" s="88" t="s">
        <v>1840</v>
      </c>
      <c r="B7844" s="69" t="s">
        <v>1119</v>
      </c>
      <c r="C7844" s="69"/>
      <c r="D7844" s="89"/>
      <c r="E7844" s="89"/>
      <c r="F7844" s="89"/>
      <c r="G7844" s="100">
        <f>G7843+J7840</f>
        <v>6340323.6057403795</v>
      </c>
      <c r="H7844" s="100">
        <f>G7844*1.02</f>
        <v>6467130.0778551875</v>
      </c>
      <c r="I7844" s="100">
        <f>H7844*1.02</f>
        <v>6596472.6794122914</v>
      </c>
      <c r="J7844" s="100">
        <f>SUM(G7844:I7844)</f>
        <v>19403926.363007858</v>
      </c>
      <c r="K7844" s="114"/>
      <c r="M7844" s="62">
        <f t="shared" si="627"/>
        <v>5</v>
      </c>
    </row>
    <row r="7845" spans="1:13">
      <c r="A7845" s="88" t="s">
        <v>1840</v>
      </c>
      <c r="B7845" s="69" t="s">
        <v>3944</v>
      </c>
      <c r="C7845" s="69"/>
      <c r="D7845" s="89"/>
      <c r="E7845" s="89"/>
      <c r="F7845" s="89"/>
      <c r="G7845" s="89">
        <f>C7870</f>
        <v>5000000</v>
      </c>
      <c r="H7845" s="89">
        <f>D7870</f>
        <v>0</v>
      </c>
      <c r="I7845" s="89">
        <f>E7870</f>
        <v>0</v>
      </c>
      <c r="J7845" s="100">
        <f>SUM(G7845:I7845)</f>
        <v>5000000</v>
      </c>
      <c r="K7845" s="114"/>
      <c r="M7845" s="62">
        <f t="shared" ref="M7845:M7905" si="633">IF(C7845&gt;6,3,5)</f>
        <v>5</v>
      </c>
    </row>
    <row r="7846" spans="1:13">
      <c r="A7846" s="92" t="s">
        <v>1840</v>
      </c>
      <c r="B7846" s="93" t="s">
        <v>2843</v>
      </c>
      <c r="C7846" s="94"/>
      <c r="D7846" s="101"/>
      <c r="E7846" s="101"/>
      <c r="F7846" s="123"/>
      <c r="G7846" s="123">
        <f>SUM(G7844:G7845)</f>
        <v>11340323.60574038</v>
      </c>
      <c r="H7846" s="123">
        <f>SUM(H7844:H7845)</f>
        <v>6467130.0778551875</v>
      </c>
      <c r="I7846" s="123">
        <f>SUM(I7844:I7845)</f>
        <v>6596472.6794122914</v>
      </c>
      <c r="J7846" s="123">
        <f>SUM(J7844:J7845)</f>
        <v>24403926.363007858</v>
      </c>
      <c r="K7846" s="378"/>
      <c r="M7846" s="62">
        <f t="shared" si="633"/>
        <v>5</v>
      </c>
    </row>
    <row r="7847" spans="1:13" ht="15">
      <c r="C7847" s="77"/>
      <c r="D7847" s="78" t="s">
        <v>5434</v>
      </c>
      <c r="J7847" s="584"/>
      <c r="K7847" s="584"/>
      <c r="M7847" s="62">
        <f t="shared" si="633"/>
        <v>5</v>
      </c>
    </row>
    <row r="7848" spans="1:13" ht="15">
      <c r="C7848" s="77"/>
      <c r="D7848" s="78" t="s">
        <v>716</v>
      </c>
      <c r="J7848" s="584"/>
      <c r="K7848" s="584"/>
      <c r="M7848" s="62">
        <f t="shared" si="633"/>
        <v>5</v>
      </c>
    </row>
    <row r="7849" spans="1:13" ht="15">
      <c r="C7849" s="79" t="s">
        <v>717</v>
      </c>
      <c r="D7849" s="78" t="s">
        <v>3736</v>
      </c>
      <c r="J7849" s="584"/>
      <c r="K7849" s="584"/>
      <c r="M7849" s="62">
        <f t="shared" si="633"/>
        <v>3</v>
      </c>
    </row>
    <row r="7850" spans="1:13" ht="15">
      <c r="C7850" s="79" t="s">
        <v>718</v>
      </c>
      <c r="D7850" s="78">
        <v>427</v>
      </c>
      <c r="J7850" s="584"/>
      <c r="K7850" s="584"/>
      <c r="M7850" s="62">
        <f t="shared" si="633"/>
        <v>3</v>
      </c>
    </row>
    <row r="7851" spans="1:13" ht="15">
      <c r="A7851" s="634" t="s">
        <v>1839</v>
      </c>
      <c r="B7851" s="635" t="s">
        <v>903</v>
      </c>
      <c r="C7851" s="1037" t="s">
        <v>4127</v>
      </c>
      <c r="D7851" s="1038"/>
      <c r="E7851" s="1039"/>
      <c r="F7851" s="635" t="s">
        <v>1684</v>
      </c>
      <c r="G7851" s="1037" t="s">
        <v>4132</v>
      </c>
      <c r="H7851" s="1038"/>
      <c r="I7851" s="1039"/>
      <c r="J7851" s="726"/>
      <c r="K7851" s="727"/>
    </row>
    <row r="7852" spans="1:13">
      <c r="A7852" s="636" t="s">
        <v>1620</v>
      </c>
      <c r="B7852" s="637"/>
      <c r="C7852" s="635" t="s">
        <v>1841</v>
      </c>
      <c r="D7852" s="635" t="s">
        <v>4133</v>
      </c>
      <c r="E7852" s="635" t="s">
        <v>4133</v>
      </c>
      <c r="F7852" s="1056" t="s">
        <v>4200</v>
      </c>
      <c r="G7852" s="634" t="s">
        <v>4135</v>
      </c>
      <c r="H7852" s="1051" t="s">
        <v>4182</v>
      </c>
      <c r="I7852" s="634" t="s">
        <v>4135</v>
      </c>
      <c r="J7852" s="728" t="s">
        <v>4136</v>
      </c>
      <c r="K7852" s="727"/>
    </row>
    <row r="7853" spans="1:13" ht="12.75" customHeight="1">
      <c r="A7853" s="638" t="s">
        <v>387</v>
      </c>
      <c r="B7853" s="639"/>
      <c r="C7853" s="638">
        <v>2015</v>
      </c>
      <c r="D7853" s="638">
        <v>2016</v>
      </c>
      <c r="E7853" s="638">
        <v>2017</v>
      </c>
      <c r="F7853" s="1057"/>
      <c r="G7853" s="638" t="s">
        <v>4304</v>
      </c>
      <c r="H7853" s="1052"/>
      <c r="I7853" s="638" t="s">
        <v>4303</v>
      </c>
      <c r="J7853" s="639"/>
      <c r="K7853" s="729"/>
    </row>
    <row r="7854" spans="1:13">
      <c r="A7854" s="768"/>
      <c r="B7854" s="768"/>
      <c r="C7854" s="838"/>
      <c r="D7854" s="782"/>
      <c r="E7854" s="782"/>
      <c r="F7854" s="782"/>
      <c r="G7854" s="782"/>
      <c r="H7854" s="782"/>
      <c r="I7854" s="782"/>
      <c r="J7854" s="782"/>
      <c r="K7854" s="783"/>
      <c r="M7854" s="62">
        <f t="shared" si="633"/>
        <v>5</v>
      </c>
    </row>
    <row r="7855" spans="1:13">
      <c r="A7855" s="768">
        <v>2</v>
      </c>
      <c r="B7855" s="768" t="s">
        <v>1695</v>
      </c>
      <c r="C7855" s="390">
        <v>1000000</v>
      </c>
      <c r="D7855" s="390" t="s">
        <v>3007</v>
      </c>
      <c r="E7855" s="390" t="s">
        <v>3007</v>
      </c>
      <c r="F7855" s="390">
        <f>SUM(E7855)</f>
        <v>0</v>
      </c>
      <c r="G7855" s="390"/>
      <c r="H7855" s="390">
        <v>2000000</v>
      </c>
      <c r="I7855" s="390"/>
      <c r="J7855" s="390"/>
      <c r="K7855" s="734"/>
      <c r="M7855" s="62">
        <f t="shared" si="633"/>
        <v>3</v>
      </c>
    </row>
    <row r="7856" spans="1:13">
      <c r="A7856" s="768">
        <v>3</v>
      </c>
      <c r="B7856" s="768" t="s">
        <v>3763</v>
      </c>
      <c r="C7856" s="390" t="s">
        <v>3007</v>
      </c>
      <c r="D7856" s="390" t="s">
        <v>3007</v>
      </c>
      <c r="E7856" s="390" t="s">
        <v>3007</v>
      </c>
      <c r="F7856" s="390">
        <f t="shared" ref="F7856:F7868" si="634">SUM(E7856)</f>
        <v>0</v>
      </c>
      <c r="G7856" s="390"/>
      <c r="H7856" s="390">
        <v>200000</v>
      </c>
      <c r="I7856" s="390"/>
      <c r="J7856" s="390"/>
      <c r="K7856" s="734"/>
      <c r="M7856" s="62">
        <f t="shared" si="633"/>
        <v>3</v>
      </c>
    </row>
    <row r="7857" spans="1:13">
      <c r="A7857" s="768">
        <v>4</v>
      </c>
      <c r="B7857" s="768" t="s">
        <v>1701</v>
      </c>
      <c r="C7857" s="390" t="s">
        <v>3007</v>
      </c>
      <c r="D7857" s="390" t="s">
        <v>3007</v>
      </c>
      <c r="E7857" s="390" t="s">
        <v>3007</v>
      </c>
      <c r="F7857" s="390">
        <f t="shared" si="634"/>
        <v>0</v>
      </c>
      <c r="G7857" s="390"/>
      <c r="H7857" s="390">
        <v>300000</v>
      </c>
      <c r="I7857" s="390"/>
      <c r="J7857" s="390"/>
      <c r="K7857" s="734"/>
      <c r="M7857" s="62">
        <f t="shared" si="633"/>
        <v>3</v>
      </c>
    </row>
    <row r="7858" spans="1:13">
      <c r="A7858" s="768">
        <v>5</v>
      </c>
      <c r="B7858" s="768" t="s">
        <v>1702</v>
      </c>
      <c r="C7858" s="390">
        <v>500000</v>
      </c>
      <c r="D7858" s="390" t="s">
        <v>3007</v>
      </c>
      <c r="E7858" s="390" t="s">
        <v>3007</v>
      </c>
      <c r="F7858" s="390">
        <f t="shared" si="634"/>
        <v>0</v>
      </c>
      <c r="G7858" s="390"/>
      <c r="H7858" s="390">
        <v>500000</v>
      </c>
      <c r="I7858" s="390"/>
      <c r="J7858" s="390"/>
      <c r="K7858" s="734"/>
      <c r="M7858" s="62">
        <f t="shared" si="633"/>
        <v>3</v>
      </c>
    </row>
    <row r="7859" spans="1:13">
      <c r="A7859" s="768">
        <v>6</v>
      </c>
      <c r="B7859" s="768" t="s">
        <v>1931</v>
      </c>
      <c r="C7859" s="390">
        <v>200000</v>
      </c>
      <c r="D7859" s="390" t="s">
        <v>3007</v>
      </c>
      <c r="E7859" s="390" t="s">
        <v>3007</v>
      </c>
      <c r="F7859" s="390">
        <f t="shared" si="634"/>
        <v>0</v>
      </c>
      <c r="G7859" s="390"/>
      <c r="H7859" s="390">
        <v>200000</v>
      </c>
      <c r="I7859" s="390"/>
      <c r="J7859" s="390"/>
      <c r="K7859" s="734"/>
      <c r="M7859" s="62">
        <f t="shared" si="633"/>
        <v>3</v>
      </c>
    </row>
    <row r="7860" spans="1:13">
      <c r="A7860" s="768">
        <v>7</v>
      </c>
      <c r="B7860" s="768" t="s">
        <v>3628</v>
      </c>
      <c r="C7860" s="390">
        <v>1000000</v>
      </c>
      <c r="D7860" s="390" t="s">
        <v>3007</v>
      </c>
      <c r="E7860" s="390" t="s">
        <v>3007</v>
      </c>
      <c r="F7860" s="390">
        <f t="shared" si="634"/>
        <v>0</v>
      </c>
      <c r="G7860" s="390"/>
      <c r="H7860" s="390">
        <v>2000000</v>
      </c>
      <c r="I7860" s="390"/>
      <c r="J7860" s="390"/>
      <c r="K7860" s="734"/>
      <c r="M7860" s="62">
        <f t="shared" si="633"/>
        <v>3</v>
      </c>
    </row>
    <row r="7861" spans="1:13">
      <c r="A7861" s="768">
        <v>8</v>
      </c>
      <c r="B7861" s="768" t="s">
        <v>3629</v>
      </c>
      <c r="C7861" s="390" t="s">
        <v>3007</v>
      </c>
      <c r="D7861" s="390" t="s">
        <v>3007</v>
      </c>
      <c r="E7861" s="390" t="s">
        <v>3007</v>
      </c>
      <c r="F7861" s="390">
        <f t="shared" si="634"/>
        <v>0</v>
      </c>
      <c r="G7861" s="390"/>
      <c r="H7861" s="390" t="s">
        <v>3007</v>
      </c>
      <c r="I7861" s="390"/>
      <c r="J7861" s="390"/>
      <c r="K7861" s="734"/>
      <c r="M7861" s="62">
        <f t="shared" si="633"/>
        <v>3</v>
      </c>
    </row>
    <row r="7862" spans="1:13">
      <c r="A7862" s="768">
        <v>9</v>
      </c>
      <c r="B7862" s="768" t="s">
        <v>2061</v>
      </c>
      <c r="C7862" s="390" t="s">
        <v>3007</v>
      </c>
      <c r="D7862" s="390" t="s">
        <v>3007</v>
      </c>
      <c r="E7862" s="390" t="s">
        <v>3007</v>
      </c>
      <c r="F7862" s="390">
        <f t="shared" si="634"/>
        <v>0</v>
      </c>
      <c r="G7862" s="390"/>
      <c r="H7862" s="390" t="s">
        <v>3007</v>
      </c>
      <c r="I7862" s="390"/>
      <c r="J7862" s="390"/>
      <c r="K7862" s="734"/>
      <c r="M7862" s="62">
        <f t="shared" si="633"/>
        <v>3</v>
      </c>
    </row>
    <row r="7863" spans="1:13">
      <c r="A7863" s="768">
        <v>10</v>
      </c>
      <c r="B7863" s="768" t="s">
        <v>2960</v>
      </c>
      <c r="C7863" s="390">
        <v>200000</v>
      </c>
      <c r="D7863" s="390" t="s">
        <v>3007</v>
      </c>
      <c r="E7863" s="390" t="s">
        <v>3007</v>
      </c>
      <c r="F7863" s="390">
        <f t="shared" si="634"/>
        <v>0</v>
      </c>
      <c r="G7863" s="390"/>
      <c r="H7863" s="390">
        <v>2000000</v>
      </c>
      <c r="I7863" s="390"/>
      <c r="J7863" s="390"/>
      <c r="K7863" s="734"/>
      <c r="M7863" s="62">
        <f t="shared" si="633"/>
        <v>3</v>
      </c>
    </row>
    <row r="7864" spans="1:13">
      <c r="A7864" s="768">
        <v>11</v>
      </c>
      <c r="B7864" s="768" t="s">
        <v>2209</v>
      </c>
      <c r="C7864" s="390">
        <v>100000</v>
      </c>
      <c r="D7864" s="390" t="s">
        <v>3007</v>
      </c>
      <c r="E7864" s="390" t="s">
        <v>3007</v>
      </c>
      <c r="F7864" s="390">
        <f t="shared" si="634"/>
        <v>0</v>
      </c>
      <c r="G7864" s="390"/>
      <c r="H7864" s="390">
        <v>100000</v>
      </c>
      <c r="I7864" s="390"/>
      <c r="J7864" s="390"/>
      <c r="K7864" s="734"/>
      <c r="M7864" s="62">
        <f t="shared" si="633"/>
        <v>3</v>
      </c>
    </row>
    <row r="7865" spans="1:13">
      <c r="A7865" s="768">
        <v>12</v>
      </c>
      <c r="B7865" s="768" t="s">
        <v>2688</v>
      </c>
      <c r="C7865" s="390">
        <v>1500000</v>
      </c>
      <c r="D7865" s="390" t="s">
        <v>3007</v>
      </c>
      <c r="E7865" s="390" t="s">
        <v>3007</v>
      </c>
      <c r="F7865" s="390">
        <f t="shared" si="634"/>
        <v>0</v>
      </c>
      <c r="G7865" s="390"/>
      <c r="H7865" s="390">
        <v>3500000</v>
      </c>
      <c r="I7865" s="390"/>
      <c r="J7865" s="390"/>
      <c r="K7865" s="734"/>
      <c r="M7865" s="62">
        <f t="shared" si="633"/>
        <v>3</v>
      </c>
    </row>
    <row r="7866" spans="1:13">
      <c r="A7866" s="768">
        <v>13</v>
      </c>
      <c r="B7866" s="768" t="s">
        <v>2234</v>
      </c>
      <c r="C7866" s="390">
        <v>100000</v>
      </c>
      <c r="D7866" s="390" t="s">
        <v>3007</v>
      </c>
      <c r="E7866" s="390" t="s">
        <v>3007</v>
      </c>
      <c r="F7866" s="390">
        <f t="shared" si="634"/>
        <v>0</v>
      </c>
      <c r="G7866" s="390"/>
      <c r="H7866" s="390">
        <v>100000</v>
      </c>
      <c r="I7866" s="390"/>
      <c r="J7866" s="390"/>
      <c r="K7866" s="734"/>
      <c r="M7866" s="62">
        <f t="shared" si="633"/>
        <v>3</v>
      </c>
    </row>
    <row r="7867" spans="1:13">
      <c r="A7867" s="768">
        <v>14</v>
      </c>
      <c r="B7867" s="768" t="s">
        <v>1336</v>
      </c>
      <c r="C7867" s="390">
        <v>200000</v>
      </c>
      <c r="D7867" s="390" t="s">
        <v>3007</v>
      </c>
      <c r="E7867" s="390" t="s">
        <v>3007</v>
      </c>
      <c r="F7867" s="390">
        <f t="shared" si="634"/>
        <v>0</v>
      </c>
      <c r="G7867" s="390"/>
      <c r="H7867" s="390">
        <v>900000</v>
      </c>
      <c r="I7867" s="390"/>
      <c r="J7867" s="390"/>
      <c r="K7867" s="734"/>
      <c r="M7867" s="62">
        <f t="shared" si="633"/>
        <v>3</v>
      </c>
    </row>
    <row r="7868" spans="1:13">
      <c r="A7868" s="768">
        <v>15</v>
      </c>
      <c r="B7868" s="768" t="s">
        <v>180</v>
      </c>
      <c r="C7868" s="390">
        <v>200000</v>
      </c>
      <c r="D7868" s="390" t="s">
        <v>3007</v>
      </c>
      <c r="E7868" s="390" t="s">
        <v>3007</v>
      </c>
      <c r="F7868" s="390">
        <f t="shared" si="634"/>
        <v>0</v>
      </c>
      <c r="G7868" s="390"/>
      <c r="H7868" s="390">
        <v>200000</v>
      </c>
      <c r="I7868" s="390"/>
      <c r="J7868" s="390"/>
      <c r="K7868" s="734"/>
      <c r="M7868" s="62">
        <f t="shared" si="633"/>
        <v>3</v>
      </c>
    </row>
    <row r="7869" spans="1:13">
      <c r="A7869" s="768"/>
      <c r="B7869" s="768"/>
      <c r="C7869" s="390"/>
      <c r="D7869" s="390"/>
      <c r="E7869" s="390"/>
      <c r="F7869" s="390"/>
      <c r="G7869" s="390"/>
      <c r="H7869" s="390"/>
      <c r="I7869" s="390"/>
      <c r="J7869" s="390"/>
      <c r="K7869" s="734"/>
      <c r="M7869" s="62">
        <f t="shared" si="633"/>
        <v>5</v>
      </c>
    </row>
    <row r="7870" spans="1:13">
      <c r="A7870" s="770"/>
      <c r="B7870" s="770" t="s">
        <v>1684</v>
      </c>
      <c r="C7870" s="739">
        <f>SUM(C7855:C7869)</f>
        <v>5000000</v>
      </c>
      <c r="D7870" s="739">
        <f>SUM(D7861:D7869)</f>
        <v>0</v>
      </c>
      <c r="E7870" s="739">
        <f>SUM(E7861:E7869)</f>
        <v>0</v>
      </c>
      <c r="F7870" s="739">
        <f>SUM(F7855:F7869)</f>
        <v>0</v>
      </c>
      <c r="G7870" s="739"/>
      <c r="H7870" s="739">
        <f>SUM(H7861:H7869)</f>
        <v>6800000</v>
      </c>
      <c r="I7870" s="739"/>
      <c r="J7870" s="739"/>
      <c r="K7870" s="740"/>
      <c r="M7870" s="62">
        <f t="shared" si="633"/>
        <v>3</v>
      </c>
    </row>
    <row r="7871" spans="1:13" ht="15">
      <c r="J7871" s="584"/>
      <c r="K7871" s="584"/>
      <c r="M7871" s="62">
        <f t="shared" si="633"/>
        <v>5</v>
      </c>
    </row>
    <row r="7872" spans="1:13" ht="15">
      <c r="C7872" s="77"/>
      <c r="D7872" s="78" t="s">
        <v>5434</v>
      </c>
      <c r="J7872" s="584"/>
      <c r="K7872" s="584"/>
      <c r="M7872" s="62">
        <f t="shared" si="633"/>
        <v>5</v>
      </c>
    </row>
    <row r="7873" spans="1:13" ht="15">
      <c r="C7873" s="77"/>
      <c r="D7873" s="78" t="s">
        <v>1693</v>
      </c>
      <c r="J7873" s="584"/>
      <c r="K7873" s="584"/>
      <c r="M7873" s="62">
        <f t="shared" si="633"/>
        <v>5</v>
      </c>
    </row>
    <row r="7874" spans="1:13" ht="15">
      <c r="C7874" s="79" t="s">
        <v>717</v>
      </c>
      <c r="D7874" s="78" t="s">
        <v>313</v>
      </c>
      <c r="J7874" s="584"/>
      <c r="K7874" s="584"/>
      <c r="M7874" s="62">
        <f t="shared" si="633"/>
        <v>3</v>
      </c>
    </row>
    <row r="7875" spans="1:13" ht="15.75" thickBot="1">
      <c r="C7875" s="79" t="s">
        <v>718</v>
      </c>
      <c r="D7875" s="78">
        <v>428</v>
      </c>
      <c r="J7875" s="584"/>
      <c r="K7875" s="584"/>
      <c r="M7875" s="62">
        <f t="shared" si="633"/>
        <v>3</v>
      </c>
    </row>
    <row r="7876" spans="1:13" ht="15.75" thickTop="1">
      <c r="A7876" s="1047" t="s">
        <v>2791</v>
      </c>
      <c r="B7876" s="1049" t="s">
        <v>4126</v>
      </c>
      <c r="C7876" s="1049" t="s">
        <v>854</v>
      </c>
      <c r="D7876" s="1040" t="s">
        <v>4127</v>
      </c>
      <c r="E7876" s="1041"/>
      <c r="F7876" s="1041"/>
      <c r="G7876" s="1040" t="s">
        <v>904</v>
      </c>
      <c r="H7876" s="1041"/>
      <c r="I7876" s="1042"/>
      <c r="J7876" s="1035" t="s">
        <v>855</v>
      </c>
      <c r="K7876" s="389"/>
    </row>
    <row r="7877" spans="1:13" ht="26.25" thickBot="1">
      <c r="A7877" s="1048"/>
      <c r="B7877" s="1050"/>
      <c r="C7877" s="1050"/>
      <c r="D7877" s="285" t="s">
        <v>5505</v>
      </c>
      <c r="E7877" s="285" t="s">
        <v>4485</v>
      </c>
      <c r="F7877" s="285" t="s">
        <v>4486</v>
      </c>
      <c r="G7877" s="287" t="s">
        <v>4487</v>
      </c>
      <c r="H7877" s="285" t="s">
        <v>4488</v>
      </c>
      <c r="I7877" s="287" t="s">
        <v>4489</v>
      </c>
      <c r="J7877" s="1036"/>
      <c r="K7877" s="712"/>
    </row>
    <row r="7878" spans="1:13" ht="13.5" thickTop="1">
      <c r="A7878" s="88">
        <v>1</v>
      </c>
      <c r="B7878" s="69" t="s">
        <v>2966</v>
      </c>
      <c r="C7878" s="69" t="s">
        <v>2335</v>
      </c>
      <c r="D7878" s="89">
        <v>1</v>
      </c>
      <c r="E7878" s="89">
        <v>1</v>
      </c>
      <c r="F7878" s="89">
        <v>1</v>
      </c>
      <c r="G7878" s="89">
        <v>1</v>
      </c>
      <c r="H7878" s="89">
        <v>1</v>
      </c>
      <c r="I7878" s="89">
        <v>1</v>
      </c>
      <c r="J7878" s="713"/>
      <c r="K7878" s="711"/>
      <c r="M7878" s="62">
        <f t="shared" si="633"/>
        <v>3</v>
      </c>
    </row>
    <row r="7879" spans="1:13">
      <c r="A7879" s="88">
        <v>2</v>
      </c>
      <c r="B7879" s="69" t="s">
        <v>1425</v>
      </c>
      <c r="C7879" s="69">
        <v>16</v>
      </c>
      <c r="D7879" s="89">
        <v>1</v>
      </c>
      <c r="E7879" s="89">
        <v>1</v>
      </c>
      <c r="F7879" s="89">
        <v>1</v>
      </c>
      <c r="G7879" s="89">
        <v>1</v>
      </c>
      <c r="H7879" s="89">
        <v>1</v>
      </c>
      <c r="I7879" s="89">
        <v>1</v>
      </c>
      <c r="J7879" s="710">
        <f>(VLOOKUP($C7879,[2]Sheet1!$A$2:$P$18,$M7879+1)/12)*12*D7879</f>
        <v>677281.26084</v>
      </c>
      <c r="K7879" s="711"/>
      <c r="M7879" s="62">
        <f t="shared" si="633"/>
        <v>3</v>
      </c>
    </row>
    <row r="7880" spans="1:13">
      <c r="A7880" s="88" t="s">
        <v>1840</v>
      </c>
      <c r="B7880" s="90" t="s">
        <v>800</v>
      </c>
      <c r="C7880" s="69"/>
      <c r="D7880" s="89"/>
      <c r="E7880" s="89"/>
      <c r="F7880" s="89"/>
      <c r="G7880" s="89"/>
      <c r="H7880" s="89"/>
      <c r="I7880" s="89"/>
      <c r="J7880" s="710"/>
      <c r="K7880" s="711"/>
      <c r="M7880" s="62">
        <f t="shared" si="633"/>
        <v>5</v>
      </c>
    </row>
    <row r="7881" spans="1:13">
      <c r="A7881" s="88">
        <f>+A7879+1</f>
        <v>3</v>
      </c>
      <c r="B7881" s="69" t="s">
        <v>3532</v>
      </c>
      <c r="C7881" s="69">
        <v>16</v>
      </c>
      <c r="D7881" s="89">
        <v>0</v>
      </c>
      <c r="E7881" s="89">
        <v>0</v>
      </c>
      <c r="F7881" s="89">
        <v>0</v>
      </c>
      <c r="G7881" s="89">
        <v>0</v>
      </c>
      <c r="H7881" s="89">
        <v>0</v>
      </c>
      <c r="I7881" s="89">
        <v>0</v>
      </c>
      <c r="J7881" s="710">
        <f>(VLOOKUP($C7881,[2]Sheet1!$A$2:$P$18,$M7881+1)/12)*12*D7881</f>
        <v>0</v>
      </c>
      <c r="K7881" s="711"/>
      <c r="M7881" s="62">
        <f t="shared" si="633"/>
        <v>3</v>
      </c>
    </row>
    <row r="7882" spans="1:13">
      <c r="A7882" s="88">
        <f>+A7881+1</f>
        <v>4</v>
      </c>
      <c r="B7882" s="69" t="s">
        <v>1256</v>
      </c>
      <c r="C7882" s="69">
        <v>15</v>
      </c>
      <c r="D7882" s="89">
        <v>1</v>
      </c>
      <c r="E7882" s="89">
        <v>1</v>
      </c>
      <c r="F7882" s="89">
        <v>1</v>
      </c>
      <c r="G7882" s="89">
        <v>1</v>
      </c>
      <c r="H7882" s="89">
        <v>1</v>
      </c>
      <c r="I7882" s="89">
        <v>1</v>
      </c>
      <c r="J7882" s="710">
        <f>(VLOOKUP($C7882,[2]Sheet1!$A$2:$P$18,$M7882+1)/12)*12*D7882</f>
        <v>658331.89992</v>
      </c>
      <c r="K7882" s="711"/>
      <c r="M7882" s="62">
        <f t="shared" si="633"/>
        <v>3</v>
      </c>
    </row>
    <row r="7883" spans="1:13">
      <c r="A7883" s="88">
        <f>+A7882+1</f>
        <v>5</v>
      </c>
      <c r="B7883" s="69" t="s">
        <v>3935</v>
      </c>
      <c r="C7883" s="69">
        <v>14</v>
      </c>
      <c r="D7883" s="89">
        <v>1</v>
      </c>
      <c r="E7883" s="89">
        <v>1</v>
      </c>
      <c r="F7883" s="89">
        <v>1</v>
      </c>
      <c r="G7883" s="89">
        <v>1</v>
      </c>
      <c r="H7883" s="89">
        <v>1</v>
      </c>
      <c r="I7883" s="89">
        <v>1</v>
      </c>
      <c r="J7883" s="710">
        <f>(VLOOKUP($C7883,[2]Sheet1!$A$2:$P$18,$M7883+1)/12)*12*D7883</f>
        <v>669099.40824000002</v>
      </c>
      <c r="K7883" s="711"/>
      <c r="M7883" s="62">
        <f t="shared" si="633"/>
        <v>3</v>
      </c>
    </row>
    <row r="7884" spans="1:13">
      <c r="A7884" s="88">
        <v>3</v>
      </c>
      <c r="B7884" s="69" t="s">
        <v>3754</v>
      </c>
      <c r="C7884" s="69">
        <v>6</v>
      </c>
      <c r="D7884" s="89">
        <v>2</v>
      </c>
      <c r="E7884" s="89">
        <v>2</v>
      </c>
      <c r="F7884" s="89">
        <v>2</v>
      </c>
      <c r="G7884" s="89">
        <v>2</v>
      </c>
      <c r="H7884" s="89">
        <v>2</v>
      </c>
      <c r="I7884" s="89">
        <v>2</v>
      </c>
      <c r="J7884" s="710">
        <f>(VLOOKUP($C7884,[2]Sheet1!$A$2:$P$18,$M7884+1)/12)*12*D7884</f>
        <v>476198.75786072994</v>
      </c>
      <c r="K7884" s="711"/>
      <c r="M7884" s="62">
        <f t="shared" si="633"/>
        <v>5</v>
      </c>
    </row>
    <row r="7885" spans="1:13">
      <c r="A7885" s="88">
        <f t="shared" ref="A7885:A7896" si="635">+A7884+1</f>
        <v>4</v>
      </c>
      <c r="B7885" s="69" t="s">
        <v>3462</v>
      </c>
      <c r="C7885" s="69">
        <v>7</v>
      </c>
      <c r="D7885" s="89">
        <v>2</v>
      </c>
      <c r="E7885" s="89">
        <v>0</v>
      </c>
      <c r="F7885" s="89">
        <v>2</v>
      </c>
      <c r="G7885" s="89">
        <v>2</v>
      </c>
      <c r="H7885" s="89">
        <v>2</v>
      </c>
      <c r="I7885" s="89">
        <v>2</v>
      </c>
      <c r="J7885" s="710">
        <f>(VLOOKUP($C7885,[2]Sheet1!$A$2:$P$18,$M7885+1)/12)*12*D7885</f>
        <v>615413.40480000013</v>
      </c>
      <c r="K7885" s="711"/>
      <c r="M7885" s="62">
        <f t="shared" si="633"/>
        <v>3</v>
      </c>
    </row>
    <row r="7886" spans="1:13">
      <c r="A7886" s="88">
        <f t="shared" si="635"/>
        <v>5</v>
      </c>
      <c r="B7886" s="69" t="s">
        <v>4030</v>
      </c>
      <c r="C7886" s="69">
        <v>3</v>
      </c>
      <c r="D7886" s="89">
        <v>0</v>
      </c>
      <c r="E7886" s="89">
        <v>2</v>
      </c>
      <c r="F7886" s="89">
        <v>0</v>
      </c>
      <c r="G7886" s="89">
        <v>0</v>
      </c>
      <c r="H7886" s="89">
        <v>0</v>
      </c>
      <c r="I7886" s="89">
        <v>0</v>
      </c>
      <c r="J7886" s="710">
        <f>(VLOOKUP($C7886,[2]Sheet1!$A$2:$P$18,$M7886+1)/12)*12*D7886</f>
        <v>0</v>
      </c>
      <c r="K7886" s="711"/>
      <c r="M7886" s="62">
        <f t="shared" si="633"/>
        <v>5</v>
      </c>
    </row>
    <row r="7887" spans="1:13">
      <c r="A7887" s="88">
        <f t="shared" si="635"/>
        <v>6</v>
      </c>
      <c r="B7887" s="69" t="s">
        <v>1426</v>
      </c>
      <c r="C7887" s="69">
        <v>8</v>
      </c>
      <c r="D7887" s="89">
        <v>1</v>
      </c>
      <c r="E7887" s="89">
        <v>0</v>
      </c>
      <c r="F7887" s="89">
        <v>1</v>
      </c>
      <c r="G7887" s="89">
        <v>1</v>
      </c>
      <c r="H7887" s="89">
        <v>1</v>
      </c>
      <c r="I7887" s="89">
        <v>1</v>
      </c>
      <c r="J7887" s="710">
        <f>(VLOOKUP($C7887,[2]Sheet1!$A$2:$P$18,$M7887+1)/12)*12*D7887</f>
        <v>342141.27408</v>
      </c>
      <c r="K7887" s="711"/>
      <c r="M7887" s="62">
        <f t="shared" si="633"/>
        <v>3</v>
      </c>
    </row>
    <row r="7888" spans="1:13">
      <c r="A7888" s="88">
        <f t="shared" si="635"/>
        <v>7</v>
      </c>
      <c r="B7888" s="69" t="s">
        <v>3788</v>
      </c>
      <c r="C7888" s="69">
        <v>6</v>
      </c>
      <c r="D7888" s="89">
        <v>2</v>
      </c>
      <c r="E7888" s="89">
        <v>2</v>
      </c>
      <c r="F7888" s="89">
        <v>2</v>
      </c>
      <c r="G7888" s="89">
        <v>2</v>
      </c>
      <c r="H7888" s="89">
        <v>2</v>
      </c>
      <c r="I7888" s="89">
        <v>2</v>
      </c>
      <c r="J7888" s="710">
        <f>(VLOOKUP($C7888,[2]Sheet1!$A$2:$P$18,$M7888+1)/12)*12*D7888</f>
        <v>476198.75786072994</v>
      </c>
      <c r="K7888" s="711"/>
      <c r="M7888" s="62">
        <f t="shared" si="633"/>
        <v>5</v>
      </c>
    </row>
    <row r="7889" spans="1:13">
      <c r="A7889" s="88">
        <f t="shared" si="635"/>
        <v>8</v>
      </c>
      <c r="B7889" s="69" t="s">
        <v>143</v>
      </c>
      <c r="C7889" s="69">
        <v>7</v>
      </c>
      <c r="D7889" s="89">
        <v>1</v>
      </c>
      <c r="E7889" s="89">
        <v>0</v>
      </c>
      <c r="F7889" s="89">
        <v>1</v>
      </c>
      <c r="G7889" s="89">
        <v>1</v>
      </c>
      <c r="H7889" s="89">
        <v>1</v>
      </c>
      <c r="I7889" s="89">
        <v>1</v>
      </c>
      <c r="J7889" s="710">
        <f>(VLOOKUP($C7889,[2]Sheet1!$A$2:$P$18,$M7889+1)/12)*12*D7889</f>
        <v>307706.70240000007</v>
      </c>
      <c r="K7889" s="711"/>
      <c r="M7889" s="62">
        <f t="shared" si="633"/>
        <v>3</v>
      </c>
    </row>
    <row r="7890" spans="1:13">
      <c r="A7890" s="88">
        <f t="shared" si="635"/>
        <v>9</v>
      </c>
      <c r="B7890" s="69" t="s">
        <v>2179</v>
      </c>
      <c r="C7890" s="69">
        <v>4</v>
      </c>
      <c r="D7890" s="89">
        <v>2</v>
      </c>
      <c r="E7890" s="89">
        <v>2</v>
      </c>
      <c r="F7890" s="89">
        <v>2</v>
      </c>
      <c r="G7890" s="89">
        <v>2</v>
      </c>
      <c r="H7890" s="89">
        <v>2</v>
      </c>
      <c r="I7890" s="89">
        <v>2</v>
      </c>
      <c r="J7890" s="710">
        <f>(VLOOKUP($C7890,[2]Sheet1!$A$2:$P$18,$M7890+1)/12)*12*D7890</f>
        <v>449085.95786073001</v>
      </c>
      <c r="K7890" s="711"/>
      <c r="M7890" s="62">
        <f t="shared" si="633"/>
        <v>5</v>
      </c>
    </row>
    <row r="7891" spans="1:13">
      <c r="A7891" s="88">
        <f t="shared" si="635"/>
        <v>10</v>
      </c>
      <c r="B7891" s="69" t="s">
        <v>2542</v>
      </c>
      <c r="C7891" s="69">
        <v>3</v>
      </c>
      <c r="D7891" s="89">
        <v>2</v>
      </c>
      <c r="E7891" s="89">
        <v>2</v>
      </c>
      <c r="F7891" s="89">
        <v>2</v>
      </c>
      <c r="G7891" s="89">
        <v>2</v>
      </c>
      <c r="H7891" s="89">
        <v>2</v>
      </c>
      <c r="I7891" s="89">
        <v>2</v>
      </c>
      <c r="J7891" s="710">
        <f>(VLOOKUP($C7891,[2]Sheet1!$A$2:$P$18,$M7891+1)/12)*12*D7891</f>
        <v>438672.35786072997</v>
      </c>
      <c r="K7891" s="711"/>
      <c r="M7891" s="62">
        <f t="shared" si="633"/>
        <v>5</v>
      </c>
    </row>
    <row r="7892" spans="1:13">
      <c r="A7892" s="88">
        <f t="shared" si="635"/>
        <v>11</v>
      </c>
      <c r="B7892" s="69" t="s">
        <v>2543</v>
      </c>
      <c r="C7892" s="69">
        <v>2</v>
      </c>
      <c r="D7892" s="89">
        <v>2</v>
      </c>
      <c r="E7892" s="89">
        <v>2</v>
      </c>
      <c r="F7892" s="89">
        <v>2</v>
      </c>
      <c r="G7892" s="89">
        <v>2</v>
      </c>
      <c r="H7892" s="89">
        <v>2</v>
      </c>
      <c r="I7892" s="89">
        <v>2</v>
      </c>
      <c r="J7892" s="710">
        <f>(VLOOKUP($C7892,[2]Sheet1!$A$2:$P$18,$M7892+1)/12)*12*D7892</f>
        <v>429314.75786073005</v>
      </c>
      <c r="K7892" s="711"/>
      <c r="M7892" s="62">
        <f t="shared" si="633"/>
        <v>5</v>
      </c>
    </row>
    <row r="7893" spans="1:13">
      <c r="A7893" s="88">
        <f t="shared" si="635"/>
        <v>12</v>
      </c>
      <c r="B7893" s="69" t="s">
        <v>3282</v>
      </c>
      <c r="C7893" s="69">
        <v>6</v>
      </c>
      <c r="D7893" s="89">
        <v>0</v>
      </c>
      <c r="E7893" s="89">
        <v>2</v>
      </c>
      <c r="F7893" s="89">
        <v>0</v>
      </c>
      <c r="G7893" s="89">
        <v>0</v>
      </c>
      <c r="H7893" s="89">
        <v>0</v>
      </c>
      <c r="I7893" s="89">
        <v>0</v>
      </c>
      <c r="J7893" s="710">
        <f>(VLOOKUP($C7893,[2]Sheet1!$A$2:$P$18,$M7893+1)/12)*12*D7893</f>
        <v>0</v>
      </c>
      <c r="K7893" s="711"/>
      <c r="M7893" s="62">
        <f t="shared" si="633"/>
        <v>5</v>
      </c>
    </row>
    <row r="7894" spans="1:13">
      <c r="A7894" s="88">
        <f t="shared" si="635"/>
        <v>13</v>
      </c>
      <c r="B7894" s="69" t="s">
        <v>3463</v>
      </c>
      <c r="C7894" s="69">
        <v>5</v>
      </c>
      <c r="D7894" s="89">
        <v>1</v>
      </c>
      <c r="E7894" s="89">
        <v>1</v>
      </c>
      <c r="F7894" s="89">
        <v>1</v>
      </c>
      <c r="G7894" s="89">
        <v>1</v>
      </c>
      <c r="H7894" s="89">
        <v>1</v>
      </c>
      <c r="I7894" s="89">
        <v>1</v>
      </c>
      <c r="J7894" s="710">
        <f>(VLOOKUP($C7894,[2]Sheet1!$A$2:$P$18,$M7894+1)/12)*12*D7894</f>
        <v>229569.77893036499</v>
      </c>
      <c r="K7894" s="711"/>
      <c r="M7894" s="62">
        <f t="shared" si="633"/>
        <v>5</v>
      </c>
    </row>
    <row r="7895" spans="1:13">
      <c r="A7895" s="88">
        <f t="shared" si="635"/>
        <v>14</v>
      </c>
      <c r="B7895" s="69" t="s">
        <v>3674</v>
      </c>
      <c r="C7895" s="69">
        <v>2</v>
      </c>
      <c r="D7895" s="89">
        <v>2</v>
      </c>
      <c r="E7895" s="89">
        <v>2</v>
      </c>
      <c r="F7895" s="89">
        <v>2</v>
      </c>
      <c r="G7895" s="89">
        <v>2</v>
      </c>
      <c r="H7895" s="89">
        <v>2</v>
      </c>
      <c r="I7895" s="89">
        <v>2</v>
      </c>
      <c r="J7895" s="710">
        <f>(VLOOKUP($C7895,[2]Sheet1!$A$2:$P$18,$M7895+1)/12)*12*D7895</f>
        <v>429314.75786073005</v>
      </c>
      <c r="K7895" s="711"/>
      <c r="M7895" s="62">
        <f t="shared" si="633"/>
        <v>5</v>
      </c>
    </row>
    <row r="7896" spans="1:13">
      <c r="A7896" s="88">
        <f t="shared" si="635"/>
        <v>15</v>
      </c>
      <c r="B7896" s="69" t="s">
        <v>2172</v>
      </c>
      <c r="C7896" s="69">
        <v>2</v>
      </c>
      <c r="D7896" s="89">
        <v>3</v>
      </c>
      <c r="E7896" s="89">
        <v>3</v>
      </c>
      <c r="F7896" s="89">
        <v>3</v>
      </c>
      <c r="G7896" s="89">
        <v>3</v>
      </c>
      <c r="H7896" s="89">
        <v>3</v>
      </c>
      <c r="I7896" s="89">
        <v>3</v>
      </c>
      <c r="J7896" s="710">
        <f>(VLOOKUP($C7896,[2]Sheet1!$A$2:$P$18,$M7896+1)/12)*12*D7896</f>
        <v>643972.13679109514</v>
      </c>
      <c r="K7896" s="711"/>
      <c r="M7896" s="62">
        <f t="shared" si="633"/>
        <v>5</v>
      </c>
    </row>
    <row r="7897" spans="1:13">
      <c r="A7897" s="88"/>
      <c r="B7897" s="90" t="s">
        <v>3934</v>
      </c>
      <c r="C7897" s="69"/>
      <c r="D7897" s="89"/>
      <c r="E7897" s="89"/>
      <c r="F7897" s="89"/>
      <c r="G7897" s="89"/>
      <c r="H7897" s="89"/>
      <c r="I7897" s="89"/>
      <c r="J7897" s="710"/>
      <c r="K7897" s="711"/>
      <c r="M7897" s="62">
        <f t="shared" si="633"/>
        <v>5</v>
      </c>
    </row>
    <row r="7898" spans="1:13">
      <c r="A7898" s="88">
        <v>16</v>
      </c>
      <c r="B7898" s="69" t="s">
        <v>3532</v>
      </c>
      <c r="C7898" s="69">
        <v>16</v>
      </c>
      <c r="D7898" s="89">
        <v>1</v>
      </c>
      <c r="E7898" s="89">
        <v>1</v>
      </c>
      <c r="F7898" s="89">
        <v>1</v>
      </c>
      <c r="G7898" s="89">
        <v>1</v>
      </c>
      <c r="H7898" s="89">
        <v>1</v>
      </c>
      <c r="I7898" s="89">
        <v>1</v>
      </c>
      <c r="J7898" s="710">
        <f>(VLOOKUP($C7898,[2]Sheet1!$A$2:$P$18,$M7898+1)/12)*12*D7898</f>
        <v>677281.26084</v>
      </c>
      <c r="K7898" s="711"/>
      <c r="M7898" s="62">
        <f t="shared" si="633"/>
        <v>3</v>
      </c>
    </row>
    <row r="7899" spans="1:13">
      <c r="A7899" s="88">
        <f t="shared" ref="A7899:A7909" si="636">+A7898+1</f>
        <v>17</v>
      </c>
      <c r="B7899" s="69" t="s">
        <v>1256</v>
      </c>
      <c r="C7899" s="69">
        <v>15</v>
      </c>
      <c r="D7899" s="89">
        <v>1</v>
      </c>
      <c r="E7899" s="89">
        <v>0</v>
      </c>
      <c r="F7899" s="89">
        <v>1</v>
      </c>
      <c r="G7899" s="89">
        <v>1</v>
      </c>
      <c r="H7899" s="89">
        <v>1</v>
      </c>
      <c r="I7899" s="89">
        <v>1</v>
      </c>
      <c r="J7899" s="710">
        <f>(VLOOKUP($C7899,[2]Sheet1!$A$2:$P$18,$M7899+1)/12)*12*D7899</f>
        <v>658331.89992</v>
      </c>
      <c r="K7899" s="711"/>
      <c r="M7899" s="62">
        <f t="shared" si="633"/>
        <v>3</v>
      </c>
    </row>
    <row r="7900" spans="1:13">
      <c r="A7900" s="88">
        <f t="shared" si="636"/>
        <v>18</v>
      </c>
      <c r="B7900" s="69" t="s">
        <v>3533</v>
      </c>
      <c r="C7900" s="69">
        <v>14</v>
      </c>
      <c r="D7900" s="89">
        <v>2</v>
      </c>
      <c r="E7900" s="89">
        <v>0</v>
      </c>
      <c r="F7900" s="89">
        <v>2</v>
      </c>
      <c r="G7900" s="89">
        <v>2</v>
      </c>
      <c r="H7900" s="89">
        <v>2</v>
      </c>
      <c r="I7900" s="89">
        <v>2</v>
      </c>
      <c r="J7900" s="710">
        <f>(VLOOKUP($C7900,[2]Sheet1!$A$2:$P$18,$M7900+1)/12)*12*D7900</f>
        <v>1338198.81648</v>
      </c>
      <c r="K7900" s="711"/>
      <c r="M7900" s="62">
        <f t="shared" si="633"/>
        <v>3</v>
      </c>
    </row>
    <row r="7901" spans="1:13">
      <c r="A7901" s="88">
        <f t="shared" si="636"/>
        <v>19</v>
      </c>
      <c r="B7901" s="69" t="s">
        <v>3935</v>
      </c>
      <c r="C7901" s="69">
        <v>13</v>
      </c>
      <c r="D7901" s="89">
        <v>2</v>
      </c>
      <c r="E7901" s="89">
        <v>0</v>
      </c>
      <c r="F7901" s="89">
        <v>0</v>
      </c>
      <c r="G7901" s="89">
        <v>0</v>
      </c>
      <c r="H7901" s="89">
        <v>0</v>
      </c>
      <c r="I7901" s="89">
        <v>2</v>
      </c>
      <c r="J7901" s="710">
        <f>(VLOOKUP($C7901,[2]Sheet1!$A$2:$P$18,$M7901+1)/12)*12*D7901</f>
        <v>1257519.07608</v>
      </c>
      <c r="K7901" s="711"/>
      <c r="M7901" s="62">
        <f t="shared" si="633"/>
        <v>3</v>
      </c>
    </row>
    <row r="7902" spans="1:13">
      <c r="A7902" s="88">
        <f t="shared" si="636"/>
        <v>20</v>
      </c>
      <c r="B7902" s="69" t="s">
        <v>2314</v>
      </c>
      <c r="C7902" s="69">
        <v>12</v>
      </c>
      <c r="D7902" s="89">
        <v>1</v>
      </c>
      <c r="E7902" s="89">
        <v>0</v>
      </c>
      <c r="F7902" s="89">
        <v>0</v>
      </c>
      <c r="G7902" s="89">
        <v>0</v>
      </c>
      <c r="H7902" s="89">
        <v>0</v>
      </c>
      <c r="I7902" s="89">
        <v>1</v>
      </c>
      <c r="J7902" s="710">
        <f>(VLOOKUP($C7902,[2]Sheet1!$A$2:$P$18,$M7902+1)/12)*12*D7902</f>
        <v>552685.0537200002</v>
      </c>
      <c r="K7902" s="711"/>
      <c r="M7902" s="62">
        <f t="shared" si="633"/>
        <v>3</v>
      </c>
    </row>
    <row r="7903" spans="1:13">
      <c r="A7903" s="88">
        <f t="shared" si="636"/>
        <v>21</v>
      </c>
      <c r="B7903" s="69" t="s">
        <v>2315</v>
      </c>
      <c r="C7903" s="69">
        <v>10</v>
      </c>
      <c r="D7903" s="89">
        <v>0</v>
      </c>
      <c r="E7903" s="89">
        <v>0</v>
      </c>
      <c r="F7903" s="89">
        <v>0</v>
      </c>
      <c r="G7903" s="89">
        <v>0</v>
      </c>
      <c r="H7903" s="89">
        <v>0</v>
      </c>
      <c r="I7903" s="89">
        <v>0</v>
      </c>
      <c r="J7903" s="710">
        <f>(VLOOKUP($C7903,[2]Sheet1!$A$2:$P$18,$M7903+1)/12)*12*D7903</f>
        <v>0</v>
      </c>
      <c r="K7903" s="711"/>
      <c r="M7903" s="62">
        <f t="shared" si="633"/>
        <v>3</v>
      </c>
    </row>
    <row r="7904" spans="1:13">
      <c r="A7904" s="88">
        <f t="shared" si="636"/>
        <v>22</v>
      </c>
      <c r="B7904" s="69" t="s">
        <v>1951</v>
      </c>
      <c r="C7904" s="69">
        <v>9</v>
      </c>
      <c r="D7904" s="89">
        <v>1</v>
      </c>
      <c r="E7904" s="89">
        <v>1</v>
      </c>
      <c r="F7904" s="89">
        <v>1</v>
      </c>
      <c r="G7904" s="89">
        <v>1</v>
      </c>
      <c r="H7904" s="89">
        <v>1</v>
      </c>
      <c r="I7904" s="89">
        <v>1</v>
      </c>
      <c r="J7904" s="710">
        <f>(VLOOKUP($C7904,[2]Sheet1!$A$2:$P$18,$M7904+1)/12)*12*D7904</f>
        <v>409681.90619999997</v>
      </c>
      <c r="K7904" s="711"/>
      <c r="M7904" s="62">
        <f t="shared" si="633"/>
        <v>3</v>
      </c>
    </row>
    <row r="7905" spans="1:13">
      <c r="A7905" s="88">
        <f t="shared" si="636"/>
        <v>23</v>
      </c>
      <c r="B7905" s="69" t="s">
        <v>3411</v>
      </c>
      <c r="C7905" s="69">
        <v>8</v>
      </c>
      <c r="D7905" s="89">
        <v>6</v>
      </c>
      <c r="E7905" s="89">
        <v>6</v>
      </c>
      <c r="F7905" s="89">
        <v>6</v>
      </c>
      <c r="G7905" s="89">
        <v>6</v>
      </c>
      <c r="H7905" s="89">
        <v>6</v>
      </c>
      <c r="I7905" s="89">
        <v>6</v>
      </c>
      <c r="J7905" s="710">
        <f>(VLOOKUP($C7905,[2]Sheet1!$A$2:$P$18,$M7905+1)/12)*12*D7905</f>
        <v>2052847.64448</v>
      </c>
      <c r="K7905" s="711"/>
      <c r="M7905" s="62">
        <f t="shared" si="633"/>
        <v>3</v>
      </c>
    </row>
    <row r="7906" spans="1:13">
      <c r="A7906" s="88">
        <f t="shared" si="636"/>
        <v>24</v>
      </c>
      <c r="B7906" s="69" t="s">
        <v>506</v>
      </c>
      <c r="C7906" s="69">
        <v>13</v>
      </c>
      <c r="D7906" s="89">
        <v>2</v>
      </c>
      <c r="E7906" s="89">
        <v>2</v>
      </c>
      <c r="F7906" s="89">
        <v>2</v>
      </c>
      <c r="G7906" s="89">
        <v>2</v>
      </c>
      <c r="H7906" s="89">
        <v>2</v>
      </c>
      <c r="I7906" s="89">
        <v>2</v>
      </c>
      <c r="J7906" s="710">
        <f>(VLOOKUP($C7906,[2]Sheet1!$A$2:$P$18,$M7906+1)/12)*12*D7906</f>
        <v>1257519.07608</v>
      </c>
      <c r="K7906" s="711"/>
      <c r="M7906" s="62">
        <f t="shared" ref="M7906:M7978" si="637">IF(C7906&gt;6,3,5)</f>
        <v>3</v>
      </c>
    </row>
    <row r="7907" spans="1:13">
      <c r="A7907" s="88">
        <f t="shared" si="636"/>
        <v>25</v>
      </c>
      <c r="B7907" s="69" t="s">
        <v>4048</v>
      </c>
      <c r="C7907" s="69">
        <v>10</v>
      </c>
      <c r="D7907" s="89">
        <v>10</v>
      </c>
      <c r="E7907" s="89">
        <v>10</v>
      </c>
      <c r="F7907" s="89">
        <v>10</v>
      </c>
      <c r="G7907" s="89">
        <v>10</v>
      </c>
      <c r="H7907" s="89">
        <v>10</v>
      </c>
      <c r="I7907" s="89">
        <v>10</v>
      </c>
      <c r="J7907" s="710">
        <f>(VLOOKUP($C7907,[2]Sheet1!$A$2:$P$18,$M7907+1)/12)*12*D7907</f>
        <v>4839745.6872000005</v>
      </c>
      <c r="K7907" s="711"/>
      <c r="M7907" s="62">
        <f t="shared" si="637"/>
        <v>3</v>
      </c>
    </row>
    <row r="7908" spans="1:13">
      <c r="A7908" s="88">
        <f t="shared" si="636"/>
        <v>26</v>
      </c>
      <c r="B7908" s="69" t="s">
        <v>4049</v>
      </c>
      <c r="C7908" s="69">
        <v>9</v>
      </c>
      <c r="D7908" s="89">
        <v>10</v>
      </c>
      <c r="E7908" s="89">
        <v>10</v>
      </c>
      <c r="F7908" s="89">
        <v>10</v>
      </c>
      <c r="G7908" s="89">
        <v>10</v>
      </c>
      <c r="H7908" s="89">
        <v>10</v>
      </c>
      <c r="I7908" s="89">
        <v>10</v>
      </c>
      <c r="J7908" s="710">
        <f>(VLOOKUP($C7908,[2]Sheet1!$A$2:$P$18,$M7908+1)/12)*12*D7908</f>
        <v>4096819.0619999999</v>
      </c>
      <c r="K7908" s="711"/>
      <c r="M7908" s="62">
        <f t="shared" si="637"/>
        <v>3</v>
      </c>
    </row>
    <row r="7909" spans="1:13">
      <c r="A7909" s="88">
        <f t="shared" si="636"/>
        <v>27</v>
      </c>
      <c r="B7909" s="69" t="s">
        <v>3550</v>
      </c>
      <c r="C7909" s="69">
        <v>8</v>
      </c>
      <c r="D7909" s="89">
        <v>8</v>
      </c>
      <c r="E7909" s="89">
        <v>8</v>
      </c>
      <c r="F7909" s="89">
        <v>8</v>
      </c>
      <c r="G7909" s="89">
        <v>8</v>
      </c>
      <c r="H7909" s="89">
        <v>8</v>
      </c>
      <c r="I7909" s="89">
        <v>8</v>
      </c>
      <c r="J7909" s="710">
        <f>(VLOOKUP($C7909,[2]Sheet1!$A$2:$P$18,$M7909+1)/12)*12*D7909</f>
        <v>2737130.19264</v>
      </c>
      <c r="K7909" s="711"/>
      <c r="M7909" s="62">
        <f t="shared" si="637"/>
        <v>3</v>
      </c>
    </row>
    <row r="7910" spans="1:13">
      <c r="A7910" s="88">
        <f>+A7909+1</f>
        <v>28</v>
      </c>
      <c r="B7910" s="69" t="s">
        <v>2492</v>
      </c>
      <c r="C7910" s="69">
        <v>7</v>
      </c>
      <c r="D7910" s="89">
        <v>8</v>
      </c>
      <c r="E7910" s="89">
        <v>8</v>
      </c>
      <c r="F7910" s="89">
        <v>8</v>
      </c>
      <c r="G7910" s="89">
        <v>8</v>
      </c>
      <c r="H7910" s="89">
        <v>8</v>
      </c>
      <c r="I7910" s="89">
        <v>8</v>
      </c>
      <c r="J7910" s="710">
        <f>(VLOOKUP($C7910,[2]Sheet1!$A$2:$P$18,$M7910+1)/12)*12*D7910</f>
        <v>2461653.6192000005</v>
      </c>
      <c r="K7910" s="711"/>
      <c r="M7910" s="62">
        <f t="shared" si="637"/>
        <v>3</v>
      </c>
    </row>
    <row r="7911" spans="1:13">
      <c r="A7911" s="88">
        <f>+A7910+1</f>
        <v>29</v>
      </c>
      <c r="B7911" s="69" t="s">
        <v>1982</v>
      </c>
      <c r="C7911" s="69">
        <v>6</v>
      </c>
      <c r="D7911" s="89">
        <v>9</v>
      </c>
      <c r="E7911" s="89">
        <v>9</v>
      </c>
      <c r="F7911" s="89">
        <v>9</v>
      </c>
      <c r="G7911" s="89">
        <v>9</v>
      </c>
      <c r="H7911" s="89">
        <v>9</v>
      </c>
      <c r="I7911" s="89">
        <v>9</v>
      </c>
      <c r="J7911" s="710">
        <f>(VLOOKUP($C7911,[2]Sheet1!$A$2:$P$18,$M7911+1)/12)*12*D7911</f>
        <v>2142894.4103732845</v>
      </c>
      <c r="K7911" s="711"/>
      <c r="M7911" s="62">
        <f t="shared" si="637"/>
        <v>5</v>
      </c>
    </row>
    <row r="7912" spans="1:13">
      <c r="A7912" s="88">
        <f>+A7911+1</f>
        <v>30</v>
      </c>
      <c r="B7912" s="69" t="s">
        <v>1250</v>
      </c>
      <c r="C7912" s="69">
        <v>5</v>
      </c>
      <c r="D7912" s="89">
        <v>0</v>
      </c>
      <c r="E7912" s="89">
        <v>0</v>
      </c>
      <c r="F7912" s="89">
        <v>0</v>
      </c>
      <c r="G7912" s="89">
        <v>0</v>
      </c>
      <c r="H7912" s="89">
        <v>0</v>
      </c>
      <c r="I7912" s="89">
        <v>0</v>
      </c>
      <c r="J7912" s="710">
        <f>(VLOOKUP($C7912,[2]Sheet1!$A$2:$P$18,$M7912+1)/12)*12*D7912</f>
        <v>0</v>
      </c>
      <c r="K7912" s="711"/>
      <c r="M7912" s="62">
        <f t="shared" si="637"/>
        <v>5</v>
      </c>
    </row>
    <row r="7913" spans="1:13">
      <c r="A7913" s="88">
        <f>+A7912+1</f>
        <v>31</v>
      </c>
      <c r="B7913" s="69" t="s">
        <v>2360</v>
      </c>
      <c r="C7913" s="69">
        <v>4</v>
      </c>
      <c r="D7913" s="89">
        <v>4</v>
      </c>
      <c r="E7913" s="89">
        <v>4</v>
      </c>
      <c r="F7913" s="89">
        <v>4</v>
      </c>
      <c r="G7913" s="89">
        <v>4</v>
      </c>
      <c r="H7913" s="89">
        <v>4</v>
      </c>
      <c r="I7913" s="89">
        <v>4</v>
      </c>
      <c r="J7913" s="710">
        <f>(VLOOKUP($C7913,[2]Sheet1!$A$2:$P$18,$M7913+1)/12)*12*D7913</f>
        <v>898171.91572146001</v>
      </c>
      <c r="K7913" s="711"/>
      <c r="M7913" s="62">
        <f t="shared" si="637"/>
        <v>5</v>
      </c>
    </row>
    <row r="7914" spans="1:13" ht="13.5" thickBot="1">
      <c r="A7914" s="88">
        <f>+A7913+1</f>
        <v>32</v>
      </c>
      <c r="B7914" s="69" t="s">
        <v>4030</v>
      </c>
      <c r="C7914" s="69">
        <v>3</v>
      </c>
      <c r="D7914" s="89">
        <v>4</v>
      </c>
      <c r="E7914" s="89">
        <v>4</v>
      </c>
      <c r="F7914" s="89">
        <v>4</v>
      </c>
      <c r="G7914" s="89">
        <v>4</v>
      </c>
      <c r="H7914" s="89">
        <v>4</v>
      </c>
      <c r="I7914" s="89">
        <v>4</v>
      </c>
      <c r="J7914" s="710">
        <f>(VLOOKUP($C7914,[2]Sheet1!$A$2:$P$18,$M7914+1)/12)*12*D7914</f>
        <v>877344.71572145994</v>
      </c>
      <c r="K7914" s="711"/>
      <c r="M7914" s="62">
        <f t="shared" si="637"/>
        <v>5</v>
      </c>
    </row>
    <row r="7915" spans="1:13" ht="15.75" thickTop="1">
      <c r="A7915" s="1047" t="s">
        <v>2791</v>
      </c>
      <c r="B7915" s="1049" t="s">
        <v>4126</v>
      </c>
      <c r="C7915" s="1049" t="s">
        <v>854</v>
      </c>
      <c r="D7915" s="1040" t="s">
        <v>4127</v>
      </c>
      <c r="E7915" s="1041"/>
      <c r="F7915" s="1041"/>
      <c r="G7915" s="1040" t="s">
        <v>904</v>
      </c>
      <c r="H7915" s="1041"/>
      <c r="I7915" s="1042"/>
      <c r="J7915" s="1035" t="s">
        <v>855</v>
      </c>
      <c r="K7915" s="389"/>
      <c r="M7915" s="62">
        <f t="shared" si="637"/>
        <v>3</v>
      </c>
    </row>
    <row r="7916" spans="1:13" ht="26.25" thickBot="1">
      <c r="A7916" s="1048"/>
      <c r="B7916" s="1050"/>
      <c r="C7916" s="1050"/>
      <c r="D7916" s="285" t="s">
        <v>5505</v>
      </c>
      <c r="E7916" s="285" t="s">
        <v>4485</v>
      </c>
      <c r="F7916" s="285" t="s">
        <v>4486</v>
      </c>
      <c r="G7916" s="287" t="s">
        <v>4487</v>
      </c>
      <c r="H7916" s="285" t="s">
        <v>4488</v>
      </c>
      <c r="I7916" s="287" t="s">
        <v>4489</v>
      </c>
      <c r="J7916" s="1036"/>
      <c r="K7916" s="712"/>
    </row>
    <row r="7917" spans="1:13" ht="13.5" thickTop="1">
      <c r="A7917" s="88"/>
      <c r="B7917" s="90" t="s">
        <v>851</v>
      </c>
      <c r="C7917" s="69"/>
      <c r="D7917" s="89"/>
      <c r="E7917" s="89"/>
      <c r="F7917" s="89"/>
      <c r="G7917" s="89"/>
      <c r="H7917" s="89"/>
      <c r="I7917" s="89"/>
      <c r="J7917" s="713"/>
      <c r="K7917" s="711"/>
      <c r="M7917" s="62">
        <f t="shared" si="637"/>
        <v>5</v>
      </c>
    </row>
    <row r="7918" spans="1:13">
      <c r="A7918" s="88">
        <f>+A7914+1</f>
        <v>33</v>
      </c>
      <c r="B7918" s="69" t="s">
        <v>3532</v>
      </c>
      <c r="C7918" s="69">
        <v>16</v>
      </c>
      <c r="D7918" s="89">
        <v>1</v>
      </c>
      <c r="E7918" s="89">
        <v>1</v>
      </c>
      <c r="F7918" s="89">
        <v>1</v>
      </c>
      <c r="G7918" s="89">
        <v>1</v>
      </c>
      <c r="H7918" s="89">
        <v>1</v>
      </c>
      <c r="I7918" s="89">
        <v>1</v>
      </c>
      <c r="J7918" s="710">
        <f>(VLOOKUP($C7918,[2]Sheet1!$A$2:$P$18,$M7918+1)/12)*12*D7918</f>
        <v>677281.26084</v>
      </c>
      <c r="K7918" s="711"/>
      <c r="M7918" s="62">
        <f t="shared" si="637"/>
        <v>3</v>
      </c>
    </row>
    <row r="7919" spans="1:13">
      <c r="A7919" s="88">
        <f t="shared" ref="A7919:A7962" si="638">+A7918+1</f>
        <v>34</v>
      </c>
      <c r="B7919" s="69" t="s">
        <v>1256</v>
      </c>
      <c r="C7919" s="69">
        <v>15</v>
      </c>
      <c r="D7919" s="89">
        <v>1</v>
      </c>
      <c r="E7919" s="89">
        <v>1</v>
      </c>
      <c r="F7919" s="89">
        <v>1</v>
      </c>
      <c r="G7919" s="89">
        <v>1</v>
      </c>
      <c r="H7919" s="89">
        <v>1</v>
      </c>
      <c r="I7919" s="89">
        <v>1</v>
      </c>
      <c r="J7919" s="710">
        <f>(VLOOKUP($C7919,[2]Sheet1!$A$2:$P$18,$M7919+1)/12)*12*D7919</f>
        <v>658331.89992</v>
      </c>
      <c r="K7919" s="711"/>
      <c r="M7919" s="62">
        <f t="shared" si="637"/>
        <v>3</v>
      </c>
    </row>
    <row r="7920" spans="1:13">
      <c r="A7920" s="88">
        <f t="shared" si="638"/>
        <v>35</v>
      </c>
      <c r="B7920" s="69" t="s">
        <v>3533</v>
      </c>
      <c r="C7920" s="69">
        <v>14</v>
      </c>
      <c r="D7920" s="89">
        <v>1</v>
      </c>
      <c r="E7920" s="89">
        <v>1</v>
      </c>
      <c r="F7920" s="89">
        <v>1</v>
      </c>
      <c r="G7920" s="89">
        <v>1</v>
      </c>
      <c r="H7920" s="89">
        <v>1</v>
      </c>
      <c r="I7920" s="89">
        <v>1</v>
      </c>
      <c r="J7920" s="710">
        <f>(VLOOKUP($C7920,[2]Sheet1!$A$2:$P$18,$M7920+1)/12)*12*D7920</f>
        <v>669099.40824000002</v>
      </c>
      <c r="K7920" s="711"/>
      <c r="M7920" s="62">
        <f t="shared" si="637"/>
        <v>3</v>
      </c>
    </row>
    <row r="7921" spans="1:13">
      <c r="A7921" s="88">
        <f t="shared" si="638"/>
        <v>36</v>
      </c>
      <c r="B7921" s="69" t="s">
        <v>3464</v>
      </c>
      <c r="C7921" s="69">
        <v>13</v>
      </c>
      <c r="D7921" s="89">
        <v>1</v>
      </c>
      <c r="E7921" s="89">
        <v>1</v>
      </c>
      <c r="F7921" s="89">
        <v>1</v>
      </c>
      <c r="G7921" s="89">
        <v>1</v>
      </c>
      <c r="H7921" s="89">
        <v>1</v>
      </c>
      <c r="I7921" s="89">
        <v>1</v>
      </c>
      <c r="J7921" s="710">
        <f>(VLOOKUP($C7921,[2]Sheet1!$A$2:$P$18,$M7921+1)/12)*12*D7921</f>
        <v>628759.53804000001</v>
      </c>
      <c r="K7921" s="711"/>
      <c r="M7921" s="62">
        <f t="shared" si="637"/>
        <v>3</v>
      </c>
    </row>
    <row r="7922" spans="1:13">
      <c r="A7922" s="88">
        <f t="shared" si="638"/>
        <v>37</v>
      </c>
      <c r="B7922" s="69" t="s">
        <v>2314</v>
      </c>
      <c r="C7922" s="69">
        <v>12</v>
      </c>
      <c r="D7922" s="89">
        <v>1</v>
      </c>
      <c r="E7922" s="89">
        <v>1</v>
      </c>
      <c r="F7922" s="89">
        <v>1</v>
      </c>
      <c r="G7922" s="89">
        <v>1</v>
      </c>
      <c r="H7922" s="89">
        <v>1</v>
      </c>
      <c r="I7922" s="89">
        <v>1</v>
      </c>
      <c r="J7922" s="710">
        <f>(VLOOKUP($C7922,[2]Sheet1!$A$2:$P$18,$M7922+1)/12)*12*D7922</f>
        <v>552685.0537200002</v>
      </c>
      <c r="K7922" s="711"/>
      <c r="M7922" s="62">
        <f t="shared" si="637"/>
        <v>3</v>
      </c>
    </row>
    <row r="7923" spans="1:13">
      <c r="A7923" s="88">
        <f t="shared" si="638"/>
        <v>38</v>
      </c>
      <c r="B7923" s="69" t="s">
        <v>2315</v>
      </c>
      <c r="C7923" s="69">
        <v>10</v>
      </c>
      <c r="D7923" s="89">
        <v>0</v>
      </c>
      <c r="E7923" s="89">
        <v>0</v>
      </c>
      <c r="F7923" s="89">
        <v>0</v>
      </c>
      <c r="G7923" s="89">
        <v>0</v>
      </c>
      <c r="H7923" s="89">
        <v>0</v>
      </c>
      <c r="I7923" s="89">
        <v>0</v>
      </c>
      <c r="J7923" s="710">
        <f>(VLOOKUP($C7923,[2]Sheet1!$A$2:$P$18,$M7923+1)/12)*12*D7923</f>
        <v>0</v>
      </c>
      <c r="K7923" s="711"/>
      <c r="M7923" s="62">
        <f t="shared" si="637"/>
        <v>3</v>
      </c>
    </row>
    <row r="7924" spans="1:13">
      <c r="A7924" s="88">
        <f>+A7923+1</f>
        <v>39</v>
      </c>
      <c r="B7924" s="69" t="s">
        <v>1699</v>
      </c>
      <c r="C7924" s="69">
        <v>9</v>
      </c>
      <c r="D7924" s="89">
        <v>0</v>
      </c>
      <c r="E7924" s="89">
        <v>0</v>
      </c>
      <c r="F7924" s="89">
        <v>0</v>
      </c>
      <c r="G7924" s="89">
        <v>0</v>
      </c>
      <c r="H7924" s="89">
        <v>0</v>
      </c>
      <c r="I7924" s="89">
        <v>0</v>
      </c>
      <c r="J7924" s="710">
        <f>(VLOOKUP($C7924,[2]Sheet1!$A$2:$P$18,$M7924+1)/12)*12*D7924</f>
        <v>0</v>
      </c>
      <c r="K7924" s="711"/>
      <c r="M7924" s="62">
        <f t="shared" si="637"/>
        <v>3</v>
      </c>
    </row>
    <row r="7925" spans="1:13">
      <c r="A7925" s="88">
        <f t="shared" si="638"/>
        <v>40</v>
      </c>
      <c r="B7925" s="69" t="s">
        <v>2066</v>
      </c>
      <c r="C7925" s="69">
        <v>8</v>
      </c>
      <c r="D7925" s="89">
        <v>0</v>
      </c>
      <c r="E7925" s="89">
        <v>0</v>
      </c>
      <c r="F7925" s="89">
        <v>0</v>
      </c>
      <c r="G7925" s="89">
        <v>0</v>
      </c>
      <c r="H7925" s="89">
        <v>0</v>
      </c>
      <c r="I7925" s="89">
        <v>0</v>
      </c>
      <c r="J7925" s="710">
        <f>(VLOOKUP($C7925,[2]Sheet1!$A$2:$P$18,$M7925+1)/12)*12*D7925</f>
        <v>0</v>
      </c>
      <c r="K7925" s="711"/>
      <c r="M7925" s="62">
        <f t="shared" si="637"/>
        <v>3</v>
      </c>
    </row>
    <row r="7926" spans="1:13">
      <c r="A7926" s="88">
        <f t="shared" si="638"/>
        <v>41</v>
      </c>
      <c r="B7926" s="69" t="s">
        <v>395</v>
      </c>
      <c r="C7926" s="69">
        <v>10</v>
      </c>
      <c r="D7926" s="89">
        <v>0</v>
      </c>
      <c r="E7926" s="89">
        <v>0</v>
      </c>
      <c r="F7926" s="89">
        <v>0</v>
      </c>
      <c r="G7926" s="89">
        <v>0</v>
      </c>
      <c r="H7926" s="89">
        <v>0</v>
      </c>
      <c r="I7926" s="89">
        <v>0</v>
      </c>
      <c r="J7926" s="710">
        <f>(VLOOKUP($C7926,[2]Sheet1!$A$2:$P$18,$M7926+1)/12)*12*D7926</f>
        <v>0</v>
      </c>
      <c r="K7926" s="711"/>
      <c r="M7926" s="62">
        <f t="shared" si="637"/>
        <v>3</v>
      </c>
    </row>
    <row r="7927" spans="1:13">
      <c r="A7927" s="88">
        <f t="shared" si="638"/>
        <v>42</v>
      </c>
      <c r="B7927" s="69" t="s">
        <v>4049</v>
      </c>
      <c r="C7927" s="69">
        <v>9</v>
      </c>
      <c r="D7927" s="89">
        <v>0</v>
      </c>
      <c r="E7927" s="89">
        <v>0</v>
      </c>
      <c r="F7927" s="89">
        <v>0</v>
      </c>
      <c r="G7927" s="89">
        <v>0</v>
      </c>
      <c r="H7927" s="89">
        <v>0</v>
      </c>
      <c r="I7927" s="89">
        <v>0</v>
      </c>
      <c r="J7927" s="710">
        <f>(VLOOKUP($C7927,[2]Sheet1!$A$2:$P$18,$M7927+1)/12)*12*D7927</f>
        <v>0</v>
      </c>
      <c r="K7927" s="711"/>
      <c r="M7927" s="62">
        <f t="shared" si="637"/>
        <v>3</v>
      </c>
    </row>
    <row r="7928" spans="1:13">
      <c r="A7928" s="88">
        <f t="shared" si="638"/>
        <v>43</v>
      </c>
      <c r="B7928" s="69" t="s">
        <v>3550</v>
      </c>
      <c r="C7928" s="69">
        <v>8</v>
      </c>
      <c r="D7928" s="89">
        <v>0</v>
      </c>
      <c r="E7928" s="89">
        <v>0</v>
      </c>
      <c r="F7928" s="89">
        <v>0</v>
      </c>
      <c r="G7928" s="89">
        <v>0</v>
      </c>
      <c r="H7928" s="89">
        <v>0</v>
      </c>
      <c r="I7928" s="89">
        <v>0</v>
      </c>
      <c r="J7928" s="710">
        <f>(VLOOKUP($C7928,[2]Sheet1!$A$2:$P$18,$M7928+1)/12)*12*D7928</f>
        <v>0</v>
      </c>
      <c r="K7928" s="711"/>
      <c r="M7928" s="62">
        <f t="shared" si="637"/>
        <v>3</v>
      </c>
    </row>
    <row r="7929" spans="1:13">
      <c r="A7929" s="88">
        <f t="shared" si="638"/>
        <v>44</v>
      </c>
      <c r="B7929" s="69" t="s">
        <v>2492</v>
      </c>
      <c r="C7929" s="69">
        <v>7</v>
      </c>
      <c r="D7929" s="89">
        <v>0</v>
      </c>
      <c r="E7929" s="89">
        <v>0</v>
      </c>
      <c r="F7929" s="89">
        <v>0</v>
      </c>
      <c r="G7929" s="89">
        <v>0</v>
      </c>
      <c r="H7929" s="89">
        <v>0</v>
      </c>
      <c r="I7929" s="89">
        <v>0</v>
      </c>
      <c r="J7929" s="710">
        <f>(VLOOKUP($C7929,[2]Sheet1!$A$2:$P$18,$M7929+1)/12)*12*D7929</f>
        <v>0</v>
      </c>
      <c r="K7929" s="711"/>
      <c r="M7929" s="62">
        <f t="shared" si="637"/>
        <v>3</v>
      </c>
    </row>
    <row r="7930" spans="1:13">
      <c r="A7930" s="88">
        <f t="shared" si="638"/>
        <v>45</v>
      </c>
      <c r="B7930" s="69" t="s">
        <v>1982</v>
      </c>
      <c r="C7930" s="69">
        <v>6</v>
      </c>
      <c r="D7930" s="89">
        <v>1</v>
      </c>
      <c r="E7930" s="89">
        <v>3</v>
      </c>
      <c r="F7930" s="89">
        <v>1</v>
      </c>
      <c r="G7930" s="89">
        <v>1</v>
      </c>
      <c r="H7930" s="89">
        <v>1</v>
      </c>
      <c r="I7930" s="89">
        <v>1</v>
      </c>
      <c r="J7930" s="710">
        <f>(VLOOKUP($C7930,[2]Sheet1!$A$2:$P$18,$M7930+1)/12)*12*D7930</f>
        <v>238099.37893036497</v>
      </c>
      <c r="K7930" s="711"/>
      <c r="M7930" s="62">
        <f t="shared" si="637"/>
        <v>5</v>
      </c>
    </row>
    <row r="7931" spans="1:13">
      <c r="A7931" s="88">
        <f t="shared" si="638"/>
        <v>46</v>
      </c>
      <c r="B7931" s="69" t="s">
        <v>1250</v>
      </c>
      <c r="C7931" s="69">
        <v>5</v>
      </c>
      <c r="D7931" s="89">
        <v>2</v>
      </c>
      <c r="E7931" s="89">
        <v>2</v>
      </c>
      <c r="F7931" s="89">
        <v>2</v>
      </c>
      <c r="G7931" s="89">
        <v>2</v>
      </c>
      <c r="H7931" s="89">
        <v>2</v>
      </c>
      <c r="I7931" s="89">
        <v>2</v>
      </c>
      <c r="J7931" s="710">
        <f>(VLOOKUP($C7931,[2]Sheet1!$A$2:$P$18,$M7931+1)/12)*12*D7931</f>
        <v>459139.55786072998</v>
      </c>
      <c r="K7931" s="711"/>
      <c r="M7931" s="62">
        <f t="shared" si="637"/>
        <v>5</v>
      </c>
    </row>
    <row r="7932" spans="1:13">
      <c r="A7932" s="88">
        <f t="shared" si="638"/>
        <v>47</v>
      </c>
      <c r="B7932" s="69" t="s">
        <v>2360</v>
      </c>
      <c r="C7932" s="69">
        <v>4</v>
      </c>
      <c r="D7932" s="89">
        <v>3</v>
      </c>
      <c r="E7932" s="89">
        <v>3</v>
      </c>
      <c r="F7932" s="89">
        <v>3</v>
      </c>
      <c r="G7932" s="89">
        <v>3</v>
      </c>
      <c r="H7932" s="89">
        <v>3</v>
      </c>
      <c r="I7932" s="89">
        <v>3</v>
      </c>
      <c r="J7932" s="710">
        <f>(VLOOKUP($C7932,[2]Sheet1!$A$2:$P$18,$M7932+1)/12)*12*D7932</f>
        <v>673628.93679109495</v>
      </c>
      <c r="K7932" s="711"/>
      <c r="M7932" s="62">
        <f t="shared" si="637"/>
        <v>5</v>
      </c>
    </row>
    <row r="7933" spans="1:13">
      <c r="A7933" s="88">
        <f t="shared" si="638"/>
        <v>48</v>
      </c>
      <c r="B7933" s="69" t="s">
        <v>4030</v>
      </c>
      <c r="C7933" s="69">
        <v>3</v>
      </c>
      <c r="D7933" s="89">
        <v>3</v>
      </c>
      <c r="E7933" s="89">
        <v>3</v>
      </c>
      <c r="F7933" s="89">
        <v>3</v>
      </c>
      <c r="G7933" s="89">
        <v>3</v>
      </c>
      <c r="H7933" s="89">
        <v>3</v>
      </c>
      <c r="I7933" s="89">
        <v>3</v>
      </c>
      <c r="J7933" s="710">
        <f>(VLOOKUP($C7933,[2]Sheet1!$A$2:$P$18,$M7933+1)/12)*12*D7933</f>
        <v>658008.53679109493</v>
      </c>
      <c r="K7933" s="711"/>
      <c r="M7933" s="62">
        <f t="shared" si="637"/>
        <v>5</v>
      </c>
    </row>
    <row r="7934" spans="1:13">
      <c r="A7934" s="88"/>
      <c r="B7934" s="90" t="s">
        <v>3649</v>
      </c>
      <c r="C7934" s="69"/>
      <c r="D7934" s="89"/>
      <c r="E7934" s="89"/>
      <c r="F7934" s="89"/>
      <c r="G7934" s="89"/>
      <c r="H7934" s="89"/>
      <c r="I7934" s="89"/>
      <c r="J7934" s="710"/>
      <c r="K7934" s="711"/>
      <c r="M7934" s="62">
        <f t="shared" si="637"/>
        <v>5</v>
      </c>
    </row>
    <row r="7935" spans="1:13">
      <c r="A7935" s="88">
        <f>+A7933+1</f>
        <v>49</v>
      </c>
      <c r="B7935" s="69" t="s">
        <v>3532</v>
      </c>
      <c r="C7935" s="69">
        <v>16</v>
      </c>
      <c r="D7935" s="89">
        <v>1</v>
      </c>
      <c r="E7935" s="89">
        <v>0</v>
      </c>
      <c r="F7935" s="89">
        <v>1</v>
      </c>
      <c r="G7935" s="89">
        <v>1</v>
      </c>
      <c r="H7935" s="89">
        <v>1</v>
      </c>
      <c r="I7935" s="89">
        <v>1</v>
      </c>
      <c r="J7935" s="710">
        <f>(VLOOKUP($C7935,[2]Sheet1!$A$2:$P$18,$M7935+1)/12)*12*D7935</f>
        <v>677281.26084</v>
      </c>
      <c r="K7935" s="711"/>
      <c r="M7935" s="62">
        <f t="shared" si="637"/>
        <v>3</v>
      </c>
    </row>
    <row r="7936" spans="1:13">
      <c r="A7936" s="88">
        <f t="shared" si="638"/>
        <v>50</v>
      </c>
      <c r="B7936" s="69" t="s">
        <v>1099</v>
      </c>
      <c r="C7936" s="69">
        <v>15</v>
      </c>
      <c r="D7936" s="89">
        <v>1</v>
      </c>
      <c r="E7936" s="89">
        <v>0</v>
      </c>
      <c r="F7936" s="89">
        <v>1</v>
      </c>
      <c r="G7936" s="89">
        <v>1</v>
      </c>
      <c r="H7936" s="89">
        <v>1</v>
      </c>
      <c r="I7936" s="89">
        <v>1</v>
      </c>
      <c r="J7936" s="710">
        <f>(VLOOKUP($C7936,[2]Sheet1!$A$2:$P$18,$M7936+1)/12)*12*D7936</f>
        <v>658331.89992</v>
      </c>
      <c r="K7936" s="711"/>
      <c r="M7936" s="62">
        <f t="shared" si="637"/>
        <v>3</v>
      </c>
    </row>
    <row r="7937" spans="1:13">
      <c r="A7937" s="88">
        <f t="shared" si="638"/>
        <v>51</v>
      </c>
      <c r="B7937" s="69" t="s">
        <v>3935</v>
      </c>
      <c r="C7937" s="69">
        <v>14</v>
      </c>
      <c r="D7937" s="89">
        <v>1</v>
      </c>
      <c r="E7937" s="89">
        <v>0</v>
      </c>
      <c r="F7937" s="89">
        <v>1</v>
      </c>
      <c r="G7937" s="89">
        <v>1</v>
      </c>
      <c r="H7937" s="89">
        <v>1</v>
      </c>
      <c r="I7937" s="89">
        <v>1</v>
      </c>
      <c r="J7937" s="710">
        <f>(VLOOKUP($C7937,[2]Sheet1!$A$2:$P$18,$M7937+1)/12)*12*D7937</f>
        <v>669099.40824000002</v>
      </c>
      <c r="K7937" s="711"/>
      <c r="M7937" s="62">
        <f t="shared" si="637"/>
        <v>3</v>
      </c>
    </row>
    <row r="7938" spans="1:13">
      <c r="A7938" s="88">
        <f t="shared" si="638"/>
        <v>52</v>
      </c>
      <c r="B7938" s="69" t="s">
        <v>396</v>
      </c>
      <c r="C7938" s="69">
        <v>13</v>
      </c>
      <c r="D7938" s="89">
        <v>1</v>
      </c>
      <c r="E7938" s="89">
        <v>1</v>
      </c>
      <c r="F7938" s="89">
        <v>1</v>
      </c>
      <c r="G7938" s="89">
        <v>1</v>
      </c>
      <c r="H7938" s="89">
        <v>1</v>
      </c>
      <c r="I7938" s="89">
        <v>1</v>
      </c>
      <c r="J7938" s="710">
        <f>(VLOOKUP($C7938,[2]Sheet1!$A$2:$P$18,$M7938+1)/12)*12*D7938</f>
        <v>628759.53804000001</v>
      </c>
      <c r="K7938" s="711"/>
      <c r="M7938" s="62">
        <f t="shared" si="637"/>
        <v>3</v>
      </c>
    </row>
    <row r="7939" spans="1:13">
      <c r="A7939" s="88">
        <f t="shared" si="638"/>
        <v>53</v>
      </c>
      <c r="B7939" s="69" t="s">
        <v>397</v>
      </c>
      <c r="C7939" s="69">
        <v>12</v>
      </c>
      <c r="D7939" s="89">
        <v>0</v>
      </c>
      <c r="E7939" s="89">
        <v>0</v>
      </c>
      <c r="F7939" s="89">
        <v>0</v>
      </c>
      <c r="G7939" s="89">
        <v>0</v>
      </c>
      <c r="H7939" s="89">
        <v>0</v>
      </c>
      <c r="I7939" s="89">
        <v>0</v>
      </c>
      <c r="J7939" s="710">
        <f>(VLOOKUP($C7939,[2]Sheet1!$A$2:$P$18,$M7939+1)/12)*12*D7939</f>
        <v>0</v>
      </c>
      <c r="K7939" s="711"/>
      <c r="M7939" s="62">
        <f t="shared" si="637"/>
        <v>3</v>
      </c>
    </row>
    <row r="7940" spans="1:13">
      <c r="A7940" s="88">
        <f t="shared" si="638"/>
        <v>54</v>
      </c>
      <c r="B7940" s="69" t="s">
        <v>398</v>
      </c>
      <c r="C7940" s="69">
        <v>10</v>
      </c>
      <c r="D7940" s="89">
        <v>0</v>
      </c>
      <c r="E7940" s="89">
        <v>0</v>
      </c>
      <c r="F7940" s="89">
        <v>0</v>
      </c>
      <c r="G7940" s="89">
        <v>0</v>
      </c>
      <c r="H7940" s="89">
        <v>0</v>
      </c>
      <c r="I7940" s="89">
        <v>0</v>
      </c>
      <c r="J7940" s="710">
        <f>(VLOOKUP($C7940,[2]Sheet1!$A$2:$P$18,$M7940+1)/12)*12*D7940</f>
        <v>0</v>
      </c>
      <c r="K7940" s="711"/>
      <c r="M7940" s="62">
        <f t="shared" si="637"/>
        <v>3</v>
      </c>
    </row>
    <row r="7941" spans="1:13">
      <c r="A7941" s="88">
        <f t="shared" si="638"/>
        <v>55</v>
      </c>
      <c r="B7941" s="69" t="s">
        <v>558</v>
      </c>
      <c r="C7941" s="69">
        <v>9</v>
      </c>
      <c r="D7941" s="89">
        <v>0</v>
      </c>
      <c r="E7941" s="89">
        <v>0</v>
      </c>
      <c r="F7941" s="89">
        <v>0</v>
      </c>
      <c r="G7941" s="89">
        <v>0</v>
      </c>
      <c r="H7941" s="89">
        <v>0</v>
      </c>
      <c r="I7941" s="89">
        <v>0</v>
      </c>
      <c r="J7941" s="710">
        <f>(VLOOKUP($C7941,[2]Sheet1!$A$2:$P$18,$M7941+1)/12)*12*D7941</f>
        <v>0</v>
      </c>
      <c r="K7941" s="711"/>
      <c r="M7941" s="62">
        <f t="shared" si="637"/>
        <v>3</v>
      </c>
    </row>
    <row r="7942" spans="1:13">
      <c r="A7942" s="88">
        <f t="shared" si="638"/>
        <v>56</v>
      </c>
      <c r="B7942" s="69" t="s">
        <v>3550</v>
      </c>
      <c r="C7942" s="69">
        <v>8</v>
      </c>
      <c r="D7942" s="89">
        <v>0</v>
      </c>
      <c r="E7942" s="89">
        <v>0</v>
      </c>
      <c r="F7942" s="89">
        <v>0</v>
      </c>
      <c r="G7942" s="89">
        <v>0</v>
      </c>
      <c r="H7942" s="89">
        <v>0</v>
      </c>
      <c r="I7942" s="89">
        <v>0</v>
      </c>
      <c r="J7942" s="710">
        <f>(VLOOKUP($C7942,[2]Sheet1!$A$2:$P$18,$M7942+1)/12)*12*D7942</f>
        <v>0</v>
      </c>
      <c r="K7942" s="711"/>
      <c r="M7942" s="62">
        <f t="shared" si="637"/>
        <v>3</v>
      </c>
    </row>
    <row r="7943" spans="1:13">
      <c r="A7943" s="88">
        <f t="shared" si="638"/>
        <v>57</v>
      </c>
      <c r="B7943" s="69" t="s">
        <v>2492</v>
      </c>
      <c r="C7943" s="69">
        <v>7</v>
      </c>
      <c r="D7943" s="89">
        <v>0</v>
      </c>
      <c r="E7943" s="89">
        <v>0</v>
      </c>
      <c r="F7943" s="89">
        <v>0</v>
      </c>
      <c r="G7943" s="89">
        <v>0</v>
      </c>
      <c r="H7943" s="89">
        <v>0</v>
      </c>
      <c r="I7943" s="89">
        <v>0</v>
      </c>
      <c r="J7943" s="710">
        <f>(VLOOKUP($C7943,[2]Sheet1!$A$2:$P$18,$M7943+1)/12)*12*D7943</f>
        <v>0</v>
      </c>
      <c r="K7943" s="711"/>
      <c r="M7943" s="62">
        <f t="shared" si="637"/>
        <v>3</v>
      </c>
    </row>
    <row r="7944" spans="1:13">
      <c r="A7944" s="88">
        <f t="shared" si="638"/>
        <v>58</v>
      </c>
      <c r="B7944" s="69" t="s">
        <v>1982</v>
      </c>
      <c r="C7944" s="69">
        <v>6</v>
      </c>
      <c r="D7944" s="89">
        <v>0</v>
      </c>
      <c r="E7944" s="89">
        <v>0</v>
      </c>
      <c r="F7944" s="89">
        <v>0</v>
      </c>
      <c r="G7944" s="89">
        <v>0</v>
      </c>
      <c r="H7944" s="89">
        <v>0</v>
      </c>
      <c r="I7944" s="89">
        <v>0</v>
      </c>
      <c r="J7944" s="710">
        <f>(VLOOKUP($C7944,[2]Sheet1!$A$2:$P$18,$M7944+1)/12)*12*D7944</f>
        <v>0</v>
      </c>
      <c r="K7944" s="711"/>
      <c r="M7944" s="62">
        <f t="shared" si="637"/>
        <v>5</v>
      </c>
    </row>
    <row r="7945" spans="1:13">
      <c r="A7945" s="88"/>
      <c r="B7945" s="90" t="s">
        <v>1341</v>
      </c>
      <c r="C7945" s="69"/>
      <c r="D7945" s="89"/>
      <c r="E7945" s="89"/>
      <c r="F7945" s="89"/>
      <c r="G7945" s="89"/>
      <c r="H7945" s="89"/>
      <c r="I7945" s="89"/>
      <c r="J7945" s="710"/>
      <c r="K7945" s="711"/>
      <c r="M7945" s="62">
        <f t="shared" si="637"/>
        <v>5</v>
      </c>
    </row>
    <row r="7946" spans="1:13">
      <c r="A7946" s="88">
        <f>+A7944+1</f>
        <v>59</v>
      </c>
      <c r="B7946" s="69" t="s">
        <v>3532</v>
      </c>
      <c r="C7946" s="69">
        <v>16</v>
      </c>
      <c r="D7946" s="89">
        <v>0</v>
      </c>
      <c r="E7946" s="89">
        <v>0</v>
      </c>
      <c r="F7946" s="89">
        <v>0</v>
      </c>
      <c r="G7946" s="89">
        <v>0</v>
      </c>
      <c r="H7946" s="89">
        <v>0</v>
      </c>
      <c r="I7946" s="89">
        <v>0</v>
      </c>
      <c r="J7946" s="710">
        <f>(VLOOKUP($C7946,[2]Sheet1!$A$2:$P$18,$M7946+1)/12)*12*D7946</f>
        <v>0</v>
      </c>
      <c r="K7946" s="711"/>
      <c r="M7946" s="62">
        <f t="shared" si="637"/>
        <v>3</v>
      </c>
    </row>
    <row r="7947" spans="1:13">
      <c r="A7947" s="88">
        <f t="shared" si="638"/>
        <v>60</v>
      </c>
      <c r="B7947" s="69" t="s">
        <v>1099</v>
      </c>
      <c r="C7947" s="69">
        <v>15</v>
      </c>
      <c r="D7947" s="89">
        <v>0</v>
      </c>
      <c r="E7947" s="89">
        <v>0</v>
      </c>
      <c r="F7947" s="89">
        <v>0</v>
      </c>
      <c r="G7947" s="89">
        <v>0</v>
      </c>
      <c r="H7947" s="89">
        <v>0</v>
      </c>
      <c r="I7947" s="89">
        <v>0</v>
      </c>
      <c r="J7947" s="710">
        <f>(VLOOKUP($C7947,[2]Sheet1!$A$2:$P$18,$M7947+1)/12)*12*D7947</f>
        <v>0</v>
      </c>
      <c r="K7947" s="711"/>
      <c r="M7947" s="62">
        <f t="shared" si="637"/>
        <v>3</v>
      </c>
    </row>
    <row r="7948" spans="1:13">
      <c r="A7948" s="88">
        <f t="shared" si="638"/>
        <v>61</v>
      </c>
      <c r="B7948" s="69" t="s">
        <v>236</v>
      </c>
      <c r="C7948" s="69">
        <v>14</v>
      </c>
      <c r="D7948" s="89">
        <v>0</v>
      </c>
      <c r="E7948" s="89">
        <v>0</v>
      </c>
      <c r="F7948" s="89">
        <v>0</v>
      </c>
      <c r="G7948" s="89">
        <v>0</v>
      </c>
      <c r="H7948" s="89">
        <v>0</v>
      </c>
      <c r="I7948" s="89">
        <v>0</v>
      </c>
      <c r="J7948" s="710">
        <f>(VLOOKUP($C7948,[2]Sheet1!$A$2:$P$18,$M7948+1)/12)*12*D7948</f>
        <v>0</v>
      </c>
      <c r="K7948" s="711"/>
      <c r="M7948" s="62">
        <f t="shared" si="637"/>
        <v>3</v>
      </c>
    </row>
    <row r="7949" spans="1:13">
      <c r="A7949" s="88">
        <f t="shared" si="638"/>
        <v>62</v>
      </c>
      <c r="B7949" s="69" t="s">
        <v>3211</v>
      </c>
      <c r="C7949" s="69">
        <v>13</v>
      </c>
      <c r="D7949" s="89">
        <v>0</v>
      </c>
      <c r="E7949" s="89">
        <v>0</v>
      </c>
      <c r="F7949" s="89">
        <v>0</v>
      </c>
      <c r="G7949" s="89">
        <v>0</v>
      </c>
      <c r="H7949" s="89">
        <v>0</v>
      </c>
      <c r="I7949" s="89">
        <v>0</v>
      </c>
      <c r="J7949" s="710">
        <f>(VLOOKUP($C7949,[2]Sheet1!$A$2:$P$18,$M7949+1)/12)*12*D7949</f>
        <v>0</v>
      </c>
      <c r="K7949" s="711"/>
      <c r="M7949" s="62">
        <f t="shared" si="637"/>
        <v>3</v>
      </c>
    </row>
    <row r="7950" spans="1:13">
      <c r="A7950" s="88">
        <f t="shared" si="638"/>
        <v>63</v>
      </c>
      <c r="B7950" s="69" t="s">
        <v>3212</v>
      </c>
      <c r="C7950" s="69">
        <v>12</v>
      </c>
      <c r="D7950" s="89">
        <v>0</v>
      </c>
      <c r="E7950" s="89">
        <v>0</v>
      </c>
      <c r="F7950" s="89">
        <v>0</v>
      </c>
      <c r="G7950" s="89">
        <v>0</v>
      </c>
      <c r="H7950" s="89">
        <v>0</v>
      </c>
      <c r="I7950" s="89">
        <v>0</v>
      </c>
      <c r="J7950" s="710">
        <f>(VLOOKUP($C7950,[2]Sheet1!$A$2:$P$18,$M7950+1)/12)*12*D7950</f>
        <v>0</v>
      </c>
      <c r="K7950" s="711"/>
      <c r="M7950" s="62">
        <f t="shared" si="637"/>
        <v>3</v>
      </c>
    </row>
    <row r="7951" spans="1:13">
      <c r="A7951" s="88">
        <f t="shared" si="638"/>
        <v>64</v>
      </c>
      <c r="B7951" s="69" t="s">
        <v>3213</v>
      </c>
      <c r="C7951" s="69">
        <v>10</v>
      </c>
      <c r="D7951" s="89">
        <v>0</v>
      </c>
      <c r="E7951" s="89">
        <v>0</v>
      </c>
      <c r="F7951" s="89">
        <v>0</v>
      </c>
      <c r="G7951" s="89">
        <v>0</v>
      </c>
      <c r="H7951" s="89">
        <v>0</v>
      </c>
      <c r="I7951" s="89">
        <v>0</v>
      </c>
      <c r="J7951" s="710">
        <f>(VLOOKUP($C7951,[2]Sheet1!$A$2:$P$18,$M7951+1)/12)*12*D7951</f>
        <v>0</v>
      </c>
      <c r="K7951" s="711"/>
      <c r="M7951" s="62">
        <f t="shared" si="637"/>
        <v>3</v>
      </c>
    </row>
    <row r="7952" spans="1:13">
      <c r="A7952" s="88">
        <f t="shared" si="638"/>
        <v>65</v>
      </c>
      <c r="B7952" s="69" t="s">
        <v>3571</v>
      </c>
      <c r="C7952" s="69">
        <v>9</v>
      </c>
      <c r="D7952" s="89">
        <v>0</v>
      </c>
      <c r="E7952" s="89">
        <v>0</v>
      </c>
      <c r="F7952" s="89">
        <v>0</v>
      </c>
      <c r="G7952" s="89">
        <v>0</v>
      </c>
      <c r="H7952" s="89">
        <v>0</v>
      </c>
      <c r="I7952" s="89">
        <v>0</v>
      </c>
      <c r="J7952" s="710">
        <f>(VLOOKUP($C7952,[2]Sheet1!$A$2:$P$18,$M7952+1)/12)*12*D7952</f>
        <v>0</v>
      </c>
      <c r="K7952" s="711"/>
      <c r="M7952" s="62">
        <f t="shared" si="637"/>
        <v>3</v>
      </c>
    </row>
    <row r="7953" spans="1:13">
      <c r="A7953" s="88">
        <f t="shared" si="638"/>
        <v>66</v>
      </c>
      <c r="B7953" s="69" t="s">
        <v>1028</v>
      </c>
      <c r="C7953" s="69">
        <v>8</v>
      </c>
      <c r="D7953" s="89">
        <v>0</v>
      </c>
      <c r="E7953" s="89">
        <v>0</v>
      </c>
      <c r="F7953" s="89">
        <v>0</v>
      </c>
      <c r="G7953" s="89">
        <v>0</v>
      </c>
      <c r="H7953" s="89">
        <v>0</v>
      </c>
      <c r="I7953" s="89">
        <v>0</v>
      </c>
      <c r="J7953" s="710">
        <f>(VLOOKUP($C7953,[2]Sheet1!$A$2:$P$18,$M7953+1)/12)*12*D7953</f>
        <v>0</v>
      </c>
      <c r="K7953" s="711"/>
      <c r="M7953" s="62">
        <f t="shared" si="637"/>
        <v>3</v>
      </c>
    </row>
    <row r="7954" spans="1:13">
      <c r="A7954" s="88">
        <f t="shared" si="638"/>
        <v>67</v>
      </c>
      <c r="B7954" s="69" t="s">
        <v>1183</v>
      </c>
      <c r="C7954" s="69">
        <v>13</v>
      </c>
      <c r="D7954" s="89">
        <v>1</v>
      </c>
      <c r="E7954" s="89">
        <v>1</v>
      </c>
      <c r="F7954" s="89">
        <v>1</v>
      </c>
      <c r="G7954" s="89">
        <v>1</v>
      </c>
      <c r="H7954" s="89">
        <v>1</v>
      </c>
      <c r="I7954" s="89">
        <v>1</v>
      </c>
      <c r="J7954" s="710">
        <f>(VLOOKUP($C7954,[2]Sheet1!$A$2:$P$18,$M7954+1)/12)*12*D7954</f>
        <v>628759.53804000001</v>
      </c>
      <c r="K7954" s="711"/>
      <c r="M7954" s="62">
        <f t="shared" si="637"/>
        <v>3</v>
      </c>
    </row>
    <row r="7955" spans="1:13">
      <c r="A7955" s="88">
        <f t="shared" si="638"/>
        <v>68</v>
      </c>
      <c r="B7955" s="69" t="s">
        <v>506</v>
      </c>
      <c r="C7955" s="69">
        <v>12</v>
      </c>
      <c r="D7955" s="89">
        <v>0</v>
      </c>
      <c r="E7955" s="89">
        <v>0</v>
      </c>
      <c r="F7955" s="89">
        <v>0</v>
      </c>
      <c r="G7955" s="89">
        <v>0</v>
      </c>
      <c r="H7955" s="89">
        <v>0</v>
      </c>
      <c r="I7955" s="89">
        <v>0</v>
      </c>
      <c r="J7955" s="710">
        <f>(VLOOKUP($C7955,[2]Sheet1!$A$2:$P$18,$M7955+1)/12)*12*D7955</f>
        <v>0</v>
      </c>
      <c r="K7955" s="711"/>
      <c r="M7955" s="62">
        <f t="shared" si="637"/>
        <v>3</v>
      </c>
    </row>
    <row r="7956" spans="1:13">
      <c r="A7956" s="88">
        <f t="shared" si="638"/>
        <v>69</v>
      </c>
      <c r="B7956" s="69" t="s">
        <v>4048</v>
      </c>
      <c r="C7956" s="69">
        <v>10</v>
      </c>
      <c r="D7956" s="89">
        <v>0</v>
      </c>
      <c r="E7956" s="89">
        <v>0</v>
      </c>
      <c r="F7956" s="89">
        <v>0</v>
      </c>
      <c r="G7956" s="89">
        <v>0</v>
      </c>
      <c r="H7956" s="89">
        <v>0</v>
      </c>
      <c r="I7956" s="89">
        <v>0</v>
      </c>
      <c r="J7956" s="710">
        <f>(VLOOKUP($C7956,[2]Sheet1!$A$2:$P$18,$M7956+1)/12)*12*D7956</f>
        <v>0</v>
      </c>
      <c r="K7956" s="711"/>
      <c r="M7956" s="62">
        <f t="shared" si="637"/>
        <v>3</v>
      </c>
    </row>
    <row r="7957" spans="1:13" ht="13.5" thickBot="1">
      <c r="A7957" s="88">
        <f t="shared" si="638"/>
        <v>70</v>
      </c>
      <c r="B7957" s="69" t="s">
        <v>4049</v>
      </c>
      <c r="C7957" s="69">
        <v>9</v>
      </c>
      <c r="D7957" s="89">
        <v>2</v>
      </c>
      <c r="E7957" s="89">
        <v>2</v>
      </c>
      <c r="F7957" s="89">
        <v>2</v>
      </c>
      <c r="G7957" s="89">
        <v>2</v>
      </c>
      <c r="H7957" s="89">
        <v>2</v>
      </c>
      <c r="I7957" s="89">
        <v>2</v>
      </c>
      <c r="J7957" s="710">
        <f>(VLOOKUP($C7957,[2]Sheet1!$A$2:$P$18,$M7957+1)/12)*12*D7957</f>
        <v>819363.81239999994</v>
      </c>
      <c r="K7957" s="711"/>
      <c r="M7957" s="62">
        <f t="shared" si="637"/>
        <v>3</v>
      </c>
    </row>
    <row r="7958" spans="1:13" ht="15.75" thickTop="1">
      <c r="A7958" s="1047" t="s">
        <v>2791</v>
      </c>
      <c r="B7958" s="1049" t="s">
        <v>4126</v>
      </c>
      <c r="C7958" s="1049" t="s">
        <v>854</v>
      </c>
      <c r="D7958" s="1040" t="s">
        <v>4127</v>
      </c>
      <c r="E7958" s="1041"/>
      <c r="F7958" s="1041"/>
      <c r="G7958" s="1040" t="s">
        <v>904</v>
      </c>
      <c r="H7958" s="1041"/>
      <c r="I7958" s="1042"/>
      <c r="J7958" s="1035" t="s">
        <v>855</v>
      </c>
      <c r="K7958" s="389"/>
    </row>
    <row r="7959" spans="1:13" ht="26.25" thickBot="1">
      <c r="A7959" s="1048"/>
      <c r="B7959" s="1050"/>
      <c r="C7959" s="1050"/>
      <c r="D7959" s="285" t="s">
        <v>5505</v>
      </c>
      <c r="E7959" s="285" t="s">
        <v>4485</v>
      </c>
      <c r="F7959" s="285" t="s">
        <v>4486</v>
      </c>
      <c r="G7959" s="287" t="s">
        <v>4487</v>
      </c>
      <c r="H7959" s="285" t="s">
        <v>4488</v>
      </c>
      <c r="I7959" s="287" t="s">
        <v>4489</v>
      </c>
      <c r="J7959" s="1036"/>
      <c r="K7959" s="712"/>
    </row>
    <row r="7960" spans="1:13" ht="13.5" thickTop="1">
      <c r="A7960" s="88">
        <f>+A7957+1</f>
        <v>71</v>
      </c>
      <c r="B7960" s="69" t="s">
        <v>3550</v>
      </c>
      <c r="C7960" s="69">
        <v>8</v>
      </c>
      <c r="D7960" s="89">
        <v>0</v>
      </c>
      <c r="E7960" s="89">
        <v>0</v>
      </c>
      <c r="F7960" s="89">
        <v>0</v>
      </c>
      <c r="G7960" s="89">
        <v>0</v>
      </c>
      <c r="H7960" s="89">
        <v>0</v>
      </c>
      <c r="I7960" s="89">
        <v>0</v>
      </c>
      <c r="J7960" s="710">
        <f>(VLOOKUP($C7960,[2]Sheet1!$A$2:$P$18,$M7960+1)/12)*12*D7960</f>
        <v>0</v>
      </c>
      <c r="K7960" s="711"/>
      <c r="M7960" s="62">
        <f t="shared" si="637"/>
        <v>3</v>
      </c>
    </row>
    <row r="7961" spans="1:13">
      <c r="A7961" s="88">
        <f>+A7960+1</f>
        <v>72</v>
      </c>
      <c r="B7961" s="69" t="s">
        <v>2492</v>
      </c>
      <c r="C7961" s="69">
        <v>7</v>
      </c>
      <c r="D7961" s="89">
        <v>0</v>
      </c>
      <c r="E7961" s="89">
        <v>0</v>
      </c>
      <c r="F7961" s="89">
        <v>0</v>
      </c>
      <c r="G7961" s="89">
        <v>0</v>
      </c>
      <c r="H7961" s="89">
        <v>0</v>
      </c>
      <c r="I7961" s="89">
        <v>0</v>
      </c>
      <c r="J7961" s="710">
        <f>(VLOOKUP($C7961,[2]Sheet1!$A$2:$P$18,$M7961+1)/12)*12*D7961</f>
        <v>0</v>
      </c>
      <c r="K7961" s="711"/>
      <c r="M7961" s="62">
        <f t="shared" si="637"/>
        <v>3</v>
      </c>
    </row>
    <row r="7962" spans="1:13">
      <c r="A7962" s="88">
        <f t="shared" si="638"/>
        <v>73</v>
      </c>
      <c r="B7962" s="69" t="s">
        <v>1982</v>
      </c>
      <c r="C7962" s="69">
        <v>6</v>
      </c>
      <c r="D7962" s="89">
        <v>0</v>
      </c>
      <c r="E7962" s="89">
        <v>0</v>
      </c>
      <c r="F7962" s="89">
        <v>0</v>
      </c>
      <c r="G7962" s="89">
        <v>0</v>
      </c>
      <c r="H7962" s="89">
        <v>0</v>
      </c>
      <c r="I7962" s="89">
        <v>0</v>
      </c>
      <c r="J7962" s="710">
        <f>(VLOOKUP($C7962,[2]Sheet1!$A$2:$P$18,$M7962+1)/12)*12*D7962</f>
        <v>0</v>
      </c>
      <c r="K7962" s="711"/>
      <c r="M7962" s="62">
        <f t="shared" si="637"/>
        <v>5</v>
      </c>
    </row>
    <row r="7963" spans="1:13">
      <c r="A7963" s="88"/>
      <c r="B7963" s="90" t="s">
        <v>1851</v>
      </c>
      <c r="C7963" s="69"/>
      <c r="D7963" s="89"/>
      <c r="E7963" s="89"/>
      <c r="F7963" s="89"/>
      <c r="G7963" s="89"/>
      <c r="H7963" s="89"/>
      <c r="I7963" s="89"/>
      <c r="J7963" s="710"/>
      <c r="K7963" s="711"/>
      <c r="M7963" s="62">
        <f t="shared" ref="M7963:M7974" si="639">IF(C7963&gt;6,3,5)</f>
        <v>5</v>
      </c>
    </row>
    <row r="7964" spans="1:13">
      <c r="A7964" s="88">
        <f>+A7962+1</f>
        <v>74</v>
      </c>
      <c r="B7964" s="69" t="s">
        <v>3532</v>
      </c>
      <c r="C7964" s="69">
        <v>16</v>
      </c>
      <c r="D7964" s="89">
        <v>1</v>
      </c>
      <c r="E7964" s="89">
        <v>0</v>
      </c>
      <c r="F7964" s="89">
        <v>1</v>
      </c>
      <c r="G7964" s="89">
        <v>1</v>
      </c>
      <c r="H7964" s="89">
        <v>1</v>
      </c>
      <c r="I7964" s="89">
        <v>1</v>
      </c>
      <c r="J7964" s="710">
        <f>(VLOOKUP($C7964,[2]Sheet1!$A$2:$P$18,$M7964+1)/12)*12*D7964</f>
        <v>677281.26084</v>
      </c>
      <c r="K7964" s="711"/>
      <c r="M7964" s="62">
        <f t="shared" si="639"/>
        <v>3</v>
      </c>
    </row>
    <row r="7965" spans="1:13">
      <c r="A7965" s="88">
        <f t="shared" ref="A7965:A7974" si="640">+A7964+1</f>
        <v>75</v>
      </c>
      <c r="B7965" s="69" t="s">
        <v>1099</v>
      </c>
      <c r="C7965" s="69">
        <v>15</v>
      </c>
      <c r="D7965" s="89">
        <v>1</v>
      </c>
      <c r="E7965" s="89">
        <v>0</v>
      </c>
      <c r="F7965" s="89">
        <v>1</v>
      </c>
      <c r="G7965" s="89">
        <v>1</v>
      </c>
      <c r="H7965" s="89">
        <v>1</v>
      </c>
      <c r="I7965" s="89">
        <v>1</v>
      </c>
      <c r="J7965" s="710">
        <f>(VLOOKUP($C7965,[2]Sheet1!$A$2:$P$18,$M7965+1)/12)*12*D7965</f>
        <v>658331.89992</v>
      </c>
      <c r="K7965" s="711"/>
      <c r="M7965" s="62">
        <f t="shared" si="639"/>
        <v>3</v>
      </c>
    </row>
    <row r="7966" spans="1:13">
      <c r="A7966" s="88">
        <f t="shared" si="640"/>
        <v>76</v>
      </c>
      <c r="B7966" s="69" t="s">
        <v>3533</v>
      </c>
      <c r="C7966" s="69">
        <v>14</v>
      </c>
      <c r="D7966" s="89">
        <v>1</v>
      </c>
      <c r="E7966" s="89">
        <v>0</v>
      </c>
      <c r="F7966" s="89">
        <v>1</v>
      </c>
      <c r="G7966" s="89">
        <v>1</v>
      </c>
      <c r="H7966" s="89">
        <v>1</v>
      </c>
      <c r="I7966" s="89">
        <v>1</v>
      </c>
      <c r="J7966" s="710">
        <f>(VLOOKUP($C7966,[2]Sheet1!$A$2:$P$18,$M7966+1)/12)*12*D7966</f>
        <v>669099.40824000002</v>
      </c>
      <c r="K7966" s="711"/>
      <c r="M7966" s="62">
        <f t="shared" si="639"/>
        <v>3</v>
      </c>
    </row>
    <row r="7967" spans="1:13">
      <c r="A7967" s="88">
        <f t="shared" si="640"/>
        <v>77</v>
      </c>
      <c r="B7967" s="69" t="s">
        <v>236</v>
      </c>
      <c r="C7967" s="69">
        <v>13</v>
      </c>
      <c r="D7967" s="89">
        <v>1</v>
      </c>
      <c r="E7967" s="89">
        <v>0</v>
      </c>
      <c r="F7967" s="89">
        <v>1</v>
      </c>
      <c r="G7967" s="89">
        <v>1</v>
      </c>
      <c r="H7967" s="89">
        <v>1</v>
      </c>
      <c r="I7967" s="89">
        <v>1</v>
      </c>
      <c r="J7967" s="710">
        <f>(VLOOKUP($C7967,[2]Sheet1!$A$2:$P$18,$M7967+1)/12)*12*D7967</f>
        <v>628759.53804000001</v>
      </c>
      <c r="K7967" s="711"/>
      <c r="M7967" s="62">
        <f t="shared" si="639"/>
        <v>3</v>
      </c>
    </row>
    <row r="7968" spans="1:13">
      <c r="A7968" s="88">
        <f t="shared" si="640"/>
        <v>78</v>
      </c>
      <c r="B7968" s="69" t="s">
        <v>1008</v>
      </c>
      <c r="C7968" s="69">
        <v>12</v>
      </c>
      <c r="D7968" s="89">
        <v>1</v>
      </c>
      <c r="E7968" s="89">
        <v>0</v>
      </c>
      <c r="F7968" s="89">
        <v>1</v>
      </c>
      <c r="G7968" s="89">
        <v>1</v>
      </c>
      <c r="H7968" s="89">
        <v>1</v>
      </c>
      <c r="I7968" s="89">
        <v>1</v>
      </c>
      <c r="J7968" s="710">
        <f>(VLOOKUP($C7968,[2]Sheet1!$A$2:$P$18,$M7968+1)/12)*12*D7968</f>
        <v>552685.0537200002</v>
      </c>
      <c r="K7968" s="711"/>
      <c r="M7968" s="62">
        <f t="shared" si="639"/>
        <v>3</v>
      </c>
    </row>
    <row r="7969" spans="1:13">
      <c r="A7969" s="88">
        <f t="shared" si="640"/>
        <v>79</v>
      </c>
      <c r="B7969" s="69" t="s">
        <v>1456</v>
      </c>
      <c r="C7969" s="69">
        <v>10</v>
      </c>
      <c r="D7969" s="89">
        <v>2</v>
      </c>
      <c r="E7969" s="89">
        <v>0</v>
      </c>
      <c r="F7969" s="89">
        <v>2</v>
      </c>
      <c r="G7969" s="89">
        <v>2</v>
      </c>
      <c r="H7969" s="89">
        <v>2</v>
      </c>
      <c r="I7969" s="89">
        <v>2</v>
      </c>
      <c r="J7969" s="710">
        <f>(VLOOKUP($C7969,[2]Sheet1!$A$2:$P$18,$M7969+1)/12)*12*D7969</f>
        <v>967949.1374400002</v>
      </c>
      <c r="K7969" s="711"/>
      <c r="M7969" s="62">
        <f t="shared" si="639"/>
        <v>3</v>
      </c>
    </row>
    <row r="7970" spans="1:13">
      <c r="A7970" s="88">
        <f t="shared" si="640"/>
        <v>80</v>
      </c>
      <c r="B7970" s="69" t="s">
        <v>4049</v>
      </c>
      <c r="C7970" s="69">
        <v>9</v>
      </c>
      <c r="D7970" s="89">
        <v>2</v>
      </c>
      <c r="E7970" s="89">
        <v>0</v>
      </c>
      <c r="F7970" s="89">
        <v>2</v>
      </c>
      <c r="G7970" s="89">
        <v>2</v>
      </c>
      <c r="H7970" s="89">
        <v>2</v>
      </c>
      <c r="I7970" s="89">
        <v>2</v>
      </c>
      <c r="J7970" s="710">
        <f>(VLOOKUP($C7970,[2]Sheet1!$A$2:$P$18,$M7970+1)/12)*12*D7970</f>
        <v>819363.81239999994</v>
      </c>
      <c r="K7970" s="711"/>
      <c r="M7970" s="62">
        <f t="shared" si="639"/>
        <v>3</v>
      </c>
    </row>
    <row r="7971" spans="1:13">
      <c r="A7971" s="88">
        <f t="shared" si="640"/>
        <v>81</v>
      </c>
      <c r="B7971" s="69" t="s">
        <v>3550</v>
      </c>
      <c r="C7971" s="69">
        <v>8</v>
      </c>
      <c r="D7971" s="89">
        <v>2</v>
      </c>
      <c r="E7971" s="89">
        <v>0</v>
      </c>
      <c r="F7971" s="89">
        <v>2</v>
      </c>
      <c r="G7971" s="89">
        <v>2</v>
      </c>
      <c r="H7971" s="89">
        <v>2</v>
      </c>
      <c r="I7971" s="89">
        <v>2</v>
      </c>
      <c r="J7971" s="710">
        <f>(VLOOKUP($C7971,[2]Sheet1!$A$2:$P$18,$M7971+1)/12)*12*D7971</f>
        <v>684282.54816000001</v>
      </c>
      <c r="K7971" s="711"/>
      <c r="M7971" s="62">
        <f t="shared" si="639"/>
        <v>3</v>
      </c>
    </row>
    <row r="7972" spans="1:13">
      <c r="A7972" s="88">
        <f t="shared" si="640"/>
        <v>82</v>
      </c>
      <c r="B7972" s="69" t="s">
        <v>2492</v>
      </c>
      <c r="C7972" s="69">
        <v>7</v>
      </c>
      <c r="D7972" s="89">
        <v>2</v>
      </c>
      <c r="E7972" s="89">
        <v>1</v>
      </c>
      <c r="F7972" s="89">
        <v>2</v>
      </c>
      <c r="G7972" s="89">
        <v>2</v>
      </c>
      <c r="H7972" s="89">
        <v>2</v>
      </c>
      <c r="I7972" s="89">
        <v>2</v>
      </c>
      <c r="J7972" s="710">
        <f>(VLOOKUP($C7972,[2]Sheet1!$A$2:$P$18,$M7972+1)/12)*12*D7972</f>
        <v>615413.40480000013</v>
      </c>
      <c r="K7972" s="711"/>
      <c r="M7972" s="62">
        <f t="shared" si="639"/>
        <v>3</v>
      </c>
    </row>
    <row r="7973" spans="1:13">
      <c r="A7973" s="88">
        <f t="shared" si="640"/>
        <v>83</v>
      </c>
      <c r="B7973" s="69" t="s">
        <v>1982</v>
      </c>
      <c r="C7973" s="69">
        <v>6</v>
      </c>
      <c r="D7973" s="89">
        <v>1</v>
      </c>
      <c r="E7973" s="89">
        <v>0</v>
      </c>
      <c r="F7973" s="89">
        <v>1</v>
      </c>
      <c r="G7973" s="89">
        <v>1</v>
      </c>
      <c r="H7973" s="89">
        <v>1</v>
      </c>
      <c r="I7973" s="89">
        <v>1</v>
      </c>
      <c r="J7973" s="710">
        <f>(VLOOKUP($C7973,[2]Sheet1!$A$2:$P$18,$M7973+1)/12)*12*D7973</f>
        <v>238099.37893036497</v>
      </c>
      <c r="K7973" s="711"/>
      <c r="M7973" s="62">
        <f t="shared" si="639"/>
        <v>5</v>
      </c>
    </row>
    <row r="7974" spans="1:13">
      <c r="A7974" s="88">
        <f t="shared" si="640"/>
        <v>84</v>
      </c>
      <c r="B7974" s="69" t="s">
        <v>2360</v>
      </c>
      <c r="C7974" s="69">
        <v>4</v>
      </c>
      <c r="D7974" s="89">
        <v>1</v>
      </c>
      <c r="E7974" s="89">
        <v>0</v>
      </c>
      <c r="F7974" s="89">
        <v>1</v>
      </c>
      <c r="G7974" s="89">
        <v>1</v>
      </c>
      <c r="H7974" s="89">
        <v>1</v>
      </c>
      <c r="I7974" s="89">
        <v>1</v>
      </c>
      <c r="J7974" s="710">
        <f>(VLOOKUP($C7974,[2]Sheet1!$A$2:$P$18,$M7974+1)/12)*12*D7974</f>
        <v>224542.978930365</v>
      </c>
      <c r="K7974" s="711"/>
      <c r="M7974" s="62">
        <f t="shared" si="639"/>
        <v>5</v>
      </c>
    </row>
    <row r="7975" spans="1:13">
      <c r="A7975" s="267"/>
      <c r="B7975" s="267"/>
      <c r="C7975" s="267">
        <f>SUM(C7881:C7974)</f>
        <v>803</v>
      </c>
      <c r="D7975" s="267">
        <f t="shared" ref="D7975:I7975" si="641">SUM(D7881:D7974)</f>
        <v>127</v>
      </c>
      <c r="E7975" s="267">
        <f t="shared" si="641"/>
        <v>106</v>
      </c>
      <c r="F7975" s="267">
        <f t="shared" si="641"/>
        <v>124</v>
      </c>
      <c r="G7975" s="267">
        <f>SUM(G7881:G7974)</f>
        <v>124</v>
      </c>
      <c r="H7975" s="267">
        <f t="shared" si="641"/>
        <v>124</v>
      </c>
      <c r="I7975" s="267">
        <f t="shared" si="641"/>
        <v>127</v>
      </c>
      <c r="J7975" s="267">
        <f>SUM(J7881:J7974)</f>
        <v>48455281.739016034</v>
      </c>
      <c r="K7975" s="388"/>
      <c r="M7975" s="62">
        <f t="shared" si="637"/>
        <v>3</v>
      </c>
    </row>
    <row r="7976" spans="1:13">
      <c r="A7976" s="88" t="s">
        <v>1840</v>
      </c>
      <c r="B7976" s="97" t="s">
        <v>1199</v>
      </c>
      <c r="C7976" s="69"/>
      <c r="D7976" s="89"/>
      <c r="E7976" s="89"/>
      <c r="F7976" s="99"/>
      <c r="G7976" s="240" t="s">
        <v>243</v>
      </c>
      <c r="H7976" s="240" t="s">
        <v>4130</v>
      </c>
      <c r="I7976" s="240" t="s">
        <v>4202</v>
      </c>
      <c r="J7976" s="241" t="s">
        <v>4200</v>
      </c>
      <c r="K7976" s="375"/>
      <c r="M7976" s="62">
        <f t="shared" si="637"/>
        <v>5</v>
      </c>
    </row>
    <row r="7977" spans="1:13">
      <c r="A7977" s="88">
        <v>1</v>
      </c>
      <c r="B7977" s="69" t="s">
        <v>4035</v>
      </c>
      <c r="C7977" s="69"/>
      <c r="D7977" s="89"/>
      <c r="E7977" s="89"/>
      <c r="F7977" s="89"/>
      <c r="G7977" s="100">
        <f>J7975*0.2</f>
        <v>9691056.3478032071</v>
      </c>
      <c r="H7977" s="100">
        <f>G7977*1.02</f>
        <v>9884877.4747592714</v>
      </c>
      <c r="I7977" s="100">
        <f>H7977*1.02</f>
        <v>10082575.024254456</v>
      </c>
      <c r="J7977" s="100">
        <f>SUM(G7977:I7977)</f>
        <v>29658508.846816935</v>
      </c>
      <c r="K7977" s="114"/>
      <c r="M7977" s="62">
        <f t="shared" si="637"/>
        <v>5</v>
      </c>
    </row>
    <row r="7978" spans="1:13">
      <c r="A7978" s="88">
        <f>+A7977+1</f>
        <v>2</v>
      </c>
      <c r="B7978" s="69" t="s">
        <v>1040</v>
      </c>
      <c r="C7978" s="69"/>
      <c r="D7978" s="89"/>
      <c r="E7978" s="89"/>
      <c r="F7978" s="89"/>
      <c r="G7978" s="100">
        <f>G7977/12</f>
        <v>807588.02898360055</v>
      </c>
      <c r="H7978" s="100">
        <f>G7978*1.02</f>
        <v>823739.78956327261</v>
      </c>
      <c r="I7978" s="100">
        <f>H7978*1.02</f>
        <v>840214.58535453805</v>
      </c>
      <c r="J7978" s="100">
        <f>SUM(G7978:I7978)</f>
        <v>2471542.4039014112</v>
      </c>
      <c r="K7978" s="114"/>
      <c r="M7978" s="62">
        <f t="shared" si="637"/>
        <v>5</v>
      </c>
    </row>
    <row r="7979" spans="1:13">
      <c r="A7979" s="92"/>
      <c r="B7979" s="93" t="s">
        <v>2120</v>
      </c>
      <c r="C7979" s="94"/>
      <c r="D7979" s="101"/>
      <c r="E7979" s="101"/>
      <c r="F7979" s="123"/>
      <c r="G7979" s="123">
        <f>SUM(G7977:G7978)</f>
        <v>10498644.376786808</v>
      </c>
      <c r="H7979" s="123">
        <f>SUM(H7977:H7978)</f>
        <v>10708617.264322544</v>
      </c>
      <c r="I7979" s="123">
        <f>SUM(I7977:I7978)</f>
        <v>10922789.609608995</v>
      </c>
      <c r="J7979" s="123">
        <f>SUM(J7977:J7978)</f>
        <v>32130051.250718348</v>
      </c>
      <c r="K7979" s="378"/>
      <c r="M7979" s="62">
        <f t="shared" ref="M7979:M8042" si="642">IF(C7979&gt;6,3,5)</f>
        <v>5</v>
      </c>
    </row>
    <row r="7980" spans="1:13">
      <c r="A7980" s="88"/>
      <c r="B7980" s="69"/>
      <c r="C7980" s="69"/>
      <c r="D7980" s="89"/>
      <c r="E7980" s="89"/>
      <c r="F7980" s="89"/>
      <c r="G7980" s="89"/>
      <c r="H7980" s="89"/>
      <c r="I7980" s="89"/>
      <c r="J7980" s="89"/>
      <c r="K7980" s="114"/>
      <c r="M7980" s="62">
        <f t="shared" si="642"/>
        <v>5</v>
      </c>
    </row>
    <row r="7981" spans="1:13">
      <c r="A7981" s="88"/>
      <c r="B7981" s="69" t="s">
        <v>1119</v>
      </c>
      <c r="C7981" s="69"/>
      <c r="D7981" s="89"/>
      <c r="E7981" s="89"/>
      <c r="F7981" s="89"/>
      <c r="G7981" s="100">
        <f>G7979+J7975</f>
        <v>58953926.115802839</v>
      </c>
      <c r="H7981" s="100">
        <f>G7981*1.02</f>
        <v>60133004.6381189</v>
      </c>
      <c r="I7981" s="100">
        <f>H7981*1.02</f>
        <v>61335664.730881281</v>
      </c>
      <c r="J7981" s="100">
        <f>SUM(G7981:I7981)</f>
        <v>180422595.48480302</v>
      </c>
      <c r="K7981" s="114"/>
      <c r="L7981" s="112"/>
      <c r="M7981" s="62">
        <f t="shared" si="642"/>
        <v>5</v>
      </c>
    </row>
    <row r="7982" spans="1:13">
      <c r="A7982" s="88"/>
      <c r="B7982" s="69" t="s">
        <v>3944</v>
      </c>
      <c r="C7982" s="69"/>
      <c r="D7982" s="89"/>
      <c r="E7982" s="89"/>
      <c r="F7982" s="89"/>
      <c r="G7982" s="89">
        <f>C8015</f>
        <v>110000000</v>
      </c>
      <c r="H7982" s="89">
        <f>D8015</f>
        <v>108500000</v>
      </c>
      <c r="I7982" s="89">
        <f>E8015</f>
        <v>108500000</v>
      </c>
      <c r="J7982" s="100">
        <f>SUM(G7982:I7982)</f>
        <v>327000000</v>
      </c>
      <c r="K7982" s="114"/>
      <c r="M7982" s="62">
        <f t="shared" si="642"/>
        <v>5</v>
      </c>
    </row>
    <row r="7983" spans="1:13">
      <c r="A7983" s="88"/>
      <c r="B7983" s="69"/>
      <c r="C7983" s="69"/>
      <c r="D7983" s="89"/>
      <c r="E7983" s="89"/>
      <c r="F7983" s="89"/>
      <c r="G7983" s="89"/>
      <c r="H7983" s="89"/>
      <c r="I7983" s="89"/>
      <c r="J7983" s="89"/>
      <c r="K7983" s="114"/>
      <c r="M7983" s="62">
        <f t="shared" si="642"/>
        <v>5</v>
      </c>
    </row>
    <row r="7984" spans="1:13">
      <c r="A7984" s="92"/>
      <c r="B7984" s="93" t="s">
        <v>2843</v>
      </c>
      <c r="C7984" s="94"/>
      <c r="D7984" s="101"/>
      <c r="E7984" s="101"/>
      <c r="F7984" s="123"/>
      <c r="G7984" s="123">
        <f>SUM(G7981:G7982)</f>
        <v>168953926.11580282</v>
      </c>
      <c r="H7984" s="123">
        <f>SUM(H7981:H7982)</f>
        <v>168633004.63811889</v>
      </c>
      <c r="I7984" s="123">
        <f>SUM(I7981:I7982)</f>
        <v>169835664.73088127</v>
      </c>
      <c r="J7984" s="123">
        <f>SUM(J7981:J7982)</f>
        <v>507422595.48480302</v>
      </c>
      <c r="K7984" s="378"/>
      <c r="M7984" s="62">
        <f t="shared" si="642"/>
        <v>5</v>
      </c>
    </row>
    <row r="7985" spans="1:13">
      <c r="J7985" s="76"/>
      <c r="K7985" s="76"/>
      <c r="M7985" s="62">
        <f t="shared" si="642"/>
        <v>5</v>
      </c>
    </row>
    <row r="7986" spans="1:13" ht="15">
      <c r="C7986" s="77"/>
      <c r="D7986" s="78" t="s">
        <v>5434</v>
      </c>
      <c r="J7986" s="584"/>
      <c r="K7986" s="584"/>
      <c r="M7986" s="62">
        <f t="shared" si="642"/>
        <v>5</v>
      </c>
    </row>
    <row r="7987" spans="1:13" ht="15">
      <c r="C7987" s="77"/>
      <c r="D7987" s="78" t="s">
        <v>716</v>
      </c>
      <c r="J7987" s="584"/>
      <c r="K7987" s="584"/>
      <c r="M7987" s="62">
        <f t="shared" si="642"/>
        <v>5</v>
      </c>
    </row>
    <row r="7988" spans="1:13" ht="15">
      <c r="C7988" s="79" t="s">
        <v>717</v>
      </c>
      <c r="D7988" s="78" t="s">
        <v>313</v>
      </c>
      <c r="J7988" s="584"/>
      <c r="K7988" s="584"/>
      <c r="M7988" s="62">
        <f t="shared" si="642"/>
        <v>3</v>
      </c>
    </row>
    <row r="7989" spans="1:13" ht="15">
      <c r="C7989" s="79" t="s">
        <v>718</v>
      </c>
      <c r="D7989" s="78">
        <v>428</v>
      </c>
      <c r="J7989" s="584"/>
      <c r="K7989" s="584"/>
      <c r="M7989" s="62">
        <f t="shared" si="642"/>
        <v>3</v>
      </c>
    </row>
    <row r="7990" spans="1:13" ht="15">
      <c r="A7990" s="634" t="s">
        <v>1839</v>
      </c>
      <c r="B7990" s="635" t="s">
        <v>903</v>
      </c>
      <c r="C7990" s="1037" t="s">
        <v>4127</v>
      </c>
      <c r="D7990" s="1038"/>
      <c r="E7990" s="1039"/>
      <c r="F7990" s="635" t="s">
        <v>1684</v>
      </c>
      <c r="G7990" s="1037" t="s">
        <v>4132</v>
      </c>
      <c r="H7990" s="1038"/>
      <c r="I7990" s="1039"/>
      <c r="J7990" s="726"/>
      <c r="K7990" s="727"/>
    </row>
    <row r="7991" spans="1:13">
      <c r="A7991" s="636" t="s">
        <v>1620</v>
      </c>
      <c r="B7991" s="637"/>
      <c r="C7991" s="635" t="s">
        <v>1841</v>
      </c>
      <c r="D7991" s="635" t="s">
        <v>4133</v>
      </c>
      <c r="E7991" s="635" t="s">
        <v>4133</v>
      </c>
      <c r="F7991" s="1056" t="s">
        <v>4200</v>
      </c>
      <c r="G7991" s="634" t="s">
        <v>4135</v>
      </c>
      <c r="H7991" s="1051" t="s">
        <v>4182</v>
      </c>
      <c r="I7991" s="634" t="s">
        <v>4135</v>
      </c>
      <c r="J7991" s="728" t="s">
        <v>4136</v>
      </c>
      <c r="K7991" s="727"/>
    </row>
    <row r="7992" spans="1:13" ht="12.75" customHeight="1">
      <c r="A7992" s="638" t="s">
        <v>387</v>
      </c>
      <c r="B7992" s="639"/>
      <c r="C7992" s="638">
        <v>2015</v>
      </c>
      <c r="D7992" s="638">
        <v>2016</v>
      </c>
      <c r="E7992" s="638">
        <v>2017</v>
      </c>
      <c r="F7992" s="1057"/>
      <c r="G7992" s="638" t="s">
        <v>4304</v>
      </c>
      <c r="H7992" s="1052"/>
      <c r="I7992" s="638" t="s">
        <v>4303</v>
      </c>
      <c r="J7992" s="639"/>
      <c r="K7992" s="729"/>
    </row>
    <row r="7993" spans="1:13">
      <c r="A7993" s="768"/>
      <c r="B7993" s="768"/>
      <c r="C7993" s="774"/>
      <c r="D7993" s="774"/>
      <c r="E7993" s="774"/>
      <c r="F7993" s="774"/>
      <c r="G7993" s="774"/>
      <c r="H7993" s="774"/>
      <c r="I7993" s="774"/>
      <c r="J7993" s="774"/>
      <c r="K7993" s="776"/>
      <c r="M7993" s="62" t="e">
        <f>IF(#REF!&gt;6,3,5)</f>
        <v>#REF!</v>
      </c>
    </row>
    <row r="7994" spans="1:13">
      <c r="A7994" s="768">
        <v>2</v>
      </c>
      <c r="B7994" s="768" t="s">
        <v>1695</v>
      </c>
      <c r="C7994" s="774">
        <v>3000000</v>
      </c>
      <c r="D7994" s="774">
        <v>3000000</v>
      </c>
      <c r="E7994" s="774">
        <v>3000000</v>
      </c>
      <c r="F7994" s="774">
        <f>SUM(C7994:E7994)</f>
        <v>9000000</v>
      </c>
      <c r="G7994" s="774"/>
      <c r="H7994" s="774">
        <v>3000000</v>
      </c>
      <c r="I7994" s="774">
        <v>1796000</v>
      </c>
      <c r="J7994" s="774"/>
      <c r="K7994" s="776"/>
      <c r="M7994" s="62" t="e">
        <f>IF(#REF!&gt;6,3,5)</f>
        <v>#REF!</v>
      </c>
    </row>
    <row r="7995" spans="1:13">
      <c r="A7995" s="768">
        <f t="shared" ref="A7995:A8010" si="643">+A7994+1</f>
        <v>3</v>
      </c>
      <c r="B7995" s="768" t="s">
        <v>1696</v>
      </c>
      <c r="C7995" s="774">
        <v>500000</v>
      </c>
      <c r="D7995" s="774">
        <v>500000</v>
      </c>
      <c r="E7995" s="774">
        <v>500000</v>
      </c>
      <c r="F7995" s="774">
        <f t="shared" ref="F7995:F8010" si="644">SUM(C7995:E7995)</f>
        <v>1500000</v>
      </c>
      <c r="G7995" s="774"/>
      <c r="H7995" s="774">
        <v>500000</v>
      </c>
      <c r="I7995" s="774">
        <v>215500</v>
      </c>
      <c r="J7995" s="774"/>
      <c r="K7995" s="776"/>
      <c r="M7995" s="62" t="e">
        <f>IF(#REF!&gt;6,3,5)</f>
        <v>#REF!</v>
      </c>
    </row>
    <row r="7996" spans="1:13">
      <c r="A7996" s="768">
        <f t="shared" si="643"/>
        <v>4</v>
      </c>
      <c r="B7996" s="768" t="s">
        <v>1701</v>
      </c>
      <c r="C7996" s="774" t="s">
        <v>3007</v>
      </c>
      <c r="D7996" s="774" t="s">
        <v>3007</v>
      </c>
      <c r="E7996" s="774" t="s">
        <v>3007</v>
      </c>
      <c r="F7996" s="774">
        <f t="shared" si="644"/>
        <v>0</v>
      </c>
      <c r="G7996" s="774"/>
      <c r="H7996" s="774" t="s">
        <v>3007</v>
      </c>
      <c r="I7996" s="774"/>
      <c r="J7996" s="774"/>
      <c r="K7996" s="776"/>
      <c r="M7996" s="62" t="e">
        <f>IF(#REF!&gt;6,3,5)</f>
        <v>#REF!</v>
      </c>
    </row>
    <row r="7997" spans="1:13">
      <c r="A7997" s="768">
        <f t="shared" si="643"/>
        <v>5</v>
      </c>
      <c r="B7997" s="768" t="s">
        <v>1702</v>
      </c>
      <c r="C7997" s="774">
        <v>1000000</v>
      </c>
      <c r="D7997" s="774">
        <v>1000000</v>
      </c>
      <c r="E7997" s="774">
        <v>1000000</v>
      </c>
      <c r="F7997" s="774">
        <f t="shared" si="644"/>
        <v>3000000</v>
      </c>
      <c r="G7997" s="774"/>
      <c r="H7997" s="774">
        <v>1000000</v>
      </c>
      <c r="I7997" s="774">
        <v>568000</v>
      </c>
      <c r="J7997" s="774"/>
      <c r="K7997" s="776"/>
      <c r="M7997" s="62" t="e">
        <f>IF(#REF!&gt;6,3,5)</f>
        <v>#REF!</v>
      </c>
    </row>
    <row r="7998" spans="1:13">
      <c r="A7998" s="768">
        <f t="shared" si="643"/>
        <v>6</v>
      </c>
      <c r="B7998" s="768" t="s">
        <v>1503</v>
      </c>
      <c r="C7998" s="774">
        <v>1000000</v>
      </c>
      <c r="D7998" s="774">
        <v>1000000</v>
      </c>
      <c r="E7998" s="774">
        <v>1000000</v>
      </c>
      <c r="F7998" s="774">
        <f t="shared" si="644"/>
        <v>3000000</v>
      </c>
      <c r="G7998" s="774"/>
      <c r="H7998" s="774">
        <v>1000000</v>
      </c>
      <c r="I7998" s="774">
        <v>639000</v>
      </c>
      <c r="J7998" s="774"/>
      <c r="K7998" s="776"/>
      <c r="M7998" s="62" t="e">
        <f>IF(#REF!&gt;6,3,5)</f>
        <v>#REF!</v>
      </c>
    </row>
    <row r="7999" spans="1:13">
      <c r="A7999" s="768">
        <f t="shared" si="643"/>
        <v>7</v>
      </c>
      <c r="B7999" s="768" t="s">
        <v>3680</v>
      </c>
      <c r="C7999" s="774">
        <v>1800000</v>
      </c>
      <c r="D7999" s="774">
        <v>1800000</v>
      </c>
      <c r="E7999" s="774">
        <v>1800000</v>
      </c>
      <c r="F7999" s="774">
        <f t="shared" si="644"/>
        <v>5400000</v>
      </c>
      <c r="G7999" s="774"/>
      <c r="H7999" s="774">
        <v>1800000</v>
      </c>
      <c r="I7999" s="774">
        <v>869500</v>
      </c>
      <c r="J7999" s="774"/>
      <c r="K7999" s="776"/>
      <c r="M7999" s="62" t="e">
        <f>IF(#REF!&gt;6,3,5)</f>
        <v>#REF!</v>
      </c>
    </row>
    <row r="8000" spans="1:13">
      <c r="A8000" s="768">
        <f t="shared" si="643"/>
        <v>8</v>
      </c>
      <c r="B8000" s="768" t="s">
        <v>1719</v>
      </c>
      <c r="C8000" s="774" t="s">
        <v>3007</v>
      </c>
      <c r="D8000" s="774" t="s">
        <v>3007</v>
      </c>
      <c r="E8000" s="774" t="s">
        <v>3007</v>
      </c>
      <c r="F8000" s="774">
        <f t="shared" si="644"/>
        <v>0</v>
      </c>
      <c r="G8000" s="774"/>
      <c r="H8000" s="774" t="s">
        <v>3007</v>
      </c>
      <c r="I8000" s="774"/>
      <c r="J8000" s="774"/>
      <c r="K8000" s="776"/>
      <c r="M8000" s="62" t="e">
        <f>IF(#REF!&gt;6,3,5)</f>
        <v>#REF!</v>
      </c>
    </row>
    <row r="8001" spans="1:13">
      <c r="A8001" s="768">
        <f t="shared" si="643"/>
        <v>9</v>
      </c>
      <c r="B8001" s="768" t="s">
        <v>2061</v>
      </c>
      <c r="C8001" s="774" t="s">
        <v>3007</v>
      </c>
      <c r="D8001" s="774" t="s">
        <v>3007</v>
      </c>
      <c r="E8001" s="774" t="s">
        <v>3007</v>
      </c>
      <c r="F8001" s="774">
        <f t="shared" si="644"/>
        <v>0</v>
      </c>
      <c r="G8001" s="774"/>
      <c r="H8001" s="774" t="s">
        <v>3007</v>
      </c>
      <c r="I8001" s="774"/>
      <c r="J8001" s="774"/>
      <c r="K8001" s="776"/>
      <c r="M8001" s="62" t="e">
        <f>IF(#REF!&gt;6,3,5)</f>
        <v>#REF!</v>
      </c>
    </row>
    <row r="8002" spans="1:13">
      <c r="A8002" s="768">
        <f t="shared" si="643"/>
        <v>10</v>
      </c>
      <c r="B8002" s="768" t="s">
        <v>2685</v>
      </c>
      <c r="C8002" s="774">
        <v>5000000</v>
      </c>
      <c r="D8002" s="774">
        <v>3500000</v>
      </c>
      <c r="E8002" s="774">
        <v>3500000</v>
      </c>
      <c r="F8002" s="774">
        <f t="shared" si="644"/>
        <v>12000000</v>
      </c>
      <c r="G8002" s="774"/>
      <c r="H8002" s="774">
        <v>3500000</v>
      </c>
      <c r="I8002" s="774">
        <v>1970000</v>
      </c>
      <c r="J8002" s="774"/>
      <c r="K8002" s="776"/>
      <c r="M8002" s="62" t="e">
        <f>IF(#REF!&gt;6,3,5)</f>
        <v>#REF!</v>
      </c>
    </row>
    <row r="8003" spans="1:13">
      <c r="A8003" s="768">
        <f t="shared" si="643"/>
        <v>11</v>
      </c>
      <c r="B8003" s="768" t="s">
        <v>764</v>
      </c>
      <c r="C8003" s="774">
        <v>100000</v>
      </c>
      <c r="D8003" s="774">
        <v>100000</v>
      </c>
      <c r="E8003" s="774">
        <v>100000</v>
      </c>
      <c r="F8003" s="774">
        <f t="shared" si="644"/>
        <v>300000</v>
      </c>
      <c r="G8003" s="774"/>
      <c r="H8003" s="774">
        <v>100000</v>
      </c>
      <c r="I8003" s="774">
        <v>58600</v>
      </c>
      <c r="J8003" s="774"/>
      <c r="K8003" s="776"/>
      <c r="M8003" s="62" t="e">
        <f>IF(#REF!&gt;6,3,5)</f>
        <v>#REF!</v>
      </c>
    </row>
    <row r="8004" spans="1:13">
      <c r="A8004" s="768">
        <f t="shared" si="643"/>
        <v>12</v>
      </c>
      <c r="B8004" s="768" t="s">
        <v>2688</v>
      </c>
      <c r="C8004" s="774">
        <v>4500000</v>
      </c>
      <c r="D8004" s="774">
        <v>4500000</v>
      </c>
      <c r="E8004" s="774">
        <v>4500000</v>
      </c>
      <c r="F8004" s="774">
        <f t="shared" si="644"/>
        <v>13500000</v>
      </c>
      <c r="G8004" s="774"/>
      <c r="H8004" s="774">
        <v>4500000</v>
      </c>
      <c r="I8004" s="774">
        <v>2400000</v>
      </c>
      <c r="J8004" s="774"/>
      <c r="K8004" s="776"/>
      <c r="M8004" s="62" t="e">
        <f>IF(#REF!&gt;6,3,5)</f>
        <v>#REF!</v>
      </c>
    </row>
    <row r="8005" spans="1:13">
      <c r="A8005" s="768">
        <f t="shared" si="643"/>
        <v>13</v>
      </c>
      <c r="B8005" s="768" t="s">
        <v>2249</v>
      </c>
      <c r="C8005" s="390">
        <v>100000</v>
      </c>
      <c r="D8005" s="390">
        <v>100000</v>
      </c>
      <c r="E8005" s="390">
        <v>100000</v>
      </c>
      <c r="F8005" s="774">
        <f t="shared" si="644"/>
        <v>300000</v>
      </c>
      <c r="G8005" s="390"/>
      <c r="H8005" s="390">
        <v>100000</v>
      </c>
      <c r="I8005" s="390">
        <v>45500</v>
      </c>
      <c r="J8005" s="774"/>
      <c r="K8005" s="776"/>
      <c r="M8005" s="62" t="e">
        <f>IF(#REF!&gt;6,3,5)</f>
        <v>#REF!</v>
      </c>
    </row>
    <row r="8006" spans="1:13">
      <c r="A8006" s="768">
        <f t="shared" si="643"/>
        <v>14</v>
      </c>
      <c r="B8006" s="768" t="s">
        <v>2639</v>
      </c>
      <c r="C8006" s="390">
        <v>2000000</v>
      </c>
      <c r="D8006" s="390">
        <v>2300000</v>
      </c>
      <c r="E8006" s="390">
        <v>2300000</v>
      </c>
      <c r="F8006" s="774">
        <f t="shared" si="644"/>
        <v>6600000</v>
      </c>
      <c r="G8006" s="390"/>
      <c r="H8006" s="390">
        <v>2300000</v>
      </c>
      <c r="I8006" s="390">
        <v>1865000</v>
      </c>
      <c r="J8006" s="774"/>
      <c r="K8006" s="776"/>
      <c r="M8006" s="62" t="e">
        <f>IF(#REF!&gt;6,3,5)</f>
        <v>#REF!</v>
      </c>
    </row>
    <row r="8007" spans="1:13">
      <c r="A8007" s="768">
        <f t="shared" si="643"/>
        <v>15</v>
      </c>
      <c r="B8007" s="768" t="s">
        <v>2246</v>
      </c>
      <c r="C8007" s="774">
        <v>1000000</v>
      </c>
      <c r="D8007" s="774">
        <v>700000</v>
      </c>
      <c r="E8007" s="774">
        <v>700000</v>
      </c>
      <c r="F8007" s="774">
        <f t="shared" si="644"/>
        <v>2400000</v>
      </c>
      <c r="G8007" s="774"/>
      <c r="H8007" s="774">
        <v>700000</v>
      </c>
      <c r="I8007" s="774">
        <v>327000</v>
      </c>
      <c r="J8007" s="774"/>
      <c r="K8007" s="776"/>
      <c r="M8007" s="62" t="e">
        <f>IF(#REF!&gt;6,3,5)</f>
        <v>#REF!</v>
      </c>
    </row>
    <row r="8008" spans="1:13">
      <c r="A8008" s="768">
        <f t="shared" si="643"/>
        <v>16</v>
      </c>
      <c r="B8008" s="768" t="s">
        <v>1988</v>
      </c>
      <c r="C8008" s="774">
        <v>80000000</v>
      </c>
      <c r="D8008" s="774">
        <v>90000000</v>
      </c>
      <c r="E8008" s="774">
        <v>90000000</v>
      </c>
      <c r="F8008" s="774">
        <f t="shared" si="644"/>
        <v>260000000</v>
      </c>
      <c r="G8008" s="774"/>
      <c r="H8008" s="774">
        <v>90000000</v>
      </c>
      <c r="I8008" s="774"/>
      <c r="J8008" s="774"/>
      <c r="K8008" s="776"/>
      <c r="M8008" s="62" t="e">
        <f>IF(#REF!&gt;6,3,5)</f>
        <v>#REF!</v>
      </c>
    </row>
    <row r="8009" spans="1:13" ht="25.5">
      <c r="A8009" s="768">
        <f t="shared" si="643"/>
        <v>17</v>
      </c>
      <c r="B8009" s="773" t="s">
        <v>2088</v>
      </c>
      <c r="C8009" s="774">
        <v>5000000</v>
      </c>
      <c r="D8009" s="774" t="s">
        <v>3007</v>
      </c>
      <c r="E8009" s="774" t="s">
        <v>3007</v>
      </c>
      <c r="F8009" s="774">
        <f t="shared" si="644"/>
        <v>5000000</v>
      </c>
      <c r="G8009" s="774"/>
      <c r="H8009" s="774" t="s">
        <v>3007</v>
      </c>
      <c r="I8009" s="774"/>
      <c r="J8009" s="774"/>
      <c r="K8009" s="776"/>
      <c r="M8009" s="62" t="e">
        <f>IF(#REF!&gt;6,3,5)</f>
        <v>#REF!</v>
      </c>
    </row>
    <row r="8010" spans="1:13">
      <c r="A8010" s="768">
        <f t="shared" si="643"/>
        <v>18</v>
      </c>
      <c r="B8010" s="768" t="s">
        <v>3525</v>
      </c>
      <c r="C8010" s="774">
        <v>5000000</v>
      </c>
      <c r="D8010" s="774" t="s">
        <v>3007</v>
      </c>
      <c r="E8010" s="774" t="s">
        <v>3007</v>
      </c>
      <c r="F8010" s="774">
        <f t="shared" si="644"/>
        <v>5000000</v>
      </c>
      <c r="G8010" s="774"/>
      <c r="H8010" s="774">
        <v>10000000</v>
      </c>
      <c r="I8010" s="774"/>
      <c r="J8010" s="774"/>
      <c r="K8010" s="776"/>
      <c r="M8010" s="62" t="e">
        <f>IF(#REF!&gt;6,3,5)</f>
        <v>#REF!</v>
      </c>
    </row>
    <row r="8011" spans="1:13">
      <c r="A8011" s="768"/>
      <c r="B8011" s="768"/>
      <c r="C8011" s="774"/>
      <c r="D8011" s="774"/>
      <c r="E8011" s="774"/>
      <c r="F8011" s="774"/>
      <c r="G8011" s="774"/>
      <c r="H8011" s="774"/>
      <c r="I8011" s="774"/>
      <c r="J8011" s="774"/>
      <c r="K8011" s="776"/>
      <c r="M8011" s="62" t="e">
        <f>IF(#REF!&gt;6,3,5)</f>
        <v>#REF!</v>
      </c>
    </row>
    <row r="8012" spans="1:13">
      <c r="A8012" s="768"/>
      <c r="B8012" s="768"/>
      <c r="C8012" s="774"/>
      <c r="D8012" s="774"/>
      <c r="E8012" s="774"/>
      <c r="F8012" s="774"/>
      <c r="G8012" s="774"/>
      <c r="H8012" s="774"/>
      <c r="I8012" s="774"/>
      <c r="J8012" s="774"/>
      <c r="K8012" s="776"/>
      <c r="M8012" s="62" t="e">
        <f>IF(#REF!&gt;6,3,5)</f>
        <v>#REF!</v>
      </c>
    </row>
    <row r="8013" spans="1:13">
      <c r="A8013" s="768"/>
      <c r="B8013" s="768"/>
      <c r="C8013" s="774"/>
      <c r="D8013" s="774"/>
      <c r="E8013" s="774"/>
      <c r="F8013" s="774"/>
      <c r="G8013" s="774"/>
      <c r="H8013" s="774"/>
      <c r="I8013" s="774"/>
      <c r="J8013" s="774"/>
      <c r="K8013" s="776"/>
      <c r="M8013" s="62" t="e">
        <f>IF(#REF!&gt;6,3,5)</f>
        <v>#REF!</v>
      </c>
    </row>
    <row r="8014" spans="1:13">
      <c r="A8014" s="768"/>
      <c r="B8014" s="768"/>
      <c r="C8014" s="774"/>
      <c r="D8014" s="774"/>
      <c r="E8014" s="774"/>
      <c r="F8014" s="774"/>
      <c r="G8014" s="774"/>
      <c r="H8014" s="774"/>
      <c r="I8014" s="774"/>
      <c r="J8014" s="774"/>
      <c r="K8014" s="776"/>
      <c r="M8014" s="62" t="e">
        <f>IF(#REF!&gt;6,3,5)</f>
        <v>#REF!</v>
      </c>
    </row>
    <row r="8015" spans="1:13">
      <c r="A8015" s="770"/>
      <c r="B8015" s="770" t="s">
        <v>1684</v>
      </c>
      <c r="C8015" s="739">
        <f t="shared" ref="C8015:I8015" si="645">SUM(C7993:C8014)</f>
        <v>110000000</v>
      </c>
      <c r="D8015" s="739">
        <f t="shared" si="645"/>
        <v>108500000</v>
      </c>
      <c r="E8015" s="739">
        <f t="shared" si="645"/>
        <v>108500000</v>
      </c>
      <c r="F8015" s="739">
        <f t="shared" si="645"/>
        <v>327000000</v>
      </c>
      <c r="G8015" s="739">
        <f>SUM(G7993:G8014)</f>
        <v>0</v>
      </c>
      <c r="H8015" s="739">
        <f t="shared" si="645"/>
        <v>118500000</v>
      </c>
      <c r="I8015" s="739">
        <f t="shared" si="645"/>
        <v>10754100</v>
      </c>
      <c r="J8015" s="739"/>
      <c r="K8015" s="740"/>
      <c r="M8015" s="62" t="e">
        <f>IF(#REF!&gt;6,3,5)</f>
        <v>#REF!</v>
      </c>
    </row>
    <row r="8016" spans="1:13" ht="15">
      <c r="J8016" s="584"/>
      <c r="K8016" s="584"/>
      <c r="M8016" s="62">
        <f t="shared" si="642"/>
        <v>5</v>
      </c>
    </row>
    <row r="8017" spans="1:13" ht="15">
      <c r="C8017" s="77"/>
      <c r="D8017" s="78" t="s">
        <v>5434</v>
      </c>
      <c r="J8017" s="584"/>
      <c r="K8017" s="584"/>
      <c r="M8017" s="62">
        <f t="shared" si="642"/>
        <v>5</v>
      </c>
    </row>
    <row r="8018" spans="1:13" ht="15">
      <c r="C8018" s="77"/>
      <c r="D8018" s="78" t="s">
        <v>1693</v>
      </c>
      <c r="J8018" s="584"/>
      <c r="K8018" s="584"/>
      <c r="M8018" s="62">
        <f t="shared" si="642"/>
        <v>5</v>
      </c>
    </row>
    <row r="8019" spans="1:13" ht="15">
      <c r="C8019" s="79" t="s">
        <v>717</v>
      </c>
      <c r="D8019" s="78" t="s">
        <v>1975</v>
      </c>
      <c r="J8019" s="584"/>
      <c r="K8019" s="584"/>
      <c r="M8019" s="62">
        <f t="shared" si="642"/>
        <v>3</v>
      </c>
    </row>
    <row r="8020" spans="1:13" ht="15.75" thickBot="1">
      <c r="C8020" s="79" t="s">
        <v>718</v>
      </c>
      <c r="D8020" s="78" t="s">
        <v>1815</v>
      </c>
      <c r="J8020" s="584"/>
      <c r="K8020" s="584"/>
      <c r="M8020" s="62">
        <f t="shared" si="642"/>
        <v>3</v>
      </c>
    </row>
    <row r="8021" spans="1:13" ht="15.75" thickTop="1">
      <c r="A8021" s="1047" t="s">
        <v>2791</v>
      </c>
      <c r="B8021" s="1049" t="s">
        <v>4126</v>
      </c>
      <c r="C8021" s="1049" t="s">
        <v>854</v>
      </c>
      <c r="D8021" s="1040" t="s">
        <v>4127</v>
      </c>
      <c r="E8021" s="1041"/>
      <c r="F8021" s="1041"/>
      <c r="G8021" s="1040" t="s">
        <v>904</v>
      </c>
      <c r="H8021" s="1041"/>
      <c r="I8021" s="1042"/>
      <c r="J8021" s="1035" t="s">
        <v>855</v>
      </c>
      <c r="K8021" s="389"/>
    </row>
    <row r="8022" spans="1:13" ht="26.25" thickBot="1">
      <c r="A8022" s="1048"/>
      <c r="B8022" s="1050"/>
      <c r="C8022" s="1050"/>
      <c r="D8022" s="285" t="s">
        <v>5505</v>
      </c>
      <c r="E8022" s="285" t="s">
        <v>4485</v>
      </c>
      <c r="F8022" s="285" t="s">
        <v>4486</v>
      </c>
      <c r="G8022" s="287" t="s">
        <v>4487</v>
      </c>
      <c r="H8022" s="285" t="s">
        <v>4488</v>
      </c>
      <c r="I8022" s="287" t="s">
        <v>4489</v>
      </c>
      <c r="J8022" s="1036"/>
      <c r="K8022" s="712"/>
    </row>
    <row r="8023" spans="1:13" ht="13.5" thickTop="1">
      <c r="A8023" s="88">
        <v>1</v>
      </c>
      <c r="B8023" s="69" t="s">
        <v>2970</v>
      </c>
      <c r="C8023" s="69" t="s">
        <v>2335</v>
      </c>
      <c r="D8023" s="89">
        <v>1</v>
      </c>
      <c r="E8023" s="89">
        <v>1</v>
      </c>
      <c r="F8023" s="89">
        <v>1</v>
      </c>
      <c r="G8023" s="89">
        <v>1</v>
      </c>
      <c r="H8023" s="89">
        <v>1</v>
      </c>
      <c r="I8023" s="89">
        <v>1</v>
      </c>
      <c r="J8023" s="713"/>
      <c r="K8023" s="711"/>
      <c r="M8023" s="62">
        <f t="shared" si="642"/>
        <v>3</v>
      </c>
    </row>
    <row r="8024" spans="1:13">
      <c r="A8024" s="88">
        <v>2</v>
      </c>
      <c r="B8024" s="69" t="s">
        <v>1800</v>
      </c>
      <c r="C8024" s="69" t="s">
        <v>2335</v>
      </c>
      <c r="D8024" s="89">
        <v>4</v>
      </c>
      <c r="E8024" s="89">
        <v>4</v>
      </c>
      <c r="F8024" s="89">
        <v>4</v>
      </c>
      <c r="G8024" s="89">
        <v>4</v>
      </c>
      <c r="H8024" s="89">
        <v>4</v>
      </c>
      <c r="I8024" s="89">
        <v>4</v>
      </c>
      <c r="J8024" s="713"/>
      <c r="K8024" s="711"/>
      <c r="M8024" s="62">
        <f t="shared" si="642"/>
        <v>3</v>
      </c>
    </row>
    <row r="8025" spans="1:13">
      <c r="A8025" s="88">
        <f>+A8024+1</f>
        <v>3</v>
      </c>
      <c r="B8025" s="69" t="s">
        <v>1184</v>
      </c>
      <c r="C8025" s="69" t="s">
        <v>2335</v>
      </c>
      <c r="D8025" s="89">
        <v>1</v>
      </c>
      <c r="E8025" s="89">
        <v>1</v>
      </c>
      <c r="F8025" s="89">
        <v>1</v>
      </c>
      <c r="G8025" s="89">
        <v>1</v>
      </c>
      <c r="H8025" s="89">
        <v>1</v>
      </c>
      <c r="I8025" s="89">
        <v>1</v>
      </c>
      <c r="J8025" s="713"/>
      <c r="K8025" s="711"/>
      <c r="M8025" s="62">
        <f t="shared" si="642"/>
        <v>3</v>
      </c>
    </row>
    <row r="8026" spans="1:13">
      <c r="A8026" s="88">
        <f>+A8025+1</f>
        <v>4</v>
      </c>
      <c r="B8026" s="69" t="s">
        <v>2000</v>
      </c>
      <c r="C8026" s="69">
        <v>8</v>
      </c>
      <c r="D8026" s="89">
        <v>0</v>
      </c>
      <c r="E8026" s="89">
        <v>1</v>
      </c>
      <c r="F8026" s="89">
        <v>0</v>
      </c>
      <c r="G8026" s="89">
        <v>0</v>
      </c>
      <c r="H8026" s="89">
        <v>1</v>
      </c>
      <c r="I8026" s="89">
        <v>0</v>
      </c>
      <c r="J8026" s="710">
        <f>(VLOOKUP($C8026,[2]Sheet1!$A$2:$P$18,$M8026+1)/12)*12*D8026</f>
        <v>0</v>
      </c>
      <c r="K8026" s="711"/>
      <c r="M8026" s="62">
        <f t="shared" si="642"/>
        <v>3</v>
      </c>
    </row>
    <row r="8027" spans="1:13">
      <c r="A8027" s="88">
        <f>+A8026+1</f>
        <v>5</v>
      </c>
      <c r="B8027" s="69" t="s">
        <v>1700</v>
      </c>
      <c r="C8027" s="69">
        <v>6</v>
      </c>
      <c r="D8027" s="89">
        <v>0</v>
      </c>
      <c r="E8027" s="89">
        <v>1</v>
      </c>
      <c r="F8027" s="89">
        <v>0</v>
      </c>
      <c r="G8027" s="89">
        <v>0</v>
      </c>
      <c r="H8027" s="89">
        <v>1</v>
      </c>
      <c r="I8027" s="89">
        <v>0</v>
      </c>
      <c r="J8027" s="710">
        <f>(VLOOKUP($C8027,[2]Sheet1!$A$2:$P$18,$M8027+1)/12)*12*D8027</f>
        <v>0</v>
      </c>
      <c r="K8027" s="711"/>
      <c r="M8027" s="62">
        <f t="shared" si="642"/>
        <v>5</v>
      </c>
    </row>
    <row r="8028" spans="1:13">
      <c r="A8028" s="88">
        <f>+A8027+1</f>
        <v>6</v>
      </c>
      <c r="B8028" s="69" t="s">
        <v>3862</v>
      </c>
      <c r="C8028" s="69">
        <v>8</v>
      </c>
      <c r="D8028" s="89">
        <v>0</v>
      </c>
      <c r="E8028" s="89">
        <v>1</v>
      </c>
      <c r="F8028" s="89">
        <v>0</v>
      </c>
      <c r="G8028" s="89">
        <v>0</v>
      </c>
      <c r="H8028" s="89">
        <v>1</v>
      </c>
      <c r="I8028" s="89">
        <v>0</v>
      </c>
      <c r="J8028" s="710">
        <f>(VLOOKUP($C8028,[2]Sheet1!$A$2:$P$18,$M8028+1)/12)*12*D8028</f>
        <v>0</v>
      </c>
      <c r="K8028" s="711"/>
      <c r="M8028" s="62">
        <f t="shared" si="642"/>
        <v>3</v>
      </c>
    </row>
    <row r="8029" spans="1:13">
      <c r="A8029" s="88">
        <f>+A8028+1</f>
        <v>7</v>
      </c>
      <c r="B8029" s="69" t="s">
        <v>1185</v>
      </c>
      <c r="C8029" s="69">
        <v>6</v>
      </c>
      <c r="D8029" s="89">
        <v>0</v>
      </c>
      <c r="E8029" s="89">
        <v>1</v>
      </c>
      <c r="F8029" s="89">
        <v>0</v>
      </c>
      <c r="G8029" s="89">
        <v>0</v>
      </c>
      <c r="H8029" s="89">
        <v>1</v>
      </c>
      <c r="I8029" s="89">
        <v>0</v>
      </c>
      <c r="J8029" s="710">
        <f>(VLOOKUP($C8029,[2]Sheet1!$A$2:$P$18,$M8029+1)/12)*12*D8029</f>
        <v>0</v>
      </c>
      <c r="K8029" s="711"/>
      <c r="M8029" s="62">
        <f t="shared" si="642"/>
        <v>5</v>
      </c>
    </row>
    <row r="8030" spans="1:13">
      <c r="A8030" s="88"/>
      <c r="B8030" s="90" t="s">
        <v>2051</v>
      </c>
      <c r="C8030" s="69"/>
      <c r="D8030" s="89"/>
      <c r="E8030" s="89"/>
      <c r="F8030" s="89"/>
      <c r="G8030" s="89"/>
      <c r="H8030" s="89"/>
      <c r="I8030" s="89"/>
      <c r="J8030" s="710"/>
      <c r="K8030" s="711"/>
      <c r="M8030" s="62">
        <f t="shared" si="642"/>
        <v>5</v>
      </c>
    </row>
    <row r="8031" spans="1:13">
      <c r="A8031" s="88">
        <v>8</v>
      </c>
      <c r="B8031" s="69" t="s">
        <v>342</v>
      </c>
      <c r="C8031" s="69">
        <v>7</v>
      </c>
      <c r="D8031" s="89">
        <v>0</v>
      </c>
      <c r="E8031" s="89">
        <v>1</v>
      </c>
      <c r="F8031" s="89">
        <v>0</v>
      </c>
      <c r="G8031" s="89">
        <v>0</v>
      </c>
      <c r="H8031" s="89">
        <v>1</v>
      </c>
      <c r="I8031" s="89">
        <v>0</v>
      </c>
      <c r="J8031" s="710">
        <f>(VLOOKUP($C8031,[2]Sheet1!$A$2:$P$18,$M8031+1)/12)*12*D8031</f>
        <v>0</v>
      </c>
      <c r="K8031" s="711"/>
      <c r="M8031" s="62">
        <f t="shared" si="642"/>
        <v>3</v>
      </c>
    </row>
    <row r="8032" spans="1:13">
      <c r="A8032" s="88">
        <f t="shared" ref="A8032:A8056" si="646">+A8031+1</f>
        <v>9</v>
      </c>
      <c r="B8032" s="69" t="s">
        <v>405</v>
      </c>
      <c r="C8032" s="69">
        <v>6</v>
      </c>
      <c r="D8032" s="89">
        <v>0</v>
      </c>
      <c r="E8032" s="89">
        <v>1</v>
      </c>
      <c r="F8032" s="89">
        <v>0</v>
      </c>
      <c r="G8032" s="89">
        <v>0</v>
      </c>
      <c r="H8032" s="89">
        <v>1</v>
      </c>
      <c r="I8032" s="89">
        <v>0</v>
      </c>
      <c r="J8032" s="710">
        <f>(VLOOKUP($C8032,[2]Sheet1!$A$2:$P$18,$M8032+1)/12)*12*D8032</f>
        <v>0</v>
      </c>
      <c r="K8032" s="711"/>
      <c r="M8032" s="62">
        <f t="shared" si="642"/>
        <v>5</v>
      </c>
    </row>
    <row r="8033" spans="1:13">
      <c r="A8033" s="88">
        <f t="shared" si="646"/>
        <v>10</v>
      </c>
      <c r="B8033" s="69" t="s">
        <v>3770</v>
      </c>
      <c r="C8033" s="69">
        <v>5</v>
      </c>
      <c r="D8033" s="89">
        <v>0</v>
      </c>
      <c r="E8033" s="89">
        <v>2</v>
      </c>
      <c r="F8033" s="89">
        <v>0</v>
      </c>
      <c r="G8033" s="89">
        <v>0</v>
      </c>
      <c r="H8033" s="89">
        <v>1</v>
      </c>
      <c r="I8033" s="89">
        <v>0</v>
      </c>
      <c r="J8033" s="710">
        <f>(VLOOKUP($C8033,[2]Sheet1!$A$2:$P$18,$M8033+1)/12)*12*D8033</f>
        <v>0</v>
      </c>
      <c r="K8033" s="711"/>
      <c r="M8033" s="62">
        <f t="shared" si="642"/>
        <v>5</v>
      </c>
    </row>
    <row r="8034" spans="1:13">
      <c r="A8034" s="88">
        <f t="shared" si="646"/>
        <v>11</v>
      </c>
      <c r="B8034" s="69" t="s">
        <v>2360</v>
      </c>
      <c r="C8034" s="69">
        <v>4</v>
      </c>
      <c r="D8034" s="89">
        <v>2</v>
      </c>
      <c r="E8034" s="89">
        <v>2</v>
      </c>
      <c r="F8034" s="89">
        <v>2</v>
      </c>
      <c r="G8034" s="89">
        <v>2</v>
      </c>
      <c r="H8034" s="89">
        <v>2</v>
      </c>
      <c r="I8034" s="89">
        <v>2</v>
      </c>
      <c r="J8034" s="710">
        <f>(VLOOKUP($C8034,[2]Sheet1!$A$2:$P$18,$M8034+1)/12)*12*D8034</f>
        <v>449085.95786073001</v>
      </c>
      <c r="K8034" s="711"/>
      <c r="M8034" s="62">
        <f t="shared" si="642"/>
        <v>5</v>
      </c>
    </row>
    <row r="8035" spans="1:13">
      <c r="A8035" s="88">
        <f t="shared" si="646"/>
        <v>12</v>
      </c>
      <c r="B8035" s="69" t="s">
        <v>4030</v>
      </c>
      <c r="C8035" s="69">
        <v>3</v>
      </c>
      <c r="D8035" s="89">
        <v>1</v>
      </c>
      <c r="E8035" s="89">
        <v>3</v>
      </c>
      <c r="F8035" s="89">
        <v>1</v>
      </c>
      <c r="G8035" s="89">
        <v>1</v>
      </c>
      <c r="H8035" s="89">
        <v>2</v>
      </c>
      <c r="I8035" s="89">
        <v>1</v>
      </c>
      <c r="J8035" s="710">
        <f>(VLOOKUP($C8035,[2]Sheet1!$A$2:$P$18,$M8035+1)/12)*12*D8035</f>
        <v>219336.17893036499</v>
      </c>
      <c r="K8035" s="711"/>
      <c r="M8035" s="62">
        <f t="shared" si="642"/>
        <v>5</v>
      </c>
    </row>
    <row r="8036" spans="1:13">
      <c r="A8036" s="88">
        <f t="shared" si="646"/>
        <v>13</v>
      </c>
      <c r="B8036" s="69" t="s">
        <v>319</v>
      </c>
      <c r="C8036" s="69">
        <v>9</v>
      </c>
      <c r="D8036" s="89">
        <v>0</v>
      </c>
      <c r="E8036" s="89">
        <v>0</v>
      </c>
      <c r="F8036" s="89">
        <v>0</v>
      </c>
      <c r="G8036" s="89">
        <v>0</v>
      </c>
      <c r="H8036" s="89">
        <v>0</v>
      </c>
      <c r="I8036" s="89">
        <v>0</v>
      </c>
      <c r="J8036" s="710">
        <f>(VLOOKUP($C8036,[2]Sheet1!$A$2:$P$18,$M8036+1)/12)*12*D8036</f>
        <v>0</v>
      </c>
      <c r="K8036" s="711"/>
      <c r="M8036" s="62">
        <f t="shared" si="642"/>
        <v>3</v>
      </c>
    </row>
    <row r="8037" spans="1:13">
      <c r="A8037" s="88">
        <f t="shared" si="646"/>
        <v>14</v>
      </c>
      <c r="B8037" s="69" t="s">
        <v>1441</v>
      </c>
      <c r="C8037" s="69">
        <v>8</v>
      </c>
      <c r="D8037" s="89">
        <v>0</v>
      </c>
      <c r="E8037" s="89">
        <v>1</v>
      </c>
      <c r="F8037" s="89">
        <v>0</v>
      </c>
      <c r="G8037" s="89">
        <v>0</v>
      </c>
      <c r="H8037" s="89">
        <v>1</v>
      </c>
      <c r="I8037" s="89">
        <v>0</v>
      </c>
      <c r="J8037" s="710">
        <f>(VLOOKUP($C8037,[2]Sheet1!$A$2:$P$18,$M8037+1)/12)*12*D8037</f>
        <v>0</v>
      </c>
      <c r="K8037" s="711"/>
      <c r="M8037" s="62">
        <f t="shared" si="642"/>
        <v>3</v>
      </c>
    </row>
    <row r="8038" spans="1:13">
      <c r="A8038" s="88">
        <f t="shared" si="646"/>
        <v>15</v>
      </c>
      <c r="B8038" s="69" t="s">
        <v>3023</v>
      </c>
      <c r="C8038" s="69">
        <v>7</v>
      </c>
      <c r="D8038" s="89">
        <v>0</v>
      </c>
      <c r="E8038" s="89">
        <v>0</v>
      </c>
      <c r="F8038" s="89">
        <v>0</v>
      </c>
      <c r="G8038" s="89">
        <v>0</v>
      </c>
      <c r="H8038" s="89">
        <v>0</v>
      </c>
      <c r="I8038" s="89">
        <v>0</v>
      </c>
      <c r="J8038" s="710">
        <f>(VLOOKUP($C8038,[2]Sheet1!$A$2:$P$18,$M8038+1)/12)*12*D8038</f>
        <v>0</v>
      </c>
      <c r="K8038" s="711"/>
      <c r="M8038" s="62">
        <f t="shared" si="642"/>
        <v>3</v>
      </c>
    </row>
    <row r="8039" spans="1:13">
      <c r="A8039" s="88">
        <f t="shared" si="646"/>
        <v>16</v>
      </c>
      <c r="B8039" s="69" t="s">
        <v>3896</v>
      </c>
      <c r="C8039" s="69">
        <v>6</v>
      </c>
      <c r="D8039" s="89">
        <v>1</v>
      </c>
      <c r="E8039" s="89">
        <v>1</v>
      </c>
      <c r="F8039" s="89">
        <v>1</v>
      </c>
      <c r="G8039" s="89">
        <v>1</v>
      </c>
      <c r="H8039" s="89">
        <v>1</v>
      </c>
      <c r="I8039" s="89">
        <v>1</v>
      </c>
      <c r="J8039" s="710">
        <f>(VLOOKUP($C8039,[2]Sheet1!$A$2:$P$18,$M8039+1)/12)*12*D8039</f>
        <v>238099.37893036497</v>
      </c>
      <c r="K8039" s="711"/>
      <c r="M8039" s="62">
        <f t="shared" si="642"/>
        <v>5</v>
      </c>
    </row>
    <row r="8040" spans="1:13">
      <c r="A8040" s="88">
        <f t="shared" si="646"/>
        <v>17</v>
      </c>
      <c r="B8040" s="69" t="s">
        <v>1749</v>
      </c>
      <c r="C8040" s="69">
        <v>5</v>
      </c>
      <c r="D8040" s="89">
        <v>2</v>
      </c>
      <c r="E8040" s="89">
        <v>0</v>
      </c>
      <c r="F8040" s="89">
        <v>2</v>
      </c>
      <c r="G8040" s="89">
        <v>2</v>
      </c>
      <c r="H8040" s="89">
        <v>2</v>
      </c>
      <c r="I8040" s="89">
        <v>2</v>
      </c>
      <c r="J8040" s="710">
        <f>(VLOOKUP($C8040,[2]Sheet1!$A$2:$P$18,$M8040+1)/12)*12*D8040</f>
        <v>459139.55786072998</v>
      </c>
      <c r="K8040" s="711"/>
      <c r="M8040" s="62">
        <f t="shared" si="642"/>
        <v>5</v>
      </c>
    </row>
    <row r="8041" spans="1:13">
      <c r="A8041" s="88">
        <f t="shared" si="646"/>
        <v>18</v>
      </c>
      <c r="B8041" s="69" t="s">
        <v>3796</v>
      </c>
      <c r="C8041" s="69">
        <v>4</v>
      </c>
      <c r="D8041" s="89">
        <v>0</v>
      </c>
      <c r="E8041" s="89">
        <v>0</v>
      </c>
      <c r="F8041" s="89">
        <v>0</v>
      </c>
      <c r="G8041" s="89">
        <v>0</v>
      </c>
      <c r="H8041" s="89">
        <v>0</v>
      </c>
      <c r="I8041" s="89">
        <v>0</v>
      </c>
      <c r="J8041" s="710">
        <f>(VLOOKUP($C8041,[2]Sheet1!$A$2:$P$18,$M8041+1)/12)*12*D8041</f>
        <v>0</v>
      </c>
      <c r="K8041" s="711"/>
      <c r="M8041" s="62">
        <f t="shared" si="642"/>
        <v>5</v>
      </c>
    </row>
    <row r="8042" spans="1:13">
      <c r="A8042" s="88">
        <f t="shared" si="646"/>
        <v>19</v>
      </c>
      <c r="B8042" s="69" t="s">
        <v>2556</v>
      </c>
      <c r="C8042" s="69">
        <v>3</v>
      </c>
      <c r="D8042" s="89">
        <v>0</v>
      </c>
      <c r="E8042" s="89">
        <v>0</v>
      </c>
      <c r="F8042" s="89">
        <v>0</v>
      </c>
      <c r="G8042" s="89">
        <v>0</v>
      </c>
      <c r="H8042" s="89">
        <v>0</v>
      </c>
      <c r="I8042" s="89">
        <v>0</v>
      </c>
      <c r="J8042" s="710">
        <f>(VLOOKUP($C8042,[2]Sheet1!$A$2:$P$18,$M8042+1)/12)*12*D8042</f>
        <v>0</v>
      </c>
      <c r="K8042" s="711"/>
      <c r="M8042" s="62">
        <f t="shared" si="642"/>
        <v>5</v>
      </c>
    </row>
    <row r="8043" spans="1:13">
      <c r="A8043" s="88">
        <f t="shared" si="646"/>
        <v>20</v>
      </c>
      <c r="B8043" s="69" t="s">
        <v>3250</v>
      </c>
      <c r="C8043" s="69">
        <v>7</v>
      </c>
      <c r="D8043" s="89">
        <v>1</v>
      </c>
      <c r="E8043" s="89">
        <v>0</v>
      </c>
      <c r="F8043" s="89">
        <v>1</v>
      </c>
      <c r="G8043" s="89">
        <v>1</v>
      </c>
      <c r="H8043" s="89">
        <v>1</v>
      </c>
      <c r="I8043" s="89">
        <v>1</v>
      </c>
      <c r="J8043" s="710">
        <f>(VLOOKUP($C8043,[2]Sheet1!$A$2:$P$18,$M8043+1)/12)*12*D8043</f>
        <v>307706.70240000007</v>
      </c>
      <c r="K8043" s="711"/>
      <c r="M8043" s="62">
        <f t="shared" ref="M8043:M8098" si="647">IF(C8043&gt;6,3,5)</f>
        <v>3</v>
      </c>
    </row>
    <row r="8044" spans="1:13">
      <c r="A8044" s="88">
        <f t="shared" si="646"/>
        <v>21</v>
      </c>
      <c r="B8044" s="69" t="s">
        <v>1186</v>
      </c>
      <c r="C8044" s="69">
        <v>5</v>
      </c>
      <c r="D8044" s="89">
        <v>2</v>
      </c>
      <c r="E8044" s="89">
        <v>3</v>
      </c>
      <c r="F8044" s="89">
        <v>2</v>
      </c>
      <c r="G8044" s="89">
        <v>2</v>
      </c>
      <c r="H8044" s="89">
        <v>2</v>
      </c>
      <c r="I8044" s="89">
        <v>2</v>
      </c>
      <c r="J8044" s="710">
        <f>(VLOOKUP($C8044,[2]Sheet1!$A$2:$P$18,$M8044+1)/12)*12*D8044</f>
        <v>459139.55786072998</v>
      </c>
      <c r="K8044" s="711"/>
      <c r="M8044" s="62">
        <f t="shared" si="647"/>
        <v>5</v>
      </c>
    </row>
    <row r="8045" spans="1:13">
      <c r="A8045" s="88">
        <f t="shared" si="646"/>
        <v>22</v>
      </c>
      <c r="B8045" s="69" t="s">
        <v>3252</v>
      </c>
      <c r="C8045" s="69">
        <v>4</v>
      </c>
      <c r="D8045" s="89">
        <v>2</v>
      </c>
      <c r="E8045" s="89">
        <v>3</v>
      </c>
      <c r="F8045" s="89">
        <v>2</v>
      </c>
      <c r="G8045" s="89">
        <v>2</v>
      </c>
      <c r="H8045" s="89">
        <v>2</v>
      </c>
      <c r="I8045" s="89">
        <v>2</v>
      </c>
      <c r="J8045" s="710">
        <f>(VLOOKUP($C8045,[2]Sheet1!$A$2:$P$18,$M8045+1)/12)*12*D8045</f>
        <v>449085.95786073001</v>
      </c>
      <c r="K8045" s="711"/>
      <c r="M8045" s="62">
        <f t="shared" si="647"/>
        <v>5</v>
      </c>
    </row>
    <row r="8046" spans="1:13">
      <c r="A8046" s="88">
        <f t="shared" si="646"/>
        <v>23</v>
      </c>
      <c r="B8046" s="69" t="s">
        <v>3252</v>
      </c>
      <c r="C8046" s="69">
        <v>3</v>
      </c>
      <c r="D8046" s="89">
        <v>0</v>
      </c>
      <c r="E8046" s="89">
        <v>1</v>
      </c>
      <c r="F8046" s="89">
        <v>0</v>
      </c>
      <c r="G8046" s="89">
        <v>0</v>
      </c>
      <c r="H8046" s="89">
        <v>1</v>
      </c>
      <c r="I8046" s="89">
        <v>0</v>
      </c>
      <c r="J8046" s="710">
        <f>(VLOOKUP($C8046,[2]Sheet1!$A$2:$P$18,$M8046+1)/12)*12*D8046</f>
        <v>0</v>
      </c>
      <c r="K8046" s="711"/>
      <c r="M8046" s="62">
        <f t="shared" si="647"/>
        <v>5</v>
      </c>
    </row>
    <row r="8047" spans="1:13">
      <c r="A8047" s="88">
        <f t="shared" si="646"/>
        <v>24</v>
      </c>
      <c r="B8047" s="69" t="s">
        <v>2179</v>
      </c>
      <c r="C8047" s="69">
        <v>3</v>
      </c>
      <c r="D8047" s="89">
        <v>3</v>
      </c>
      <c r="E8047" s="89">
        <v>4</v>
      </c>
      <c r="F8047" s="89">
        <v>3</v>
      </c>
      <c r="G8047" s="89">
        <v>3</v>
      </c>
      <c r="H8047" s="89">
        <v>4</v>
      </c>
      <c r="I8047" s="89">
        <v>3</v>
      </c>
      <c r="J8047" s="710">
        <f>(VLOOKUP($C8047,[2]Sheet1!$A$2:$P$18,$M8047+1)/12)*12*D8047</f>
        <v>658008.53679109493</v>
      </c>
      <c r="K8047" s="711"/>
      <c r="M8047" s="62">
        <f t="shared" si="647"/>
        <v>5</v>
      </c>
    </row>
    <row r="8048" spans="1:13">
      <c r="A8048" s="88">
        <f t="shared" si="646"/>
        <v>25</v>
      </c>
      <c r="B8048" s="69" t="s">
        <v>2542</v>
      </c>
      <c r="C8048" s="69">
        <v>2</v>
      </c>
      <c r="D8048" s="89">
        <v>2</v>
      </c>
      <c r="E8048" s="89">
        <v>2</v>
      </c>
      <c r="F8048" s="89">
        <v>2</v>
      </c>
      <c r="G8048" s="89">
        <v>2</v>
      </c>
      <c r="H8048" s="89">
        <v>2</v>
      </c>
      <c r="I8048" s="89">
        <v>2</v>
      </c>
      <c r="J8048" s="710">
        <f>(VLOOKUP($C8048,[2]Sheet1!$A$2:$P$18,$M8048+1)/12)*12*D8048</f>
        <v>429314.75786073005</v>
      </c>
      <c r="K8048" s="711"/>
      <c r="M8048" s="62">
        <f t="shared" si="647"/>
        <v>5</v>
      </c>
    </row>
    <row r="8049" spans="1:13">
      <c r="A8049" s="88">
        <f t="shared" si="646"/>
        <v>26</v>
      </c>
      <c r="B8049" s="69" t="s">
        <v>2543</v>
      </c>
      <c r="C8049" s="69">
        <v>2</v>
      </c>
      <c r="D8049" s="89">
        <v>4</v>
      </c>
      <c r="E8049" s="89">
        <v>0</v>
      </c>
      <c r="F8049" s="89">
        <v>4</v>
      </c>
      <c r="G8049" s="89">
        <v>4</v>
      </c>
      <c r="H8049" s="89">
        <v>0</v>
      </c>
      <c r="I8049" s="89">
        <v>4</v>
      </c>
      <c r="J8049" s="710">
        <f>(VLOOKUP($C8049,[2]Sheet1!$A$2:$P$18,$M8049+1)/12)*12*D8049</f>
        <v>858629.51572146011</v>
      </c>
      <c r="K8049" s="711"/>
      <c r="M8049" s="62">
        <f t="shared" si="647"/>
        <v>5</v>
      </c>
    </row>
    <row r="8050" spans="1:13">
      <c r="A8050" s="88">
        <f t="shared" si="646"/>
        <v>27</v>
      </c>
      <c r="B8050" s="69" t="s">
        <v>2364</v>
      </c>
      <c r="C8050" s="69">
        <v>2</v>
      </c>
      <c r="D8050" s="89">
        <v>1</v>
      </c>
      <c r="E8050" s="89">
        <v>1</v>
      </c>
      <c r="F8050" s="89">
        <v>1</v>
      </c>
      <c r="G8050" s="89">
        <v>1</v>
      </c>
      <c r="H8050" s="89">
        <v>1</v>
      </c>
      <c r="I8050" s="89">
        <v>1</v>
      </c>
      <c r="J8050" s="710">
        <f>(VLOOKUP($C8050,[2]Sheet1!$A$2:$P$18,$M8050+1)/12)*12*D8050</f>
        <v>214657.37893036503</v>
      </c>
      <c r="K8050" s="711"/>
      <c r="M8050" s="62">
        <f t="shared" si="647"/>
        <v>5</v>
      </c>
    </row>
    <row r="8051" spans="1:13">
      <c r="A8051" s="88">
        <f t="shared" si="646"/>
        <v>28</v>
      </c>
      <c r="B8051" s="69" t="s">
        <v>3253</v>
      </c>
      <c r="C8051" s="69">
        <v>2</v>
      </c>
      <c r="D8051" s="89">
        <v>0</v>
      </c>
      <c r="E8051" s="89">
        <v>0</v>
      </c>
      <c r="F8051" s="89">
        <v>0</v>
      </c>
      <c r="G8051" s="89">
        <v>0</v>
      </c>
      <c r="H8051" s="89">
        <v>0</v>
      </c>
      <c r="I8051" s="89">
        <v>0</v>
      </c>
      <c r="J8051" s="710">
        <f>(VLOOKUP($C8051,[2]Sheet1!$A$2:$P$18,$M8051+1)/12)*12*D8051</f>
        <v>0</v>
      </c>
      <c r="K8051" s="711"/>
      <c r="M8051" s="62">
        <f t="shared" si="647"/>
        <v>5</v>
      </c>
    </row>
    <row r="8052" spans="1:13">
      <c r="A8052" s="88">
        <f t="shared" si="646"/>
        <v>29</v>
      </c>
      <c r="B8052" s="69" t="s">
        <v>3256</v>
      </c>
      <c r="C8052" s="69">
        <v>2</v>
      </c>
      <c r="D8052" s="89">
        <v>0</v>
      </c>
      <c r="E8052" s="89">
        <v>0</v>
      </c>
      <c r="F8052" s="89">
        <v>0</v>
      </c>
      <c r="G8052" s="89">
        <v>0</v>
      </c>
      <c r="H8052" s="89">
        <v>0</v>
      </c>
      <c r="I8052" s="89">
        <v>0</v>
      </c>
      <c r="J8052" s="710">
        <f>(VLOOKUP($C8052,[2]Sheet1!$A$2:$P$18,$M8052+1)/12)*12*D8052</f>
        <v>0</v>
      </c>
      <c r="K8052" s="711"/>
      <c r="M8052" s="62">
        <f t="shared" si="647"/>
        <v>5</v>
      </c>
    </row>
    <row r="8053" spans="1:13">
      <c r="A8053" s="88">
        <f t="shared" si="646"/>
        <v>30</v>
      </c>
      <c r="B8053" s="69" t="s">
        <v>2737</v>
      </c>
      <c r="C8053" s="69">
        <v>3</v>
      </c>
      <c r="D8053" s="89">
        <v>2</v>
      </c>
      <c r="E8053" s="89">
        <v>2</v>
      </c>
      <c r="F8053" s="89">
        <v>2</v>
      </c>
      <c r="G8053" s="89">
        <v>2</v>
      </c>
      <c r="H8053" s="89">
        <v>2</v>
      </c>
      <c r="I8053" s="89">
        <v>2</v>
      </c>
      <c r="J8053" s="710">
        <f>(VLOOKUP($C8053,[2]Sheet1!$A$2:$P$18,$M8053+1)/12)*12*D8053</f>
        <v>438672.35786072997</v>
      </c>
      <c r="K8053" s="711"/>
      <c r="M8053" s="62">
        <f t="shared" si="647"/>
        <v>5</v>
      </c>
    </row>
    <row r="8054" spans="1:13">
      <c r="A8054" s="88">
        <f>+A8053+1</f>
        <v>31</v>
      </c>
      <c r="B8054" s="69" t="s">
        <v>2242</v>
      </c>
      <c r="C8054" s="69">
        <v>4</v>
      </c>
      <c r="D8054" s="89">
        <v>4</v>
      </c>
      <c r="E8054" s="89">
        <v>2</v>
      </c>
      <c r="F8054" s="89">
        <v>4</v>
      </c>
      <c r="G8054" s="89">
        <v>4</v>
      </c>
      <c r="H8054" s="89">
        <v>2</v>
      </c>
      <c r="I8054" s="89">
        <v>4</v>
      </c>
      <c r="J8054" s="710">
        <f>(VLOOKUP($C8054,[2]Sheet1!$A$2:$P$18,$M8054+1)/12)*12*D8054</f>
        <v>898171.91572146001</v>
      </c>
      <c r="K8054" s="711"/>
      <c r="M8054" s="62">
        <f t="shared" si="647"/>
        <v>5</v>
      </c>
    </row>
    <row r="8055" spans="1:13">
      <c r="A8055" s="88">
        <f>+A8053+1</f>
        <v>31</v>
      </c>
      <c r="B8055" s="69" t="s">
        <v>2171</v>
      </c>
      <c r="C8055" s="69">
        <v>3</v>
      </c>
      <c r="D8055" s="89">
        <v>2</v>
      </c>
      <c r="E8055" s="89">
        <v>3</v>
      </c>
      <c r="F8055" s="89">
        <v>2</v>
      </c>
      <c r="G8055" s="89">
        <v>2</v>
      </c>
      <c r="H8055" s="89">
        <v>3</v>
      </c>
      <c r="I8055" s="89">
        <v>2</v>
      </c>
      <c r="J8055" s="710">
        <f>(VLOOKUP($C8055,[2]Sheet1!$A$2:$P$18,$M8055+1)/12)*12*D8055</f>
        <v>438672.35786072997</v>
      </c>
      <c r="K8055" s="711"/>
      <c r="M8055" s="62">
        <f t="shared" si="647"/>
        <v>5</v>
      </c>
    </row>
    <row r="8056" spans="1:13">
      <c r="A8056" s="88">
        <f t="shared" si="646"/>
        <v>32</v>
      </c>
      <c r="B8056" s="69" t="s">
        <v>2172</v>
      </c>
      <c r="C8056" s="69">
        <v>2</v>
      </c>
      <c r="D8056" s="89">
        <v>0</v>
      </c>
      <c r="E8056" s="89">
        <v>1</v>
      </c>
      <c r="F8056" s="89">
        <v>0</v>
      </c>
      <c r="G8056" s="89">
        <v>0</v>
      </c>
      <c r="H8056" s="89">
        <v>1</v>
      </c>
      <c r="I8056" s="89">
        <v>0</v>
      </c>
      <c r="J8056" s="710">
        <f>(VLOOKUP($C8056,[2]Sheet1!$A$2:$P$18,$M8056+1)/12)*12*D8056</f>
        <v>0</v>
      </c>
      <c r="K8056" s="711"/>
      <c r="M8056" s="62">
        <f t="shared" si="647"/>
        <v>5</v>
      </c>
    </row>
    <row r="8057" spans="1:13">
      <c r="A8057" s="88"/>
      <c r="B8057" s="90" t="s">
        <v>1487</v>
      </c>
      <c r="C8057" s="69"/>
      <c r="D8057" s="89"/>
      <c r="E8057" s="89"/>
      <c r="F8057" s="89"/>
      <c r="G8057" s="89"/>
      <c r="H8057" s="89"/>
      <c r="I8057" s="89"/>
      <c r="J8057" s="710"/>
      <c r="K8057" s="711"/>
      <c r="M8057" s="62">
        <f t="shared" si="647"/>
        <v>5</v>
      </c>
    </row>
    <row r="8058" spans="1:13">
      <c r="A8058" s="88">
        <f>+A8055+1</f>
        <v>32</v>
      </c>
      <c r="B8058" s="69" t="s">
        <v>951</v>
      </c>
      <c r="C8058" s="69">
        <v>7</v>
      </c>
      <c r="D8058" s="89">
        <v>2</v>
      </c>
      <c r="E8058" s="89">
        <v>2</v>
      </c>
      <c r="F8058" s="89">
        <v>2</v>
      </c>
      <c r="G8058" s="89">
        <v>2</v>
      </c>
      <c r="H8058" s="89">
        <v>2</v>
      </c>
      <c r="I8058" s="89">
        <v>2</v>
      </c>
      <c r="J8058" s="710">
        <f>(VLOOKUP($C8058,[2]Sheet1!$A$2:$P$18,$M8058+1)/12)*12*D8058</f>
        <v>615413.40480000013</v>
      </c>
      <c r="K8058" s="711"/>
      <c r="M8058" s="62">
        <f t="shared" si="647"/>
        <v>3</v>
      </c>
    </row>
    <row r="8059" spans="1:13">
      <c r="A8059" s="88">
        <f>+A8058+1</f>
        <v>33</v>
      </c>
      <c r="B8059" s="69" t="s">
        <v>3486</v>
      </c>
      <c r="C8059" s="69">
        <v>6</v>
      </c>
      <c r="D8059" s="89">
        <v>0</v>
      </c>
      <c r="E8059" s="89">
        <v>1</v>
      </c>
      <c r="F8059" s="89">
        <v>0</v>
      </c>
      <c r="G8059" s="89">
        <v>0</v>
      </c>
      <c r="H8059" s="89">
        <v>1</v>
      </c>
      <c r="I8059" s="89">
        <v>0</v>
      </c>
      <c r="J8059" s="710">
        <f>(VLOOKUP($C8059,[2]Sheet1!$A$2:$P$18,$M8059+1)/12)*12*D8059</f>
        <v>0</v>
      </c>
      <c r="K8059" s="711"/>
      <c r="M8059" s="62">
        <f t="shared" si="647"/>
        <v>5</v>
      </c>
    </row>
    <row r="8060" spans="1:13">
      <c r="A8060" s="92"/>
      <c r="B8060" s="93" t="s">
        <v>2120</v>
      </c>
      <c r="C8060" s="94"/>
      <c r="D8060" s="123">
        <f t="shared" ref="D8060:J8060" si="648">SUM(D8025:D8059)</f>
        <v>32</v>
      </c>
      <c r="E8060" s="123">
        <f t="shared" si="648"/>
        <v>41</v>
      </c>
      <c r="F8060" s="123">
        <f t="shared" si="648"/>
        <v>32</v>
      </c>
      <c r="G8060" s="123">
        <f>SUM(G8025:G8059)</f>
        <v>32</v>
      </c>
      <c r="H8060" s="123">
        <f t="shared" si="648"/>
        <v>40</v>
      </c>
      <c r="I8060" s="123">
        <f t="shared" si="648"/>
        <v>32</v>
      </c>
      <c r="J8060" s="123">
        <f t="shared" si="648"/>
        <v>7133133.5172502212</v>
      </c>
      <c r="K8060" s="378"/>
      <c r="M8060" s="62">
        <f t="shared" si="647"/>
        <v>5</v>
      </c>
    </row>
    <row r="8061" spans="1:13">
      <c r="A8061" s="88" t="s">
        <v>1840</v>
      </c>
      <c r="B8061" s="97" t="s">
        <v>3035</v>
      </c>
      <c r="C8061" s="69"/>
      <c r="D8061" s="89"/>
      <c r="E8061" s="89"/>
      <c r="F8061" s="99"/>
      <c r="G8061" s="240" t="s">
        <v>243</v>
      </c>
      <c r="H8061" s="240" t="s">
        <v>4130</v>
      </c>
      <c r="I8061" s="240" t="s">
        <v>4202</v>
      </c>
      <c r="J8061" s="241" t="s">
        <v>4200</v>
      </c>
      <c r="K8061" s="375"/>
      <c r="M8061" s="62">
        <f t="shared" si="647"/>
        <v>5</v>
      </c>
    </row>
    <row r="8062" spans="1:13">
      <c r="A8062" s="88">
        <v>1</v>
      </c>
      <c r="B8062" s="69" t="s">
        <v>4035</v>
      </c>
      <c r="C8062" s="69"/>
      <c r="D8062" s="89"/>
      <c r="E8062" s="89"/>
      <c r="F8062" s="89"/>
      <c r="G8062" s="100">
        <f>J8060*0.2</f>
        <v>1426626.7034500444</v>
      </c>
      <c r="H8062" s="100">
        <f>G8062*1.02</f>
        <v>1455159.2375190454</v>
      </c>
      <c r="I8062" s="100">
        <f>H8062*1.02</f>
        <v>1484262.4222694263</v>
      </c>
      <c r="J8062" s="100">
        <f>SUM(G8062:I8062)</f>
        <v>4366048.3632385163</v>
      </c>
      <c r="K8062" s="114"/>
      <c r="M8062" s="62">
        <f t="shared" si="647"/>
        <v>5</v>
      </c>
    </row>
    <row r="8063" spans="1:13">
      <c r="A8063" s="92"/>
      <c r="B8063" s="93" t="s">
        <v>2120</v>
      </c>
      <c r="C8063" s="94"/>
      <c r="D8063" s="101"/>
      <c r="E8063" s="101"/>
      <c r="F8063" s="123"/>
      <c r="G8063" s="123">
        <f>SUM(G8062:G8062)</f>
        <v>1426626.7034500444</v>
      </c>
      <c r="H8063" s="123">
        <f>SUM(H8062:H8062)</f>
        <v>1455159.2375190454</v>
      </c>
      <c r="I8063" s="123">
        <f>SUM(I8062:I8062)</f>
        <v>1484262.4222694263</v>
      </c>
      <c r="J8063" s="123">
        <f>SUM(J8062:J8062)</f>
        <v>4366048.3632385163</v>
      </c>
      <c r="K8063" s="378"/>
      <c r="M8063" s="62">
        <f t="shared" si="647"/>
        <v>5</v>
      </c>
    </row>
    <row r="8064" spans="1:13">
      <c r="A8064" s="88" t="s">
        <v>1840</v>
      </c>
      <c r="B8064" s="69" t="s">
        <v>1119</v>
      </c>
      <c r="C8064" s="69"/>
      <c r="D8064" s="89"/>
      <c r="E8064" s="89"/>
      <c r="F8064" s="89"/>
      <c r="G8064" s="100">
        <f>G8063+J8060</f>
        <v>8559760.2207002658</v>
      </c>
      <c r="H8064" s="100">
        <f>G8064*1.02</f>
        <v>8730955.4251142722</v>
      </c>
      <c r="I8064" s="100">
        <f>H8064*1.02</f>
        <v>8905574.5336165577</v>
      </c>
      <c r="J8064" s="100">
        <f>SUM(G8064:I8064)</f>
        <v>26196290.179431096</v>
      </c>
      <c r="K8064" s="114"/>
      <c r="M8064" s="62">
        <f t="shared" si="647"/>
        <v>5</v>
      </c>
    </row>
    <row r="8065" spans="1:13">
      <c r="A8065" s="88" t="s">
        <v>1840</v>
      </c>
      <c r="B8065" s="69" t="s">
        <v>3944</v>
      </c>
      <c r="C8065" s="69"/>
      <c r="D8065" s="89"/>
      <c r="E8065" s="89"/>
      <c r="F8065" s="89"/>
      <c r="G8065" s="89">
        <f>C8094</f>
        <v>17850000</v>
      </c>
      <c r="H8065" s="89">
        <f>D8094</f>
        <v>16400000</v>
      </c>
      <c r="I8065" s="89">
        <f>E8094</f>
        <v>18900000</v>
      </c>
      <c r="J8065" s="100">
        <f>SUM(G8065:I8065)</f>
        <v>53150000</v>
      </c>
      <c r="K8065" s="114"/>
      <c r="M8065" s="62">
        <f t="shared" si="647"/>
        <v>5</v>
      </c>
    </row>
    <row r="8066" spans="1:13">
      <c r="A8066" s="92" t="s">
        <v>1840</v>
      </c>
      <c r="B8066" s="93" t="s">
        <v>2843</v>
      </c>
      <c r="C8066" s="94"/>
      <c r="D8066" s="101"/>
      <c r="E8066" s="101"/>
      <c r="F8066" s="123"/>
      <c r="G8066" s="123">
        <f>SUM(G8064:G8065)</f>
        <v>26409760.220700264</v>
      </c>
      <c r="H8066" s="123">
        <f>SUM(H8064:H8065)</f>
        <v>25130955.425114274</v>
      </c>
      <c r="I8066" s="123">
        <f>SUM(I8064:I8065)</f>
        <v>27805574.533616558</v>
      </c>
      <c r="J8066" s="123">
        <f>SUM(J8064:J8065)</f>
        <v>79346290.179431096</v>
      </c>
      <c r="K8066" s="378"/>
      <c r="M8066" s="62">
        <f t="shared" si="647"/>
        <v>5</v>
      </c>
    </row>
    <row r="8067" spans="1:13" ht="15">
      <c r="C8067" s="77"/>
      <c r="D8067" s="78" t="s">
        <v>5434</v>
      </c>
      <c r="J8067" s="584"/>
      <c r="K8067" s="584"/>
      <c r="M8067" s="62">
        <f t="shared" si="647"/>
        <v>5</v>
      </c>
    </row>
    <row r="8068" spans="1:13" ht="15">
      <c r="C8068" s="77"/>
      <c r="D8068" s="78" t="s">
        <v>716</v>
      </c>
      <c r="J8068" s="584"/>
      <c r="K8068" s="584"/>
      <c r="M8068" s="62">
        <f t="shared" si="647"/>
        <v>5</v>
      </c>
    </row>
    <row r="8069" spans="1:13" ht="15">
      <c r="C8069" s="79" t="s">
        <v>717</v>
      </c>
      <c r="D8069" s="78" t="s">
        <v>1975</v>
      </c>
      <c r="J8069" s="584"/>
      <c r="K8069" s="584"/>
      <c r="M8069" s="62">
        <f t="shared" si="647"/>
        <v>3</v>
      </c>
    </row>
    <row r="8070" spans="1:13" ht="15">
      <c r="C8070" s="79" t="s">
        <v>718</v>
      </c>
      <c r="D8070" s="78" t="s">
        <v>1815</v>
      </c>
      <c r="J8070" s="584"/>
      <c r="K8070" s="584"/>
      <c r="M8070" s="62">
        <f t="shared" si="647"/>
        <v>3</v>
      </c>
    </row>
    <row r="8071" spans="1:13" ht="15">
      <c r="A8071" s="634" t="s">
        <v>1839</v>
      </c>
      <c r="B8071" s="635" t="s">
        <v>903</v>
      </c>
      <c r="C8071" s="1037" t="s">
        <v>4127</v>
      </c>
      <c r="D8071" s="1038"/>
      <c r="E8071" s="1039"/>
      <c r="F8071" s="635" t="s">
        <v>1684</v>
      </c>
      <c r="G8071" s="1037" t="s">
        <v>4132</v>
      </c>
      <c r="H8071" s="1038"/>
      <c r="I8071" s="1039"/>
      <c r="J8071" s="726"/>
      <c r="K8071" s="727"/>
    </row>
    <row r="8072" spans="1:13">
      <c r="A8072" s="636" t="s">
        <v>1620</v>
      </c>
      <c r="B8072" s="637"/>
      <c r="C8072" s="635" t="s">
        <v>1841</v>
      </c>
      <c r="D8072" s="635" t="s">
        <v>4133</v>
      </c>
      <c r="E8072" s="635" t="s">
        <v>4133</v>
      </c>
      <c r="F8072" s="1056" t="s">
        <v>4200</v>
      </c>
      <c r="G8072" s="634" t="s">
        <v>4135</v>
      </c>
      <c r="H8072" s="1051" t="s">
        <v>4182</v>
      </c>
      <c r="I8072" s="634" t="s">
        <v>4135</v>
      </c>
      <c r="J8072" s="728" t="s">
        <v>4136</v>
      </c>
      <c r="K8072" s="727"/>
    </row>
    <row r="8073" spans="1:13" ht="12.75" customHeight="1">
      <c r="A8073" s="638" t="s">
        <v>387</v>
      </c>
      <c r="B8073" s="639"/>
      <c r="C8073" s="638">
        <v>2015</v>
      </c>
      <c r="D8073" s="638">
        <v>2016</v>
      </c>
      <c r="E8073" s="638">
        <v>2017</v>
      </c>
      <c r="F8073" s="1057"/>
      <c r="G8073" s="638" t="s">
        <v>4304</v>
      </c>
      <c r="H8073" s="1052"/>
      <c r="I8073" s="638" t="s">
        <v>4303</v>
      </c>
      <c r="J8073" s="639"/>
      <c r="K8073" s="729"/>
    </row>
    <row r="8074" spans="1:13">
      <c r="A8074" s="768"/>
      <c r="B8074" s="768"/>
      <c r="C8074" s="390"/>
      <c r="D8074" s="390"/>
      <c r="E8074" s="390"/>
      <c r="F8074" s="390"/>
      <c r="G8074" s="390"/>
      <c r="H8074" s="390"/>
      <c r="I8074" s="390"/>
      <c r="J8074" s="390"/>
      <c r="K8074" s="734"/>
      <c r="M8074" s="62" t="e">
        <f>IF(#REF!&gt;6,3,5)</f>
        <v>#REF!</v>
      </c>
    </row>
    <row r="8075" spans="1:13">
      <c r="A8075" s="768">
        <v>2</v>
      </c>
      <c r="B8075" s="768" t="s">
        <v>1695</v>
      </c>
      <c r="C8075" s="390">
        <v>1000000</v>
      </c>
      <c r="D8075" s="390">
        <v>1500000</v>
      </c>
      <c r="E8075" s="390">
        <v>1500000</v>
      </c>
      <c r="F8075" s="390">
        <f>SUM(C8075:E8075)</f>
        <v>4000000</v>
      </c>
      <c r="G8075" s="390">
        <v>25000</v>
      </c>
      <c r="H8075" s="390">
        <v>1500000</v>
      </c>
      <c r="I8075" s="390">
        <v>774500</v>
      </c>
      <c r="J8075" s="390"/>
      <c r="K8075" s="734"/>
      <c r="M8075" s="62" t="e">
        <f>IF(#REF!&gt;6,3,5)</f>
        <v>#REF!</v>
      </c>
    </row>
    <row r="8076" spans="1:13">
      <c r="A8076" s="768">
        <f t="shared" ref="A8076:A8090" si="649">+A8075+1</f>
        <v>3</v>
      </c>
      <c r="B8076" s="768" t="s">
        <v>1696</v>
      </c>
      <c r="C8076" s="390">
        <v>200000</v>
      </c>
      <c r="D8076" s="390">
        <v>200000</v>
      </c>
      <c r="E8076" s="390">
        <v>200000</v>
      </c>
      <c r="F8076" s="390">
        <f t="shared" ref="F8076:F8090" si="650">SUM(C8076:E8076)</f>
        <v>600000</v>
      </c>
      <c r="G8076" s="390"/>
      <c r="H8076" s="390" t="s">
        <v>1386</v>
      </c>
      <c r="I8076" s="390"/>
      <c r="J8076" s="390"/>
      <c r="K8076" s="734"/>
      <c r="M8076" s="62" t="e">
        <f>IF(#REF!&gt;6,3,5)</f>
        <v>#REF!</v>
      </c>
    </row>
    <row r="8077" spans="1:13">
      <c r="A8077" s="768">
        <f t="shared" si="649"/>
        <v>4</v>
      </c>
      <c r="B8077" s="768" t="s">
        <v>1701</v>
      </c>
      <c r="C8077" s="390" t="s">
        <v>1386</v>
      </c>
      <c r="D8077" s="390" t="s">
        <v>1386</v>
      </c>
      <c r="E8077" s="390" t="s">
        <v>1386</v>
      </c>
      <c r="F8077" s="390">
        <f t="shared" si="650"/>
        <v>0</v>
      </c>
      <c r="G8077" s="390"/>
      <c r="H8077" s="390" t="s">
        <v>1386</v>
      </c>
      <c r="I8077" s="390"/>
      <c r="J8077" s="390"/>
      <c r="K8077" s="734"/>
      <c r="M8077" s="62" t="e">
        <f>IF(#REF!&gt;6,3,5)</f>
        <v>#REF!</v>
      </c>
    </row>
    <row r="8078" spans="1:13">
      <c r="A8078" s="768">
        <f t="shared" si="649"/>
        <v>5</v>
      </c>
      <c r="B8078" s="768" t="s">
        <v>1702</v>
      </c>
      <c r="C8078" s="390">
        <v>500000</v>
      </c>
      <c r="D8078" s="390">
        <v>1000000</v>
      </c>
      <c r="E8078" s="390">
        <v>1000000</v>
      </c>
      <c r="F8078" s="390">
        <f t="shared" si="650"/>
        <v>2500000</v>
      </c>
      <c r="G8078" s="390">
        <v>59800</v>
      </c>
      <c r="H8078" s="390">
        <v>500000</v>
      </c>
      <c r="I8078" s="390">
        <v>416100</v>
      </c>
      <c r="J8078" s="390"/>
      <c r="K8078" s="734"/>
      <c r="M8078" s="62" t="e">
        <f>IF(#REF!&gt;6,3,5)</f>
        <v>#REF!</v>
      </c>
    </row>
    <row r="8079" spans="1:13">
      <c r="A8079" s="768">
        <f t="shared" si="649"/>
        <v>6</v>
      </c>
      <c r="B8079" s="768" t="s">
        <v>1544</v>
      </c>
      <c r="C8079" s="390">
        <v>500000</v>
      </c>
      <c r="D8079" s="390">
        <v>500000</v>
      </c>
      <c r="E8079" s="390">
        <v>500000</v>
      </c>
      <c r="F8079" s="390">
        <f t="shared" si="650"/>
        <v>1500000</v>
      </c>
      <c r="G8079" s="390">
        <v>103000</v>
      </c>
      <c r="H8079" s="390">
        <v>500000</v>
      </c>
      <c r="I8079" s="390">
        <v>40000</v>
      </c>
      <c r="J8079" s="390"/>
      <c r="K8079" s="734"/>
      <c r="M8079" s="62" t="e">
        <f>IF(#REF!&gt;6,3,5)</f>
        <v>#REF!</v>
      </c>
    </row>
    <row r="8080" spans="1:13">
      <c r="A8080" s="768">
        <f t="shared" si="649"/>
        <v>7</v>
      </c>
      <c r="B8080" s="768" t="s">
        <v>897</v>
      </c>
      <c r="C8080" s="390">
        <v>800000</v>
      </c>
      <c r="D8080" s="390">
        <v>1000000</v>
      </c>
      <c r="E8080" s="390">
        <v>1000000</v>
      </c>
      <c r="F8080" s="390">
        <f t="shared" si="650"/>
        <v>2800000</v>
      </c>
      <c r="G8080" s="390">
        <v>223000</v>
      </c>
      <c r="H8080" s="390">
        <v>800000</v>
      </c>
      <c r="I8080" s="390">
        <v>30000</v>
      </c>
      <c r="J8080" s="390"/>
      <c r="K8080" s="734"/>
      <c r="M8080" s="62" t="e">
        <f>IF(#REF!&gt;6,3,5)</f>
        <v>#REF!</v>
      </c>
    </row>
    <row r="8081" spans="1:13">
      <c r="A8081" s="768">
        <f t="shared" si="649"/>
        <v>8</v>
      </c>
      <c r="B8081" s="768" t="s">
        <v>1385</v>
      </c>
      <c r="C8081" s="390" t="s">
        <v>1386</v>
      </c>
      <c r="D8081" s="390" t="s">
        <v>1386</v>
      </c>
      <c r="E8081" s="390" t="s">
        <v>1386</v>
      </c>
      <c r="F8081" s="390">
        <f t="shared" si="650"/>
        <v>0</v>
      </c>
      <c r="G8081" s="390"/>
      <c r="H8081" s="390" t="s">
        <v>1386</v>
      </c>
      <c r="I8081" s="390"/>
      <c r="J8081" s="390"/>
      <c r="K8081" s="734"/>
      <c r="M8081" s="62" t="e">
        <f>IF(#REF!&gt;6,3,5)</f>
        <v>#REF!</v>
      </c>
    </row>
    <row r="8082" spans="1:13">
      <c r="A8082" s="768">
        <f t="shared" si="649"/>
        <v>9</v>
      </c>
      <c r="B8082" s="768" t="s">
        <v>2061</v>
      </c>
      <c r="C8082" s="390" t="s">
        <v>1386</v>
      </c>
      <c r="D8082" s="390" t="s">
        <v>1386</v>
      </c>
      <c r="E8082" s="390" t="s">
        <v>1386</v>
      </c>
      <c r="F8082" s="390">
        <f t="shared" si="650"/>
        <v>0</v>
      </c>
      <c r="G8082" s="390"/>
      <c r="H8082" s="390" t="s">
        <v>1386</v>
      </c>
      <c r="I8082" s="390"/>
      <c r="J8082" s="390"/>
      <c r="K8082" s="734"/>
      <c r="M8082" s="62" t="e">
        <f>IF(#REF!&gt;6,3,5)</f>
        <v>#REF!</v>
      </c>
    </row>
    <row r="8083" spans="1:13">
      <c r="A8083" s="768">
        <f t="shared" si="649"/>
        <v>10</v>
      </c>
      <c r="B8083" s="768" t="s">
        <v>1680</v>
      </c>
      <c r="C8083" s="390">
        <v>700000</v>
      </c>
      <c r="D8083" s="390">
        <v>700000</v>
      </c>
      <c r="E8083" s="390">
        <v>700000</v>
      </c>
      <c r="F8083" s="390">
        <f t="shared" si="650"/>
        <v>2100000</v>
      </c>
      <c r="G8083" s="390"/>
      <c r="H8083" s="390">
        <v>200000</v>
      </c>
      <c r="I8083" s="390"/>
      <c r="J8083" s="390"/>
      <c r="K8083" s="734"/>
      <c r="M8083" s="62" t="e">
        <f>IF(#REF!&gt;6,3,5)</f>
        <v>#REF!</v>
      </c>
    </row>
    <row r="8084" spans="1:13">
      <c r="A8084" s="768">
        <f t="shared" si="649"/>
        <v>11</v>
      </c>
      <c r="B8084" s="768" t="s">
        <v>1681</v>
      </c>
      <c r="C8084" s="390">
        <v>250000</v>
      </c>
      <c r="D8084" s="390">
        <v>100000</v>
      </c>
      <c r="E8084" s="390">
        <v>100000</v>
      </c>
      <c r="F8084" s="390">
        <f t="shared" si="650"/>
        <v>450000</v>
      </c>
      <c r="G8084" s="390"/>
      <c r="H8084" s="390">
        <v>100000</v>
      </c>
      <c r="I8084" s="390">
        <v>40000</v>
      </c>
      <c r="J8084" s="390"/>
      <c r="K8084" s="734"/>
      <c r="M8084" s="62" t="e">
        <f>IF(#REF!&gt;6,3,5)</f>
        <v>#REF!</v>
      </c>
    </row>
    <row r="8085" spans="1:13">
      <c r="A8085" s="768">
        <f t="shared" si="649"/>
        <v>12</v>
      </c>
      <c r="B8085" s="768" t="s">
        <v>1682</v>
      </c>
      <c r="C8085" s="390">
        <v>2500000</v>
      </c>
      <c r="D8085" s="390">
        <v>2500000</v>
      </c>
      <c r="E8085" s="390">
        <v>2500000</v>
      </c>
      <c r="F8085" s="390">
        <f t="shared" si="650"/>
        <v>7500000</v>
      </c>
      <c r="G8085" s="390">
        <v>1688229</v>
      </c>
      <c r="H8085" s="390">
        <v>3000000</v>
      </c>
      <c r="I8085" s="390">
        <v>869604</v>
      </c>
      <c r="J8085" s="390"/>
      <c r="K8085" s="734"/>
      <c r="M8085" s="62" t="e">
        <f>IF(#REF!&gt;6,3,5)</f>
        <v>#REF!</v>
      </c>
    </row>
    <row r="8086" spans="1:13">
      <c r="A8086" s="768">
        <f t="shared" si="649"/>
        <v>13</v>
      </c>
      <c r="B8086" s="768" t="s">
        <v>2249</v>
      </c>
      <c r="C8086" s="390">
        <v>100000</v>
      </c>
      <c r="D8086" s="390">
        <v>100000</v>
      </c>
      <c r="E8086" s="390">
        <v>100000</v>
      </c>
      <c r="F8086" s="390">
        <f t="shared" si="650"/>
        <v>300000</v>
      </c>
      <c r="G8086" s="390"/>
      <c r="H8086" s="390">
        <v>100000</v>
      </c>
      <c r="I8086" s="390"/>
      <c r="J8086" s="390"/>
      <c r="K8086" s="734"/>
      <c r="M8086" s="62" t="e">
        <f>IF(#REF!&gt;6,3,5)</f>
        <v>#REF!</v>
      </c>
    </row>
    <row r="8087" spans="1:13">
      <c r="A8087" s="768">
        <f t="shared" si="649"/>
        <v>14</v>
      </c>
      <c r="B8087" s="768" t="s">
        <v>2118</v>
      </c>
      <c r="C8087" s="390">
        <v>800000</v>
      </c>
      <c r="D8087" s="390">
        <v>800000</v>
      </c>
      <c r="E8087" s="390">
        <v>800000</v>
      </c>
      <c r="F8087" s="390">
        <f t="shared" si="650"/>
        <v>2400000</v>
      </c>
      <c r="G8087" s="390">
        <v>72000</v>
      </c>
      <c r="H8087" s="390">
        <v>250000</v>
      </c>
      <c r="I8087" s="390">
        <v>120000</v>
      </c>
      <c r="J8087" s="390"/>
      <c r="K8087" s="734"/>
      <c r="M8087" s="62" t="e">
        <f>IF(#REF!&gt;6,3,5)</f>
        <v>#REF!</v>
      </c>
    </row>
    <row r="8088" spans="1:13">
      <c r="A8088" s="768">
        <f t="shared" si="649"/>
        <v>15</v>
      </c>
      <c r="B8088" s="773" t="s">
        <v>1634</v>
      </c>
      <c r="C8088" s="390">
        <v>2500000</v>
      </c>
      <c r="D8088" s="390">
        <v>3000000</v>
      </c>
      <c r="E8088" s="390">
        <v>3500000</v>
      </c>
      <c r="F8088" s="390">
        <f t="shared" si="650"/>
        <v>9000000</v>
      </c>
      <c r="G8088" s="390">
        <v>405000</v>
      </c>
      <c r="H8088" s="390">
        <v>1000000</v>
      </c>
      <c r="I8088" s="390">
        <v>304000</v>
      </c>
      <c r="J8088" s="390"/>
      <c r="K8088" s="734"/>
      <c r="M8088" s="62" t="e">
        <f>IF(#REF!&gt;6,3,5)</f>
        <v>#REF!</v>
      </c>
    </row>
    <row r="8089" spans="1:13">
      <c r="A8089" s="768">
        <f t="shared" si="649"/>
        <v>16</v>
      </c>
      <c r="B8089" s="768" t="s">
        <v>2119</v>
      </c>
      <c r="C8089" s="390" t="s">
        <v>1386</v>
      </c>
      <c r="D8089" s="390" t="s">
        <v>1386</v>
      </c>
      <c r="E8089" s="390" t="s">
        <v>1386</v>
      </c>
      <c r="F8089" s="390">
        <f t="shared" si="650"/>
        <v>0</v>
      </c>
      <c r="G8089" s="390"/>
      <c r="H8089" s="390" t="s">
        <v>1386</v>
      </c>
      <c r="I8089" s="390"/>
      <c r="J8089" s="390"/>
      <c r="K8089" s="734"/>
      <c r="M8089" s="62" t="e">
        <f>IF(#REF!&gt;6,3,5)</f>
        <v>#REF!</v>
      </c>
    </row>
    <row r="8090" spans="1:13" ht="38.25">
      <c r="A8090" s="768">
        <f t="shared" si="649"/>
        <v>17</v>
      </c>
      <c r="B8090" s="773" t="s">
        <v>4299</v>
      </c>
      <c r="C8090" s="390">
        <v>8000000</v>
      </c>
      <c r="D8090" s="390">
        <v>5000000</v>
      </c>
      <c r="E8090" s="390">
        <v>7000000</v>
      </c>
      <c r="F8090" s="390">
        <f t="shared" si="650"/>
        <v>20000000</v>
      </c>
      <c r="G8090" s="390"/>
      <c r="H8090" s="390" t="s">
        <v>1386</v>
      </c>
      <c r="I8090" s="390"/>
      <c r="J8090" s="390"/>
      <c r="K8090" s="734"/>
      <c r="M8090" s="62" t="e">
        <f>IF(#REF!&gt;6,3,5)</f>
        <v>#REF!</v>
      </c>
    </row>
    <row r="8091" spans="1:13">
      <c r="A8091" s="768">
        <v>18</v>
      </c>
      <c r="B8091" s="773" t="s">
        <v>4298</v>
      </c>
      <c r="C8091" s="390"/>
      <c r="D8091" s="390"/>
      <c r="E8091" s="390"/>
      <c r="F8091" s="390"/>
      <c r="G8091" s="390"/>
      <c r="H8091" s="390"/>
      <c r="I8091" s="390"/>
      <c r="J8091" s="390"/>
      <c r="K8091" s="734"/>
      <c r="M8091" s="62" t="e">
        <f>IF(#REF!&gt;6,3,5)</f>
        <v>#REF!</v>
      </c>
    </row>
    <row r="8092" spans="1:13">
      <c r="A8092" s="768"/>
      <c r="B8092" s="768"/>
      <c r="C8092" s="390"/>
      <c r="D8092" s="390"/>
      <c r="E8092" s="390"/>
      <c r="F8092" s="390"/>
      <c r="G8092" s="390"/>
      <c r="H8092" s="390"/>
      <c r="I8092" s="390"/>
      <c r="J8092" s="390"/>
      <c r="K8092" s="734"/>
      <c r="M8092" s="62" t="e">
        <f>IF(#REF!&gt;6,3,5)</f>
        <v>#REF!</v>
      </c>
    </row>
    <row r="8093" spans="1:13">
      <c r="A8093" s="768"/>
      <c r="B8093" s="768"/>
      <c r="C8093" s="390"/>
      <c r="D8093" s="390"/>
      <c r="E8093" s="390"/>
      <c r="F8093" s="390"/>
      <c r="G8093" s="390"/>
      <c r="H8093" s="390"/>
      <c r="I8093" s="390"/>
      <c r="J8093" s="390"/>
      <c r="K8093" s="734"/>
      <c r="M8093" s="62" t="e">
        <f>IF(#REF!&gt;6,3,5)</f>
        <v>#REF!</v>
      </c>
    </row>
    <row r="8094" spans="1:13">
      <c r="A8094" s="770"/>
      <c r="B8094" s="770" t="s">
        <v>2120</v>
      </c>
      <c r="C8094" s="739">
        <f t="shared" ref="C8094:I8094" si="651">SUM(C8074:C8093)</f>
        <v>17850000</v>
      </c>
      <c r="D8094" s="739">
        <f t="shared" si="651"/>
        <v>16400000</v>
      </c>
      <c r="E8094" s="739">
        <f t="shared" si="651"/>
        <v>18900000</v>
      </c>
      <c r="F8094" s="739">
        <f t="shared" si="651"/>
        <v>53150000</v>
      </c>
      <c r="G8094" s="739">
        <f>SUM(G8074:G8093)</f>
        <v>2576029</v>
      </c>
      <c r="H8094" s="739">
        <f t="shared" si="651"/>
        <v>7950000</v>
      </c>
      <c r="I8094" s="739">
        <f t="shared" si="651"/>
        <v>2594204</v>
      </c>
      <c r="J8094" s="739"/>
      <c r="K8094" s="740"/>
      <c r="M8094" s="62" t="e">
        <f>IF(#REF!&gt;6,3,5)</f>
        <v>#REF!</v>
      </c>
    </row>
    <row r="8095" spans="1:13" ht="15">
      <c r="J8095" s="584"/>
      <c r="K8095" s="584"/>
      <c r="M8095" s="62">
        <f t="shared" si="647"/>
        <v>5</v>
      </c>
    </row>
    <row r="8096" spans="1:13" ht="15">
      <c r="C8096" s="77"/>
      <c r="D8096" s="78" t="s">
        <v>5434</v>
      </c>
      <c r="J8096" s="584"/>
      <c r="K8096" s="584"/>
      <c r="M8096" s="62">
        <f t="shared" si="647"/>
        <v>5</v>
      </c>
    </row>
    <row r="8097" spans="1:13" ht="15">
      <c r="C8097" s="77"/>
      <c r="D8097" s="78" t="s">
        <v>1693</v>
      </c>
      <c r="J8097" s="584"/>
      <c r="K8097" s="584"/>
      <c r="M8097" s="62">
        <f t="shared" si="647"/>
        <v>5</v>
      </c>
    </row>
    <row r="8098" spans="1:13" ht="15">
      <c r="C8098" s="79" t="s">
        <v>717</v>
      </c>
      <c r="D8098" s="78" t="s">
        <v>4247</v>
      </c>
      <c r="J8098" s="584"/>
      <c r="K8098" s="584"/>
      <c r="M8098" s="62">
        <f t="shared" si="647"/>
        <v>3</v>
      </c>
    </row>
    <row r="8099" spans="1:13" ht="15.75" thickBot="1">
      <c r="C8099" s="79" t="s">
        <v>718</v>
      </c>
      <c r="D8099" s="78" t="s">
        <v>2255</v>
      </c>
      <c r="J8099" s="584"/>
      <c r="K8099" s="584"/>
      <c r="M8099" s="62">
        <f t="shared" ref="M8099:M8164" si="652">IF(C8099&gt;6,3,5)</f>
        <v>3</v>
      </c>
    </row>
    <row r="8100" spans="1:13" ht="15.75" thickTop="1">
      <c r="A8100" s="1047" t="s">
        <v>2791</v>
      </c>
      <c r="B8100" s="1049" t="s">
        <v>4126</v>
      </c>
      <c r="C8100" s="1049" t="s">
        <v>854</v>
      </c>
      <c r="D8100" s="1040" t="s">
        <v>4127</v>
      </c>
      <c r="E8100" s="1041"/>
      <c r="F8100" s="1041"/>
      <c r="G8100" s="1040" t="s">
        <v>904</v>
      </c>
      <c r="H8100" s="1041"/>
      <c r="I8100" s="1042"/>
      <c r="J8100" s="1035" t="s">
        <v>855</v>
      </c>
      <c r="K8100" s="389"/>
    </row>
    <row r="8101" spans="1:13" ht="26.25" thickBot="1">
      <c r="A8101" s="1048"/>
      <c r="B8101" s="1050"/>
      <c r="C8101" s="1050"/>
      <c r="D8101" s="285" t="s">
        <v>5505</v>
      </c>
      <c r="E8101" s="285" t="s">
        <v>4485</v>
      </c>
      <c r="F8101" s="285" t="s">
        <v>4486</v>
      </c>
      <c r="G8101" s="287" t="s">
        <v>4487</v>
      </c>
      <c r="H8101" s="285" t="s">
        <v>4488</v>
      </c>
      <c r="I8101" s="287" t="s">
        <v>4489</v>
      </c>
      <c r="J8101" s="1036"/>
      <c r="K8101" s="712"/>
    </row>
    <row r="8102" spans="1:13" ht="13.5" thickTop="1">
      <c r="A8102" s="88"/>
      <c r="B8102" s="90" t="s">
        <v>2740</v>
      </c>
      <c r="C8102" s="69"/>
      <c r="D8102" s="89"/>
      <c r="E8102" s="89"/>
      <c r="F8102" s="89"/>
      <c r="G8102" s="89"/>
      <c r="H8102" s="89"/>
      <c r="I8102" s="89"/>
      <c r="J8102" s="713"/>
      <c r="K8102" s="711"/>
      <c r="M8102" s="62">
        <f t="shared" si="652"/>
        <v>5</v>
      </c>
    </row>
    <row r="8103" spans="1:13">
      <c r="A8103" s="88">
        <f>+A8102+1</f>
        <v>1</v>
      </c>
      <c r="B8103" s="69" t="s">
        <v>3532</v>
      </c>
      <c r="C8103" s="69">
        <v>16</v>
      </c>
      <c r="D8103" s="89">
        <v>2</v>
      </c>
      <c r="E8103" s="89">
        <v>1</v>
      </c>
      <c r="F8103" s="89">
        <v>1</v>
      </c>
      <c r="G8103" s="89">
        <v>1</v>
      </c>
      <c r="H8103" s="89">
        <v>1</v>
      </c>
      <c r="I8103" s="89">
        <v>1</v>
      </c>
      <c r="J8103" s="710">
        <f>(VLOOKUP($C8103,[2]Sheet1!$A$2:$P$18,$M8103+1)/12)*12*D8103</f>
        <v>1354562.52168</v>
      </c>
      <c r="K8103" s="711"/>
      <c r="M8103" s="62">
        <f t="shared" si="652"/>
        <v>3</v>
      </c>
    </row>
    <row r="8104" spans="1:13">
      <c r="A8104" s="88">
        <f>+A8103+1</f>
        <v>2</v>
      </c>
      <c r="B8104" s="69" t="s">
        <v>1848</v>
      </c>
      <c r="C8104" s="69">
        <v>14</v>
      </c>
      <c r="D8104" s="89">
        <v>10</v>
      </c>
      <c r="E8104" s="89">
        <v>15</v>
      </c>
      <c r="F8104" s="89">
        <v>10</v>
      </c>
      <c r="G8104" s="89">
        <v>10</v>
      </c>
      <c r="H8104" s="89">
        <v>10</v>
      </c>
      <c r="I8104" s="89">
        <v>10</v>
      </c>
      <c r="J8104" s="710">
        <f>(VLOOKUP($C8104,[2]Sheet1!$A$2:$P$18,$M8104+1)/12)*12*D8104</f>
        <v>6690994.0823999997</v>
      </c>
      <c r="K8104" s="711"/>
      <c r="M8104" s="62">
        <f t="shared" si="652"/>
        <v>3</v>
      </c>
    </row>
    <row r="8105" spans="1:13">
      <c r="A8105" s="88">
        <f t="shared" ref="A8105:A8163" si="653">+A8104+1</f>
        <v>3</v>
      </c>
      <c r="B8105" s="69" t="s">
        <v>1849</v>
      </c>
      <c r="C8105" s="69">
        <v>13</v>
      </c>
      <c r="D8105" s="89">
        <v>21</v>
      </c>
      <c r="E8105" s="89">
        <v>25</v>
      </c>
      <c r="F8105" s="89">
        <v>21</v>
      </c>
      <c r="G8105" s="89">
        <v>21</v>
      </c>
      <c r="H8105" s="89">
        <v>21</v>
      </c>
      <c r="I8105" s="89">
        <v>21</v>
      </c>
      <c r="J8105" s="710">
        <f>(VLOOKUP($C8105,[2]Sheet1!$A$2:$P$18,$M8105+1)/12)*12*D8105</f>
        <v>13203950.298840001</v>
      </c>
      <c r="K8105" s="711"/>
      <c r="M8105" s="62">
        <f t="shared" si="652"/>
        <v>3</v>
      </c>
    </row>
    <row r="8106" spans="1:13">
      <c r="A8106" s="88">
        <f t="shared" si="653"/>
        <v>4</v>
      </c>
      <c r="B8106" s="69" t="s">
        <v>1850</v>
      </c>
      <c r="C8106" s="69">
        <v>12</v>
      </c>
      <c r="D8106" s="89">
        <v>25</v>
      </c>
      <c r="E8106" s="89">
        <v>30</v>
      </c>
      <c r="F8106" s="89">
        <v>23</v>
      </c>
      <c r="G8106" s="89">
        <v>23</v>
      </c>
      <c r="H8106" s="89">
        <v>23</v>
      </c>
      <c r="I8106" s="89">
        <v>23</v>
      </c>
      <c r="J8106" s="710">
        <f>(VLOOKUP($C8106,[2]Sheet1!$A$2:$P$18,$M8106+1)/12)*12*D8106</f>
        <v>13817126.343000006</v>
      </c>
      <c r="K8106" s="711"/>
      <c r="M8106" s="62">
        <f t="shared" si="652"/>
        <v>3</v>
      </c>
    </row>
    <row r="8107" spans="1:13">
      <c r="A8107" s="88">
        <f t="shared" si="653"/>
        <v>5</v>
      </c>
      <c r="B8107" s="69" t="s">
        <v>557</v>
      </c>
      <c r="C8107" s="69">
        <v>10</v>
      </c>
      <c r="D8107" s="89">
        <v>35</v>
      </c>
      <c r="E8107" s="89">
        <v>27</v>
      </c>
      <c r="F8107" s="89">
        <v>33</v>
      </c>
      <c r="G8107" s="89">
        <v>33</v>
      </c>
      <c r="H8107" s="89">
        <v>33</v>
      </c>
      <c r="I8107" s="89">
        <v>33</v>
      </c>
      <c r="J8107" s="710">
        <f>(VLOOKUP($C8107,[2]Sheet1!$A$2:$P$18,$M8107+1)/12)*12*D8107</f>
        <v>16939109.905200005</v>
      </c>
      <c r="K8107" s="711"/>
      <c r="M8107" s="62">
        <f t="shared" si="652"/>
        <v>3</v>
      </c>
    </row>
    <row r="8108" spans="1:13">
      <c r="A8108" s="88">
        <f t="shared" si="653"/>
        <v>6</v>
      </c>
      <c r="B8108" s="69" t="s">
        <v>558</v>
      </c>
      <c r="C8108" s="69">
        <v>9</v>
      </c>
      <c r="D8108" s="89">
        <v>30</v>
      </c>
      <c r="E8108" s="89">
        <v>30</v>
      </c>
      <c r="F8108" s="89">
        <v>20</v>
      </c>
      <c r="G8108" s="89">
        <v>20</v>
      </c>
      <c r="H8108" s="89">
        <v>20</v>
      </c>
      <c r="I8108" s="89">
        <v>20</v>
      </c>
      <c r="J8108" s="710">
        <f>(VLOOKUP($C8108,[2]Sheet1!$A$2:$P$18,$M8108+1)/12)*12*D8108</f>
        <v>12290457.185999999</v>
      </c>
      <c r="K8108" s="711"/>
      <c r="M8108" s="62">
        <f t="shared" si="652"/>
        <v>3</v>
      </c>
    </row>
    <row r="8109" spans="1:13">
      <c r="A8109" s="88">
        <f t="shared" si="653"/>
        <v>7</v>
      </c>
      <c r="B8109" s="69" t="s">
        <v>4036</v>
      </c>
      <c r="C8109" s="69">
        <v>8</v>
      </c>
      <c r="D8109" s="89">
        <v>45</v>
      </c>
      <c r="E8109" s="89">
        <v>35</v>
      </c>
      <c r="F8109" s="89">
        <v>45</v>
      </c>
      <c r="G8109" s="89">
        <v>45</v>
      </c>
      <c r="H8109" s="89">
        <v>45</v>
      </c>
      <c r="I8109" s="89">
        <v>45</v>
      </c>
      <c r="J8109" s="710">
        <f>(VLOOKUP($C8109,[2]Sheet1!$A$2:$P$18,$M8109+1)/12)*12*D8109</f>
        <v>15396357.3336</v>
      </c>
      <c r="K8109" s="711"/>
      <c r="M8109" s="62">
        <f t="shared" si="652"/>
        <v>3</v>
      </c>
    </row>
    <row r="8110" spans="1:13">
      <c r="A8110" s="88">
        <f t="shared" si="653"/>
        <v>8</v>
      </c>
      <c r="B8110" s="69" t="s">
        <v>2492</v>
      </c>
      <c r="C8110" s="69">
        <v>7</v>
      </c>
      <c r="D8110" s="89">
        <v>30</v>
      </c>
      <c r="E8110" s="89">
        <v>31</v>
      </c>
      <c r="F8110" s="89">
        <v>21</v>
      </c>
      <c r="G8110" s="89">
        <v>21</v>
      </c>
      <c r="H8110" s="89">
        <v>21</v>
      </c>
      <c r="I8110" s="89">
        <v>21</v>
      </c>
      <c r="J8110" s="710">
        <f>(VLOOKUP($C8110,[2]Sheet1!$A$2:$P$18,$M8110+1)/12)*12*D8110</f>
        <v>9231201.0720000025</v>
      </c>
      <c r="K8110" s="711"/>
      <c r="M8110" s="62">
        <f t="shared" si="652"/>
        <v>3</v>
      </c>
    </row>
    <row r="8111" spans="1:13">
      <c r="A8111" s="88">
        <f t="shared" si="653"/>
        <v>9</v>
      </c>
      <c r="B8111" s="69" t="s">
        <v>3538</v>
      </c>
      <c r="C8111" s="69">
        <v>6</v>
      </c>
      <c r="D8111" s="89">
        <v>46</v>
      </c>
      <c r="E8111" s="89">
        <v>30</v>
      </c>
      <c r="F8111" s="89">
        <v>46</v>
      </c>
      <c r="G8111" s="89">
        <v>46</v>
      </c>
      <c r="H8111" s="89">
        <v>46</v>
      </c>
      <c r="I8111" s="89">
        <v>46</v>
      </c>
      <c r="J8111" s="710">
        <f>(VLOOKUP($C8111,[2]Sheet1!$A$2:$P$18,$M8111+1)/12)*12*D8111</f>
        <v>10952571.430796789</v>
      </c>
      <c r="K8111" s="711"/>
      <c r="M8111" s="62">
        <f t="shared" si="652"/>
        <v>5</v>
      </c>
    </row>
    <row r="8112" spans="1:13">
      <c r="A8112" s="88">
        <f t="shared" si="653"/>
        <v>10</v>
      </c>
      <c r="B8112" s="69" t="s">
        <v>4037</v>
      </c>
      <c r="C8112" s="69">
        <v>5</v>
      </c>
      <c r="D8112" s="69">
        <v>6</v>
      </c>
      <c r="E8112" s="89">
        <v>30</v>
      </c>
      <c r="F8112" s="69">
        <v>6</v>
      </c>
      <c r="G8112" s="69">
        <v>6</v>
      </c>
      <c r="H8112" s="69">
        <v>6</v>
      </c>
      <c r="I8112" s="69">
        <v>6</v>
      </c>
      <c r="J8112" s="710">
        <f>(VLOOKUP($C8112,[2]Sheet1!$A$2:$P$18,$M8112+1)/12)*12*D8112</f>
        <v>1377418.6735821899</v>
      </c>
      <c r="K8112" s="711"/>
      <c r="M8112" s="62">
        <f t="shared" si="652"/>
        <v>5</v>
      </c>
    </row>
    <row r="8113" spans="1:13">
      <c r="A8113" s="88">
        <f t="shared" si="653"/>
        <v>11</v>
      </c>
      <c r="B8113" s="69" t="s">
        <v>2360</v>
      </c>
      <c r="C8113" s="69">
        <v>4</v>
      </c>
      <c r="D8113" s="69">
        <v>40</v>
      </c>
      <c r="E8113" s="89">
        <v>30</v>
      </c>
      <c r="F8113" s="69">
        <v>35</v>
      </c>
      <c r="G8113" s="69">
        <v>35</v>
      </c>
      <c r="H8113" s="69">
        <v>35</v>
      </c>
      <c r="I8113" s="69">
        <v>35</v>
      </c>
      <c r="J8113" s="710">
        <f>(VLOOKUP($C8113,[2]Sheet1!$A$2:$P$18,$M8113+1)/12)*12*D8113</f>
        <v>8981719.1572146006</v>
      </c>
      <c r="K8113" s="711"/>
      <c r="M8113" s="62">
        <f t="shared" si="652"/>
        <v>5</v>
      </c>
    </row>
    <row r="8114" spans="1:13">
      <c r="A8114" s="88">
        <f t="shared" si="653"/>
        <v>12</v>
      </c>
      <c r="B8114" s="69" t="s">
        <v>4030</v>
      </c>
      <c r="C8114" s="69">
        <v>3</v>
      </c>
      <c r="D8114" s="69">
        <v>104</v>
      </c>
      <c r="E8114" s="89">
        <v>80</v>
      </c>
      <c r="F8114" s="69">
        <v>104</v>
      </c>
      <c r="G8114" s="69">
        <v>104</v>
      </c>
      <c r="H8114" s="69">
        <v>104</v>
      </c>
      <c r="I8114" s="69">
        <v>104</v>
      </c>
      <c r="J8114" s="710">
        <f>(VLOOKUP($C8114,[2]Sheet1!$A$2:$P$18,$M8114+1)/12)*12*D8114</f>
        <v>22810962.608757958</v>
      </c>
      <c r="K8114" s="711"/>
      <c r="M8114" s="62">
        <f t="shared" si="652"/>
        <v>5</v>
      </c>
    </row>
    <row r="8115" spans="1:13">
      <c r="A8115" s="88">
        <f t="shared" si="653"/>
        <v>13</v>
      </c>
      <c r="B8115" s="69" t="s">
        <v>4038</v>
      </c>
      <c r="C8115" s="69">
        <v>14</v>
      </c>
      <c r="D8115" s="89">
        <v>0</v>
      </c>
      <c r="E8115" s="89">
        <v>0</v>
      </c>
      <c r="F8115" s="89">
        <v>0</v>
      </c>
      <c r="G8115" s="89">
        <v>0</v>
      </c>
      <c r="H8115" s="89">
        <v>0</v>
      </c>
      <c r="I8115" s="89">
        <v>0</v>
      </c>
      <c r="J8115" s="710">
        <f>(VLOOKUP($C8115,[2]Sheet1!$A$2:$P$18,$M8115+1)/12)*12*D8115</f>
        <v>0</v>
      </c>
      <c r="K8115" s="711"/>
      <c r="M8115" s="62">
        <f t="shared" si="652"/>
        <v>3</v>
      </c>
    </row>
    <row r="8116" spans="1:13">
      <c r="A8116" s="88">
        <f t="shared" si="653"/>
        <v>14</v>
      </c>
      <c r="B8116" s="69" t="s">
        <v>4039</v>
      </c>
      <c r="C8116" s="69">
        <v>13</v>
      </c>
      <c r="D8116" s="69">
        <v>6</v>
      </c>
      <c r="E8116" s="89">
        <v>6</v>
      </c>
      <c r="F8116" s="69">
        <v>6</v>
      </c>
      <c r="G8116" s="69">
        <v>6</v>
      </c>
      <c r="H8116" s="69">
        <v>6</v>
      </c>
      <c r="I8116" s="69">
        <v>6</v>
      </c>
      <c r="J8116" s="710">
        <f>(VLOOKUP($C8116,[2]Sheet1!$A$2:$P$18,$M8116+1)/12)*12*D8116</f>
        <v>3772557.2282400001</v>
      </c>
      <c r="K8116" s="711"/>
      <c r="M8116" s="62">
        <f t="shared" si="652"/>
        <v>3</v>
      </c>
    </row>
    <row r="8117" spans="1:13">
      <c r="A8117" s="88">
        <f t="shared" si="653"/>
        <v>15</v>
      </c>
      <c r="B8117" s="69" t="s">
        <v>4092</v>
      </c>
      <c r="C8117" s="69">
        <v>12</v>
      </c>
      <c r="D8117" s="69">
        <v>8</v>
      </c>
      <c r="E8117" s="89">
        <v>12</v>
      </c>
      <c r="F8117" s="69">
        <v>8</v>
      </c>
      <c r="G8117" s="69">
        <v>8</v>
      </c>
      <c r="H8117" s="69">
        <v>8</v>
      </c>
      <c r="I8117" s="69">
        <v>8</v>
      </c>
      <c r="J8117" s="710">
        <f>(VLOOKUP($C8117,[2]Sheet1!$A$2:$P$18,$M8117+1)/12)*12*D8117</f>
        <v>4421480.4297600016</v>
      </c>
      <c r="K8117" s="711"/>
      <c r="M8117" s="62">
        <f t="shared" si="652"/>
        <v>3</v>
      </c>
    </row>
    <row r="8118" spans="1:13">
      <c r="A8118" s="88">
        <f t="shared" si="653"/>
        <v>16</v>
      </c>
      <c r="B8118" s="69" t="s">
        <v>2201</v>
      </c>
      <c r="C8118" s="69">
        <v>10</v>
      </c>
      <c r="D8118" s="69">
        <v>6</v>
      </c>
      <c r="E8118" s="89">
        <v>9</v>
      </c>
      <c r="F8118" s="69">
        <v>6</v>
      </c>
      <c r="G8118" s="69">
        <v>6</v>
      </c>
      <c r="H8118" s="69">
        <v>6</v>
      </c>
      <c r="I8118" s="69">
        <v>6</v>
      </c>
      <c r="J8118" s="710">
        <f>(VLOOKUP($C8118,[2]Sheet1!$A$2:$P$18,$M8118+1)/12)*12*D8118</f>
        <v>2903847.4123200006</v>
      </c>
      <c r="K8118" s="711"/>
      <c r="M8118" s="62">
        <f t="shared" si="652"/>
        <v>3</v>
      </c>
    </row>
    <row r="8119" spans="1:13">
      <c r="A8119" s="88">
        <f t="shared" si="653"/>
        <v>17</v>
      </c>
      <c r="B8119" s="69" t="s">
        <v>4004</v>
      </c>
      <c r="C8119" s="69">
        <v>9</v>
      </c>
      <c r="D8119" s="69">
        <v>4</v>
      </c>
      <c r="E8119" s="89">
        <v>6</v>
      </c>
      <c r="F8119" s="69">
        <v>4</v>
      </c>
      <c r="G8119" s="69">
        <v>4</v>
      </c>
      <c r="H8119" s="69">
        <v>4</v>
      </c>
      <c r="I8119" s="69">
        <v>4</v>
      </c>
      <c r="J8119" s="710">
        <f>(VLOOKUP($C8119,[2]Sheet1!$A$2:$P$18,$M8119+1)/12)*12*D8119</f>
        <v>1638727.6247999999</v>
      </c>
      <c r="K8119" s="711"/>
      <c r="M8119" s="62">
        <f t="shared" si="652"/>
        <v>3</v>
      </c>
    </row>
    <row r="8120" spans="1:13">
      <c r="A8120" s="88">
        <f t="shared" si="653"/>
        <v>18</v>
      </c>
      <c r="B8120" s="69" t="s">
        <v>4005</v>
      </c>
      <c r="C8120" s="69">
        <v>8</v>
      </c>
      <c r="D8120" s="69">
        <v>6</v>
      </c>
      <c r="E8120" s="89">
        <v>8</v>
      </c>
      <c r="F8120" s="69">
        <v>6</v>
      </c>
      <c r="G8120" s="69">
        <v>6</v>
      </c>
      <c r="H8120" s="69">
        <v>6</v>
      </c>
      <c r="I8120" s="69">
        <v>6</v>
      </c>
      <c r="J8120" s="710">
        <f>(VLOOKUP($C8120,[2]Sheet1!$A$2:$P$18,$M8120+1)/12)*12*D8120</f>
        <v>2052847.64448</v>
      </c>
      <c r="K8120" s="711"/>
      <c r="M8120" s="62">
        <f t="shared" si="652"/>
        <v>3</v>
      </c>
    </row>
    <row r="8121" spans="1:13">
      <c r="A8121" s="88">
        <f t="shared" si="653"/>
        <v>19</v>
      </c>
      <c r="B8121" s="69" t="s">
        <v>239</v>
      </c>
      <c r="C8121" s="69">
        <v>7</v>
      </c>
      <c r="D8121" s="69">
        <v>8</v>
      </c>
      <c r="E8121" s="89">
        <v>10</v>
      </c>
      <c r="F8121" s="69">
        <v>8</v>
      </c>
      <c r="G8121" s="69">
        <v>8</v>
      </c>
      <c r="H8121" s="69">
        <v>8</v>
      </c>
      <c r="I8121" s="69">
        <v>8</v>
      </c>
      <c r="J8121" s="710">
        <f>(VLOOKUP($C8121,[2]Sheet1!$A$2:$P$18,$M8121+1)/12)*12*D8121</f>
        <v>2461653.6192000005</v>
      </c>
      <c r="K8121" s="711"/>
      <c r="M8121" s="62">
        <f t="shared" si="652"/>
        <v>3</v>
      </c>
    </row>
    <row r="8122" spans="1:13">
      <c r="A8122" s="88">
        <f t="shared" si="653"/>
        <v>20</v>
      </c>
      <c r="B8122" s="69" t="s">
        <v>3175</v>
      </c>
      <c r="C8122" s="69">
        <v>6</v>
      </c>
      <c r="D8122" s="69">
        <v>12</v>
      </c>
      <c r="E8122" s="89">
        <v>15</v>
      </c>
      <c r="F8122" s="69">
        <v>12</v>
      </c>
      <c r="G8122" s="69">
        <v>12</v>
      </c>
      <c r="H8122" s="69">
        <v>12</v>
      </c>
      <c r="I8122" s="69">
        <v>12</v>
      </c>
      <c r="J8122" s="710">
        <f>(VLOOKUP($C8122,[2]Sheet1!$A$2:$P$18,$M8122+1)/12)*12*D8122</f>
        <v>2857192.5471643796</v>
      </c>
      <c r="K8122" s="711"/>
      <c r="M8122" s="62">
        <f t="shared" si="652"/>
        <v>5</v>
      </c>
    </row>
    <row r="8123" spans="1:13">
      <c r="A8123" s="88">
        <f t="shared" si="653"/>
        <v>21</v>
      </c>
      <c r="B8123" s="69" t="s">
        <v>3896</v>
      </c>
      <c r="C8123" s="69">
        <v>6</v>
      </c>
      <c r="D8123" s="69">
        <v>18</v>
      </c>
      <c r="E8123" s="89">
        <v>18</v>
      </c>
      <c r="F8123" s="69">
        <v>18</v>
      </c>
      <c r="G8123" s="69">
        <v>18</v>
      </c>
      <c r="H8123" s="69">
        <v>18</v>
      </c>
      <c r="I8123" s="69">
        <v>18</v>
      </c>
      <c r="J8123" s="710">
        <f>(VLOOKUP($C8123,[2]Sheet1!$A$2:$P$18,$M8123+1)/12)*12*D8123</f>
        <v>4285788.820746569</v>
      </c>
      <c r="K8123" s="711"/>
      <c r="M8123" s="62">
        <f t="shared" si="652"/>
        <v>5</v>
      </c>
    </row>
    <row r="8124" spans="1:13">
      <c r="A8124" s="88">
        <f t="shared" si="653"/>
        <v>22</v>
      </c>
      <c r="B8124" s="69" t="s">
        <v>1441</v>
      </c>
      <c r="C8124" s="69">
        <v>8</v>
      </c>
      <c r="D8124" s="69">
        <v>16</v>
      </c>
      <c r="E8124" s="89">
        <v>20</v>
      </c>
      <c r="F8124" s="69">
        <v>16</v>
      </c>
      <c r="G8124" s="69">
        <v>16</v>
      </c>
      <c r="H8124" s="69">
        <v>16</v>
      </c>
      <c r="I8124" s="69">
        <v>16</v>
      </c>
      <c r="J8124" s="710">
        <f>(VLOOKUP($C8124,[2]Sheet1!$A$2:$P$18,$M8124+1)/12)*12*D8124</f>
        <v>5474260.38528</v>
      </c>
      <c r="K8124" s="711"/>
      <c r="M8124" s="62">
        <f t="shared" si="652"/>
        <v>3</v>
      </c>
    </row>
    <row r="8125" spans="1:13">
      <c r="A8125" s="88">
        <f t="shared" si="653"/>
        <v>23</v>
      </c>
      <c r="B8125" s="69" t="s">
        <v>2572</v>
      </c>
      <c r="C8125" s="69">
        <v>7</v>
      </c>
      <c r="D8125" s="89">
        <v>0</v>
      </c>
      <c r="E8125" s="89">
        <v>3</v>
      </c>
      <c r="F8125" s="89">
        <v>0</v>
      </c>
      <c r="G8125" s="89">
        <v>0</v>
      </c>
      <c r="H8125" s="89">
        <v>0</v>
      </c>
      <c r="I8125" s="89">
        <v>0</v>
      </c>
      <c r="J8125" s="710">
        <f>(VLOOKUP($C8125,[2]Sheet1!$A$2:$P$18,$M8125+1)/12)*12*D8125</f>
        <v>0</v>
      </c>
      <c r="K8125" s="711"/>
      <c r="M8125" s="62">
        <f t="shared" si="652"/>
        <v>3</v>
      </c>
    </row>
    <row r="8126" spans="1:13">
      <c r="A8126" s="88">
        <f t="shared" si="653"/>
        <v>24</v>
      </c>
      <c r="B8126" s="69" t="s">
        <v>3998</v>
      </c>
      <c r="C8126" s="69">
        <v>6</v>
      </c>
      <c r="D8126" s="69">
        <v>5</v>
      </c>
      <c r="E8126" s="89">
        <v>8</v>
      </c>
      <c r="F8126" s="69">
        <v>5</v>
      </c>
      <c r="G8126" s="69">
        <v>5</v>
      </c>
      <c r="H8126" s="69">
        <v>5</v>
      </c>
      <c r="I8126" s="69">
        <v>5</v>
      </c>
      <c r="J8126" s="710">
        <f>(VLOOKUP($C8126,[2]Sheet1!$A$2:$P$18,$M8126+1)/12)*12*D8126</f>
        <v>1190496.8946518248</v>
      </c>
      <c r="K8126" s="711"/>
      <c r="M8126" s="62">
        <f t="shared" si="652"/>
        <v>5</v>
      </c>
    </row>
    <row r="8127" spans="1:13">
      <c r="A8127" s="88">
        <f t="shared" si="653"/>
        <v>25</v>
      </c>
      <c r="B8127" s="69" t="s">
        <v>3999</v>
      </c>
      <c r="C8127" s="69">
        <v>5</v>
      </c>
      <c r="D8127" s="69">
        <v>8</v>
      </c>
      <c r="E8127" s="89">
        <v>9</v>
      </c>
      <c r="F8127" s="69">
        <v>8</v>
      </c>
      <c r="G8127" s="69">
        <v>8</v>
      </c>
      <c r="H8127" s="69">
        <v>8</v>
      </c>
      <c r="I8127" s="69">
        <v>8</v>
      </c>
      <c r="J8127" s="710">
        <f>(VLOOKUP($C8127,[2]Sheet1!$A$2:$P$18,$M8127+1)/12)*12*D8127</f>
        <v>1836558.2314429199</v>
      </c>
      <c r="K8127" s="711"/>
      <c r="M8127" s="62">
        <f t="shared" si="652"/>
        <v>5</v>
      </c>
    </row>
    <row r="8128" spans="1:13">
      <c r="A8128" s="88">
        <f t="shared" si="653"/>
        <v>26</v>
      </c>
      <c r="B8128" s="69" t="s">
        <v>4006</v>
      </c>
      <c r="C8128" s="69">
        <v>4</v>
      </c>
      <c r="D8128" s="69">
        <v>5</v>
      </c>
      <c r="E8128" s="89">
        <v>9</v>
      </c>
      <c r="F8128" s="69">
        <v>5</v>
      </c>
      <c r="G8128" s="69">
        <v>5</v>
      </c>
      <c r="H8128" s="69">
        <v>5</v>
      </c>
      <c r="I8128" s="69">
        <v>5</v>
      </c>
      <c r="J8128" s="710">
        <f>(VLOOKUP($C8128,[2]Sheet1!$A$2:$P$18,$M8128+1)/12)*12*D8128</f>
        <v>1122714.8946518251</v>
      </c>
      <c r="K8128" s="711"/>
      <c r="M8128" s="62">
        <f t="shared" si="652"/>
        <v>5</v>
      </c>
    </row>
    <row r="8129" spans="1:13">
      <c r="A8129" s="88">
        <f t="shared" si="653"/>
        <v>27</v>
      </c>
      <c r="B8129" s="69" t="s">
        <v>3250</v>
      </c>
      <c r="C8129" s="69">
        <v>7</v>
      </c>
      <c r="D8129" s="69">
        <v>1</v>
      </c>
      <c r="E8129" s="89">
        <v>1</v>
      </c>
      <c r="F8129" s="69">
        <v>1</v>
      </c>
      <c r="G8129" s="69">
        <v>1</v>
      </c>
      <c r="H8129" s="69">
        <v>1</v>
      </c>
      <c r="I8129" s="69">
        <v>1</v>
      </c>
      <c r="J8129" s="710">
        <f>(VLOOKUP($C8129,[2]Sheet1!$A$2:$P$18,$M8129+1)/12)*12*D8129</f>
        <v>307706.70240000007</v>
      </c>
      <c r="K8129" s="711"/>
      <c r="M8129" s="62">
        <f t="shared" si="652"/>
        <v>3</v>
      </c>
    </row>
    <row r="8130" spans="1:13">
      <c r="A8130" s="88">
        <f t="shared" si="653"/>
        <v>28</v>
      </c>
      <c r="B8130" s="69" t="s">
        <v>2766</v>
      </c>
      <c r="C8130" s="69">
        <v>6</v>
      </c>
      <c r="D8130" s="89">
        <v>1</v>
      </c>
      <c r="E8130" s="89">
        <v>3</v>
      </c>
      <c r="F8130" s="89">
        <v>1</v>
      </c>
      <c r="G8130" s="89">
        <v>1</v>
      </c>
      <c r="H8130" s="89">
        <v>1</v>
      </c>
      <c r="I8130" s="89">
        <v>1</v>
      </c>
      <c r="J8130" s="710">
        <f>(VLOOKUP($C8130,[2]Sheet1!$A$2:$P$18,$M8130+1)/12)*12*D8130</f>
        <v>238099.37893036497</v>
      </c>
      <c r="K8130" s="711"/>
      <c r="M8130" s="62">
        <f t="shared" si="652"/>
        <v>5</v>
      </c>
    </row>
    <row r="8131" spans="1:13">
      <c r="A8131" s="88">
        <f t="shared" si="653"/>
        <v>29</v>
      </c>
      <c r="B8131" s="69" t="s">
        <v>1186</v>
      </c>
      <c r="C8131" s="69">
        <v>5</v>
      </c>
      <c r="D8131" s="89">
        <v>2</v>
      </c>
      <c r="E8131" s="89">
        <v>2</v>
      </c>
      <c r="F8131" s="89">
        <v>2</v>
      </c>
      <c r="G8131" s="89">
        <v>2</v>
      </c>
      <c r="H8131" s="89">
        <v>2</v>
      </c>
      <c r="I8131" s="89">
        <v>2</v>
      </c>
      <c r="J8131" s="710">
        <f>(VLOOKUP($C8131,[2]Sheet1!$A$2:$P$18,$M8131+1)/12)*12*D8131</f>
        <v>459139.55786072998</v>
      </c>
      <c r="K8131" s="711"/>
      <c r="M8131" s="62">
        <f t="shared" si="652"/>
        <v>5</v>
      </c>
    </row>
    <row r="8132" spans="1:13">
      <c r="A8132" s="88">
        <f t="shared" si="653"/>
        <v>30</v>
      </c>
      <c r="B8132" s="69" t="s">
        <v>3252</v>
      </c>
      <c r="C8132" s="69">
        <v>3</v>
      </c>
      <c r="D8132" s="89">
        <v>1</v>
      </c>
      <c r="E8132" s="89">
        <v>1</v>
      </c>
      <c r="F8132" s="89">
        <v>1</v>
      </c>
      <c r="G8132" s="89">
        <v>1</v>
      </c>
      <c r="H8132" s="89">
        <v>1</v>
      </c>
      <c r="I8132" s="89">
        <v>1</v>
      </c>
      <c r="J8132" s="710">
        <f>(VLOOKUP($C8132,[2]Sheet1!$A$2:$P$18,$M8132+1)/12)*12*D8132</f>
        <v>219336.17893036499</v>
      </c>
      <c r="K8132" s="711"/>
      <c r="M8132" s="62">
        <f t="shared" si="652"/>
        <v>5</v>
      </c>
    </row>
    <row r="8133" spans="1:13">
      <c r="A8133" s="88">
        <f t="shared" si="653"/>
        <v>31</v>
      </c>
      <c r="B8133" s="69" t="s">
        <v>2179</v>
      </c>
      <c r="C8133" s="69">
        <v>4</v>
      </c>
      <c r="D8133" s="89">
        <v>1</v>
      </c>
      <c r="E8133" s="89">
        <v>1</v>
      </c>
      <c r="F8133" s="89">
        <v>1</v>
      </c>
      <c r="G8133" s="89">
        <v>1</v>
      </c>
      <c r="H8133" s="89">
        <v>1</v>
      </c>
      <c r="I8133" s="89">
        <v>1</v>
      </c>
      <c r="J8133" s="710">
        <f>(VLOOKUP($C8133,[2]Sheet1!$A$2:$P$18,$M8133+1)/12)*12*D8133</f>
        <v>224542.978930365</v>
      </c>
      <c r="K8133" s="711"/>
      <c r="M8133" s="62">
        <f t="shared" si="652"/>
        <v>5</v>
      </c>
    </row>
    <row r="8134" spans="1:13">
      <c r="A8134" s="88">
        <f t="shared" si="653"/>
        <v>32</v>
      </c>
      <c r="B8134" s="69" t="s">
        <v>2542</v>
      </c>
      <c r="C8134" s="69">
        <v>3</v>
      </c>
      <c r="D8134" s="89">
        <v>2</v>
      </c>
      <c r="E8134" s="89">
        <v>5</v>
      </c>
      <c r="F8134" s="89">
        <v>2</v>
      </c>
      <c r="G8134" s="89">
        <v>2</v>
      </c>
      <c r="H8134" s="89">
        <v>2</v>
      </c>
      <c r="I8134" s="89">
        <v>2</v>
      </c>
      <c r="J8134" s="710">
        <f>(VLOOKUP($C8134,[2]Sheet1!$A$2:$P$18,$M8134+1)/12)*12*D8134</f>
        <v>438672.35786072997</v>
      </c>
      <c r="K8134" s="711"/>
      <c r="M8134" s="62">
        <f t="shared" si="652"/>
        <v>5</v>
      </c>
    </row>
    <row r="8135" spans="1:13">
      <c r="A8135" s="88">
        <f t="shared" si="653"/>
        <v>33</v>
      </c>
      <c r="B8135" s="69" t="s">
        <v>2543</v>
      </c>
      <c r="C8135" s="69">
        <v>2</v>
      </c>
      <c r="D8135" s="89">
        <v>12</v>
      </c>
      <c r="E8135" s="89">
        <v>5</v>
      </c>
      <c r="F8135" s="89">
        <v>12</v>
      </c>
      <c r="G8135" s="89">
        <v>12</v>
      </c>
      <c r="H8135" s="89">
        <v>12</v>
      </c>
      <c r="I8135" s="89">
        <v>12</v>
      </c>
      <c r="J8135" s="710">
        <f>(VLOOKUP($C8135,[2]Sheet1!$A$2:$P$18,$M8135+1)/12)*12*D8135</f>
        <v>2575888.5471643806</v>
      </c>
      <c r="K8135" s="711"/>
      <c r="M8135" s="62">
        <f t="shared" si="652"/>
        <v>5</v>
      </c>
    </row>
    <row r="8136" spans="1:13">
      <c r="A8136" s="88">
        <f t="shared" si="653"/>
        <v>34</v>
      </c>
      <c r="B8136" s="69" t="s">
        <v>2364</v>
      </c>
      <c r="C8136" s="69">
        <v>2</v>
      </c>
      <c r="D8136" s="89">
        <v>4</v>
      </c>
      <c r="E8136" s="89">
        <v>0</v>
      </c>
      <c r="F8136" s="89">
        <v>4</v>
      </c>
      <c r="G8136" s="89">
        <v>4</v>
      </c>
      <c r="H8136" s="89">
        <v>4</v>
      </c>
      <c r="I8136" s="89">
        <v>4</v>
      </c>
      <c r="J8136" s="710">
        <f>(VLOOKUP($C8136,[2]Sheet1!$A$2:$P$18,$M8136+1)/12)*12*D8136</f>
        <v>858629.51572146011</v>
      </c>
      <c r="K8136" s="711"/>
      <c r="M8136" s="62">
        <f t="shared" si="652"/>
        <v>5</v>
      </c>
    </row>
    <row r="8137" spans="1:13">
      <c r="A8137" s="88">
        <f t="shared" si="653"/>
        <v>35</v>
      </c>
      <c r="B8137" s="69" t="s">
        <v>3253</v>
      </c>
      <c r="C8137" s="69">
        <v>2</v>
      </c>
      <c r="D8137" s="89">
        <v>2</v>
      </c>
      <c r="E8137" s="89">
        <v>1</v>
      </c>
      <c r="F8137" s="89">
        <v>2</v>
      </c>
      <c r="G8137" s="89">
        <v>2</v>
      </c>
      <c r="H8137" s="89">
        <v>2</v>
      </c>
      <c r="I8137" s="89">
        <v>2</v>
      </c>
      <c r="J8137" s="710">
        <f>(VLOOKUP($C8137,[2]Sheet1!$A$2:$P$18,$M8137+1)/12)*12*D8137</f>
        <v>429314.75786073005</v>
      </c>
      <c r="K8137" s="711"/>
      <c r="M8137" s="62">
        <f t="shared" si="652"/>
        <v>5</v>
      </c>
    </row>
    <row r="8138" spans="1:13" ht="13.5" thickBot="1">
      <c r="A8138" s="88">
        <f t="shared" si="653"/>
        <v>36</v>
      </c>
      <c r="B8138" s="69" t="s">
        <v>3256</v>
      </c>
      <c r="C8138" s="69">
        <v>2</v>
      </c>
      <c r="D8138" s="89">
        <v>2</v>
      </c>
      <c r="E8138" s="89">
        <v>1</v>
      </c>
      <c r="F8138" s="89">
        <v>2</v>
      </c>
      <c r="G8138" s="89">
        <v>2</v>
      </c>
      <c r="H8138" s="89">
        <v>2</v>
      </c>
      <c r="I8138" s="89">
        <v>2</v>
      </c>
      <c r="J8138" s="710">
        <f>(VLOOKUP($C8138,[2]Sheet1!$A$2:$P$18,$M8138+1)/12)*12*D8138</f>
        <v>429314.75786073005</v>
      </c>
      <c r="K8138" s="711"/>
      <c r="M8138" s="62">
        <f t="shared" si="652"/>
        <v>5</v>
      </c>
    </row>
    <row r="8139" spans="1:13" ht="15.75" thickTop="1">
      <c r="A8139" s="1047" t="s">
        <v>2791</v>
      </c>
      <c r="B8139" s="1049" t="s">
        <v>4126</v>
      </c>
      <c r="C8139" s="1049" t="s">
        <v>854</v>
      </c>
      <c r="D8139" s="1040" t="s">
        <v>4127</v>
      </c>
      <c r="E8139" s="1041"/>
      <c r="F8139" s="1041"/>
      <c r="G8139" s="1040" t="s">
        <v>904</v>
      </c>
      <c r="H8139" s="1041"/>
      <c r="I8139" s="1042"/>
      <c r="J8139" s="1035" t="s">
        <v>855</v>
      </c>
      <c r="K8139" s="389"/>
    </row>
    <row r="8140" spans="1:13" ht="26.25" thickBot="1">
      <c r="A8140" s="1048"/>
      <c r="B8140" s="1050"/>
      <c r="C8140" s="1050"/>
      <c r="D8140" s="285" t="s">
        <v>5505</v>
      </c>
      <c r="E8140" s="285" t="s">
        <v>4485</v>
      </c>
      <c r="F8140" s="285" t="s">
        <v>4486</v>
      </c>
      <c r="G8140" s="287" t="s">
        <v>4487</v>
      </c>
      <c r="H8140" s="285" t="s">
        <v>4488</v>
      </c>
      <c r="I8140" s="287" t="s">
        <v>4489</v>
      </c>
      <c r="J8140" s="1036"/>
      <c r="K8140" s="712"/>
    </row>
    <row r="8141" spans="1:13" ht="13.5" thickTop="1">
      <c r="A8141" s="88">
        <f>+A8138+1</f>
        <v>37</v>
      </c>
      <c r="B8141" s="69" t="s">
        <v>3674</v>
      </c>
      <c r="C8141" s="69">
        <v>2</v>
      </c>
      <c r="D8141" s="89">
        <v>6</v>
      </c>
      <c r="E8141" s="89">
        <v>3</v>
      </c>
      <c r="F8141" s="89">
        <v>6</v>
      </c>
      <c r="G8141" s="89">
        <v>6</v>
      </c>
      <c r="H8141" s="89">
        <v>6</v>
      </c>
      <c r="I8141" s="89">
        <v>6</v>
      </c>
      <c r="J8141" s="710">
        <f>(VLOOKUP($C8141,[2]Sheet1!$A$2:$P$18,$M8141+1)/12)*12*D8141</f>
        <v>1287944.2735821903</v>
      </c>
      <c r="K8141" s="711"/>
      <c r="M8141" s="62">
        <f t="shared" si="652"/>
        <v>5</v>
      </c>
    </row>
    <row r="8142" spans="1:13">
      <c r="A8142" s="88">
        <f>+A8141+1</f>
        <v>38</v>
      </c>
      <c r="B8142" s="69" t="s">
        <v>2172</v>
      </c>
      <c r="C8142" s="69">
        <v>2</v>
      </c>
      <c r="D8142" s="89">
        <v>6</v>
      </c>
      <c r="E8142" s="89">
        <v>2</v>
      </c>
      <c r="F8142" s="89">
        <v>6</v>
      </c>
      <c r="G8142" s="89">
        <v>6</v>
      </c>
      <c r="H8142" s="89">
        <v>6</v>
      </c>
      <c r="I8142" s="89">
        <v>6</v>
      </c>
      <c r="J8142" s="710">
        <f>(VLOOKUP($C8142,[2]Sheet1!$A$2:$P$18,$M8142+1)/12)*12*D8142</f>
        <v>1287944.2735821903</v>
      </c>
      <c r="K8142" s="711"/>
      <c r="M8142" s="62">
        <f t="shared" si="652"/>
        <v>5</v>
      </c>
    </row>
    <row r="8143" spans="1:13">
      <c r="A8143" s="88"/>
      <c r="B8143" s="90" t="s">
        <v>1487</v>
      </c>
      <c r="C8143" s="69"/>
      <c r="D8143" s="89"/>
      <c r="E8143" s="89"/>
      <c r="F8143" s="89"/>
      <c r="G8143" s="89"/>
      <c r="H8143" s="89"/>
      <c r="I8143" s="89"/>
      <c r="J8143" s="710"/>
      <c r="K8143" s="711"/>
      <c r="M8143" s="62">
        <f t="shared" si="652"/>
        <v>5</v>
      </c>
    </row>
    <row r="8144" spans="1:13">
      <c r="A8144" s="88">
        <f>+A8142+1</f>
        <v>39</v>
      </c>
      <c r="B8144" s="69" t="s">
        <v>4000</v>
      </c>
      <c r="C8144" s="69">
        <v>7</v>
      </c>
      <c r="D8144" s="89">
        <v>0</v>
      </c>
      <c r="E8144" s="89">
        <v>1</v>
      </c>
      <c r="F8144" s="89">
        <v>0</v>
      </c>
      <c r="G8144" s="89">
        <v>0</v>
      </c>
      <c r="H8144" s="89">
        <v>0</v>
      </c>
      <c r="I8144" s="89">
        <v>0</v>
      </c>
      <c r="J8144" s="710">
        <f>(VLOOKUP($C8144,[2]Sheet1!$A$2:$P$18,$M8144+1)/12)*12*D8144</f>
        <v>0</v>
      </c>
      <c r="K8144" s="711"/>
      <c r="M8144" s="62">
        <f t="shared" si="652"/>
        <v>3</v>
      </c>
    </row>
    <row r="8145" spans="1:13">
      <c r="A8145" s="88">
        <f t="shared" si="653"/>
        <v>40</v>
      </c>
      <c r="B8145" s="69" t="s">
        <v>2932</v>
      </c>
      <c r="C8145" s="69">
        <v>6</v>
      </c>
      <c r="D8145" s="89">
        <v>1</v>
      </c>
      <c r="E8145" s="89">
        <v>1</v>
      </c>
      <c r="F8145" s="89">
        <v>1</v>
      </c>
      <c r="G8145" s="89">
        <v>1</v>
      </c>
      <c r="H8145" s="89">
        <v>1</v>
      </c>
      <c r="I8145" s="89">
        <v>1</v>
      </c>
      <c r="J8145" s="710">
        <f>(VLOOKUP($C8145,[2]Sheet1!$A$2:$P$18,$M8145+1)/12)*12*D8145</f>
        <v>238099.37893036497</v>
      </c>
      <c r="K8145" s="711"/>
      <c r="M8145" s="62">
        <f t="shared" si="652"/>
        <v>5</v>
      </c>
    </row>
    <row r="8146" spans="1:13">
      <c r="A8146" s="88">
        <f t="shared" si="653"/>
        <v>41</v>
      </c>
      <c r="B8146" s="69" t="s">
        <v>3778</v>
      </c>
      <c r="C8146" s="69">
        <v>3</v>
      </c>
      <c r="D8146" s="89">
        <v>0</v>
      </c>
      <c r="E8146" s="89"/>
      <c r="F8146" s="89">
        <v>0</v>
      </c>
      <c r="G8146" s="89">
        <v>0</v>
      </c>
      <c r="H8146" s="89">
        <v>0</v>
      </c>
      <c r="I8146" s="89">
        <v>0</v>
      </c>
      <c r="J8146" s="710">
        <f>(VLOOKUP($C8146,[2]Sheet1!$A$2:$P$18,$M8146+1)/12)*12*D8146</f>
        <v>0</v>
      </c>
      <c r="K8146" s="711"/>
      <c r="M8146" s="62">
        <f t="shared" si="652"/>
        <v>5</v>
      </c>
    </row>
    <row r="8147" spans="1:13">
      <c r="A8147" s="88"/>
      <c r="B8147" s="90" t="s">
        <v>4001</v>
      </c>
      <c r="C8147" s="69"/>
      <c r="D8147" s="89"/>
      <c r="E8147" s="89"/>
      <c r="F8147" s="89"/>
      <c r="G8147" s="89"/>
      <c r="H8147" s="89"/>
      <c r="I8147" s="89"/>
      <c r="J8147" s="710"/>
      <c r="K8147" s="711"/>
      <c r="M8147" s="62">
        <f t="shared" si="652"/>
        <v>5</v>
      </c>
    </row>
    <row r="8148" spans="1:13">
      <c r="A8148" s="88">
        <f>+A8146+1</f>
        <v>42</v>
      </c>
      <c r="B8148" s="69" t="s">
        <v>2784</v>
      </c>
      <c r="C8148" s="69">
        <v>7</v>
      </c>
      <c r="D8148" s="89">
        <v>0</v>
      </c>
      <c r="E8148" s="89">
        <v>0</v>
      </c>
      <c r="F8148" s="89">
        <v>0</v>
      </c>
      <c r="G8148" s="89">
        <v>0</v>
      </c>
      <c r="H8148" s="89">
        <v>0</v>
      </c>
      <c r="I8148" s="89">
        <v>0</v>
      </c>
      <c r="J8148" s="710">
        <f>(VLOOKUP($C8148,[2]Sheet1!$A$2:$P$18,$M8148+1)/12)*12*D8148</f>
        <v>0</v>
      </c>
      <c r="K8148" s="711"/>
      <c r="M8148" s="62">
        <f t="shared" si="652"/>
        <v>3</v>
      </c>
    </row>
    <row r="8149" spans="1:13">
      <c r="A8149" s="88">
        <f t="shared" si="653"/>
        <v>43</v>
      </c>
      <c r="B8149" s="69" t="s">
        <v>741</v>
      </c>
      <c r="C8149" s="69">
        <v>6</v>
      </c>
      <c r="D8149" s="89">
        <v>0</v>
      </c>
      <c r="E8149" s="89">
        <v>0</v>
      </c>
      <c r="F8149" s="89">
        <v>0</v>
      </c>
      <c r="G8149" s="89">
        <v>0</v>
      </c>
      <c r="H8149" s="89">
        <v>0</v>
      </c>
      <c r="I8149" s="89">
        <v>0</v>
      </c>
      <c r="J8149" s="710">
        <f>(VLOOKUP($C8149,[2]Sheet1!$A$2:$P$18,$M8149+1)/12)*12*D8149</f>
        <v>0</v>
      </c>
      <c r="K8149" s="711"/>
      <c r="M8149" s="62">
        <f t="shared" si="652"/>
        <v>5</v>
      </c>
    </row>
    <row r="8150" spans="1:13">
      <c r="A8150" s="88">
        <f t="shared" si="653"/>
        <v>44</v>
      </c>
      <c r="B8150" s="69" t="s">
        <v>741</v>
      </c>
      <c r="C8150" s="69">
        <v>6</v>
      </c>
      <c r="D8150" s="89">
        <v>0</v>
      </c>
      <c r="E8150" s="89">
        <v>0</v>
      </c>
      <c r="F8150" s="89">
        <v>0</v>
      </c>
      <c r="G8150" s="89">
        <v>0</v>
      </c>
      <c r="H8150" s="89">
        <v>0</v>
      </c>
      <c r="I8150" s="89">
        <v>0</v>
      </c>
      <c r="J8150" s="710">
        <f>(VLOOKUP($C8150,[2]Sheet1!$A$2:$P$18,$M8150+1)/12)*12*D8150</f>
        <v>0</v>
      </c>
      <c r="K8150" s="711"/>
      <c r="M8150" s="62">
        <f t="shared" si="652"/>
        <v>5</v>
      </c>
    </row>
    <row r="8151" spans="1:13">
      <c r="A8151" s="88">
        <f>+A8150+1</f>
        <v>45</v>
      </c>
      <c r="B8151" s="69" t="s">
        <v>4002</v>
      </c>
      <c r="C8151" s="69">
        <v>5</v>
      </c>
      <c r="D8151" s="89">
        <v>0</v>
      </c>
      <c r="E8151" s="89">
        <v>0</v>
      </c>
      <c r="F8151" s="89">
        <v>0</v>
      </c>
      <c r="G8151" s="89">
        <v>0</v>
      </c>
      <c r="H8151" s="89">
        <v>0</v>
      </c>
      <c r="I8151" s="89">
        <v>0</v>
      </c>
      <c r="J8151" s="710">
        <f>(VLOOKUP($C8151,[2]Sheet1!$A$2:$P$18,$M8151+1)/12)*12*D8151</f>
        <v>0</v>
      </c>
      <c r="K8151" s="711"/>
      <c r="M8151" s="62">
        <f t="shared" si="652"/>
        <v>5</v>
      </c>
    </row>
    <row r="8152" spans="1:13">
      <c r="A8152" s="88">
        <f t="shared" si="653"/>
        <v>46</v>
      </c>
      <c r="B8152" s="69" t="s">
        <v>4003</v>
      </c>
      <c r="C8152" s="69">
        <v>4</v>
      </c>
      <c r="D8152" s="89">
        <v>0</v>
      </c>
      <c r="E8152" s="89">
        <v>0</v>
      </c>
      <c r="F8152" s="89">
        <v>0</v>
      </c>
      <c r="G8152" s="89">
        <v>0</v>
      </c>
      <c r="H8152" s="89">
        <v>0</v>
      </c>
      <c r="I8152" s="89">
        <v>0</v>
      </c>
      <c r="J8152" s="710">
        <f>(VLOOKUP($C8152,[2]Sheet1!$A$2:$P$18,$M8152+1)/12)*12*D8152</f>
        <v>0</v>
      </c>
      <c r="K8152" s="711"/>
      <c r="M8152" s="62">
        <f t="shared" si="652"/>
        <v>5</v>
      </c>
    </row>
    <row r="8153" spans="1:13">
      <c r="A8153" s="88">
        <f t="shared" si="653"/>
        <v>47</v>
      </c>
      <c r="B8153" s="69" t="s">
        <v>4043</v>
      </c>
      <c r="C8153" s="69">
        <v>3</v>
      </c>
      <c r="D8153" s="89">
        <v>0</v>
      </c>
      <c r="E8153" s="89">
        <v>0</v>
      </c>
      <c r="F8153" s="89">
        <v>0</v>
      </c>
      <c r="G8153" s="89">
        <v>0</v>
      </c>
      <c r="H8153" s="89">
        <v>0</v>
      </c>
      <c r="I8153" s="89">
        <v>0</v>
      </c>
      <c r="J8153" s="710">
        <f>(VLOOKUP($C8153,[2]Sheet1!$A$2:$P$18,$M8153+1)/12)*12*D8153</f>
        <v>0</v>
      </c>
      <c r="K8153" s="711"/>
      <c r="M8153" s="62">
        <f t="shared" si="652"/>
        <v>5</v>
      </c>
    </row>
    <row r="8154" spans="1:13">
      <c r="A8154" s="88"/>
      <c r="B8154" s="90" t="s">
        <v>1635</v>
      </c>
      <c r="C8154" s="69"/>
      <c r="D8154" s="89"/>
      <c r="E8154" s="89"/>
      <c r="F8154" s="89"/>
      <c r="G8154" s="89"/>
      <c r="H8154" s="89"/>
      <c r="I8154" s="89"/>
      <c r="J8154" s="710"/>
      <c r="K8154" s="711"/>
      <c r="M8154" s="62">
        <f t="shared" si="652"/>
        <v>5</v>
      </c>
    </row>
    <row r="8155" spans="1:13">
      <c r="A8155" s="88">
        <f>+A8153+1</f>
        <v>48</v>
      </c>
      <c r="B8155" s="69" t="s">
        <v>3532</v>
      </c>
      <c r="C8155" s="69">
        <v>16</v>
      </c>
      <c r="D8155" s="89">
        <v>1</v>
      </c>
      <c r="E8155" s="89">
        <v>1</v>
      </c>
      <c r="F8155" s="89">
        <v>1</v>
      </c>
      <c r="G8155" s="89">
        <v>1</v>
      </c>
      <c r="H8155" s="89">
        <v>1</v>
      </c>
      <c r="I8155" s="89">
        <v>1</v>
      </c>
      <c r="J8155" s="710">
        <f>(VLOOKUP($C8155,[2]Sheet1!$A$2:$P$18,$M8155+1)/12)*12*D8155</f>
        <v>677281.26084</v>
      </c>
      <c r="K8155" s="711"/>
      <c r="M8155" s="62">
        <f t="shared" si="652"/>
        <v>3</v>
      </c>
    </row>
    <row r="8156" spans="1:13">
      <c r="A8156" s="88">
        <f t="shared" si="653"/>
        <v>49</v>
      </c>
      <c r="B8156" s="69" t="s">
        <v>1636</v>
      </c>
      <c r="C8156" s="69">
        <v>14</v>
      </c>
      <c r="D8156" s="89">
        <v>2</v>
      </c>
      <c r="E8156" s="89">
        <v>2</v>
      </c>
      <c r="F8156" s="89">
        <v>2</v>
      </c>
      <c r="G8156" s="89">
        <v>2</v>
      </c>
      <c r="H8156" s="89">
        <v>2</v>
      </c>
      <c r="I8156" s="89">
        <v>2</v>
      </c>
      <c r="J8156" s="710">
        <f>(VLOOKUP($C8156,[2]Sheet1!$A$2:$P$18,$M8156+1)/12)*12*D8156</f>
        <v>1338198.81648</v>
      </c>
      <c r="K8156" s="711"/>
      <c r="M8156" s="62">
        <f t="shared" si="652"/>
        <v>3</v>
      </c>
    </row>
    <row r="8157" spans="1:13">
      <c r="A8157" s="88">
        <f t="shared" si="653"/>
        <v>50</v>
      </c>
      <c r="B8157" s="69" t="s">
        <v>2360</v>
      </c>
      <c r="C8157" s="69">
        <v>4</v>
      </c>
      <c r="D8157" s="89">
        <v>0</v>
      </c>
      <c r="E8157" s="89">
        <v>0</v>
      </c>
      <c r="F8157" s="89">
        <v>0</v>
      </c>
      <c r="G8157" s="89">
        <v>0</v>
      </c>
      <c r="H8157" s="89">
        <v>0</v>
      </c>
      <c r="I8157" s="89">
        <v>0</v>
      </c>
      <c r="J8157" s="710">
        <f>(VLOOKUP($C8157,[2]Sheet1!$A$2:$P$18,$M8157+1)/12)*12*D8157</f>
        <v>0</v>
      </c>
      <c r="K8157" s="711"/>
      <c r="M8157" s="62">
        <f t="shared" si="652"/>
        <v>5</v>
      </c>
    </row>
    <row r="8158" spans="1:13">
      <c r="A8158" s="88"/>
      <c r="B8158" s="90" t="s">
        <v>1101</v>
      </c>
      <c r="C8158" s="69"/>
      <c r="D8158" s="89"/>
      <c r="E8158" s="89"/>
      <c r="F8158" s="89"/>
      <c r="G8158" s="89"/>
      <c r="H8158" s="89"/>
      <c r="I8158" s="89"/>
      <c r="J8158" s="710"/>
      <c r="K8158" s="711"/>
      <c r="M8158" s="62">
        <f t="shared" si="652"/>
        <v>5</v>
      </c>
    </row>
    <row r="8159" spans="1:13">
      <c r="A8159" s="88">
        <f>+A8157+1</f>
        <v>51</v>
      </c>
      <c r="B8159" s="69" t="s">
        <v>3532</v>
      </c>
      <c r="C8159" s="69">
        <v>16</v>
      </c>
      <c r="D8159" s="89">
        <v>1</v>
      </c>
      <c r="E8159" s="89">
        <v>1</v>
      </c>
      <c r="F8159" s="89">
        <v>1</v>
      </c>
      <c r="G8159" s="89">
        <v>1</v>
      </c>
      <c r="H8159" s="89">
        <v>1</v>
      </c>
      <c r="I8159" s="89">
        <v>1</v>
      </c>
      <c r="J8159" s="710">
        <f>(VLOOKUP($C8159,[2]Sheet1!$A$2:$P$18,$M8159+1)/12)*12*D8159</f>
        <v>677281.26084</v>
      </c>
      <c r="K8159" s="711"/>
      <c r="M8159" s="62">
        <f t="shared" si="652"/>
        <v>3</v>
      </c>
    </row>
    <row r="8160" spans="1:13">
      <c r="A8160" s="88">
        <f t="shared" si="653"/>
        <v>52</v>
      </c>
      <c r="B8160" s="69" t="s">
        <v>1256</v>
      </c>
      <c r="C8160" s="69">
        <v>15</v>
      </c>
      <c r="D8160" s="89">
        <v>1</v>
      </c>
      <c r="E8160" s="89">
        <v>1</v>
      </c>
      <c r="F8160" s="89">
        <v>1</v>
      </c>
      <c r="G8160" s="89">
        <v>1</v>
      </c>
      <c r="H8160" s="89">
        <v>1</v>
      </c>
      <c r="I8160" s="89">
        <v>1</v>
      </c>
      <c r="J8160" s="710">
        <f>(VLOOKUP($C8160,[2]Sheet1!$A$2:$P$18,$M8160+1)/12)*12*D8160</f>
        <v>658331.89992</v>
      </c>
      <c r="K8160" s="711"/>
      <c r="M8160" s="62">
        <f t="shared" si="652"/>
        <v>3</v>
      </c>
    </row>
    <row r="8161" spans="1:13">
      <c r="A8161" s="88">
        <f t="shared" si="653"/>
        <v>53</v>
      </c>
      <c r="B8161" s="69" t="s">
        <v>3533</v>
      </c>
      <c r="C8161" s="69">
        <v>14</v>
      </c>
      <c r="D8161" s="89">
        <v>0</v>
      </c>
      <c r="E8161" s="89">
        <v>1</v>
      </c>
      <c r="F8161" s="89">
        <v>0</v>
      </c>
      <c r="G8161" s="89">
        <v>0</v>
      </c>
      <c r="H8161" s="89">
        <v>0</v>
      </c>
      <c r="I8161" s="89">
        <v>0</v>
      </c>
      <c r="J8161" s="710">
        <f>(VLOOKUP($C8161,[2]Sheet1!$A$2:$P$18,$M8161+1)/12)*12*D8161</f>
        <v>0</v>
      </c>
      <c r="K8161" s="711"/>
      <c r="M8161" s="62">
        <f t="shared" si="652"/>
        <v>3</v>
      </c>
    </row>
    <row r="8162" spans="1:13">
      <c r="A8162" s="88">
        <f t="shared" si="653"/>
        <v>54</v>
      </c>
      <c r="B8162" s="69" t="s">
        <v>4030</v>
      </c>
      <c r="C8162" s="69">
        <v>3</v>
      </c>
      <c r="D8162" s="89">
        <v>0</v>
      </c>
      <c r="E8162" s="89">
        <v>1</v>
      </c>
      <c r="F8162" s="89">
        <v>0</v>
      </c>
      <c r="G8162" s="89">
        <v>0</v>
      </c>
      <c r="H8162" s="89">
        <v>0</v>
      </c>
      <c r="I8162" s="89">
        <v>0</v>
      </c>
      <c r="J8162" s="710">
        <f>(VLOOKUP($C8162,[2]Sheet1!$A$2:$P$18,$M8162+1)/12)*12*D8162</f>
        <v>0</v>
      </c>
      <c r="K8162" s="711"/>
      <c r="M8162" s="62">
        <f t="shared" si="652"/>
        <v>5</v>
      </c>
    </row>
    <row r="8163" spans="1:13">
      <c r="A8163" s="88">
        <f t="shared" si="653"/>
        <v>55</v>
      </c>
      <c r="B8163" s="69" t="s">
        <v>1006</v>
      </c>
      <c r="C8163" s="69">
        <v>6</v>
      </c>
      <c r="D8163" s="89">
        <v>0</v>
      </c>
      <c r="E8163" s="89">
        <v>10</v>
      </c>
      <c r="F8163" s="89">
        <v>0</v>
      </c>
      <c r="G8163" s="89">
        <v>0</v>
      </c>
      <c r="H8163" s="89">
        <v>0</v>
      </c>
      <c r="I8163" s="89">
        <v>0</v>
      </c>
      <c r="J8163" s="710">
        <f>(VLOOKUP($C8163,[2]Sheet1!$A$2:$P$18,$M8163+1)/12)*12*D8163</f>
        <v>0</v>
      </c>
      <c r="K8163" s="711"/>
      <c r="M8163" s="62">
        <f t="shared" si="652"/>
        <v>5</v>
      </c>
    </row>
    <row r="8164" spans="1:13" ht="15">
      <c r="A8164" s="88"/>
      <c r="B8164" s="1066" t="s">
        <v>1007</v>
      </c>
      <c r="C8164" s="1067"/>
      <c r="D8164" s="89"/>
      <c r="E8164" s="89"/>
      <c r="F8164" s="89"/>
      <c r="G8164" s="89"/>
      <c r="H8164" s="89"/>
      <c r="I8164" s="89"/>
      <c r="J8164" s="710"/>
      <c r="K8164" s="711"/>
      <c r="M8164" s="62">
        <f t="shared" si="652"/>
        <v>5</v>
      </c>
    </row>
    <row r="8165" spans="1:13">
      <c r="A8165" s="88">
        <f>+A8163+1</f>
        <v>56</v>
      </c>
      <c r="B8165" s="69" t="s">
        <v>3532</v>
      </c>
      <c r="C8165" s="69">
        <v>16</v>
      </c>
      <c r="D8165" s="89">
        <v>1</v>
      </c>
      <c r="E8165" s="89">
        <v>1</v>
      </c>
      <c r="F8165" s="89">
        <v>1</v>
      </c>
      <c r="G8165" s="89">
        <v>1</v>
      </c>
      <c r="H8165" s="89">
        <v>1</v>
      </c>
      <c r="I8165" s="89">
        <v>1</v>
      </c>
      <c r="J8165" s="710">
        <f>(VLOOKUP($C8165,[2]Sheet1!$A$2:$P$18,$M8165+1)/12)*12*D8165</f>
        <v>677281.26084</v>
      </c>
      <c r="K8165" s="711"/>
      <c r="M8165" s="62">
        <f t="shared" ref="M8165:M8203" si="654">IF(C8165&gt;6,3,5)</f>
        <v>3</v>
      </c>
    </row>
    <row r="8166" spans="1:13">
      <c r="A8166" s="88">
        <f t="shared" ref="A8166:A8181" si="655">+A8165+1</f>
        <v>57</v>
      </c>
      <c r="B8166" s="69" t="s">
        <v>1256</v>
      </c>
      <c r="C8166" s="69">
        <v>15</v>
      </c>
      <c r="D8166" s="89">
        <v>0</v>
      </c>
      <c r="E8166" s="89">
        <v>0</v>
      </c>
      <c r="F8166" s="89">
        <v>0</v>
      </c>
      <c r="G8166" s="89">
        <v>0</v>
      </c>
      <c r="H8166" s="89">
        <v>0</v>
      </c>
      <c r="I8166" s="89">
        <v>0</v>
      </c>
      <c r="J8166" s="710">
        <f>(VLOOKUP($C8166,[2]Sheet1!$A$2:$P$18,$M8166+1)/12)*12*D8166</f>
        <v>0</v>
      </c>
      <c r="K8166" s="711"/>
      <c r="M8166" s="62">
        <f t="shared" si="654"/>
        <v>3</v>
      </c>
    </row>
    <row r="8167" spans="1:13">
      <c r="A8167" s="88">
        <f t="shared" si="655"/>
        <v>58</v>
      </c>
      <c r="B8167" s="69" t="s">
        <v>1008</v>
      </c>
      <c r="C8167" s="69">
        <v>12</v>
      </c>
      <c r="D8167" s="89">
        <v>0</v>
      </c>
      <c r="E8167" s="89">
        <v>0</v>
      </c>
      <c r="F8167" s="89">
        <v>0</v>
      </c>
      <c r="G8167" s="89">
        <v>0</v>
      </c>
      <c r="H8167" s="89">
        <v>0</v>
      </c>
      <c r="I8167" s="89">
        <v>0</v>
      </c>
      <c r="J8167" s="710">
        <f>(VLOOKUP($C8167,[2]Sheet1!$A$2:$P$18,$M8167+1)/12)*12*D8167</f>
        <v>0</v>
      </c>
      <c r="K8167" s="711"/>
      <c r="M8167" s="62">
        <f t="shared" si="654"/>
        <v>3</v>
      </c>
    </row>
    <row r="8168" spans="1:13">
      <c r="A8168" s="88">
        <f t="shared" si="655"/>
        <v>59</v>
      </c>
      <c r="B8168" s="69" t="s">
        <v>1456</v>
      </c>
      <c r="C8168" s="69">
        <v>10</v>
      </c>
      <c r="D8168" s="89">
        <v>0</v>
      </c>
      <c r="E8168" s="89">
        <v>0</v>
      </c>
      <c r="F8168" s="89">
        <v>0</v>
      </c>
      <c r="G8168" s="89">
        <v>0</v>
      </c>
      <c r="H8168" s="89">
        <v>0</v>
      </c>
      <c r="I8168" s="89">
        <v>0</v>
      </c>
      <c r="J8168" s="710">
        <f>(VLOOKUP($C8168,[2]Sheet1!$A$2:$P$18,$M8168+1)/12)*12*D8168</f>
        <v>0</v>
      </c>
      <c r="K8168" s="711"/>
      <c r="M8168" s="62">
        <f t="shared" si="654"/>
        <v>3</v>
      </c>
    </row>
    <row r="8169" spans="1:13">
      <c r="A8169" s="88">
        <f t="shared" si="655"/>
        <v>60</v>
      </c>
      <c r="B8169" s="69" t="s">
        <v>1360</v>
      </c>
      <c r="C8169" s="69">
        <v>8</v>
      </c>
      <c r="D8169" s="89">
        <v>1</v>
      </c>
      <c r="E8169" s="89">
        <v>0</v>
      </c>
      <c r="F8169" s="89">
        <v>0</v>
      </c>
      <c r="G8169" s="89">
        <v>0</v>
      </c>
      <c r="H8169" s="89">
        <v>0</v>
      </c>
      <c r="I8169" s="89">
        <v>1</v>
      </c>
      <c r="J8169" s="710">
        <f>(VLOOKUP($C8169,[2]Sheet1!$A$2:$P$18,$M8169+1)/12)*12*D8169</f>
        <v>342141.27408</v>
      </c>
      <c r="K8169" s="711"/>
      <c r="M8169" s="62">
        <f t="shared" si="654"/>
        <v>3</v>
      </c>
    </row>
    <row r="8170" spans="1:13">
      <c r="A8170" s="88">
        <f t="shared" si="655"/>
        <v>61</v>
      </c>
      <c r="B8170" s="69" t="s">
        <v>1361</v>
      </c>
      <c r="C8170" s="69">
        <v>7</v>
      </c>
      <c r="D8170" s="89">
        <v>1</v>
      </c>
      <c r="E8170" s="89">
        <v>0</v>
      </c>
      <c r="F8170" s="89">
        <v>0</v>
      </c>
      <c r="G8170" s="89">
        <v>0</v>
      </c>
      <c r="H8170" s="89">
        <v>0</v>
      </c>
      <c r="I8170" s="89">
        <v>1</v>
      </c>
      <c r="J8170" s="710">
        <f>(VLOOKUP($C8170,[2]Sheet1!$A$2:$P$18,$M8170+1)/12)*12*D8170</f>
        <v>307706.70240000007</v>
      </c>
      <c r="K8170" s="711"/>
      <c r="M8170" s="62">
        <f t="shared" si="654"/>
        <v>3</v>
      </c>
    </row>
    <row r="8171" spans="1:13">
      <c r="A8171" s="88">
        <f t="shared" si="655"/>
        <v>62</v>
      </c>
      <c r="B8171" s="69" t="s">
        <v>3538</v>
      </c>
      <c r="C8171" s="69">
        <v>6</v>
      </c>
      <c r="D8171" s="89">
        <v>1</v>
      </c>
      <c r="E8171" s="89">
        <v>1</v>
      </c>
      <c r="F8171" s="89">
        <v>1</v>
      </c>
      <c r="G8171" s="89">
        <v>1</v>
      </c>
      <c r="H8171" s="89">
        <v>1</v>
      </c>
      <c r="I8171" s="89">
        <v>1</v>
      </c>
      <c r="J8171" s="710">
        <f>(VLOOKUP($C8171,[2]Sheet1!$A$2:$P$18,$M8171+1)/12)*12*D8171</f>
        <v>238099.37893036497</v>
      </c>
      <c r="K8171" s="711"/>
      <c r="M8171" s="62">
        <f t="shared" si="654"/>
        <v>5</v>
      </c>
    </row>
    <row r="8172" spans="1:13">
      <c r="A8172" s="88">
        <f t="shared" si="655"/>
        <v>63</v>
      </c>
      <c r="B8172" s="69" t="s">
        <v>4030</v>
      </c>
      <c r="C8172" s="69">
        <v>3</v>
      </c>
      <c r="D8172" s="89">
        <v>0</v>
      </c>
      <c r="E8172" s="89">
        <v>2</v>
      </c>
      <c r="F8172" s="89">
        <v>0</v>
      </c>
      <c r="G8172" s="89">
        <v>0</v>
      </c>
      <c r="H8172" s="89">
        <v>0</v>
      </c>
      <c r="I8172" s="89">
        <v>0</v>
      </c>
      <c r="J8172" s="710">
        <f>(VLOOKUP($C8172,[2]Sheet1!$A$2:$P$18,$M8172+1)/12)*12*D8172</f>
        <v>0</v>
      </c>
      <c r="K8172" s="711"/>
      <c r="M8172" s="62">
        <f t="shared" si="654"/>
        <v>5</v>
      </c>
    </row>
    <row r="8173" spans="1:13">
      <c r="A8173" s="88">
        <f t="shared" si="655"/>
        <v>64</v>
      </c>
      <c r="B8173" s="69" t="s">
        <v>1770</v>
      </c>
      <c r="C8173" s="69">
        <v>4</v>
      </c>
      <c r="D8173" s="89">
        <v>2</v>
      </c>
      <c r="E8173" s="89">
        <v>3</v>
      </c>
      <c r="F8173" s="89">
        <v>2</v>
      </c>
      <c r="G8173" s="89">
        <v>2</v>
      </c>
      <c r="H8173" s="89">
        <v>2</v>
      </c>
      <c r="I8173" s="89">
        <v>2</v>
      </c>
      <c r="J8173" s="710">
        <f>(VLOOKUP($C8173,[2]Sheet1!$A$2:$P$18,$M8173+1)/12)*12*D8173</f>
        <v>449085.95786073001</v>
      </c>
      <c r="K8173" s="711"/>
      <c r="M8173" s="62">
        <f t="shared" si="654"/>
        <v>5</v>
      </c>
    </row>
    <row r="8174" spans="1:13">
      <c r="A8174" s="88">
        <f t="shared" si="655"/>
        <v>65</v>
      </c>
      <c r="B8174" s="69" t="s">
        <v>1899</v>
      </c>
      <c r="C8174" s="69">
        <v>3</v>
      </c>
      <c r="D8174" s="89">
        <v>20</v>
      </c>
      <c r="E8174" s="89">
        <v>22</v>
      </c>
      <c r="F8174" s="89">
        <v>20</v>
      </c>
      <c r="G8174" s="89">
        <v>20</v>
      </c>
      <c r="H8174" s="89">
        <v>10</v>
      </c>
      <c r="I8174" s="89">
        <v>20</v>
      </c>
      <c r="J8174" s="710">
        <f>(VLOOKUP($C8174,[2]Sheet1!$A$2:$P$18,$M8174+1)/12)*12*D8174</f>
        <v>4386723.5786072994</v>
      </c>
      <c r="K8174" s="711"/>
      <c r="M8174" s="62">
        <f t="shared" si="654"/>
        <v>5</v>
      </c>
    </row>
    <row r="8175" spans="1:13">
      <c r="A8175" s="88">
        <f t="shared" si="655"/>
        <v>66</v>
      </c>
      <c r="B8175" s="69" t="s">
        <v>3023</v>
      </c>
      <c r="C8175" s="69">
        <v>8</v>
      </c>
      <c r="D8175" s="89">
        <v>2</v>
      </c>
      <c r="E8175" s="89">
        <v>1</v>
      </c>
      <c r="F8175" s="89">
        <v>0</v>
      </c>
      <c r="G8175" s="89">
        <v>0</v>
      </c>
      <c r="H8175" s="89">
        <v>0</v>
      </c>
      <c r="I8175" s="89">
        <v>2</v>
      </c>
      <c r="J8175" s="710">
        <f>(VLOOKUP($C8175,[2]Sheet1!$A$2:$P$18,$M8175+1)/12)*12*D8175</f>
        <v>684282.54816000001</v>
      </c>
      <c r="K8175" s="711"/>
      <c r="M8175" s="62">
        <f t="shared" si="654"/>
        <v>3</v>
      </c>
    </row>
    <row r="8176" spans="1:13">
      <c r="A8176" s="88">
        <f t="shared" si="655"/>
        <v>67</v>
      </c>
      <c r="B8176" s="69" t="s">
        <v>1448</v>
      </c>
      <c r="C8176" s="69">
        <v>6</v>
      </c>
      <c r="D8176" s="89">
        <v>5</v>
      </c>
      <c r="E8176" s="89">
        <v>8</v>
      </c>
      <c r="F8176" s="89">
        <v>5</v>
      </c>
      <c r="G8176" s="89">
        <v>5</v>
      </c>
      <c r="H8176" s="89">
        <v>3</v>
      </c>
      <c r="I8176" s="89">
        <v>5</v>
      </c>
      <c r="J8176" s="710">
        <f>(VLOOKUP($C8176,[2]Sheet1!$A$2:$P$18,$M8176+1)/12)*12*D8176</f>
        <v>1190496.8946518248</v>
      </c>
      <c r="K8176" s="711"/>
      <c r="M8176" s="62">
        <f t="shared" si="654"/>
        <v>5</v>
      </c>
    </row>
    <row r="8177" spans="1:13">
      <c r="A8177" s="88">
        <f t="shared" si="655"/>
        <v>68</v>
      </c>
      <c r="B8177" s="69" t="s">
        <v>1207</v>
      </c>
      <c r="C8177" s="69">
        <v>3</v>
      </c>
      <c r="D8177" s="89">
        <v>12</v>
      </c>
      <c r="E8177" s="89">
        <v>10</v>
      </c>
      <c r="F8177" s="89">
        <v>8</v>
      </c>
      <c r="G8177" s="89">
        <v>8</v>
      </c>
      <c r="H8177" s="89">
        <v>4</v>
      </c>
      <c r="I8177" s="89">
        <v>12</v>
      </c>
      <c r="J8177" s="710">
        <f>(VLOOKUP($C8177,[2]Sheet1!$A$2:$P$18,$M8177+1)/12)*12*D8177</f>
        <v>2632034.1471643797</v>
      </c>
      <c r="K8177" s="711"/>
      <c r="M8177" s="62">
        <f t="shared" si="654"/>
        <v>5</v>
      </c>
    </row>
    <row r="8178" spans="1:13">
      <c r="A8178" s="88">
        <f t="shared" si="655"/>
        <v>69</v>
      </c>
      <c r="B8178" s="69" t="s">
        <v>3860</v>
      </c>
      <c r="C8178" s="69">
        <v>6</v>
      </c>
      <c r="D8178" s="89">
        <v>1</v>
      </c>
      <c r="E8178" s="89">
        <v>8</v>
      </c>
      <c r="F8178" s="89">
        <v>6</v>
      </c>
      <c r="G8178" s="89">
        <v>6</v>
      </c>
      <c r="H8178" s="89">
        <v>6</v>
      </c>
      <c r="I8178" s="89">
        <v>1</v>
      </c>
      <c r="J8178" s="710">
        <f>(VLOOKUP($C8178,[2]Sheet1!$A$2:$P$18,$M8178+1)/12)*12*D8178</f>
        <v>238099.37893036497</v>
      </c>
      <c r="K8178" s="711"/>
      <c r="M8178" s="62">
        <f t="shared" si="654"/>
        <v>5</v>
      </c>
    </row>
    <row r="8179" spans="1:13">
      <c r="A8179" s="88">
        <f t="shared" si="655"/>
        <v>70</v>
      </c>
      <c r="B8179" s="69" t="s">
        <v>3252</v>
      </c>
      <c r="C8179" s="69">
        <v>2</v>
      </c>
      <c r="D8179" s="89">
        <v>2</v>
      </c>
      <c r="E8179" s="89">
        <v>1</v>
      </c>
      <c r="F8179" s="89">
        <v>2</v>
      </c>
      <c r="G8179" s="89">
        <v>2</v>
      </c>
      <c r="H8179" s="89">
        <v>2</v>
      </c>
      <c r="I8179" s="89">
        <v>2</v>
      </c>
      <c r="J8179" s="710">
        <f>(VLOOKUP($C8179,[2]Sheet1!$A$2:$P$18,$M8179+1)/12)*12*D8179</f>
        <v>429314.75786073005</v>
      </c>
      <c r="K8179" s="711"/>
      <c r="M8179" s="62">
        <f t="shared" si="654"/>
        <v>5</v>
      </c>
    </row>
    <row r="8180" spans="1:13">
      <c r="A8180" s="88">
        <f t="shared" si="655"/>
        <v>71</v>
      </c>
      <c r="B8180" s="69" t="s">
        <v>3674</v>
      </c>
      <c r="C8180" s="69">
        <v>2</v>
      </c>
      <c r="D8180" s="89">
        <v>2</v>
      </c>
      <c r="E8180" s="89">
        <v>3</v>
      </c>
      <c r="F8180" s="89">
        <v>2</v>
      </c>
      <c r="G8180" s="89">
        <v>2</v>
      </c>
      <c r="H8180" s="89">
        <v>2</v>
      </c>
      <c r="I8180" s="89">
        <v>2</v>
      </c>
      <c r="J8180" s="710">
        <f>(VLOOKUP($C8180,[2]Sheet1!$A$2:$P$18,$M8180+1)/12)*12*D8180</f>
        <v>429314.75786073005</v>
      </c>
      <c r="K8180" s="711"/>
      <c r="M8180" s="62">
        <f t="shared" si="654"/>
        <v>5</v>
      </c>
    </row>
    <row r="8181" spans="1:13" ht="13.5" thickBot="1">
      <c r="A8181" s="88">
        <f t="shared" si="655"/>
        <v>72</v>
      </c>
      <c r="B8181" s="69" t="s">
        <v>2543</v>
      </c>
      <c r="C8181" s="69">
        <v>2</v>
      </c>
      <c r="D8181" s="89">
        <v>1</v>
      </c>
      <c r="E8181" s="89">
        <v>2</v>
      </c>
      <c r="F8181" s="89">
        <v>2</v>
      </c>
      <c r="G8181" s="89">
        <v>2</v>
      </c>
      <c r="H8181" s="89">
        <v>2</v>
      </c>
      <c r="I8181" s="89">
        <v>1</v>
      </c>
      <c r="J8181" s="710">
        <f>(VLOOKUP($C8181,[2]Sheet1!$A$2:$P$18,$M8181+1)/12)*12*D8181</f>
        <v>214657.37893036503</v>
      </c>
      <c r="K8181" s="711"/>
      <c r="M8181" s="62">
        <f t="shared" si="654"/>
        <v>5</v>
      </c>
    </row>
    <row r="8182" spans="1:13" ht="15.75" thickTop="1">
      <c r="A8182" s="1047" t="s">
        <v>2791</v>
      </c>
      <c r="B8182" s="1049" t="s">
        <v>4126</v>
      </c>
      <c r="C8182" s="1049" t="s">
        <v>854</v>
      </c>
      <c r="D8182" s="1040" t="s">
        <v>4127</v>
      </c>
      <c r="E8182" s="1041"/>
      <c r="F8182" s="1041"/>
      <c r="G8182" s="1040" t="s">
        <v>904</v>
      </c>
      <c r="H8182" s="1041"/>
      <c r="I8182" s="1042"/>
      <c r="J8182" s="1035" t="s">
        <v>855</v>
      </c>
      <c r="K8182" s="389"/>
    </row>
    <row r="8183" spans="1:13" ht="26.25" thickBot="1">
      <c r="A8183" s="1048"/>
      <c r="B8183" s="1050"/>
      <c r="C8183" s="1050"/>
      <c r="D8183" s="285" t="s">
        <v>5505</v>
      </c>
      <c r="E8183" s="285" t="s">
        <v>4485</v>
      </c>
      <c r="F8183" s="285" t="s">
        <v>4486</v>
      </c>
      <c r="G8183" s="287" t="s">
        <v>4487</v>
      </c>
      <c r="H8183" s="285" t="s">
        <v>4488</v>
      </c>
      <c r="I8183" s="287" t="s">
        <v>4489</v>
      </c>
      <c r="J8183" s="1036"/>
      <c r="K8183" s="712"/>
    </row>
    <row r="8184" spans="1:13" ht="13.5" thickTop="1">
      <c r="A8184" s="88"/>
      <c r="B8184" s="90" t="s">
        <v>1460</v>
      </c>
      <c r="C8184" s="69"/>
      <c r="D8184" s="89"/>
      <c r="E8184" s="89"/>
      <c r="F8184" s="89"/>
      <c r="G8184" s="89"/>
      <c r="H8184" s="89"/>
      <c r="I8184" s="89"/>
      <c r="J8184" s="713"/>
      <c r="K8184" s="711"/>
      <c r="M8184" s="62">
        <f t="shared" si="654"/>
        <v>5</v>
      </c>
    </row>
    <row r="8185" spans="1:13">
      <c r="A8185" s="88">
        <v>73</v>
      </c>
      <c r="B8185" s="69" t="s">
        <v>3532</v>
      </c>
      <c r="C8185" s="69">
        <v>14</v>
      </c>
      <c r="D8185" s="89">
        <v>1</v>
      </c>
      <c r="E8185" s="89">
        <v>1</v>
      </c>
      <c r="F8185" s="89">
        <v>1</v>
      </c>
      <c r="G8185" s="89">
        <v>1</v>
      </c>
      <c r="H8185" s="89">
        <v>1</v>
      </c>
      <c r="I8185" s="89">
        <v>1</v>
      </c>
      <c r="J8185" s="710">
        <f>(VLOOKUP($C8185,[2]Sheet1!$A$2:$P$18,$M8185+1)/12)*12*D8185</f>
        <v>669099.40824000002</v>
      </c>
      <c r="K8185" s="711"/>
      <c r="M8185" s="62">
        <f t="shared" si="654"/>
        <v>3</v>
      </c>
    </row>
    <row r="8186" spans="1:13">
      <c r="A8186" s="88">
        <f t="shared" ref="A8186:A8192" si="656">+A8185+1</f>
        <v>74</v>
      </c>
      <c r="B8186" s="69" t="s">
        <v>1256</v>
      </c>
      <c r="C8186" s="69">
        <v>13</v>
      </c>
      <c r="D8186" s="89">
        <v>1</v>
      </c>
      <c r="E8186" s="89">
        <v>1</v>
      </c>
      <c r="F8186" s="89">
        <v>1</v>
      </c>
      <c r="G8186" s="89">
        <v>1</v>
      </c>
      <c r="H8186" s="89">
        <v>1</v>
      </c>
      <c r="I8186" s="89">
        <v>1</v>
      </c>
      <c r="J8186" s="710">
        <f>(VLOOKUP($C8186,[2]Sheet1!$A$2:$P$18,$M8186+1)/12)*12*D8186</f>
        <v>628759.53804000001</v>
      </c>
      <c r="K8186" s="711"/>
      <c r="M8186" s="62">
        <f t="shared" si="654"/>
        <v>3</v>
      </c>
    </row>
    <row r="8187" spans="1:13">
      <c r="A8187" s="88">
        <f t="shared" si="656"/>
        <v>75</v>
      </c>
      <c r="B8187" s="69" t="s">
        <v>1008</v>
      </c>
      <c r="C8187" s="69">
        <v>12</v>
      </c>
      <c r="D8187" s="89">
        <v>0</v>
      </c>
      <c r="E8187" s="89">
        <v>0</v>
      </c>
      <c r="F8187" s="89">
        <v>0</v>
      </c>
      <c r="G8187" s="89">
        <v>0</v>
      </c>
      <c r="H8187" s="89">
        <v>0</v>
      </c>
      <c r="I8187" s="89">
        <v>0</v>
      </c>
      <c r="J8187" s="710">
        <f>(VLOOKUP($C8187,[2]Sheet1!$A$2:$P$18,$M8187+1)/12)*12*D8187</f>
        <v>0</v>
      </c>
      <c r="K8187" s="711"/>
      <c r="M8187" s="62">
        <f t="shared" si="654"/>
        <v>3</v>
      </c>
    </row>
    <row r="8188" spans="1:13">
      <c r="A8188" s="88">
        <f t="shared" si="656"/>
        <v>76</v>
      </c>
      <c r="B8188" s="69" t="s">
        <v>1456</v>
      </c>
      <c r="C8188" s="69">
        <v>10</v>
      </c>
      <c r="D8188" s="89">
        <v>0</v>
      </c>
      <c r="E8188" s="89">
        <v>0</v>
      </c>
      <c r="F8188" s="89">
        <v>0</v>
      </c>
      <c r="G8188" s="89">
        <v>0</v>
      </c>
      <c r="H8188" s="89">
        <v>0</v>
      </c>
      <c r="I8188" s="89">
        <v>0</v>
      </c>
      <c r="J8188" s="710">
        <f>(VLOOKUP($C8188,[2]Sheet1!$A$2:$P$18,$M8188+1)/12)*12*D8188</f>
        <v>0</v>
      </c>
      <c r="K8188" s="711"/>
      <c r="M8188" s="62">
        <f t="shared" si="654"/>
        <v>3</v>
      </c>
    </row>
    <row r="8189" spans="1:13">
      <c r="A8189" s="88">
        <f t="shared" si="656"/>
        <v>77</v>
      </c>
      <c r="B8189" s="69" t="s">
        <v>1360</v>
      </c>
      <c r="C8189" s="69">
        <v>8</v>
      </c>
      <c r="D8189" s="89">
        <v>0</v>
      </c>
      <c r="E8189" s="89">
        <v>0</v>
      </c>
      <c r="F8189" s="89">
        <v>0</v>
      </c>
      <c r="G8189" s="89">
        <v>0</v>
      </c>
      <c r="H8189" s="89">
        <v>0</v>
      </c>
      <c r="I8189" s="89">
        <v>0</v>
      </c>
      <c r="J8189" s="710">
        <f>(VLOOKUP($C8189,[2]Sheet1!$A$2:$P$18,$M8189+1)/12)*12*D8189</f>
        <v>0</v>
      </c>
      <c r="K8189" s="711"/>
      <c r="M8189" s="62">
        <f t="shared" si="654"/>
        <v>3</v>
      </c>
    </row>
    <row r="8190" spans="1:13">
      <c r="A8190" s="88">
        <f t="shared" si="656"/>
        <v>78</v>
      </c>
      <c r="B8190" s="69" t="s">
        <v>1361</v>
      </c>
      <c r="C8190" s="69">
        <v>7</v>
      </c>
      <c r="D8190" s="89">
        <v>0</v>
      </c>
      <c r="E8190" s="89">
        <v>0</v>
      </c>
      <c r="F8190" s="89">
        <v>0</v>
      </c>
      <c r="G8190" s="89">
        <v>0</v>
      </c>
      <c r="H8190" s="89">
        <v>0</v>
      </c>
      <c r="I8190" s="89">
        <v>0</v>
      </c>
      <c r="J8190" s="710">
        <f>(VLOOKUP($C8190,[2]Sheet1!$A$2:$P$18,$M8190+1)/12)*12*D8190</f>
        <v>0</v>
      </c>
      <c r="K8190" s="711"/>
      <c r="M8190" s="62">
        <f t="shared" si="654"/>
        <v>3</v>
      </c>
    </row>
    <row r="8191" spans="1:13">
      <c r="A8191" s="88">
        <f t="shared" si="656"/>
        <v>79</v>
      </c>
      <c r="B8191" s="69" t="s">
        <v>1898</v>
      </c>
      <c r="C8191" s="69">
        <v>5</v>
      </c>
      <c r="D8191" s="89">
        <v>0</v>
      </c>
      <c r="E8191" s="89">
        <v>1</v>
      </c>
      <c r="F8191" s="89">
        <v>0</v>
      </c>
      <c r="G8191" s="89">
        <v>0</v>
      </c>
      <c r="H8191" s="89">
        <v>0</v>
      </c>
      <c r="I8191" s="89">
        <v>0</v>
      </c>
      <c r="J8191" s="710">
        <f>(VLOOKUP($C8191,[2]Sheet1!$A$2:$P$18,$M8191+1)/12)*12*D8191</f>
        <v>0</v>
      </c>
      <c r="K8191" s="711"/>
      <c r="M8191" s="62">
        <f t="shared" si="654"/>
        <v>5</v>
      </c>
    </row>
    <row r="8192" spans="1:13">
      <c r="A8192" s="88">
        <f t="shared" si="656"/>
        <v>80</v>
      </c>
      <c r="B8192" s="69" t="s">
        <v>4030</v>
      </c>
      <c r="C8192" s="69">
        <v>3</v>
      </c>
      <c r="D8192" s="89">
        <v>1</v>
      </c>
      <c r="E8192" s="89">
        <v>0</v>
      </c>
      <c r="F8192" s="89">
        <v>1</v>
      </c>
      <c r="G8192" s="89">
        <v>1</v>
      </c>
      <c r="H8192" s="89">
        <v>1</v>
      </c>
      <c r="I8192" s="89">
        <v>1</v>
      </c>
      <c r="J8192" s="710">
        <f>(VLOOKUP($C8192,[2]Sheet1!$A$2:$P$18,$M8192+1)/12)*12*D8192</f>
        <v>219336.17893036499</v>
      </c>
      <c r="K8192" s="711"/>
      <c r="M8192" s="62">
        <f t="shared" si="654"/>
        <v>5</v>
      </c>
    </row>
    <row r="8193" spans="1:13">
      <c r="A8193" s="92"/>
      <c r="B8193" s="93" t="s">
        <v>2120</v>
      </c>
      <c r="C8193" s="94"/>
      <c r="D8193" s="123">
        <f t="shared" ref="D8193:I8193" si="657">SUM(D8104:D8192)</f>
        <v>594</v>
      </c>
      <c r="E8193" s="123">
        <f t="shared" si="657"/>
        <v>605</v>
      </c>
      <c r="F8193" s="123">
        <f t="shared" si="657"/>
        <v>564</v>
      </c>
      <c r="G8193" s="123">
        <f>SUM(G8104:G8192)</f>
        <v>564</v>
      </c>
      <c r="H8193" s="123">
        <f t="shared" si="657"/>
        <v>548</v>
      </c>
      <c r="I8193" s="123">
        <f t="shared" si="657"/>
        <v>566</v>
      </c>
      <c r="J8193" s="123">
        <f>SUM(J8103:J8192)</f>
        <v>193146715.38499078</v>
      </c>
      <c r="K8193" s="378"/>
      <c r="M8193" s="62">
        <f t="shared" si="654"/>
        <v>5</v>
      </c>
    </row>
    <row r="8194" spans="1:13">
      <c r="A8194" s="88" t="s">
        <v>1840</v>
      </c>
      <c r="B8194" s="97" t="s">
        <v>3035</v>
      </c>
      <c r="C8194" s="69"/>
      <c r="D8194" s="89"/>
      <c r="E8194" s="89"/>
      <c r="F8194" s="99"/>
      <c r="G8194" s="240" t="s">
        <v>243</v>
      </c>
      <c r="H8194" s="240" t="s">
        <v>4130</v>
      </c>
      <c r="I8194" s="240" t="s">
        <v>4202</v>
      </c>
      <c r="J8194" s="241" t="s">
        <v>4200</v>
      </c>
      <c r="K8194" s="375"/>
      <c r="M8194" s="62">
        <f t="shared" si="654"/>
        <v>5</v>
      </c>
    </row>
    <row r="8195" spans="1:13">
      <c r="A8195" s="88">
        <v>1</v>
      </c>
      <c r="B8195" s="69" t="s">
        <v>4035</v>
      </c>
      <c r="C8195" s="69"/>
      <c r="D8195" s="89"/>
      <c r="E8195" s="89"/>
      <c r="F8195" s="89"/>
      <c r="G8195" s="100">
        <f>J8193*0.2</f>
        <v>38629343.076998159</v>
      </c>
      <c r="H8195" s="100">
        <f>G8195*1.02</f>
        <v>39401929.938538127</v>
      </c>
      <c r="I8195" s="100">
        <f>H8195*1.02</f>
        <v>40189968.537308887</v>
      </c>
      <c r="J8195" s="100">
        <f>SUM(G8195:I8195)</f>
        <v>118221241.55284517</v>
      </c>
      <c r="K8195" s="114"/>
      <c r="M8195" s="62">
        <f t="shared" si="654"/>
        <v>5</v>
      </c>
    </row>
    <row r="8196" spans="1:13">
      <c r="A8196" s="92"/>
      <c r="B8196" s="93" t="s">
        <v>2120</v>
      </c>
      <c r="C8196" s="94"/>
      <c r="D8196" s="101"/>
      <c r="E8196" s="101"/>
      <c r="F8196" s="123"/>
      <c r="G8196" s="123">
        <f>SUM(G8195:G8195)</f>
        <v>38629343.076998159</v>
      </c>
      <c r="H8196" s="123">
        <f>SUM(H8195:H8195)</f>
        <v>39401929.938538127</v>
      </c>
      <c r="I8196" s="123">
        <f>SUM(I8195:I8195)</f>
        <v>40189968.537308887</v>
      </c>
      <c r="J8196" s="123">
        <f>SUM(J8195:J8195)</f>
        <v>118221241.55284517</v>
      </c>
      <c r="K8196" s="378"/>
      <c r="M8196" s="62">
        <f t="shared" si="654"/>
        <v>5</v>
      </c>
    </row>
    <row r="8197" spans="1:13">
      <c r="A8197" s="88" t="s">
        <v>1840</v>
      </c>
      <c r="B8197" s="69" t="s">
        <v>1119</v>
      </c>
      <c r="C8197" s="69"/>
      <c r="D8197" s="89"/>
      <c r="E8197" s="89"/>
      <c r="F8197" s="89"/>
      <c r="G8197" s="100">
        <f>G8196+J8193</f>
        <v>231776058.46198893</v>
      </c>
      <c r="H8197" s="100">
        <f>G8197*1.02</f>
        <v>236411579.63122872</v>
      </c>
      <c r="I8197" s="100">
        <f>H8197*1.02</f>
        <v>241139811.22385329</v>
      </c>
      <c r="J8197" s="100">
        <f>SUM(G8197:I8197)</f>
        <v>709327449.31707096</v>
      </c>
      <c r="K8197" s="114"/>
      <c r="L8197" s="112"/>
      <c r="M8197" s="62">
        <f t="shared" si="654"/>
        <v>5</v>
      </c>
    </row>
    <row r="8198" spans="1:13">
      <c r="A8198" s="88" t="s">
        <v>1840</v>
      </c>
      <c r="B8198" s="69" t="s">
        <v>3944</v>
      </c>
      <c r="C8198" s="69"/>
      <c r="D8198" s="89"/>
      <c r="E8198" s="89"/>
      <c r="F8198" s="89"/>
      <c r="G8198" s="89">
        <f>C8233</f>
        <v>43500000</v>
      </c>
      <c r="H8198" s="89">
        <f>D8233</f>
        <v>46900000</v>
      </c>
      <c r="I8198" s="89">
        <f>E8233</f>
        <v>46900000</v>
      </c>
      <c r="J8198" s="100">
        <f>SUM(G8198:I8198)</f>
        <v>137300000</v>
      </c>
      <c r="K8198" s="114"/>
      <c r="M8198" s="62">
        <f t="shared" si="654"/>
        <v>5</v>
      </c>
    </row>
    <row r="8199" spans="1:13">
      <c r="A8199" s="92" t="s">
        <v>1840</v>
      </c>
      <c r="B8199" s="93" t="s">
        <v>2843</v>
      </c>
      <c r="C8199" s="94"/>
      <c r="D8199" s="101"/>
      <c r="E8199" s="101"/>
      <c r="F8199" s="123"/>
      <c r="G8199" s="123">
        <f>SUM(G8197:G8198)</f>
        <v>275276058.46198893</v>
      </c>
      <c r="H8199" s="123">
        <f>SUM(H8197:H8198)</f>
        <v>283311579.63122869</v>
      </c>
      <c r="I8199" s="123">
        <f>SUM(I8197:I8198)</f>
        <v>288039811.22385329</v>
      </c>
      <c r="J8199" s="123">
        <f>SUM(J8197:J8198)</f>
        <v>846627449.31707096</v>
      </c>
      <c r="K8199" s="378"/>
      <c r="M8199" s="62">
        <f t="shared" si="654"/>
        <v>5</v>
      </c>
    </row>
    <row r="8200" spans="1:13" ht="15">
      <c r="C8200" s="77"/>
      <c r="D8200" s="78" t="s">
        <v>5434</v>
      </c>
      <c r="J8200" s="584"/>
      <c r="K8200" s="584"/>
      <c r="M8200" s="62">
        <f t="shared" si="654"/>
        <v>5</v>
      </c>
    </row>
    <row r="8201" spans="1:13" ht="15">
      <c r="A8201" s="723"/>
      <c r="B8201" s="724"/>
      <c r="C8201" s="77"/>
      <c r="D8201" s="78" t="s">
        <v>716</v>
      </c>
      <c r="E8201" s="723"/>
      <c r="F8201" s="725"/>
      <c r="G8201" s="725"/>
      <c r="H8201" s="725"/>
      <c r="I8201" s="725"/>
      <c r="J8201" s="584"/>
      <c r="K8201" s="584"/>
      <c r="M8201" s="62">
        <f t="shared" si="654"/>
        <v>5</v>
      </c>
    </row>
    <row r="8202" spans="1:13" ht="15">
      <c r="A8202" s="723"/>
      <c r="B8202" s="724"/>
      <c r="C8202" s="79" t="s">
        <v>717</v>
      </c>
      <c r="D8202" s="78" t="s">
        <v>4247</v>
      </c>
      <c r="E8202" s="723"/>
      <c r="F8202" s="725"/>
      <c r="G8202" s="725"/>
      <c r="H8202" s="725"/>
      <c r="I8202" s="725"/>
      <c r="J8202" s="584"/>
      <c r="K8202" s="584"/>
      <c r="M8202" s="62">
        <f t="shared" si="654"/>
        <v>3</v>
      </c>
    </row>
    <row r="8203" spans="1:13" ht="15">
      <c r="A8203" s="723"/>
      <c r="B8203" s="723"/>
      <c r="C8203" s="79" t="s">
        <v>718</v>
      </c>
      <c r="D8203" s="78" t="s">
        <v>2255</v>
      </c>
      <c r="E8203" s="723"/>
      <c r="F8203" s="725"/>
      <c r="G8203" s="725"/>
      <c r="H8203" s="725"/>
      <c r="I8203" s="725"/>
      <c r="J8203" s="584"/>
      <c r="K8203" s="584"/>
      <c r="M8203" s="62">
        <f t="shared" si="654"/>
        <v>3</v>
      </c>
    </row>
    <row r="8204" spans="1:13" ht="15">
      <c r="A8204" s="634" t="s">
        <v>1839</v>
      </c>
      <c r="B8204" s="635" t="s">
        <v>903</v>
      </c>
      <c r="C8204" s="1037" t="s">
        <v>4127</v>
      </c>
      <c r="D8204" s="1038"/>
      <c r="E8204" s="1039"/>
      <c r="F8204" s="635" t="s">
        <v>1684</v>
      </c>
      <c r="G8204" s="1037" t="s">
        <v>4132</v>
      </c>
      <c r="H8204" s="1038"/>
      <c r="I8204" s="1039"/>
      <c r="J8204" s="726"/>
      <c r="K8204" s="727"/>
    </row>
    <row r="8205" spans="1:13">
      <c r="A8205" s="636" t="s">
        <v>1620</v>
      </c>
      <c r="B8205" s="637"/>
      <c r="C8205" s="635" t="s">
        <v>1841</v>
      </c>
      <c r="D8205" s="635" t="s">
        <v>4133</v>
      </c>
      <c r="E8205" s="635" t="s">
        <v>4133</v>
      </c>
      <c r="F8205" s="1056" t="s">
        <v>4200</v>
      </c>
      <c r="G8205" s="634" t="s">
        <v>4135</v>
      </c>
      <c r="H8205" s="1051" t="s">
        <v>4182</v>
      </c>
      <c r="I8205" s="634" t="s">
        <v>4135</v>
      </c>
      <c r="J8205" s="728" t="s">
        <v>4136</v>
      </c>
      <c r="K8205" s="727"/>
    </row>
    <row r="8206" spans="1:13" ht="12.75" customHeight="1">
      <c r="A8206" s="638" t="s">
        <v>387</v>
      </c>
      <c r="B8206" s="639"/>
      <c r="C8206" s="638">
        <v>2015</v>
      </c>
      <c r="D8206" s="638">
        <v>2016</v>
      </c>
      <c r="E8206" s="638">
        <v>2017</v>
      </c>
      <c r="F8206" s="1057"/>
      <c r="G8206" s="638" t="s">
        <v>4304</v>
      </c>
      <c r="H8206" s="1052"/>
      <c r="I8206" s="638" t="s">
        <v>4303</v>
      </c>
      <c r="J8206" s="639"/>
      <c r="K8206" s="729"/>
    </row>
    <row r="8207" spans="1:13">
      <c r="A8207" s="730"/>
      <c r="B8207" s="730"/>
      <c r="C8207" s="390"/>
      <c r="D8207" s="390"/>
      <c r="E8207" s="390"/>
      <c r="F8207" s="390"/>
      <c r="G8207" s="390"/>
      <c r="H8207" s="390"/>
      <c r="I8207" s="390"/>
      <c r="J8207" s="390"/>
      <c r="K8207" s="734"/>
      <c r="M8207" s="62" t="e">
        <f>IF(#REF!&gt;6,3,5)</f>
        <v>#REF!</v>
      </c>
    </row>
    <row r="8208" spans="1:13">
      <c r="A8208" s="730">
        <v>2</v>
      </c>
      <c r="B8208" s="730" t="s">
        <v>1695</v>
      </c>
      <c r="C8208" s="390">
        <v>1200000</v>
      </c>
      <c r="D8208" s="390">
        <v>1000000</v>
      </c>
      <c r="E8208" s="390">
        <v>1000000</v>
      </c>
      <c r="F8208" s="390">
        <f>SUM(C8208:E8208)</f>
        <v>3200000</v>
      </c>
      <c r="G8208" s="390">
        <v>1000000</v>
      </c>
      <c r="H8208" s="390">
        <v>1000000</v>
      </c>
      <c r="I8208" s="390">
        <v>630000</v>
      </c>
      <c r="J8208" s="390"/>
      <c r="K8208" s="734"/>
      <c r="M8208" s="62" t="e">
        <f>IF(#REF!&gt;6,3,5)</f>
        <v>#REF!</v>
      </c>
    </row>
    <row r="8209" spans="1:13">
      <c r="A8209" s="730">
        <f t="shared" ref="A8209:A8224" si="658">A8208+1</f>
        <v>3</v>
      </c>
      <c r="B8209" s="730" t="s">
        <v>1696</v>
      </c>
      <c r="C8209" s="390" t="s">
        <v>1386</v>
      </c>
      <c r="D8209" s="390" t="s">
        <v>1386</v>
      </c>
      <c r="E8209" s="390" t="s">
        <v>1386</v>
      </c>
      <c r="F8209" s="390">
        <f t="shared" ref="F8209:F8230" si="659">SUM(C8209:E8209)</f>
        <v>0</v>
      </c>
      <c r="G8209" s="390" t="s">
        <v>1386</v>
      </c>
      <c r="H8209" s="390" t="s">
        <v>1386</v>
      </c>
      <c r="I8209" s="390" t="s">
        <v>1386</v>
      </c>
      <c r="J8209" s="390"/>
      <c r="K8209" s="734"/>
      <c r="M8209" s="62" t="e">
        <f>IF(#REF!&gt;6,3,5)</f>
        <v>#REF!</v>
      </c>
    </row>
    <row r="8210" spans="1:13">
      <c r="A8210" s="730">
        <f t="shared" si="658"/>
        <v>4</v>
      </c>
      <c r="B8210" s="730" t="s">
        <v>1701</v>
      </c>
      <c r="C8210" s="390" t="s">
        <v>1386</v>
      </c>
      <c r="D8210" s="390" t="s">
        <v>1386</v>
      </c>
      <c r="E8210" s="390" t="s">
        <v>1386</v>
      </c>
      <c r="F8210" s="390">
        <f t="shared" si="659"/>
        <v>0</v>
      </c>
      <c r="G8210" s="390" t="s">
        <v>1386</v>
      </c>
      <c r="H8210" s="390" t="s">
        <v>1386</v>
      </c>
      <c r="I8210" s="390" t="s">
        <v>1386</v>
      </c>
      <c r="J8210" s="390"/>
      <c r="K8210" s="734"/>
      <c r="M8210" s="62" t="e">
        <f>IF(#REF!&gt;6,3,5)</f>
        <v>#REF!</v>
      </c>
    </row>
    <row r="8211" spans="1:13">
      <c r="A8211" s="730">
        <f t="shared" si="658"/>
        <v>5</v>
      </c>
      <c r="B8211" s="730" t="s">
        <v>1702</v>
      </c>
      <c r="C8211" s="390">
        <v>800000</v>
      </c>
      <c r="D8211" s="390">
        <v>800000</v>
      </c>
      <c r="E8211" s="390">
        <v>800000</v>
      </c>
      <c r="F8211" s="390">
        <f t="shared" si="659"/>
        <v>2400000</v>
      </c>
      <c r="G8211" s="390">
        <v>800000</v>
      </c>
      <c r="H8211" s="390">
        <v>800000</v>
      </c>
      <c r="I8211" s="390">
        <v>271000</v>
      </c>
      <c r="J8211" s="390"/>
      <c r="K8211" s="734"/>
      <c r="M8211" s="62" t="e">
        <f>IF(#REF!&gt;6,3,5)</f>
        <v>#REF!</v>
      </c>
    </row>
    <row r="8212" spans="1:13">
      <c r="A8212" s="730">
        <f t="shared" si="658"/>
        <v>6</v>
      </c>
      <c r="B8212" s="730" t="s">
        <v>1544</v>
      </c>
      <c r="C8212" s="390">
        <v>500000</v>
      </c>
      <c r="D8212" s="390">
        <v>500000</v>
      </c>
      <c r="E8212" s="390">
        <v>500000</v>
      </c>
      <c r="F8212" s="390">
        <f t="shared" si="659"/>
        <v>1500000</v>
      </c>
      <c r="G8212" s="390">
        <v>600000</v>
      </c>
      <c r="H8212" s="390">
        <v>500000</v>
      </c>
      <c r="I8212" s="390">
        <v>250000</v>
      </c>
      <c r="J8212" s="390"/>
      <c r="K8212" s="734"/>
      <c r="M8212" s="62" t="e">
        <f>IF(#REF!&gt;6,3,5)</f>
        <v>#REF!</v>
      </c>
    </row>
    <row r="8213" spans="1:13">
      <c r="A8213" s="730">
        <f t="shared" si="658"/>
        <v>7</v>
      </c>
      <c r="B8213" s="730" t="s">
        <v>897</v>
      </c>
      <c r="C8213" s="390">
        <v>600000</v>
      </c>
      <c r="D8213" s="390">
        <v>500000</v>
      </c>
      <c r="E8213" s="390">
        <v>500000</v>
      </c>
      <c r="F8213" s="390">
        <f t="shared" si="659"/>
        <v>1600000</v>
      </c>
      <c r="G8213" s="390">
        <v>500000</v>
      </c>
      <c r="H8213" s="390">
        <v>500000</v>
      </c>
      <c r="I8213" s="390">
        <v>212000</v>
      </c>
      <c r="J8213" s="390"/>
      <c r="K8213" s="734"/>
      <c r="M8213" s="62" t="e">
        <f>IF(#REF!&gt;6,3,5)</f>
        <v>#REF!</v>
      </c>
    </row>
    <row r="8214" spans="1:13">
      <c r="A8214" s="730">
        <f t="shared" si="658"/>
        <v>8</v>
      </c>
      <c r="B8214" s="730" t="s">
        <v>1385</v>
      </c>
      <c r="C8214" s="731" t="s">
        <v>1386</v>
      </c>
      <c r="D8214" s="731" t="s">
        <v>1386</v>
      </c>
      <c r="E8214" s="731" t="s">
        <v>1386</v>
      </c>
      <c r="F8214" s="390">
        <f t="shared" si="659"/>
        <v>0</v>
      </c>
      <c r="G8214" s="731" t="s">
        <v>1386</v>
      </c>
      <c r="H8214" s="731" t="s">
        <v>1386</v>
      </c>
      <c r="I8214" s="731" t="s">
        <v>1386</v>
      </c>
      <c r="J8214" s="390"/>
      <c r="K8214" s="734"/>
      <c r="M8214" s="62" t="e">
        <f>IF(#REF!&gt;6,3,5)</f>
        <v>#REF!</v>
      </c>
    </row>
    <row r="8215" spans="1:13">
      <c r="A8215" s="730">
        <f t="shared" si="658"/>
        <v>9</v>
      </c>
      <c r="B8215" s="730" t="s">
        <v>2061</v>
      </c>
      <c r="C8215" s="731" t="s">
        <v>1386</v>
      </c>
      <c r="D8215" s="731" t="s">
        <v>1386</v>
      </c>
      <c r="E8215" s="731" t="s">
        <v>1386</v>
      </c>
      <c r="F8215" s="390">
        <f t="shared" si="659"/>
        <v>0</v>
      </c>
      <c r="G8215" s="731" t="s">
        <v>1386</v>
      </c>
      <c r="H8215" s="731" t="s">
        <v>1386</v>
      </c>
      <c r="I8215" s="731" t="s">
        <v>1386</v>
      </c>
      <c r="J8215" s="390"/>
      <c r="K8215" s="734"/>
      <c r="M8215" s="62" t="e">
        <f>IF(#REF!&gt;6,3,5)</f>
        <v>#REF!</v>
      </c>
    </row>
    <row r="8216" spans="1:13">
      <c r="A8216" s="730">
        <f t="shared" si="658"/>
        <v>10</v>
      </c>
      <c r="B8216" s="730" t="s">
        <v>1680</v>
      </c>
      <c r="C8216" s="390">
        <v>800000</v>
      </c>
      <c r="D8216" s="390">
        <v>800000</v>
      </c>
      <c r="E8216" s="390">
        <v>800000</v>
      </c>
      <c r="F8216" s="390">
        <f t="shared" si="659"/>
        <v>2400000</v>
      </c>
      <c r="G8216" s="390">
        <v>500000</v>
      </c>
      <c r="H8216" s="390">
        <v>800000</v>
      </c>
      <c r="I8216" s="390">
        <v>230000</v>
      </c>
      <c r="J8216" s="390"/>
      <c r="K8216" s="734"/>
      <c r="M8216" s="62" t="e">
        <f>IF(#REF!&gt;6,3,5)</f>
        <v>#REF!</v>
      </c>
    </row>
    <row r="8217" spans="1:13">
      <c r="A8217" s="730">
        <f t="shared" si="658"/>
        <v>11</v>
      </c>
      <c r="B8217" s="730" t="s">
        <v>1681</v>
      </c>
      <c r="C8217" s="390">
        <v>100000</v>
      </c>
      <c r="D8217" s="390">
        <v>100000</v>
      </c>
      <c r="E8217" s="390">
        <v>100000</v>
      </c>
      <c r="F8217" s="390">
        <f t="shared" si="659"/>
        <v>300000</v>
      </c>
      <c r="G8217" s="390">
        <v>100000</v>
      </c>
      <c r="H8217" s="390">
        <v>100000</v>
      </c>
      <c r="I8217" s="390">
        <v>59000</v>
      </c>
      <c r="J8217" s="390"/>
      <c r="K8217" s="734"/>
      <c r="M8217" s="62" t="e">
        <f>IF(#REF!&gt;6,3,5)</f>
        <v>#REF!</v>
      </c>
    </row>
    <row r="8218" spans="1:13">
      <c r="A8218" s="730">
        <f t="shared" si="658"/>
        <v>12</v>
      </c>
      <c r="B8218" s="730" t="s">
        <v>1682</v>
      </c>
      <c r="C8218" s="731">
        <v>1500000</v>
      </c>
      <c r="D8218" s="731">
        <v>1500000</v>
      </c>
      <c r="E8218" s="731">
        <v>1500000</v>
      </c>
      <c r="F8218" s="390">
        <f t="shared" si="659"/>
        <v>4500000</v>
      </c>
      <c r="G8218" s="731">
        <v>2000000</v>
      </c>
      <c r="H8218" s="731">
        <v>1000000</v>
      </c>
      <c r="I8218" s="731">
        <v>739000</v>
      </c>
      <c r="J8218" s="390"/>
      <c r="K8218" s="734"/>
      <c r="M8218" s="62" t="e">
        <f>IF(#REF!&gt;6,3,5)</f>
        <v>#REF!</v>
      </c>
    </row>
    <row r="8219" spans="1:13">
      <c r="A8219" s="730">
        <f t="shared" si="658"/>
        <v>13</v>
      </c>
      <c r="B8219" s="730" t="s">
        <v>2249</v>
      </c>
      <c r="C8219" s="731">
        <v>100000</v>
      </c>
      <c r="D8219" s="731">
        <v>100000</v>
      </c>
      <c r="E8219" s="731">
        <v>100000</v>
      </c>
      <c r="F8219" s="390">
        <f t="shared" si="659"/>
        <v>300000</v>
      </c>
      <c r="G8219" s="731">
        <v>100000</v>
      </c>
      <c r="H8219" s="731">
        <v>100000</v>
      </c>
      <c r="I8219" s="731">
        <v>0</v>
      </c>
      <c r="J8219" s="390"/>
      <c r="K8219" s="734"/>
      <c r="M8219" s="62" t="e">
        <f>IF(#REF!&gt;6,3,5)</f>
        <v>#REF!</v>
      </c>
    </row>
    <row r="8220" spans="1:13">
      <c r="A8220" s="730">
        <f t="shared" si="658"/>
        <v>14</v>
      </c>
      <c r="B8220" s="730" t="s">
        <v>3018</v>
      </c>
      <c r="C8220" s="731">
        <v>1000000</v>
      </c>
      <c r="D8220" s="731">
        <v>1000000</v>
      </c>
      <c r="E8220" s="731">
        <v>1000000</v>
      </c>
      <c r="F8220" s="390">
        <f t="shared" si="659"/>
        <v>3000000</v>
      </c>
      <c r="G8220" s="731">
        <v>1500000</v>
      </c>
      <c r="H8220" s="731">
        <v>1000000</v>
      </c>
      <c r="I8220" s="731">
        <v>658000</v>
      </c>
      <c r="J8220" s="390"/>
      <c r="K8220" s="734"/>
      <c r="M8220" s="62" t="e">
        <f>IF(#REF!&gt;6,3,5)</f>
        <v>#REF!</v>
      </c>
    </row>
    <row r="8221" spans="1:13">
      <c r="A8221" s="730">
        <f t="shared" si="658"/>
        <v>15</v>
      </c>
      <c r="B8221" s="730" t="s">
        <v>2256</v>
      </c>
      <c r="C8221" s="731">
        <v>25000000</v>
      </c>
      <c r="D8221" s="731">
        <v>35000000</v>
      </c>
      <c r="E8221" s="731">
        <v>35000000</v>
      </c>
      <c r="F8221" s="390">
        <f t="shared" si="659"/>
        <v>95000000</v>
      </c>
      <c r="G8221" s="731">
        <v>35000000</v>
      </c>
      <c r="H8221" s="731">
        <v>20000000</v>
      </c>
      <c r="I8221" s="731">
        <v>17100000</v>
      </c>
      <c r="J8221" s="390"/>
      <c r="K8221" s="734"/>
      <c r="M8221" s="62" t="e">
        <f>IF(#REF!&gt;6,3,5)</f>
        <v>#REF!</v>
      </c>
    </row>
    <row r="8222" spans="1:13">
      <c r="A8222" s="730">
        <f t="shared" si="658"/>
        <v>16</v>
      </c>
      <c r="B8222" s="730" t="s">
        <v>1562</v>
      </c>
      <c r="C8222" s="390">
        <v>3500000</v>
      </c>
      <c r="D8222" s="390">
        <v>500000</v>
      </c>
      <c r="E8222" s="390">
        <v>500000</v>
      </c>
      <c r="F8222" s="390">
        <f t="shared" si="659"/>
        <v>4500000</v>
      </c>
      <c r="G8222" s="390">
        <v>3000000</v>
      </c>
      <c r="H8222" s="390">
        <v>5000000</v>
      </c>
      <c r="I8222" s="390">
        <v>1800000</v>
      </c>
      <c r="J8222" s="390"/>
      <c r="K8222" s="734"/>
      <c r="M8222" s="62" t="e">
        <f>IF(#REF!&gt;6,3,5)</f>
        <v>#REF!</v>
      </c>
    </row>
    <row r="8223" spans="1:13">
      <c r="A8223" s="730">
        <f t="shared" si="658"/>
        <v>17</v>
      </c>
      <c r="B8223" s="730" t="s">
        <v>1563</v>
      </c>
      <c r="C8223" s="390">
        <v>5000000</v>
      </c>
      <c r="D8223" s="390">
        <v>3000000</v>
      </c>
      <c r="E8223" s="390">
        <v>3000000</v>
      </c>
      <c r="F8223" s="390">
        <f t="shared" si="659"/>
        <v>11000000</v>
      </c>
      <c r="G8223" s="390">
        <v>4000000</v>
      </c>
      <c r="H8223" s="390">
        <v>2500000</v>
      </c>
      <c r="I8223" s="390">
        <f>1500000</f>
        <v>1500000</v>
      </c>
      <c r="J8223" s="390">
        <v>5000000</v>
      </c>
      <c r="K8223" s="734"/>
      <c r="M8223" s="62" t="e">
        <f>IF(#REF!&gt;6,3,5)</f>
        <v>#REF!</v>
      </c>
    </row>
    <row r="8224" spans="1:13">
      <c r="A8224" s="730">
        <f t="shared" si="658"/>
        <v>18</v>
      </c>
      <c r="B8224" s="730" t="s">
        <v>3203</v>
      </c>
      <c r="C8224" s="731">
        <v>500000</v>
      </c>
      <c r="D8224" s="731">
        <v>500000</v>
      </c>
      <c r="E8224" s="731">
        <v>500000</v>
      </c>
      <c r="F8224" s="390">
        <f t="shared" si="659"/>
        <v>1500000</v>
      </c>
      <c r="G8224" s="731">
        <v>1000000</v>
      </c>
      <c r="H8224" s="731">
        <v>500000</v>
      </c>
      <c r="I8224" s="731">
        <v>0</v>
      </c>
      <c r="J8224" s="390"/>
      <c r="K8224" s="734"/>
      <c r="M8224" s="62" t="e">
        <f>IF(#REF!&gt;6,3,5)</f>
        <v>#REF!</v>
      </c>
    </row>
    <row r="8225" spans="1:13" ht="25.5">
      <c r="A8225" s="730">
        <v>19</v>
      </c>
      <c r="B8225" s="733" t="s">
        <v>3572</v>
      </c>
      <c r="C8225" s="731" t="s">
        <v>1386</v>
      </c>
      <c r="D8225" s="731" t="s">
        <v>1386</v>
      </c>
      <c r="E8225" s="731" t="s">
        <v>1386</v>
      </c>
      <c r="F8225" s="390">
        <f t="shared" si="659"/>
        <v>0</v>
      </c>
      <c r="G8225" s="731" t="s">
        <v>1386</v>
      </c>
      <c r="H8225" s="731" t="s">
        <v>1386</v>
      </c>
      <c r="I8225" s="731" t="s">
        <v>1386</v>
      </c>
      <c r="J8225" s="390"/>
      <c r="K8225" s="734"/>
      <c r="M8225" s="62" t="e">
        <f>IF(#REF!&gt;6,3,5)</f>
        <v>#REF!</v>
      </c>
    </row>
    <row r="8226" spans="1:13">
      <c r="A8226" s="730">
        <f>A8225+1</f>
        <v>20</v>
      </c>
      <c r="B8226" s="730" t="s">
        <v>2653</v>
      </c>
      <c r="C8226" s="731" t="s">
        <v>1386</v>
      </c>
      <c r="D8226" s="731" t="s">
        <v>1386</v>
      </c>
      <c r="E8226" s="731" t="s">
        <v>1386</v>
      </c>
      <c r="F8226" s="390">
        <f t="shared" si="659"/>
        <v>0</v>
      </c>
      <c r="G8226" s="731" t="s">
        <v>1386</v>
      </c>
      <c r="H8226" s="731" t="s">
        <v>1386</v>
      </c>
      <c r="I8226" s="731" t="s">
        <v>1386</v>
      </c>
      <c r="J8226" s="390"/>
      <c r="K8226" s="734"/>
      <c r="M8226" s="62" t="e">
        <f>IF(#REF!&gt;6,3,5)</f>
        <v>#REF!</v>
      </c>
    </row>
    <row r="8227" spans="1:13">
      <c r="A8227" s="730">
        <f>A8226+1</f>
        <v>21</v>
      </c>
      <c r="B8227" s="730" t="s">
        <v>2634</v>
      </c>
      <c r="C8227" s="731" t="s">
        <v>1386</v>
      </c>
      <c r="D8227" s="731" t="s">
        <v>1386</v>
      </c>
      <c r="E8227" s="731" t="s">
        <v>1386</v>
      </c>
      <c r="F8227" s="390">
        <f t="shared" si="659"/>
        <v>0</v>
      </c>
      <c r="G8227" s="731" t="s">
        <v>1386</v>
      </c>
      <c r="H8227" s="731" t="s">
        <v>1386</v>
      </c>
      <c r="I8227" s="731" t="s">
        <v>1386</v>
      </c>
      <c r="J8227" s="390"/>
      <c r="K8227" s="734"/>
      <c r="M8227" s="62" t="e">
        <f>IF(#REF!&gt;6,3,5)</f>
        <v>#REF!</v>
      </c>
    </row>
    <row r="8228" spans="1:13" ht="25.5">
      <c r="A8228" s="730">
        <f>A8227+1</f>
        <v>22</v>
      </c>
      <c r="B8228" s="733" t="s">
        <v>3372</v>
      </c>
      <c r="C8228" s="390">
        <v>400000</v>
      </c>
      <c r="D8228" s="390">
        <v>600000</v>
      </c>
      <c r="E8228" s="390">
        <v>600000</v>
      </c>
      <c r="F8228" s="390">
        <f t="shared" si="659"/>
        <v>1600000</v>
      </c>
      <c r="G8228" s="390">
        <v>1000000</v>
      </c>
      <c r="H8228" s="390">
        <v>500000</v>
      </c>
      <c r="I8228" s="390">
        <v>0</v>
      </c>
      <c r="J8228" s="390"/>
      <c r="K8228" s="734"/>
      <c r="M8228" s="62" t="e">
        <f>IF(#REF!&gt;6,3,5)</f>
        <v>#REF!</v>
      </c>
    </row>
    <row r="8229" spans="1:13" ht="25.5">
      <c r="A8229" s="730">
        <f>A8228+1</f>
        <v>23</v>
      </c>
      <c r="B8229" s="733" t="s">
        <v>3029</v>
      </c>
      <c r="C8229" s="390">
        <v>500000</v>
      </c>
      <c r="D8229" s="390">
        <v>500000</v>
      </c>
      <c r="E8229" s="390">
        <v>500000</v>
      </c>
      <c r="F8229" s="390">
        <f t="shared" si="659"/>
        <v>1500000</v>
      </c>
      <c r="G8229" s="390">
        <v>500000</v>
      </c>
      <c r="H8229" s="390">
        <v>500000</v>
      </c>
      <c r="I8229" s="390">
        <v>0</v>
      </c>
      <c r="J8229" s="390"/>
      <c r="K8229" s="734"/>
      <c r="M8229" s="62" t="e">
        <f>IF(#REF!&gt;6,3,5)</f>
        <v>#REF!</v>
      </c>
    </row>
    <row r="8230" spans="1:13">
      <c r="A8230" s="730">
        <f>A8229+1</f>
        <v>24</v>
      </c>
      <c r="B8230" s="730" t="s">
        <v>3546</v>
      </c>
      <c r="C8230" s="390">
        <v>2000000</v>
      </c>
      <c r="D8230" s="390">
        <v>500000</v>
      </c>
      <c r="E8230" s="390">
        <v>500000</v>
      </c>
      <c r="F8230" s="390">
        <f t="shared" si="659"/>
        <v>3000000</v>
      </c>
      <c r="G8230" s="390">
        <v>500000</v>
      </c>
      <c r="H8230" s="390">
        <v>500000</v>
      </c>
      <c r="I8230" s="390">
        <v>0</v>
      </c>
      <c r="J8230" s="390"/>
      <c r="K8230" s="734"/>
      <c r="M8230" s="62" t="e">
        <f>IF(#REF!&gt;6,3,5)</f>
        <v>#REF!</v>
      </c>
    </row>
    <row r="8231" spans="1:13">
      <c r="A8231" s="730"/>
      <c r="B8231" s="730"/>
      <c r="C8231" s="390"/>
      <c r="D8231" s="390"/>
      <c r="E8231" s="390"/>
      <c r="F8231" s="390"/>
      <c r="G8231" s="390"/>
      <c r="H8231" s="390"/>
      <c r="I8231" s="390"/>
      <c r="J8231" s="390"/>
      <c r="K8231" s="734"/>
      <c r="M8231" s="62" t="e">
        <f>IF(#REF!&gt;6,3,5)</f>
        <v>#REF!</v>
      </c>
    </row>
    <row r="8232" spans="1:13">
      <c r="A8232" s="730"/>
      <c r="B8232" s="730"/>
      <c r="C8232" s="390"/>
      <c r="D8232" s="390"/>
      <c r="E8232" s="390"/>
      <c r="F8232" s="390"/>
      <c r="G8232" s="390"/>
      <c r="H8232" s="390"/>
      <c r="I8232" s="390"/>
      <c r="J8232" s="390"/>
      <c r="K8232" s="734"/>
      <c r="M8232" s="62" t="e">
        <f>IF(#REF!&gt;6,3,5)</f>
        <v>#REF!</v>
      </c>
    </row>
    <row r="8233" spans="1:13">
      <c r="A8233" s="738"/>
      <c r="B8233" s="738" t="s">
        <v>1684</v>
      </c>
      <c r="C8233" s="739">
        <f t="shared" ref="C8233:I8233" si="660">SUM(C8207:C8232)</f>
        <v>43500000</v>
      </c>
      <c r="D8233" s="739">
        <f t="shared" si="660"/>
        <v>46900000</v>
      </c>
      <c r="E8233" s="739">
        <f t="shared" si="660"/>
        <v>46900000</v>
      </c>
      <c r="F8233" s="739">
        <f t="shared" si="660"/>
        <v>137300000</v>
      </c>
      <c r="G8233" s="739">
        <f>SUM(G8207:G8232)</f>
        <v>52100000</v>
      </c>
      <c r="H8233" s="739">
        <f t="shared" si="660"/>
        <v>35300000</v>
      </c>
      <c r="I8233" s="739">
        <f t="shared" si="660"/>
        <v>23449000</v>
      </c>
      <c r="J8233" s="739"/>
      <c r="K8233" s="740"/>
      <c r="M8233" s="62" t="e">
        <f>IF(#REF!&gt;6,3,5)</f>
        <v>#REF!</v>
      </c>
    </row>
    <row r="8234" spans="1:13" ht="15">
      <c r="C8234" s="77"/>
      <c r="D8234" s="78" t="s">
        <v>5434</v>
      </c>
      <c r="J8234" s="584"/>
      <c r="K8234" s="584"/>
      <c r="M8234" s="62">
        <f t="shared" ref="M8234:M8282" si="661">IF(C8234&gt;6,3,5)</f>
        <v>5</v>
      </c>
    </row>
    <row r="8235" spans="1:13" ht="15">
      <c r="C8235" s="77"/>
      <c r="D8235" s="78" t="s">
        <v>1693</v>
      </c>
      <c r="J8235" s="584"/>
      <c r="K8235" s="584"/>
      <c r="M8235" s="62">
        <f t="shared" si="661"/>
        <v>5</v>
      </c>
    </row>
    <row r="8236" spans="1:13" ht="15">
      <c r="C8236" s="79" t="s">
        <v>717</v>
      </c>
      <c r="D8236" s="78" t="s">
        <v>553</v>
      </c>
      <c r="J8236" s="584"/>
      <c r="K8236" s="584"/>
      <c r="M8236" s="62">
        <f t="shared" si="661"/>
        <v>3</v>
      </c>
    </row>
    <row r="8237" spans="1:13" ht="15.75" thickBot="1">
      <c r="C8237" s="79" t="s">
        <v>718</v>
      </c>
      <c r="D8237" s="78" t="s">
        <v>554</v>
      </c>
      <c r="J8237" s="584"/>
      <c r="K8237" s="584"/>
      <c r="M8237" s="62">
        <f t="shared" si="661"/>
        <v>3</v>
      </c>
    </row>
    <row r="8238" spans="1:13" ht="15.75" thickTop="1">
      <c r="A8238" s="1047" t="s">
        <v>2791</v>
      </c>
      <c r="B8238" s="1049" t="s">
        <v>4126</v>
      </c>
      <c r="C8238" s="1049" t="s">
        <v>854</v>
      </c>
      <c r="D8238" s="1040" t="s">
        <v>4127</v>
      </c>
      <c r="E8238" s="1041"/>
      <c r="F8238" s="1041"/>
      <c r="G8238" s="1040" t="s">
        <v>904</v>
      </c>
      <c r="H8238" s="1041"/>
      <c r="I8238" s="1042"/>
      <c r="J8238" s="1035" t="s">
        <v>855</v>
      </c>
      <c r="K8238" s="389"/>
    </row>
    <row r="8239" spans="1:13" ht="26.25" thickBot="1">
      <c r="A8239" s="1048"/>
      <c r="B8239" s="1050"/>
      <c r="C8239" s="1050"/>
      <c r="D8239" s="285" t="s">
        <v>5505</v>
      </c>
      <c r="E8239" s="285" t="s">
        <v>4485</v>
      </c>
      <c r="F8239" s="285" t="s">
        <v>4486</v>
      </c>
      <c r="G8239" s="287" t="s">
        <v>4487</v>
      </c>
      <c r="H8239" s="285" t="s">
        <v>4488</v>
      </c>
      <c r="I8239" s="287" t="s">
        <v>4489</v>
      </c>
      <c r="J8239" s="1036"/>
      <c r="K8239" s="712"/>
    </row>
    <row r="8240" spans="1:13" ht="13.5" thickTop="1">
      <c r="A8240" s="88">
        <v>1</v>
      </c>
      <c r="B8240" s="69" t="s">
        <v>2970</v>
      </c>
      <c r="C8240" s="69" t="s">
        <v>2335</v>
      </c>
      <c r="D8240" s="89">
        <v>1</v>
      </c>
      <c r="E8240" s="89">
        <v>1</v>
      </c>
      <c r="F8240" s="89">
        <v>1</v>
      </c>
      <c r="G8240" s="89">
        <v>1</v>
      </c>
      <c r="H8240" s="89">
        <v>1</v>
      </c>
      <c r="I8240" s="89">
        <v>1</v>
      </c>
      <c r="J8240" s="713"/>
      <c r="K8240" s="711"/>
      <c r="M8240" s="62">
        <f t="shared" si="661"/>
        <v>3</v>
      </c>
    </row>
    <row r="8241" spans="1:13">
      <c r="A8241" s="88">
        <f t="shared" ref="A8241:A8263" si="662">+A8240+1</f>
        <v>2</v>
      </c>
      <c r="B8241" s="69" t="s">
        <v>1532</v>
      </c>
      <c r="C8241" s="69" t="s">
        <v>2335</v>
      </c>
      <c r="D8241" s="89">
        <v>7</v>
      </c>
      <c r="E8241" s="89">
        <v>7</v>
      </c>
      <c r="F8241" s="89">
        <v>7</v>
      </c>
      <c r="G8241" s="89">
        <v>7</v>
      </c>
      <c r="H8241" s="89">
        <v>7</v>
      </c>
      <c r="I8241" s="89">
        <v>7</v>
      </c>
      <c r="J8241" s="713"/>
      <c r="K8241" s="711"/>
      <c r="M8241" s="62">
        <f t="shared" si="661"/>
        <v>3</v>
      </c>
    </row>
    <row r="8242" spans="1:13">
      <c r="A8242" s="88">
        <f t="shared" si="662"/>
        <v>3</v>
      </c>
      <c r="B8242" s="69" t="s">
        <v>2333</v>
      </c>
      <c r="C8242" s="69" t="s">
        <v>2335</v>
      </c>
      <c r="D8242" s="89">
        <v>1</v>
      </c>
      <c r="E8242" s="89">
        <v>1</v>
      </c>
      <c r="F8242" s="89">
        <v>1</v>
      </c>
      <c r="G8242" s="89">
        <v>1</v>
      </c>
      <c r="H8242" s="89">
        <v>1</v>
      </c>
      <c r="I8242" s="89">
        <v>1</v>
      </c>
      <c r="J8242" s="713"/>
      <c r="K8242" s="711"/>
      <c r="M8242" s="62">
        <f t="shared" si="661"/>
        <v>3</v>
      </c>
    </row>
    <row r="8243" spans="1:13">
      <c r="A8243" s="88">
        <f t="shared" si="662"/>
        <v>4</v>
      </c>
      <c r="B8243" s="69" t="s">
        <v>1461</v>
      </c>
      <c r="C8243" s="69">
        <v>14</v>
      </c>
      <c r="D8243" s="89">
        <v>0</v>
      </c>
      <c r="E8243" s="89">
        <v>0</v>
      </c>
      <c r="F8243" s="89">
        <v>0</v>
      </c>
      <c r="G8243" s="89">
        <v>0</v>
      </c>
      <c r="H8243" s="89">
        <v>0</v>
      </c>
      <c r="I8243" s="89">
        <v>0</v>
      </c>
      <c r="J8243" s="710">
        <f>(VLOOKUP($C8243,[2]Sheet1!$A$2:$P$18,$M8243+1)/12)*12*D8243</f>
        <v>0</v>
      </c>
      <c r="K8243" s="711"/>
      <c r="M8243" s="62">
        <f t="shared" si="661"/>
        <v>3</v>
      </c>
    </row>
    <row r="8244" spans="1:13">
      <c r="A8244" s="88"/>
      <c r="B8244" s="90" t="s">
        <v>1893</v>
      </c>
      <c r="C8244" s="69"/>
      <c r="D8244" s="89"/>
      <c r="E8244" s="89"/>
      <c r="F8244" s="89"/>
      <c r="G8244" s="89"/>
      <c r="H8244" s="89"/>
      <c r="I8244" s="89"/>
      <c r="J8244" s="710"/>
      <c r="K8244" s="711"/>
      <c r="M8244" s="62">
        <f t="shared" si="661"/>
        <v>5</v>
      </c>
    </row>
    <row r="8245" spans="1:13">
      <c r="A8245" s="88">
        <f>+A8243+1</f>
        <v>5</v>
      </c>
      <c r="B8245" s="69" t="s">
        <v>1305</v>
      </c>
      <c r="C8245" s="69">
        <v>14</v>
      </c>
      <c r="D8245" s="89">
        <v>2</v>
      </c>
      <c r="E8245" s="89">
        <v>2</v>
      </c>
      <c r="F8245" s="89">
        <v>2</v>
      </c>
      <c r="G8245" s="89">
        <v>2</v>
      </c>
      <c r="H8245" s="89">
        <v>2</v>
      </c>
      <c r="I8245" s="89">
        <v>2</v>
      </c>
      <c r="J8245" s="710">
        <f>(VLOOKUP($C8245,[2]Sheet1!$A$2:$P$18,$M8245+1)/12)*12*D8245</f>
        <v>1338198.81648</v>
      </c>
      <c r="K8245" s="711"/>
      <c r="M8245" s="62">
        <f t="shared" si="661"/>
        <v>3</v>
      </c>
    </row>
    <row r="8246" spans="1:13">
      <c r="A8246" s="88">
        <f t="shared" si="662"/>
        <v>6</v>
      </c>
      <c r="B8246" s="69" t="s">
        <v>1144</v>
      </c>
      <c r="C8246" s="69">
        <v>13</v>
      </c>
      <c r="D8246" s="89">
        <v>1</v>
      </c>
      <c r="E8246" s="89">
        <v>3</v>
      </c>
      <c r="F8246" s="89">
        <v>3</v>
      </c>
      <c r="G8246" s="89">
        <v>3</v>
      </c>
      <c r="H8246" s="89">
        <v>3</v>
      </c>
      <c r="I8246" s="89">
        <v>1</v>
      </c>
      <c r="J8246" s="710">
        <f>(VLOOKUP($C8246,[2]Sheet1!$A$2:$P$18,$M8246+1)/12)*12*D8246</f>
        <v>628759.53804000001</v>
      </c>
      <c r="K8246" s="711"/>
      <c r="M8246" s="62">
        <f t="shared" si="661"/>
        <v>3</v>
      </c>
    </row>
    <row r="8247" spans="1:13">
      <c r="A8247" s="88">
        <f t="shared" si="662"/>
        <v>7</v>
      </c>
      <c r="B8247" s="69" t="s">
        <v>1145</v>
      </c>
      <c r="C8247" s="69">
        <v>12</v>
      </c>
      <c r="D8247" s="89">
        <v>4</v>
      </c>
      <c r="E8247" s="89">
        <v>3</v>
      </c>
      <c r="F8247" s="89">
        <v>3</v>
      </c>
      <c r="G8247" s="89">
        <v>3</v>
      </c>
      <c r="H8247" s="89">
        <v>3</v>
      </c>
      <c r="I8247" s="89">
        <v>4</v>
      </c>
      <c r="J8247" s="710">
        <f>(VLOOKUP($C8247,[2]Sheet1!$A$2:$P$18,$M8247+1)/12)*12*D8247</f>
        <v>2210740.2148800008</v>
      </c>
      <c r="K8247" s="711"/>
      <c r="M8247" s="62">
        <f t="shared" si="661"/>
        <v>3</v>
      </c>
    </row>
    <row r="8248" spans="1:13">
      <c r="A8248" s="88">
        <f t="shared" si="662"/>
        <v>8</v>
      </c>
      <c r="B8248" s="69" t="s">
        <v>1161</v>
      </c>
      <c r="C8248" s="69">
        <v>10</v>
      </c>
      <c r="D8248" s="89">
        <v>6</v>
      </c>
      <c r="E8248" s="89">
        <v>0</v>
      </c>
      <c r="F8248" s="89">
        <v>5</v>
      </c>
      <c r="G8248" s="89">
        <v>5</v>
      </c>
      <c r="H8248" s="89">
        <v>5</v>
      </c>
      <c r="I8248" s="89">
        <v>6</v>
      </c>
      <c r="J8248" s="710">
        <f>(VLOOKUP($C8248,[2]Sheet1!$A$2:$P$18,$M8248+1)/12)*12*D8248</f>
        <v>2903847.4123200006</v>
      </c>
      <c r="K8248" s="711"/>
      <c r="M8248" s="62">
        <f t="shared" si="661"/>
        <v>3</v>
      </c>
    </row>
    <row r="8249" spans="1:13">
      <c r="A8249" s="88">
        <f t="shared" si="662"/>
        <v>9</v>
      </c>
      <c r="B8249" s="69" t="s">
        <v>1407</v>
      </c>
      <c r="C8249" s="69">
        <v>9</v>
      </c>
      <c r="D8249" s="89">
        <v>8</v>
      </c>
      <c r="E8249" s="89">
        <v>6</v>
      </c>
      <c r="F8249" s="89">
        <v>4</v>
      </c>
      <c r="G8249" s="89">
        <v>4</v>
      </c>
      <c r="H8249" s="89">
        <v>4</v>
      </c>
      <c r="I8249" s="89">
        <v>8</v>
      </c>
      <c r="J8249" s="710">
        <f>(VLOOKUP($C8249,[2]Sheet1!$A$2:$P$18,$M8249+1)/12)*12*D8249</f>
        <v>3277455.2495999997</v>
      </c>
      <c r="K8249" s="711"/>
      <c r="M8249" s="62">
        <f t="shared" si="661"/>
        <v>3</v>
      </c>
    </row>
    <row r="8250" spans="1:13">
      <c r="A8250" s="88">
        <f t="shared" si="662"/>
        <v>10</v>
      </c>
      <c r="B8250" s="69" t="s">
        <v>1407</v>
      </c>
      <c r="C8250" s="69">
        <v>8</v>
      </c>
      <c r="D8250" s="89">
        <v>5</v>
      </c>
      <c r="E8250" s="89">
        <v>9</v>
      </c>
      <c r="F8250" s="89">
        <v>12</v>
      </c>
      <c r="G8250" s="89">
        <v>12</v>
      </c>
      <c r="H8250" s="89">
        <v>12</v>
      </c>
      <c r="I8250" s="89">
        <v>5</v>
      </c>
      <c r="J8250" s="710">
        <f>(VLOOKUP($C8250,[2]Sheet1!$A$2:$P$18,$M8250+1)/12)*12*D8250</f>
        <v>1710706.3703999999</v>
      </c>
      <c r="K8250" s="711"/>
      <c r="M8250" s="62">
        <f t="shared" si="661"/>
        <v>3</v>
      </c>
    </row>
    <row r="8251" spans="1:13">
      <c r="A8251" s="88">
        <f t="shared" si="662"/>
        <v>11</v>
      </c>
      <c r="B8251" s="69" t="s">
        <v>1407</v>
      </c>
      <c r="C8251" s="69">
        <v>7</v>
      </c>
      <c r="D8251" s="89">
        <v>14</v>
      </c>
      <c r="E8251" s="89">
        <v>8</v>
      </c>
      <c r="F8251" s="89">
        <v>9</v>
      </c>
      <c r="G8251" s="89">
        <v>9</v>
      </c>
      <c r="H8251" s="89">
        <v>9</v>
      </c>
      <c r="I8251" s="89">
        <v>14</v>
      </c>
      <c r="J8251" s="710">
        <f>(VLOOKUP($C8251,[2]Sheet1!$A$2:$P$18,$M8251+1)/12)*12*D8251</f>
        <v>4307893.8336000014</v>
      </c>
      <c r="K8251" s="711"/>
      <c r="M8251" s="62">
        <f t="shared" si="661"/>
        <v>3</v>
      </c>
    </row>
    <row r="8252" spans="1:13">
      <c r="A8252" s="88">
        <f t="shared" si="662"/>
        <v>12</v>
      </c>
      <c r="B8252" s="69" t="s">
        <v>1408</v>
      </c>
      <c r="C8252" s="69">
        <v>6</v>
      </c>
      <c r="D8252" s="89">
        <v>2</v>
      </c>
      <c r="E8252" s="89">
        <v>20</v>
      </c>
      <c r="F8252" s="89">
        <v>13</v>
      </c>
      <c r="G8252" s="89">
        <v>13</v>
      </c>
      <c r="H8252" s="89">
        <v>13</v>
      </c>
      <c r="I8252" s="89">
        <v>2</v>
      </c>
      <c r="J8252" s="710">
        <f>(VLOOKUP($C8252,[2]Sheet1!$A$2:$P$18,$M8252+1)/12)*12*D8252</f>
        <v>476198.75786072994</v>
      </c>
      <c r="K8252" s="711"/>
      <c r="M8252" s="62">
        <f t="shared" si="661"/>
        <v>5</v>
      </c>
    </row>
    <row r="8253" spans="1:13">
      <c r="A8253" s="88">
        <f t="shared" si="662"/>
        <v>13</v>
      </c>
      <c r="B8253" s="69" t="s">
        <v>1162</v>
      </c>
      <c r="C8253" s="69">
        <v>5</v>
      </c>
      <c r="D8253" s="89">
        <v>2</v>
      </c>
      <c r="E8253" s="89">
        <v>5</v>
      </c>
      <c r="F8253" s="89">
        <v>5</v>
      </c>
      <c r="G8253" s="89">
        <v>5</v>
      </c>
      <c r="H8253" s="89">
        <v>5</v>
      </c>
      <c r="I8253" s="89">
        <v>2</v>
      </c>
      <c r="J8253" s="710">
        <f>(VLOOKUP($C8253,[2]Sheet1!$A$2:$P$18,$M8253+1)/12)*12*D8253</f>
        <v>459139.55786072998</v>
      </c>
      <c r="K8253" s="711"/>
      <c r="M8253" s="62">
        <f t="shared" si="661"/>
        <v>5</v>
      </c>
    </row>
    <row r="8254" spans="1:13">
      <c r="A8254" s="88">
        <f t="shared" si="662"/>
        <v>14</v>
      </c>
      <c r="B8254" s="277" t="s">
        <v>4031</v>
      </c>
      <c r="C8254" s="69">
        <v>4</v>
      </c>
      <c r="D8254" s="89">
        <v>3</v>
      </c>
      <c r="E8254" s="89">
        <v>10</v>
      </c>
      <c r="F8254" s="89">
        <v>10</v>
      </c>
      <c r="G8254" s="89">
        <v>10</v>
      </c>
      <c r="H8254" s="89">
        <v>10</v>
      </c>
      <c r="I8254" s="89">
        <v>3</v>
      </c>
      <c r="J8254" s="710">
        <f>(VLOOKUP($C8254,[2]Sheet1!$A$2:$P$18,$M8254+1)/12)*12*D8254</f>
        <v>673628.93679109495</v>
      </c>
      <c r="K8254" s="711"/>
      <c r="M8254" s="62">
        <f t="shared" si="661"/>
        <v>5</v>
      </c>
    </row>
    <row r="8255" spans="1:13">
      <c r="A8255" s="88">
        <f t="shared" si="662"/>
        <v>15</v>
      </c>
      <c r="B8255" s="69" t="s">
        <v>4032</v>
      </c>
      <c r="C8255" s="69">
        <v>3</v>
      </c>
      <c r="D8255" s="89">
        <v>1</v>
      </c>
      <c r="E8255" s="89">
        <v>4</v>
      </c>
      <c r="F8255" s="89">
        <v>2</v>
      </c>
      <c r="G8255" s="89">
        <v>2</v>
      </c>
      <c r="H8255" s="89">
        <v>2</v>
      </c>
      <c r="I8255" s="89">
        <v>1</v>
      </c>
      <c r="J8255" s="710">
        <f>(VLOOKUP($C8255,[2]Sheet1!$A$2:$P$18,$M8255+1)/12)*12*D8255</f>
        <v>219336.17893036499</v>
      </c>
      <c r="K8255" s="711"/>
      <c r="M8255" s="62">
        <f t="shared" si="661"/>
        <v>5</v>
      </c>
    </row>
    <row r="8256" spans="1:13">
      <c r="A8256" s="88">
        <f t="shared" si="662"/>
        <v>16</v>
      </c>
      <c r="B8256" s="69" t="s">
        <v>3023</v>
      </c>
      <c r="C8256" s="69">
        <v>8</v>
      </c>
      <c r="D8256" s="89">
        <v>0</v>
      </c>
      <c r="E8256" s="89">
        <v>2</v>
      </c>
      <c r="F8256" s="89">
        <v>0</v>
      </c>
      <c r="G8256" s="89">
        <v>0</v>
      </c>
      <c r="H8256" s="89">
        <v>0</v>
      </c>
      <c r="I8256" s="89">
        <v>0</v>
      </c>
      <c r="J8256" s="710">
        <f>(VLOOKUP($C8256,[2]Sheet1!$A$2:$P$18,$M8256+1)/12)*12*D8256</f>
        <v>0</v>
      </c>
      <c r="K8256" s="711"/>
      <c r="M8256" s="62">
        <f t="shared" si="661"/>
        <v>3</v>
      </c>
    </row>
    <row r="8257" spans="1:13">
      <c r="A8257" s="88">
        <f t="shared" si="662"/>
        <v>17</v>
      </c>
      <c r="B8257" s="69" t="s">
        <v>3897</v>
      </c>
      <c r="C8257" s="69">
        <v>6</v>
      </c>
      <c r="D8257" s="89">
        <v>2</v>
      </c>
      <c r="E8257" s="89">
        <v>3</v>
      </c>
      <c r="F8257" s="89">
        <v>2</v>
      </c>
      <c r="G8257" s="89">
        <v>2</v>
      </c>
      <c r="H8257" s="89">
        <v>2</v>
      </c>
      <c r="I8257" s="89">
        <v>2</v>
      </c>
      <c r="J8257" s="710">
        <f>(VLOOKUP($C8257,[2]Sheet1!$A$2:$P$18,$M8257+1)/12)*12*D8257</f>
        <v>476198.75786072994</v>
      </c>
      <c r="K8257" s="711"/>
      <c r="M8257" s="62">
        <f t="shared" si="661"/>
        <v>5</v>
      </c>
    </row>
    <row r="8258" spans="1:13">
      <c r="A8258" s="88">
        <f t="shared" si="662"/>
        <v>18</v>
      </c>
      <c r="B8258" s="69" t="s">
        <v>2556</v>
      </c>
      <c r="C8258" s="69">
        <v>3</v>
      </c>
      <c r="D8258" s="89">
        <v>0</v>
      </c>
      <c r="E8258" s="89">
        <v>2</v>
      </c>
      <c r="F8258" s="89">
        <v>0</v>
      </c>
      <c r="G8258" s="89">
        <v>0</v>
      </c>
      <c r="H8258" s="89">
        <v>0</v>
      </c>
      <c r="I8258" s="89">
        <v>0</v>
      </c>
      <c r="J8258" s="710">
        <f>(VLOOKUP($C8258,[2]Sheet1!$A$2:$P$18,$M8258+1)/12)*12*D8258</f>
        <v>0</v>
      </c>
      <c r="K8258" s="711"/>
      <c r="M8258" s="62">
        <f t="shared" si="661"/>
        <v>5</v>
      </c>
    </row>
    <row r="8259" spans="1:13">
      <c r="A8259" s="88">
        <f t="shared" si="662"/>
        <v>19</v>
      </c>
      <c r="B8259" s="69" t="s">
        <v>1186</v>
      </c>
      <c r="C8259" s="69">
        <v>7</v>
      </c>
      <c r="D8259" s="89">
        <v>5</v>
      </c>
      <c r="E8259" s="89">
        <v>5</v>
      </c>
      <c r="F8259" s="89">
        <v>5</v>
      </c>
      <c r="G8259" s="89">
        <v>5</v>
      </c>
      <c r="H8259" s="89">
        <v>5</v>
      </c>
      <c r="I8259" s="89">
        <v>5</v>
      </c>
      <c r="J8259" s="710">
        <f>(VLOOKUP($C8259,[2]Sheet1!$A$2:$P$18,$M8259+1)/12)*12*D8259</f>
        <v>1538533.5120000003</v>
      </c>
      <c r="K8259" s="711"/>
      <c r="M8259" s="62">
        <f t="shared" si="661"/>
        <v>3</v>
      </c>
    </row>
    <row r="8260" spans="1:13">
      <c r="A8260" s="88">
        <f t="shared" si="662"/>
        <v>20</v>
      </c>
      <c r="B8260" s="69" t="s">
        <v>2597</v>
      </c>
      <c r="C8260" s="69">
        <v>3</v>
      </c>
      <c r="D8260" s="89">
        <v>7</v>
      </c>
      <c r="E8260" s="89">
        <v>7</v>
      </c>
      <c r="F8260" s="89">
        <v>7</v>
      </c>
      <c r="G8260" s="89">
        <v>7</v>
      </c>
      <c r="H8260" s="89">
        <v>7</v>
      </c>
      <c r="I8260" s="89">
        <v>7</v>
      </c>
      <c r="J8260" s="710">
        <f>(VLOOKUP($C8260,[2]Sheet1!$A$2:$P$18,$M8260+1)/12)*12*D8260</f>
        <v>1535353.2525125549</v>
      </c>
      <c r="K8260" s="711"/>
      <c r="M8260" s="62">
        <f t="shared" si="661"/>
        <v>5</v>
      </c>
    </row>
    <row r="8261" spans="1:13">
      <c r="A8261" s="88">
        <f t="shared" si="662"/>
        <v>21</v>
      </c>
      <c r="B8261" s="69" t="s">
        <v>2543</v>
      </c>
      <c r="C8261" s="69">
        <v>2</v>
      </c>
      <c r="D8261" s="89">
        <v>0</v>
      </c>
      <c r="E8261" s="89">
        <v>2</v>
      </c>
      <c r="F8261" s="89">
        <v>0</v>
      </c>
      <c r="G8261" s="89">
        <v>0</v>
      </c>
      <c r="H8261" s="89">
        <v>0</v>
      </c>
      <c r="I8261" s="89">
        <v>0</v>
      </c>
      <c r="J8261" s="710">
        <f>(VLOOKUP($C8261,[2]Sheet1!$A$2:$P$18,$M8261+1)/12)*12*D8261</f>
        <v>0</v>
      </c>
      <c r="K8261" s="711"/>
      <c r="M8261" s="62">
        <f t="shared" si="661"/>
        <v>5</v>
      </c>
    </row>
    <row r="8262" spans="1:13">
      <c r="A8262" s="88">
        <f t="shared" si="662"/>
        <v>22</v>
      </c>
      <c r="B8262" s="69" t="s">
        <v>2930</v>
      </c>
      <c r="C8262" s="69">
        <v>2</v>
      </c>
      <c r="D8262" s="89">
        <v>2</v>
      </c>
      <c r="E8262" s="89">
        <v>3</v>
      </c>
      <c r="F8262" s="89">
        <v>2</v>
      </c>
      <c r="G8262" s="89">
        <v>2</v>
      </c>
      <c r="H8262" s="89">
        <v>2</v>
      </c>
      <c r="I8262" s="89">
        <v>2</v>
      </c>
      <c r="J8262" s="710">
        <f>(VLOOKUP($C8262,[2]Sheet1!$A$2:$P$18,$M8262+1)/12)*12*D8262</f>
        <v>429314.75786073005</v>
      </c>
      <c r="K8262" s="711"/>
      <c r="M8262" s="62">
        <f t="shared" si="661"/>
        <v>5</v>
      </c>
    </row>
    <row r="8263" spans="1:13">
      <c r="A8263" s="88">
        <f t="shared" si="662"/>
        <v>23</v>
      </c>
      <c r="B8263" s="69" t="s">
        <v>3899</v>
      </c>
      <c r="C8263" s="69">
        <v>2</v>
      </c>
      <c r="D8263" s="89">
        <v>4</v>
      </c>
      <c r="E8263" s="89">
        <v>4</v>
      </c>
      <c r="F8263" s="89">
        <v>4</v>
      </c>
      <c r="G8263" s="89">
        <v>4</v>
      </c>
      <c r="H8263" s="89">
        <v>4</v>
      </c>
      <c r="I8263" s="89">
        <v>4</v>
      </c>
      <c r="J8263" s="710">
        <f>(VLOOKUP($C8263,[2]Sheet1!$A$2:$P$18,$M8263+1)/12)*12*D8263</f>
        <v>858629.51572146011</v>
      </c>
      <c r="K8263" s="711"/>
      <c r="M8263" s="62">
        <f t="shared" si="661"/>
        <v>5</v>
      </c>
    </row>
    <row r="8264" spans="1:13">
      <c r="A8264" s="88"/>
      <c r="B8264" s="90" t="s">
        <v>3521</v>
      </c>
      <c r="C8264" s="69"/>
      <c r="D8264" s="89"/>
      <c r="E8264" s="89"/>
      <c r="F8264" s="89"/>
      <c r="G8264" s="89"/>
      <c r="H8264" s="89"/>
      <c r="I8264" s="89"/>
      <c r="J8264" s="710"/>
      <c r="K8264" s="711"/>
      <c r="M8264" s="62">
        <f t="shared" si="661"/>
        <v>5</v>
      </c>
    </row>
    <row r="8265" spans="1:13">
      <c r="A8265" s="88">
        <f>+A8263+1</f>
        <v>24</v>
      </c>
      <c r="B8265" s="69" t="s">
        <v>3900</v>
      </c>
      <c r="C8265" s="69">
        <v>6</v>
      </c>
      <c r="D8265" s="89">
        <v>0</v>
      </c>
      <c r="E8265" s="89">
        <v>0</v>
      </c>
      <c r="F8265" s="89">
        <v>0</v>
      </c>
      <c r="G8265" s="89">
        <v>0</v>
      </c>
      <c r="H8265" s="89">
        <v>0</v>
      </c>
      <c r="I8265" s="89">
        <v>0</v>
      </c>
      <c r="J8265" s="710">
        <f>(VLOOKUP($C8265,[2]Sheet1!$A$2:$P$18,$M8265+1)/12)*12*D8265</f>
        <v>0</v>
      </c>
      <c r="K8265" s="711"/>
      <c r="M8265" s="62">
        <f t="shared" si="661"/>
        <v>5</v>
      </c>
    </row>
    <row r="8266" spans="1:13">
      <c r="A8266" s="88">
        <f>+A8265+1</f>
        <v>25</v>
      </c>
      <c r="B8266" s="69" t="s">
        <v>865</v>
      </c>
      <c r="C8266" s="69">
        <v>4</v>
      </c>
      <c r="D8266" s="89"/>
      <c r="E8266" s="89">
        <v>0</v>
      </c>
      <c r="F8266" s="89"/>
      <c r="G8266" s="89"/>
      <c r="H8266" s="89">
        <v>0</v>
      </c>
      <c r="I8266" s="89"/>
      <c r="J8266" s="710">
        <f>(VLOOKUP($C8266,[2]Sheet1!$A$2:$P$18,$M8266+1)/12)*12*D8266</f>
        <v>0</v>
      </c>
      <c r="K8266" s="711"/>
      <c r="M8266" s="62">
        <f t="shared" si="661"/>
        <v>5</v>
      </c>
    </row>
    <row r="8267" spans="1:13">
      <c r="A8267" s="88">
        <f>+A8266+1</f>
        <v>26</v>
      </c>
      <c r="B8267" s="69" t="s">
        <v>3960</v>
      </c>
      <c r="C8267" s="69">
        <v>3</v>
      </c>
      <c r="D8267" s="89"/>
      <c r="E8267" s="89">
        <v>1</v>
      </c>
      <c r="F8267" s="89"/>
      <c r="G8267" s="89"/>
      <c r="H8267" s="89">
        <v>1</v>
      </c>
      <c r="I8267" s="89"/>
      <c r="J8267" s="710">
        <f>(VLOOKUP($C8267,[2]Sheet1!$A$2:$P$18,$M8267+1)/12)*12*D8267</f>
        <v>0</v>
      </c>
      <c r="K8267" s="711"/>
      <c r="M8267" s="62">
        <f t="shared" si="661"/>
        <v>5</v>
      </c>
    </row>
    <row r="8268" spans="1:13">
      <c r="A8268" s="88">
        <f>+A8267+1</f>
        <v>27</v>
      </c>
      <c r="B8268" s="69" t="s">
        <v>2416</v>
      </c>
      <c r="C8268" s="69">
        <v>3</v>
      </c>
      <c r="D8268" s="89">
        <v>0</v>
      </c>
      <c r="E8268" s="89">
        <v>1</v>
      </c>
      <c r="F8268" s="89">
        <v>0</v>
      </c>
      <c r="G8268" s="89">
        <v>0</v>
      </c>
      <c r="H8268" s="89">
        <v>1</v>
      </c>
      <c r="I8268" s="89">
        <v>0</v>
      </c>
      <c r="J8268" s="710">
        <f>(VLOOKUP($C8268,[2]Sheet1!$A$2:$P$18,$M8268+1)/12)*12*D8268</f>
        <v>0</v>
      </c>
      <c r="K8268" s="711"/>
      <c r="M8268" s="62">
        <f t="shared" si="661"/>
        <v>5</v>
      </c>
    </row>
    <row r="8269" spans="1:13">
      <c r="A8269" s="88">
        <f>+A8268+1</f>
        <v>28</v>
      </c>
      <c r="B8269" s="69" t="s">
        <v>499</v>
      </c>
      <c r="C8269" s="69">
        <v>2</v>
      </c>
      <c r="D8269" s="89">
        <v>0</v>
      </c>
      <c r="E8269" s="89">
        <v>1</v>
      </c>
      <c r="F8269" s="89">
        <v>0</v>
      </c>
      <c r="G8269" s="89">
        <v>0</v>
      </c>
      <c r="H8269" s="89">
        <v>1</v>
      </c>
      <c r="I8269" s="89">
        <v>0</v>
      </c>
      <c r="J8269" s="710">
        <f>(VLOOKUP($C8269,[2]Sheet1!$A$2:$P$18,$M8269+1)/12)*12*D8269</f>
        <v>0</v>
      </c>
      <c r="K8269" s="711"/>
      <c r="M8269" s="62">
        <f t="shared" si="661"/>
        <v>5</v>
      </c>
    </row>
    <row r="8270" spans="1:13">
      <c r="A8270" s="88"/>
      <c r="B8270" s="90" t="s">
        <v>3961</v>
      </c>
      <c r="C8270" s="69"/>
      <c r="D8270" s="89"/>
      <c r="E8270" s="89"/>
      <c r="F8270" s="89"/>
      <c r="G8270" s="89"/>
      <c r="H8270" s="89"/>
      <c r="I8270" s="89"/>
      <c r="J8270" s="710"/>
      <c r="K8270" s="711"/>
      <c r="M8270" s="62">
        <f t="shared" si="661"/>
        <v>5</v>
      </c>
    </row>
    <row r="8271" spans="1:13">
      <c r="A8271" s="88">
        <f>+A8269+1</f>
        <v>29</v>
      </c>
      <c r="B8271" s="69" t="s">
        <v>3532</v>
      </c>
      <c r="C8271" s="69">
        <v>16</v>
      </c>
      <c r="D8271" s="89">
        <v>0</v>
      </c>
      <c r="E8271" s="89">
        <v>0</v>
      </c>
      <c r="F8271" s="89">
        <v>0</v>
      </c>
      <c r="G8271" s="89">
        <v>0</v>
      </c>
      <c r="H8271" s="89">
        <v>0</v>
      </c>
      <c r="I8271" s="89">
        <v>0</v>
      </c>
      <c r="J8271" s="710">
        <f>(VLOOKUP($C8271,[2]Sheet1!$A$2:$P$18,$M8271+1)/12)*12*D8271</f>
        <v>0</v>
      </c>
      <c r="K8271" s="711"/>
      <c r="M8271" s="62">
        <f t="shared" si="661"/>
        <v>3</v>
      </c>
    </row>
    <row r="8272" spans="1:13">
      <c r="A8272" s="88">
        <f>+A8271+1</f>
        <v>30</v>
      </c>
      <c r="B8272" s="69" t="s">
        <v>1256</v>
      </c>
      <c r="C8272" s="69">
        <v>14</v>
      </c>
      <c r="D8272" s="89">
        <v>0</v>
      </c>
      <c r="E8272" s="89">
        <v>0</v>
      </c>
      <c r="F8272" s="89">
        <v>0</v>
      </c>
      <c r="G8272" s="89">
        <v>0</v>
      </c>
      <c r="H8272" s="89">
        <v>0</v>
      </c>
      <c r="I8272" s="89">
        <v>0</v>
      </c>
      <c r="J8272" s="710">
        <f>(VLOOKUP($C8272,[2]Sheet1!$A$2:$P$18,$M8272+1)/12)*12*D8272</f>
        <v>0</v>
      </c>
      <c r="K8272" s="711"/>
      <c r="M8272" s="62">
        <f t="shared" si="661"/>
        <v>3</v>
      </c>
    </row>
    <row r="8273" spans="1:13">
      <c r="A8273" s="88">
        <f>+A8272+1</f>
        <v>31</v>
      </c>
      <c r="B8273" s="69" t="s">
        <v>3962</v>
      </c>
      <c r="C8273" s="69">
        <v>8</v>
      </c>
      <c r="D8273" s="89">
        <v>0</v>
      </c>
      <c r="E8273" s="89">
        <v>1</v>
      </c>
      <c r="F8273" s="89">
        <v>0</v>
      </c>
      <c r="G8273" s="89">
        <v>0</v>
      </c>
      <c r="H8273" s="89">
        <v>1</v>
      </c>
      <c r="I8273" s="89">
        <v>0</v>
      </c>
      <c r="J8273" s="710">
        <f>(VLOOKUP($C8273,[2]Sheet1!$A$2:$P$18,$M8273+1)/12)*12*D8273</f>
        <v>0</v>
      </c>
      <c r="K8273" s="711"/>
      <c r="M8273" s="62">
        <f t="shared" si="661"/>
        <v>3</v>
      </c>
    </row>
    <row r="8274" spans="1:13">
      <c r="A8274" s="88"/>
      <c r="B8274" s="90" t="s">
        <v>1221</v>
      </c>
      <c r="C8274" s="69"/>
      <c r="D8274" s="89"/>
      <c r="E8274" s="89"/>
      <c r="F8274" s="89"/>
      <c r="G8274" s="89"/>
      <c r="H8274" s="89"/>
      <c r="I8274" s="89"/>
      <c r="J8274" s="710"/>
      <c r="K8274" s="711"/>
      <c r="M8274" s="62">
        <f t="shared" si="661"/>
        <v>5</v>
      </c>
    </row>
    <row r="8275" spans="1:13">
      <c r="A8275" s="88">
        <f>+A8273+1</f>
        <v>32</v>
      </c>
      <c r="B8275" s="69" t="s">
        <v>3532</v>
      </c>
      <c r="C8275" s="69">
        <v>16</v>
      </c>
      <c r="D8275" s="89">
        <v>0</v>
      </c>
      <c r="E8275" s="89">
        <v>0</v>
      </c>
      <c r="F8275" s="89">
        <v>0</v>
      </c>
      <c r="G8275" s="89">
        <v>0</v>
      </c>
      <c r="H8275" s="89">
        <v>0</v>
      </c>
      <c r="I8275" s="89">
        <v>0</v>
      </c>
      <c r="J8275" s="710">
        <f>(VLOOKUP($C8275,[2]Sheet1!$A$2:$P$18,$M8275+1)/12)*12*D8275</f>
        <v>0</v>
      </c>
      <c r="K8275" s="711"/>
      <c r="M8275" s="62">
        <f t="shared" si="661"/>
        <v>3</v>
      </c>
    </row>
    <row r="8276" spans="1:13" ht="13.5" thickBot="1">
      <c r="A8276" s="88">
        <f>+A8275+1</f>
        <v>33</v>
      </c>
      <c r="B8276" s="69" t="s">
        <v>1256</v>
      </c>
      <c r="C8276" s="69">
        <v>14</v>
      </c>
      <c r="D8276" s="89">
        <v>0</v>
      </c>
      <c r="E8276" s="89">
        <v>0</v>
      </c>
      <c r="F8276" s="89">
        <v>0</v>
      </c>
      <c r="G8276" s="89">
        <v>0</v>
      </c>
      <c r="H8276" s="89">
        <v>0</v>
      </c>
      <c r="I8276" s="89">
        <v>0</v>
      </c>
      <c r="J8276" s="710">
        <f>(VLOOKUP($C8276,[2]Sheet1!$A$2:$P$18,$M8276+1)/12)*12*D8276</f>
        <v>0</v>
      </c>
      <c r="K8276" s="711"/>
      <c r="M8276" s="62">
        <f t="shared" si="661"/>
        <v>3</v>
      </c>
    </row>
    <row r="8277" spans="1:13" ht="15.75" thickTop="1">
      <c r="A8277" s="1047" t="s">
        <v>2791</v>
      </c>
      <c r="B8277" s="1049" t="s">
        <v>4126</v>
      </c>
      <c r="C8277" s="1049" t="s">
        <v>854</v>
      </c>
      <c r="D8277" s="1040" t="s">
        <v>4127</v>
      </c>
      <c r="E8277" s="1041"/>
      <c r="F8277" s="1041"/>
      <c r="G8277" s="1040" t="s">
        <v>904</v>
      </c>
      <c r="H8277" s="1041"/>
      <c r="I8277" s="1042"/>
      <c r="J8277" s="851" t="s">
        <v>855</v>
      </c>
      <c r="K8277" s="389"/>
    </row>
    <row r="8278" spans="1:13" ht="26.25" thickBot="1">
      <c r="A8278" s="1048"/>
      <c r="B8278" s="1050"/>
      <c r="C8278" s="1050"/>
      <c r="D8278" s="285" t="s">
        <v>5505</v>
      </c>
      <c r="E8278" s="285" t="s">
        <v>4485</v>
      </c>
      <c r="F8278" s="285" t="s">
        <v>4486</v>
      </c>
      <c r="G8278" s="287" t="s">
        <v>4487</v>
      </c>
      <c r="H8278" s="285" t="s">
        <v>4488</v>
      </c>
      <c r="I8278" s="287" t="s">
        <v>4489</v>
      </c>
      <c r="J8278" s="852"/>
      <c r="K8278" s="389"/>
    </row>
    <row r="8279" spans="1:13" ht="13.5" thickTop="1">
      <c r="A8279" s="88">
        <f>+A8276+1</f>
        <v>34</v>
      </c>
      <c r="B8279" s="69" t="s">
        <v>1257</v>
      </c>
      <c r="C8279" s="69">
        <v>8</v>
      </c>
      <c r="D8279" s="89">
        <v>0</v>
      </c>
      <c r="E8279" s="89">
        <v>0</v>
      </c>
      <c r="F8279" s="89">
        <v>0</v>
      </c>
      <c r="G8279" s="89">
        <v>0</v>
      </c>
      <c r="H8279" s="89">
        <v>0</v>
      </c>
      <c r="I8279" s="89">
        <v>0</v>
      </c>
      <c r="J8279" s="710">
        <f>(VLOOKUP($C8279,[2]Sheet1!$A$2:$P$18,$M8279+1)/12)*12*D8279</f>
        <v>0</v>
      </c>
      <c r="K8279" s="711"/>
      <c r="M8279" s="62">
        <f t="shared" si="661"/>
        <v>3</v>
      </c>
    </row>
    <row r="8280" spans="1:13">
      <c r="A8280" s="88"/>
      <c r="B8280" s="90" t="s">
        <v>1222</v>
      </c>
      <c r="C8280" s="69"/>
      <c r="D8280" s="89"/>
      <c r="E8280" s="89"/>
      <c r="F8280" s="89"/>
      <c r="G8280" s="89"/>
      <c r="H8280" s="89"/>
      <c r="I8280" s="89"/>
      <c r="J8280" s="713"/>
      <c r="K8280" s="711"/>
      <c r="M8280" s="62">
        <f t="shared" si="661"/>
        <v>5</v>
      </c>
    </row>
    <row r="8281" spans="1:13">
      <c r="A8281" s="88">
        <f>+A8279+1</f>
        <v>35</v>
      </c>
      <c r="B8281" s="69" t="s">
        <v>4073</v>
      </c>
      <c r="C8281" s="69">
        <v>12</v>
      </c>
      <c r="D8281" s="89">
        <v>0</v>
      </c>
      <c r="E8281" s="89">
        <v>0</v>
      </c>
      <c r="F8281" s="89">
        <v>0</v>
      </c>
      <c r="G8281" s="89">
        <v>0</v>
      </c>
      <c r="H8281" s="89">
        <v>0</v>
      </c>
      <c r="I8281" s="89">
        <v>0</v>
      </c>
      <c r="J8281" s="710">
        <f>(VLOOKUP($C8281,[2]Sheet1!$A$2:$P$18,$M8281+1)/12)*12*D8281</f>
        <v>0</v>
      </c>
      <c r="K8281" s="711"/>
      <c r="M8281" s="62">
        <f t="shared" si="661"/>
        <v>3</v>
      </c>
    </row>
    <row r="8282" spans="1:13">
      <c r="A8282" s="88">
        <f>+A8281+1</f>
        <v>36</v>
      </c>
      <c r="B8282" s="69" t="s">
        <v>3581</v>
      </c>
      <c r="C8282" s="69">
        <v>8</v>
      </c>
      <c r="D8282" s="89">
        <v>0</v>
      </c>
      <c r="E8282" s="89">
        <v>0</v>
      </c>
      <c r="F8282" s="89">
        <v>0</v>
      </c>
      <c r="G8282" s="89">
        <v>0</v>
      </c>
      <c r="H8282" s="89">
        <v>0</v>
      </c>
      <c r="I8282" s="89">
        <v>0</v>
      </c>
      <c r="J8282" s="710">
        <f>(VLOOKUP($C8282,[2]Sheet1!$A$2:$P$18,$M8282+1)/12)*12*D8282</f>
        <v>0</v>
      </c>
      <c r="K8282" s="711"/>
      <c r="M8282" s="62">
        <f t="shared" si="661"/>
        <v>3</v>
      </c>
    </row>
    <row r="8283" spans="1:13">
      <c r="A8283" s="88">
        <f>+A8282+1</f>
        <v>37</v>
      </c>
      <c r="B8283" s="69" t="s">
        <v>4074</v>
      </c>
      <c r="C8283" s="69">
        <v>8</v>
      </c>
      <c r="D8283" s="89">
        <v>0</v>
      </c>
      <c r="E8283" s="89">
        <v>0</v>
      </c>
      <c r="F8283" s="89">
        <v>0</v>
      </c>
      <c r="G8283" s="89">
        <v>0</v>
      </c>
      <c r="H8283" s="89">
        <v>0</v>
      </c>
      <c r="I8283" s="89">
        <v>0</v>
      </c>
      <c r="J8283" s="710">
        <f>(VLOOKUP($C8283,[2]Sheet1!$A$2:$P$18,$M8283+1)/12)*12*D8283</f>
        <v>0</v>
      </c>
      <c r="K8283" s="711"/>
      <c r="M8283" s="62">
        <f t="shared" ref="M8283:M8313" si="663">IF(C8283&gt;6,3,5)</f>
        <v>3</v>
      </c>
    </row>
    <row r="8284" spans="1:13">
      <c r="A8284" s="88">
        <f>+A8283+1</f>
        <v>38</v>
      </c>
      <c r="B8284" s="69" t="s">
        <v>1415</v>
      </c>
      <c r="C8284" s="69">
        <v>8</v>
      </c>
      <c r="D8284" s="89">
        <v>0</v>
      </c>
      <c r="E8284" s="89">
        <v>0</v>
      </c>
      <c r="F8284" s="89">
        <v>0</v>
      </c>
      <c r="G8284" s="89">
        <v>0</v>
      </c>
      <c r="H8284" s="89">
        <v>0</v>
      </c>
      <c r="I8284" s="89">
        <v>0</v>
      </c>
      <c r="J8284" s="710">
        <f>(VLOOKUP($C8284,[2]Sheet1!$A$2:$P$18,$M8284+1)/12)*12*D8284</f>
        <v>0</v>
      </c>
      <c r="K8284" s="711"/>
      <c r="M8284" s="62">
        <f t="shared" si="663"/>
        <v>3</v>
      </c>
    </row>
    <row r="8285" spans="1:13">
      <c r="A8285" s="88"/>
      <c r="B8285" s="90" t="s">
        <v>1108</v>
      </c>
      <c r="C8285" s="69"/>
      <c r="D8285" s="89"/>
      <c r="E8285" s="89"/>
      <c r="F8285" s="89"/>
      <c r="G8285" s="89"/>
      <c r="H8285" s="89"/>
      <c r="I8285" s="89"/>
      <c r="J8285" s="710"/>
      <c r="K8285" s="711"/>
      <c r="M8285" s="62">
        <f t="shared" si="663"/>
        <v>5</v>
      </c>
    </row>
    <row r="8286" spans="1:13">
      <c r="A8286" s="88">
        <f>+A8284+1</f>
        <v>39</v>
      </c>
      <c r="B8286" s="69" t="s">
        <v>3532</v>
      </c>
      <c r="C8286" s="69">
        <v>16</v>
      </c>
      <c r="D8286" s="89">
        <v>0</v>
      </c>
      <c r="E8286" s="89">
        <v>0</v>
      </c>
      <c r="F8286" s="89">
        <v>0</v>
      </c>
      <c r="G8286" s="89">
        <v>0</v>
      </c>
      <c r="H8286" s="89">
        <v>0</v>
      </c>
      <c r="I8286" s="89">
        <v>0</v>
      </c>
      <c r="J8286" s="710">
        <f>(VLOOKUP($C8286,[2]Sheet1!$A$2:$P$18,$M8286+1)/12)*12*D8286</f>
        <v>0</v>
      </c>
      <c r="K8286" s="711"/>
      <c r="M8286" s="62">
        <f t="shared" si="663"/>
        <v>3</v>
      </c>
    </row>
    <row r="8287" spans="1:13">
      <c r="A8287" s="88">
        <f>+A8286+1</f>
        <v>40</v>
      </c>
      <c r="B8287" s="69" t="s">
        <v>1109</v>
      </c>
      <c r="C8287" s="69">
        <v>10</v>
      </c>
      <c r="D8287" s="89">
        <v>0</v>
      </c>
      <c r="E8287" s="89">
        <v>0</v>
      </c>
      <c r="F8287" s="89">
        <v>0</v>
      </c>
      <c r="G8287" s="89">
        <v>0</v>
      </c>
      <c r="H8287" s="89">
        <v>0</v>
      </c>
      <c r="I8287" s="89">
        <v>0</v>
      </c>
      <c r="J8287" s="710">
        <f>(VLOOKUP($C8287,[2]Sheet1!$A$2:$P$18,$M8287+1)/12)*12*D8287</f>
        <v>0</v>
      </c>
      <c r="K8287" s="711"/>
      <c r="M8287" s="62">
        <f t="shared" si="663"/>
        <v>3</v>
      </c>
    </row>
    <row r="8288" spans="1:13">
      <c r="A8288" s="88"/>
      <c r="B8288" s="90" t="s">
        <v>3030</v>
      </c>
      <c r="C8288" s="69"/>
      <c r="D8288" s="89"/>
      <c r="E8288" s="89"/>
      <c r="F8288" s="89"/>
      <c r="G8288" s="89"/>
      <c r="H8288" s="89"/>
      <c r="I8288" s="89"/>
      <c r="J8288" s="710"/>
      <c r="K8288" s="711"/>
      <c r="M8288" s="62">
        <f t="shared" si="663"/>
        <v>5</v>
      </c>
    </row>
    <row r="8289" spans="1:13">
      <c r="A8289" s="88">
        <f>+A8287+1</f>
        <v>41</v>
      </c>
      <c r="B8289" s="69" t="s">
        <v>3532</v>
      </c>
      <c r="C8289" s="69">
        <v>16</v>
      </c>
      <c r="D8289" s="89">
        <v>0</v>
      </c>
      <c r="E8289" s="89">
        <v>0</v>
      </c>
      <c r="F8289" s="89">
        <v>0</v>
      </c>
      <c r="G8289" s="89">
        <v>0</v>
      </c>
      <c r="H8289" s="89">
        <v>0</v>
      </c>
      <c r="I8289" s="89">
        <v>0</v>
      </c>
      <c r="J8289" s="710">
        <f>(VLOOKUP($C8289,[2]Sheet1!$A$2:$P$18,$M8289+1)/12)*12*D8289</f>
        <v>0</v>
      </c>
      <c r="K8289" s="711"/>
      <c r="M8289" s="62">
        <f t="shared" si="663"/>
        <v>3</v>
      </c>
    </row>
    <row r="8290" spans="1:13">
      <c r="A8290" s="88">
        <f>+A8289+1</f>
        <v>42</v>
      </c>
      <c r="B8290" s="69" t="s">
        <v>1256</v>
      </c>
      <c r="C8290" s="69">
        <v>14</v>
      </c>
      <c r="D8290" s="89">
        <v>0</v>
      </c>
      <c r="E8290" s="89">
        <v>0</v>
      </c>
      <c r="F8290" s="89">
        <v>0</v>
      </c>
      <c r="G8290" s="89">
        <v>0</v>
      </c>
      <c r="H8290" s="89">
        <v>0</v>
      </c>
      <c r="I8290" s="89">
        <v>0</v>
      </c>
      <c r="J8290" s="710">
        <f>(VLOOKUP($C8290,[2]Sheet1!$A$2:$P$18,$M8290+1)/12)*12*D8290</f>
        <v>0</v>
      </c>
      <c r="K8290" s="711"/>
      <c r="M8290" s="62">
        <f t="shared" si="663"/>
        <v>3</v>
      </c>
    </row>
    <row r="8291" spans="1:13">
      <c r="A8291" s="88">
        <f>+A8290+1</f>
        <v>43</v>
      </c>
      <c r="B8291" s="69" t="s">
        <v>1110</v>
      </c>
      <c r="C8291" s="69">
        <v>8</v>
      </c>
      <c r="D8291" s="89">
        <v>0</v>
      </c>
      <c r="E8291" s="89">
        <v>1</v>
      </c>
      <c r="F8291" s="89">
        <v>0</v>
      </c>
      <c r="G8291" s="89">
        <v>0</v>
      </c>
      <c r="H8291" s="89">
        <v>1</v>
      </c>
      <c r="I8291" s="89">
        <v>0</v>
      </c>
      <c r="J8291" s="710">
        <f>(VLOOKUP($C8291,[2]Sheet1!$A$2:$P$18,$M8291+1)/12)*12*D8291</f>
        <v>0</v>
      </c>
      <c r="K8291" s="711"/>
      <c r="M8291" s="62">
        <f t="shared" si="663"/>
        <v>3</v>
      </c>
    </row>
    <row r="8292" spans="1:13">
      <c r="A8292" s="88"/>
      <c r="B8292" s="90" t="s">
        <v>3631</v>
      </c>
      <c r="C8292" s="69"/>
      <c r="D8292" s="89"/>
      <c r="E8292" s="89"/>
      <c r="F8292" s="89"/>
      <c r="G8292" s="89"/>
      <c r="H8292" s="89"/>
      <c r="I8292" s="89"/>
      <c r="J8292" s="710"/>
      <c r="K8292" s="711"/>
      <c r="M8292" s="62">
        <f t="shared" si="663"/>
        <v>5</v>
      </c>
    </row>
    <row r="8293" spans="1:13">
      <c r="A8293" s="88">
        <f>+A8291+1</f>
        <v>44</v>
      </c>
      <c r="B8293" s="69" t="s">
        <v>3532</v>
      </c>
      <c r="C8293" s="69">
        <v>16</v>
      </c>
      <c r="D8293" s="89">
        <v>0</v>
      </c>
      <c r="E8293" s="91">
        <v>0</v>
      </c>
      <c r="F8293" s="89">
        <v>0</v>
      </c>
      <c r="G8293" s="89">
        <v>0</v>
      </c>
      <c r="H8293" s="91">
        <v>0</v>
      </c>
      <c r="I8293" s="89">
        <v>0</v>
      </c>
      <c r="J8293" s="710">
        <f>(VLOOKUP($C8293,[2]Sheet1!$A$2:$P$18,$M8293+1)/12)*12*D8293</f>
        <v>0</v>
      </c>
      <c r="K8293" s="711"/>
      <c r="M8293" s="62">
        <f t="shared" si="663"/>
        <v>3</v>
      </c>
    </row>
    <row r="8294" spans="1:13">
      <c r="A8294" s="88">
        <f>+A8293+1</f>
        <v>45</v>
      </c>
      <c r="B8294" s="69" t="s">
        <v>1256</v>
      </c>
      <c r="C8294" s="69">
        <v>14</v>
      </c>
      <c r="D8294" s="89">
        <v>0</v>
      </c>
      <c r="E8294" s="91">
        <v>0</v>
      </c>
      <c r="F8294" s="89">
        <v>0</v>
      </c>
      <c r="G8294" s="89">
        <v>0</v>
      </c>
      <c r="H8294" s="91">
        <v>0</v>
      </c>
      <c r="I8294" s="89">
        <v>0</v>
      </c>
      <c r="J8294" s="710">
        <f>(VLOOKUP($C8294,[2]Sheet1!$A$2:$P$18,$M8294+1)/12)*12*D8294</f>
        <v>0</v>
      </c>
      <c r="K8294" s="711"/>
      <c r="M8294" s="62">
        <f t="shared" si="663"/>
        <v>3</v>
      </c>
    </row>
    <row r="8295" spans="1:13">
      <c r="A8295" s="88">
        <f>+A8294+1</f>
        <v>46</v>
      </c>
      <c r="B8295" s="69" t="s">
        <v>3958</v>
      </c>
      <c r="C8295" s="69">
        <v>10</v>
      </c>
      <c r="D8295" s="89">
        <v>0</v>
      </c>
      <c r="E8295" s="91">
        <v>0</v>
      </c>
      <c r="F8295" s="89">
        <v>0</v>
      </c>
      <c r="G8295" s="89">
        <v>0</v>
      </c>
      <c r="H8295" s="91">
        <v>0</v>
      </c>
      <c r="I8295" s="89">
        <v>0</v>
      </c>
      <c r="J8295" s="710">
        <f>(VLOOKUP($C8295,[2]Sheet1!$A$2:$P$18,$M8295+1)/12)*12*D8295</f>
        <v>0</v>
      </c>
      <c r="K8295" s="711"/>
      <c r="M8295" s="62">
        <f t="shared" si="663"/>
        <v>3</v>
      </c>
    </row>
    <row r="8296" spans="1:13">
      <c r="A8296" s="88">
        <f>+A8295+1</f>
        <v>47</v>
      </c>
      <c r="B8296" s="69" t="s">
        <v>2628</v>
      </c>
      <c r="C8296" s="69">
        <v>8</v>
      </c>
      <c r="D8296" s="89">
        <v>0</v>
      </c>
      <c r="E8296" s="91">
        <v>0</v>
      </c>
      <c r="F8296" s="89">
        <v>0</v>
      </c>
      <c r="G8296" s="89">
        <v>0</v>
      </c>
      <c r="H8296" s="91">
        <v>0</v>
      </c>
      <c r="I8296" s="89">
        <v>0</v>
      </c>
      <c r="J8296" s="710">
        <f>(VLOOKUP($C8296,[2]Sheet1!$A$2:$P$18,$M8296+1)/12)*12*D8296</f>
        <v>0</v>
      </c>
      <c r="K8296" s="711"/>
      <c r="M8296" s="62">
        <f t="shared" si="663"/>
        <v>3</v>
      </c>
    </row>
    <row r="8297" spans="1:13">
      <c r="A8297" s="88"/>
      <c r="B8297" s="90" t="s">
        <v>117</v>
      </c>
      <c r="C8297" s="69"/>
      <c r="D8297" s="89"/>
      <c r="E8297" s="91"/>
      <c r="F8297" s="89"/>
      <c r="G8297" s="89"/>
      <c r="H8297" s="91"/>
      <c r="I8297" s="89"/>
      <c r="J8297" s="710"/>
      <c r="K8297" s="711"/>
      <c r="M8297" s="62">
        <f t="shared" si="663"/>
        <v>5</v>
      </c>
    </row>
    <row r="8298" spans="1:13">
      <c r="A8298" s="88">
        <f>+A8296+1</f>
        <v>48</v>
      </c>
      <c r="B8298" s="69" t="s">
        <v>2567</v>
      </c>
      <c r="C8298" s="69">
        <v>10</v>
      </c>
      <c r="D8298" s="89">
        <v>0</v>
      </c>
      <c r="E8298" s="89">
        <v>0</v>
      </c>
      <c r="F8298" s="89">
        <v>0</v>
      </c>
      <c r="G8298" s="89">
        <v>0</v>
      </c>
      <c r="H8298" s="89">
        <v>0</v>
      </c>
      <c r="I8298" s="89">
        <v>0</v>
      </c>
      <c r="J8298" s="710">
        <f>(VLOOKUP($C8298,[2]Sheet1!$A$2:$P$18,$M8298+1)/12)*12*D8298</f>
        <v>0</v>
      </c>
      <c r="K8298" s="711"/>
      <c r="M8298" s="62">
        <f t="shared" si="663"/>
        <v>3</v>
      </c>
    </row>
    <row r="8299" spans="1:13">
      <c r="A8299" s="88">
        <f>+A8298+1</f>
        <v>49</v>
      </c>
      <c r="B8299" s="69" t="s">
        <v>232</v>
      </c>
      <c r="C8299" s="69">
        <v>3</v>
      </c>
      <c r="D8299" s="89">
        <v>0</v>
      </c>
      <c r="E8299" s="89">
        <v>0</v>
      </c>
      <c r="F8299" s="89">
        <v>0</v>
      </c>
      <c r="G8299" s="89">
        <v>0</v>
      </c>
      <c r="H8299" s="89">
        <v>0</v>
      </c>
      <c r="I8299" s="89">
        <v>0</v>
      </c>
      <c r="J8299" s="710">
        <f>(VLOOKUP($C8299,[2]Sheet1!$A$2:$P$18,$M8299+1)/12)*12*D8299</f>
        <v>0</v>
      </c>
      <c r="K8299" s="711"/>
      <c r="M8299" s="62">
        <f t="shared" si="663"/>
        <v>5</v>
      </c>
    </row>
    <row r="8300" spans="1:13">
      <c r="A8300" s="88"/>
      <c r="B8300" s="69"/>
      <c r="C8300" s="69"/>
      <c r="D8300" s="89"/>
      <c r="E8300" s="89"/>
      <c r="F8300" s="89"/>
      <c r="G8300" s="89"/>
      <c r="H8300" s="89"/>
      <c r="I8300" s="89"/>
      <c r="J8300" s="713"/>
      <c r="K8300" s="711"/>
      <c r="M8300" s="62">
        <f t="shared" si="663"/>
        <v>5</v>
      </c>
    </row>
    <row r="8301" spans="1:13">
      <c r="A8301" s="92"/>
      <c r="B8301" s="93" t="s">
        <v>2120</v>
      </c>
      <c r="C8301" s="94"/>
      <c r="D8301" s="123">
        <f t="shared" ref="D8301:J8301" si="664">SUM(D8240:D8300)</f>
        <v>77</v>
      </c>
      <c r="E8301" s="123">
        <f t="shared" si="664"/>
        <v>112</v>
      </c>
      <c r="F8301" s="123">
        <f t="shared" si="664"/>
        <v>97</v>
      </c>
      <c r="G8301" s="123">
        <f>SUM(G8240:G8300)</f>
        <v>97</v>
      </c>
      <c r="H8301" s="123">
        <f t="shared" si="664"/>
        <v>102</v>
      </c>
      <c r="I8301" s="123">
        <f t="shared" si="664"/>
        <v>77</v>
      </c>
      <c r="J8301" s="123">
        <f t="shared" si="664"/>
        <v>23043934.6627184</v>
      </c>
      <c r="K8301" s="378"/>
      <c r="M8301" s="62">
        <f t="shared" si="663"/>
        <v>5</v>
      </c>
    </row>
    <row r="8302" spans="1:13">
      <c r="A8302" s="88" t="s">
        <v>1840</v>
      </c>
      <c r="B8302" s="97" t="s">
        <v>3035</v>
      </c>
      <c r="C8302" s="69"/>
      <c r="D8302" s="89"/>
      <c r="E8302" s="89"/>
      <c r="F8302" s="99"/>
      <c r="G8302" s="240" t="s">
        <v>243</v>
      </c>
      <c r="H8302" s="240" t="s">
        <v>4130</v>
      </c>
      <c r="I8302" s="240" t="s">
        <v>4202</v>
      </c>
      <c r="J8302" s="241" t="s">
        <v>4200</v>
      </c>
      <c r="K8302" s="375"/>
      <c r="M8302" s="62">
        <f t="shared" si="663"/>
        <v>5</v>
      </c>
    </row>
    <row r="8303" spans="1:13">
      <c r="A8303" s="88">
        <v>1</v>
      </c>
      <c r="B8303" s="69" t="s">
        <v>4035</v>
      </c>
      <c r="C8303" s="69"/>
      <c r="D8303" s="89"/>
      <c r="E8303" s="89"/>
      <c r="F8303" s="89"/>
      <c r="G8303" s="100">
        <f>J8301*0.2</f>
        <v>4608786.9325436801</v>
      </c>
      <c r="H8303" s="100">
        <f>G8303*1.02</f>
        <v>4700962.6711945534</v>
      </c>
      <c r="I8303" s="100">
        <f>H8303*1.02</f>
        <v>4794981.9246184444</v>
      </c>
      <c r="J8303" s="100">
        <f>SUM(G8303:I8303)</f>
        <v>14104731.528356679</v>
      </c>
      <c r="K8303" s="114"/>
      <c r="M8303" s="62">
        <f t="shared" si="663"/>
        <v>5</v>
      </c>
    </row>
    <row r="8304" spans="1:13">
      <c r="A8304" s="92"/>
      <c r="B8304" s="93" t="s">
        <v>2120</v>
      </c>
      <c r="C8304" s="94"/>
      <c r="D8304" s="101"/>
      <c r="E8304" s="101"/>
      <c r="F8304" s="123"/>
      <c r="G8304" s="123">
        <f>SUM(G8303:G8303)</f>
        <v>4608786.9325436801</v>
      </c>
      <c r="H8304" s="123">
        <f>SUM(H8303:H8303)</f>
        <v>4700962.6711945534</v>
      </c>
      <c r="I8304" s="123">
        <f>SUM(I8303:I8303)</f>
        <v>4794981.9246184444</v>
      </c>
      <c r="J8304" s="123">
        <f>SUM(J8303:J8303)</f>
        <v>14104731.528356679</v>
      </c>
      <c r="K8304" s="378"/>
      <c r="M8304" s="62">
        <f t="shared" si="663"/>
        <v>5</v>
      </c>
    </row>
    <row r="8305" spans="1:13">
      <c r="A8305" s="88"/>
      <c r="B8305" s="69" t="s">
        <v>1119</v>
      </c>
      <c r="C8305" s="69"/>
      <c r="D8305" s="89"/>
      <c r="E8305" s="89"/>
      <c r="F8305" s="89"/>
      <c r="G8305" s="100">
        <f>G8304+J8301</f>
        <v>27652721.59526208</v>
      </c>
      <c r="H8305" s="100">
        <f>G8305*1.02</f>
        <v>28205776.027167324</v>
      </c>
      <c r="I8305" s="100">
        <f>H8305*1.02</f>
        <v>28769891.547710672</v>
      </c>
      <c r="J8305" s="100">
        <f>SUM(G8305:I8305)</f>
        <v>84628389.170140073</v>
      </c>
      <c r="K8305" s="114"/>
      <c r="M8305" s="62">
        <f t="shared" si="663"/>
        <v>5</v>
      </c>
    </row>
    <row r="8306" spans="1:13">
      <c r="A8306" s="88"/>
      <c r="B8306" s="69" t="s">
        <v>3944</v>
      </c>
      <c r="C8306" s="69"/>
      <c r="D8306" s="89"/>
      <c r="E8306" s="89"/>
      <c r="F8306" s="89"/>
      <c r="G8306" s="89">
        <f>C8339</f>
        <v>24400000</v>
      </c>
      <c r="H8306" s="89">
        <f>D8339</f>
        <v>127600000</v>
      </c>
      <c r="I8306" s="89">
        <f>E8339</f>
        <v>127600000</v>
      </c>
      <c r="J8306" s="100">
        <f>SUM(G8306:I8306)</f>
        <v>279600000</v>
      </c>
      <c r="K8306" s="114"/>
      <c r="M8306" s="62">
        <f t="shared" si="663"/>
        <v>5</v>
      </c>
    </row>
    <row r="8307" spans="1:13">
      <c r="A8307" s="88"/>
      <c r="B8307" s="97"/>
      <c r="C8307" s="69"/>
      <c r="D8307" s="89"/>
      <c r="E8307" s="89"/>
      <c r="F8307" s="89"/>
      <c r="G8307" s="89"/>
      <c r="H8307" s="89"/>
      <c r="I8307" s="89"/>
      <c r="J8307" s="89"/>
      <c r="K8307" s="114"/>
      <c r="M8307" s="62">
        <f t="shared" si="663"/>
        <v>5</v>
      </c>
    </row>
    <row r="8308" spans="1:13" ht="13.5" thickBot="1">
      <c r="A8308" s="102"/>
      <c r="B8308" s="103" t="s">
        <v>2843</v>
      </c>
      <c r="C8308" s="104"/>
      <c r="D8308" s="105"/>
      <c r="E8308" s="105"/>
      <c r="F8308" s="129"/>
      <c r="G8308" s="129">
        <f>SUM(G8305:G8307)</f>
        <v>52052721.59526208</v>
      </c>
      <c r="H8308" s="129">
        <f>SUM(H8305:H8307)</f>
        <v>155805776.02716732</v>
      </c>
      <c r="I8308" s="129">
        <f>SUM(I8305:I8307)</f>
        <v>156369891.54771066</v>
      </c>
      <c r="J8308" s="129">
        <f>SUM(J8305:J8307)</f>
        <v>364228389.17014009</v>
      </c>
      <c r="K8308" s="378"/>
      <c r="M8308" s="62">
        <f t="shared" si="663"/>
        <v>5</v>
      </c>
    </row>
    <row r="8309" spans="1:13" ht="13.5" thickTop="1">
      <c r="A8309" s="113"/>
      <c r="B8309" s="131"/>
      <c r="C8309" s="113"/>
      <c r="D8309" s="114"/>
      <c r="E8309" s="114"/>
      <c r="F8309" s="132"/>
      <c r="G8309" s="132"/>
      <c r="H8309" s="132"/>
      <c r="I8309" s="132"/>
      <c r="J8309" s="132"/>
      <c r="K8309" s="132"/>
      <c r="M8309" s="62">
        <f t="shared" si="663"/>
        <v>5</v>
      </c>
    </row>
    <row r="8310" spans="1:13" ht="15">
      <c r="C8310" s="77"/>
      <c r="D8310" s="78" t="s">
        <v>5434</v>
      </c>
      <c r="J8310" s="584"/>
      <c r="K8310" s="584"/>
      <c r="M8310" s="62">
        <f t="shared" si="663"/>
        <v>5</v>
      </c>
    </row>
    <row r="8311" spans="1:13" ht="15">
      <c r="C8311" s="77"/>
      <c r="D8311" s="78" t="s">
        <v>716</v>
      </c>
      <c r="J8311" s="584"/>
      <c r="K8311" s="584"/>
      <c r="M8311" s="62">
        <f t="shared" si="663"/>
        <v>5</v>
      </c>
    </row>
    <row r="8312" spans="1:13" ht="15">
      <c r="C8312" s="79" t="s">
        <v>717</v>
      </c>
      <c r="D8312" s="78" t="s">
        <v>553</v>
      </c>
      <c r="J8312" s="584"/>
      <c r="K8312" s="584"/>
      <c r="M8312" s="62">
        <f t="shared" si="663"/>
        <v>3</v>
      </c>
    </row>
    <row r="8313" spans="1:13" ht="15">
      <c r="C8313" s="79" t="s">
        <v>718</v>
      </c>
      <c r="D8313" s="78" t="s">
        <v>554</v>
      </c>
      <c r="J8313" s="584"/>
      <c r="K8313" s="584"/>
      <c r="M8313" s="62">
        <f t="shared" si="663"/>
        <v>3</v>
      </c>
    </row>
    <row r="8314" spans="1:13" ht="15">
      <c r="A8314" s="634" t="s">
        <v>1839</v>
      </c>
      <c r="B8314" s="635" t="s">
        <v>903</v>
      </c>
      <c r="C8314" s="1037" t="s">
        <v>4127</v>
      </c>
      <c r="D8314" s="1038"/>
      <c r="E8314" s="1039"/>
      <c r="F8314" s="635" t="s">
        <v>1684</v>
      </c>
      <c r="G8314" s="1037" t="s">
        <v>4132</v>
      </c>
      <c r="H8314" s="1038"/>
      <c r="I8314" s="1039"/>
      <c r="J8314" s="726"/>
      <c r="K8314" s="727"/>
    </row>
    <row r="8315" spans="1:13">
      <c r="A8315" s="636" t="s">
        <v>1620</v>
      </c>
      <c r="B8315" s="637"/>
      <c r="C8315" s="635" t="s">
        <v>1841</v>
      </c>
      <c r="D8315" s="635" t="s">
        <v>4133</v>
      </c>
      <c r="E8315" s="635" t="s">
        <v>4133</v>
      </c>
      <c r="F8315" s="1056" t="s">
        <v>4200</v>
      </c>
      <c r="G8315" s="634" t="s">
        <v>4135</v>
      </c>
      <c r="H8315" s="1051" t="s">
        <v>4182</v>
      </c>
      <c r="I8315" s="634" t="s">
        <v>4135</v>
      </c>
      <c r="J8315" s="728" t="s">
        <v>4136</v>
      </c>
      <c r="K8315" s="727"/>
    </row>
    <row r="8316" spans="1:13" ht="12.75" customHeight="1">
      <c r="A8316" s="638" t="s">
        <v>387</v>
      </c>
      <c r="B8316" s="639"/>
      <c r="C8316" s="638">
        <v>2015</v>
      </c>
      <c r="D8316" s="638">
        <v>2016</v>
      </c>
      <c r="E8316" s="638">
        <v>2017</v>
      </c>
      <c r="F8316" s="1057"/>
      <c r="G8316" s="638" t="s">
        <v>4304</v>
      </c>
      <c r="H8316" s="1052"/>
      <c r="I8316" s="638" t="s">
        <v>4303</v>
      </c>
      <c r="J8316" s="639"/>
      <c r="K8316" s="729"/>
    </row>
    <row r="8317" spans="1:13">
      <c r="A8317" s="768"/>
      <c r="B8317" s="768"/>
      <c r="C8317" s="390"/>
      <c r="D8317" s="390"/>
      <c r="E8317" s="390"/>
      <c r="F8317" s="390"/>
      <c r="G8317" s="390"/>
      <c r="H8317" s="390"/>
      <c r="I8317" s="390"/>
      <c r="J8317" s="390"/>
      <c r="K8317" s="734"/>
      <c r="M8317" s="62" t="e">
        <f>IF(#REF!&gt;6,3,5)</f>
        <v>#REF!</v>
      </c>
    </row>
    <row r="8318" spans="1:13">
      <c r="A8318" s="768">
        <v>2</v>
      </c>
      <c r="B8318" s="768" t="s">
        <v>1695</v>
      </c>
      <c r="C8318" s="390">
        <v>2000000</v>
      </c>
      <c r="D8318" s="390">
        <v>2500000</v>
      </c>
      <c r="E8318" s="390">
        <v>2500000</v>
      </c>
      <c r="F8318" s="390">
        <f>SUM(C8318:E8318)</f>
        <v>7000000</v>
      </c>
      <c r="G8318" s="390">
        <v>858000</v>
      </c>
      <c r="H8318" s="390">
        <v>2000000</v>
      </c>
      <c r="I8318" s="390">
        <v>1939000</v>
      </c>
      <c r="J8318" s="390"/>
      <c r="K8318" s="734"/>
      <c r="M8318" s="62" t="e">
        <f>IF(#REF!&gt;6,3,5)</f>
        <v>#REF!</v>
      </c>
    </row>
    <row r="8319" spans="1:13">
      <c r="A8319" s="768">
        <f t="shared" ref="A8319:A8336" si="665">+A8318+1</f>
        <v>3</v>
      </c>
      <c r="B8319" s="768" t="s">
        <v>1696</v>
      </c>
      <c r="C8319" s="390" t="s">
        <v>1386</v>
      </c>
      <c r="D8319" s="390" t="s">
        <v>1386</v>
      </c>
      <c r="E8319" s="390" t="s">
        <v>1386</v>
      </c>
      <c r="F8319" s="390">
        <f t="shared" ref="F8319:F8337" si="666">SUM(C8319:E8319)</f>
        <v>0</v>
      </c>
      <c r="G8319" s="390" t="s">
        <v>1386</v>
      </c>
      <c r="H8319" s="390" t="s">
        <v>1386</v>
      </c>
      <c r="I8319" s="390" t="s">
        <v>1386</v>
      </c>
      <c r="J8319" s="390"/>
      <c r="K8319" s="734"/>
      <c r="M8319" s="62" t="e">
        <f>IF(#REF!&gt;6,3,5)</f>
        <v>#REF!</v>
      </c>
    </row>
    <row r="8320" spans="1:13">
      <c r="A8320" s="768">
        <f t="shared" si="665"/>
        <v>4</v>
      </c>
      <c r="B8320" s="768" t="s">
        <v>1701</v>
      </c>
      <c r="C8320" s="390" t="s">
        <v>1386</v>
      </c>
      <c r="D8320" s="390" t="s">
        <v>1386</v>
      </c>
      <c r="E8320" s="390" t="s">
        <v>1386</v>
      </c>
      <c r="F8320" s="390">
        <f t="shared" si="666"/>
        <v>0</v>
      </c>
      <c r="G8320" s="390" t="s">
        <v>1386</v>
      </c>
      <c r="H8320" s="390" t="s">
        <v>1386</v>
      </c>
      <c r="I8320" s="390" t="s">
        <v>1386</v>
      </c>
      <c r="J8320" s="390"/>
      <c r="K8320" s="734"/>
      <c r="M8320" s="62" t="e">
        <f>IF(#REF!&gt;6,3,5)</f>
        <v>#REF!</v>
      </c>
    </row>
    <row r="8321" spans="1:13">
      <c r="A8321" s="768">
        <f t="shared" si="665"/>
        <v>5</v>
      </c>
      <c r="B8321" s="768" t="s">
        <v>555</v>
      </c>
      <c r="C8321" s="390">
        <v>2000000</v>
      </c>
      <c r="D8321" s="390">
        <v>2000000</v>
      </c>
      <c r="E8321" s="390">
        <v>2000000</v>
      </c>
      <c r="F8321" s="390">
        <f t="shared" si="666"/>
        <v>6000000</v>
      </c>
      <c r="G8321" s="390">
        <v>284500</v>
      </c>
      <c r="H8321" s="390">
        <v>2000000</v>
      </c>
      <c r="I8321" s="390">
        <v>327500</v>
      </c>
      <c r="J8321" s="390"/>
      <c r="K8321" s="734"/>
      <c r="M8321" s="62" t="e">
        <f>IF(#REF!&gt;6,3,5)</f>
        <v>#REF!</v>
      </c>
    </row>
    <row r="8322" spans="1:13">
      <c r="A8322" s="768">
        <f t="shared" si="665"/>
        <v>6</v>
      </c>
      <c r="B8322" s="768" t="s">
        <v>966</v>
      </c>
      <c r="C8322" s="390">
        <v>500000</v>
      </c>
      <c r="D8322" s="390">
        <v>2500000</v>
      </c>
      <c r="E8322" s="390">
        <v>2500000</v>
      </c>
      <c r="F8322" s="390">
        <f t="shared" si="666"/>
        <v>5500000</v>
      </c>
      <c r="G8322" s="390">
        <v>105000</v>
      </c>
      <c r="H8322" s="390">
        <v>1000000</v>
      </c>
      <c r="I8322" s="390">
        <v>340000</v>
      </c>
      <c r="J8322" s="390"/>
      <c r="K8322" s="734"/>
      <c r="M8322" s="62" t="e">
        <f>IF(#REF!&gt;6,3,5)</f>
        <v>#REF!</v>
      </c>
    </row>
    <row r="8323" spans="1:13">
      <c r="A8323" s="768">
        <f t="shared" si="665"/>
        <v>7</v>
      </c>
      <c r="B8323" s="768" t="s">
        <v>3611</v>
      </c>
      <c r="C8323" s="390">
        <v>1000000</v>
      </c>
      <c r="D8323" s="390">
        <v>1000000</v>
      </c>
      <c r="E8323" s="390">
        <v>1000000</v>
      </c>
      <c r="F8323" s="390">
        <f t="shared" si="666"/>
        <v>3000000</v>
      </c>
      <c r="G8323" s="390">
        <v>115000</v>
      </c>
      <c r="H8323" s="390">
        <v>1000000</v>
      </c>
      <c r="I8323" s="390">
        <v>126000</v>
      </c>
      <c r="J8323" s="390"/>
      <c r="K8323" s="734"/>
      <c r="M8323" s="62" t="e">
        <f>IF(#REF!&gt;6,3,5)</f>
        <v>#REF!</v>
      </c>
    </row>
    <row r="8324" spans="1:13">
      <c r="A8324" s="768">
        <f t="shared" si="665"/>
        <v>8</v>
      </c>
      <c r="B8324" s="768" t="s">
        <v>1385</v>
      </c>
      <c r="C8324" s="390" t="s">
        <v>1386</v>
      </c>
      <c r="D8324" s="390"/>
      <c r="E8324" s="390"/>
      <c r="F8324" s="390">
        <f t="shared" si="666"/>
        <v>0</v>
      </c>
      <c r="G8324" s="390">
        <v>0</v>
      </c>
      <c r="H8324" s="390" t="s">
        <v>1386</v>
      </c>
      <c r="I8324" s="390">
        <v>0</v>
      </c>
      <c r="J8324" s="390"/>
      <c r="K8324" s="734"/>
      <c r="M8324" s="62" t="e">
        <f>IF(#REF!&gt;6,3,5)</f>
        <v>#REF!</v>
      </c>
    </row>
    <row r="8325" spans="1:13">
      <c r="A8325" s="768">
        <f t="shared" si="665"/>
        <v>9</v>
      </c>
      <c r="B8325" s="768" t="s">
        <v>2061</v>
      </c>
      <c r="C8325" s="390" t="s">
        <v>1386</v>
      </c>
      <c r="D8325" s="390"/>
      <c r="E8325" s="390"/>
      <c r="F8325" s="390">
        <f t="shared" si="666"/>
        <v>0</v>
      </c>
      <c r="G8325" s="390">
        <v>0</v>
      </c>
      <c r="H8325" s="390" t="s">
        <v>1386</v>
      </c>
      <c r="I8325" s="390">
        <v>0</v>
      </c>
      <c r="J8325" s="390"/>
      <c r="K8325" s="734"/>
      <c r="M8325" s="62" t="e">
        <f>IF(#REF!&gt;6,3,5)</f>
        <v>#REF!</v>
      </c>
    </row>
    <row r="8326" spans="1:13">
      <c r="A8326" s="768">
        <f t="shared" si="665"/>
        <v>10</v>
      </c>
      <c r="B8326" s="768" t="s">
        <v>2685</v>
      </c>
      <c r="C8326" s="390">
        <v>1000000</v>
      </c>
      <c r="D8326" s="390">
        <v>1000000</v>
      </c>
      <c r="E8326" s="390">
        <v>1000000</v>
      </c>
      <c r="F8326" s="390">
        <f t="shared" si="666"/>
        <v>3000000</v>
      </c>
      <c r="G8326" s="390">
        <v>990000</v>
      </c>
      <c r="H8326" s="390">
        <v>1000000</v>
      </c>
      <c r="I8326" s="390">
        <v>312000</v>
      </c>
      <c r="J8326" s="390"/>
      <c r="K8326" s="734"/>
      <c r="M8326" s="62" t="e">
        <f>IF(#REF!&gt;6,3,5)</f>
        <v>#REF!</v>
      </c>
    </row>
    <row r="8327" spans="1:13" ht="25.5">
      <c r="A8327" s="768">
        <f t="shared" si="665"/>
        <v>11</v>
      </c>
      <c r="B8327" s="773" t="s">
        <v>214</v>
      </c>
      <c r="C8327" s="390">
        <v>2000000</v>
      </c>
      <c r="D8327" s="390">
        <v>2000000</v>
      </c>
      <c r="E8327" s="390">
        <v>2000000</v>
      </c>
      <c r="F8327" s="390">
        <f t="shared" si="666"/>
        <v>6000000</v>
      </c>
      <c r="G8327" s="390">
        <v>0</v>
      </c>
      <c r="H8327" s="390">
        <v>2000000</v>
      </c>
      <c r="I8327" s="390">
        <v>0</v>
      </c>
      <c r="J8327" s="390"/>
      <c r="K8327" s="734"/>
      <c r="M8327" s="62" t="e">
        <f>IF(#REF!&gt;6,3,5)</f>
        <v>#REF!</v>
      </c>
    </row>
    <row r="8328" spans="1:13">
      <c r="A8328" s="768">
        <f t="shared" si="665"/>
        <v>12</v>
      </c>
      <c r="B8328" s="768" t="s">
        <v>895</v>
      </c>
      <c r="C8328" s="390">
        <v>5000000</v>
      </c>
      <c r="D8328" s="390">
        <v>5000000</v>
      </c>
      <c r="E8328" s="390">
        <v>5000000</v>
      </c>
      <c r="F8328" s="390">
        <f t="shared" si="666"/>
        <v>15000000</v>
      </c>
      <c r="G8328" s="390">
        <v>2263000</v>
      </c>
      <c r="H8328" s="390">
        <v>4000000</v>
      </c>
      <c r="I8328" s="390">
        <v>3555500</v>
      </c>
      <c r="J8328" s="390"/>
      <c r="K8328" s="734"/>
      <c r="M8328" s="62" t="e">
        <f>IF(#REF!&gt;6,3,5)</f>
        <v>#REF!</v>
      </c>
    </row>
    <row r="8329" spans="1:13">
      <c r="A8329" s="768">
        <f t="shared" si="665"/>
        <v>13</v>
      </c>
      <c r="B8329" s="768" t="s">
        <v>2249</v>
      </c>
      <c r="C8329" s="390">
        <v>100000</v>
      </c>
      <c r="D8329" s="390" t="s">
        <v>1840</v>
      </c>
      <c r="E8329" s="390" t="s">
        <v>1840</v>
      </c>
      <c r="F8329" s="390">
        <f t="shared" si="666"/>
        <v>100000</v>
      </c>
      <c r="G8329" s="390">
        <v>0</v>
      </c>
      <c r="H8329" s="390">
        <v>100000</v>
      </c>
      <c r="I8329" s="390">
        <v>0</v>
      </c>
      <c r="J8329" s="390"/>
      <c r="K8329" s="734"/>
      <c r="M8329" s="62" t="e">
        <f>IF(#REF!&gt;6,3,5)</f>
        <v>#REF!</v>
      </c>
    </row>
    <row r="8330" spans="1:13">
      <c r="A8330" s="768">
        <f t="shared" si="665"/>
        <v>14</v>
      </c>
      <c r="B8330" s="768" t="s">
        <v>1336</v>
      </c>
      <c r="C8330" s="390">
        <v>800000</v>
      </c>
      <c r="D8330" s="390">
        <v>100000</v>
      </c>
      <c r="E8330" s="390">
        <v>100000</v>
      </c>
      <c r="F8330" s="390">
        <f t="shared" si="666"/>
        <v>1000000</v>
      </c>
      <c r="G8330" s="390">
        <v>0</v>
      </c>
      <c r="H8330" s="390">
        <v>100000</v>
      </c>
      <c r="I8330" s="390">
        <v>0</v>
      </c>
      <c r="J8330" s="390"/>
      <c r="K8330" s="734"/>
      <c r="M8330" s="62" t="e">
        <f>IF(#REF!&gt;6,3,5)</f>
        <v>#REF!</v>
      </c>
    </row>
    <row r="8331" spans="1:13">
      <c r="A8331" s="768">
        <f t="shared" si="665"/>
        <v>15</v>
      </c>
      <c r="B8331" s="768" t="s">
        <v>3612</v>
      </c>
      <c r="C8331" s="390">
        <v>5000000</v>
      </c>
      <c r="D8331" s="390">
        <v>2000000</v>
      </c>
      <c r="E8331" s="390">
        <v>2000000</v>
      </c>
      <c r="F8331" s="390">
        <f t="shared" si="666"/>
        <v>9000000</v>
      </c>
      <c r="G8331" s="390">
        <v>699000</v>
      </c>
      <c r="H8331" s="390">
        <v>2000000</v>
      </c>
      <c r="I8331" s="76">
        <v>30000</v>
      </c>
      <c r="J8331" s="390"/>
      <c r="K8331" s="734"/>
      <c r="M8331" s="62" t="e">
        <f>IF(#REF!&gt;6,3,5)</f>
        <v>#REF!</v>
      </c>
    </row>
    <row r="8332" spans="1:13">
      <c r="A8332" s="768">
        <f t="shared" si="665"/>
        <v>16</v>
      </c>
      <c r="B8332" s="768" t="s">
        <v>1359</v>
      </c>
      <c r="C8332" s="390">
        <v>2500000</v>
      </c>
      <c r="D8332" s="390">
        <v>1000000</v>
      </c>
      <c r="E8332" s="390">
        <v>1000000</v>
      </c>
      <c r="F8332" s="390">
        <f t="shared" si="666"/>
        <v>4500000</v>
      </c>
      <c r="G8332" s="390"/>
      <c r="H8332" s="390">
        <v>1000000</v>
      </c>
      <c r="I8332" s="390"/>
      <c r="J8332" s="390"/>
      <c r="K8332" s="734"/>
      <c r="M8332" s="62" t="e">
        <f>IF(#REF!&gt;6,3,5)</f>
        <v>#REF!</v>
      </c>
    </row>
    <row r="8333" spans="1:13">
      <c r="A8333" s="768">
        <f t="shared" si="665"/>
        <v>17</v>
      </c>
      <c r="B8333" s="768" t="s">
        <v>1074</v>
      </c>
      <c r="C8333" s="390">
        <v>1000000</v>
      </c>
      <c r="D8333" s="390">
        <v>2000000</v>
      </c>
      <c r="E8333" s="390">
        <v>2000000</v>
      </c>
      <c r="F8333" s="390">
        <f t="shared" si="666"/>
        <v>5000000</v>
      </c>
      <c r="G8333" s="390">
        <v>370000</v>
      </c>
      <c r="H8333" s="390">
        <v>2000000</v>
      </c>
      <c r="I8333" s="390">
        <v>510000</v>
      </c>
      <c r="J8333" s="390"/>
      <c r="K8333" s="734"/>
      <c r="M8333" s="62" t="e">
        <f>IF(#REF!&gt;6,3,5)</f>
        <v>#REF!</v>
      </c>
    </row>
    <row r="8334" spans="1:13" ht="25.5">
      <c r="A8334" s="768">
        <f t="shared" si="665"/>
        <v>18</v>
      </c>
      <c r="B8334" s="773" t="s">
        <v>559</v>
      </c>
      <c r="C8334" s="390">
        <v>1500000</v>
      </c>
      <c r="D8334" s="390">
        <v>1500000</v>
      </c>
      <c r="E8334" s="390">
        <v>1500000</v>
      </c>
      <c r="F8334" s="390">
        <f t="shared" si="666"/>
        <v>4500000</v>
      </c>
      <c r="G8334" s="390">
        <v>0</v>
      </c>
      <c r="H8334" s="390">
        <v>1500000</v>
      </c>
      <c r="I8334" s="390">
        <v>0</v>
      </c>
      <c r="J8334" s="390"/>
      <c r="K8334" s="734"/>
      <c r="M8334" s="62" t="e">
        <f>IF(#REF!&gt;6,3,5)</f>
        <v>#REF!</v>
      </c>
    </row>
    <row r="8335" spans="1:13" ht="25.5">
      <c r="A8335" s="768">
        <f t="shared" si="665"/>
        <v>19</v>
      </c>
      <c r="B8335" s="773" t="s">
        <v>1772</v>
      </c>
      <c r="C8335" s="390" t="s">
        <v>1386</v>
      </c>
      <c r="D8335" s="390">
        <v>5000000</v>
      </c>
      <c r="E8335" s="390">
        <v>5000000</v>
      </c>
      <c r="F8335" s="390">
        <f t="shared" si="666"/>
        <v>10000000</v>
      </c>
      <c r="G8335" s="390">
        <v>0</v>
      </c>
      <c r="H8335" s="390">
        <v>5000000</v>
      </c>
      <c r="I8335" s="390">
        <v>200500</v>
      </c>
      <c r="J8335" s="390"/>
      <c r="K8335" s="734"/>
      <c r="M8335" s="62" t="e">
        <f>IF(#REF!&gt;6,3,5)</f>
        <v>#REF!</v>
      </c>
    </row>
    <row r="8336" spans="1:13">
      <c r="A8336" s="768">
        <f t="shared" si="665"/>
        <v>20</v>
      </c>
      <c r="B8336" s="768" t="s">
        <v>145</v>
      </c>
      <c r="C8336" s="390" t="s">
        <v>1386</v>
      </c>
      <c r="D8336" s="390">
        <v>100000000</v>
      </c>
      <c r="E8336" s="390">
        <v>100000000</v>
      </c>
      <c r="F8336" s="390">
        <f t="shared" si="666"/>
        <v>200000000</v>
      </c>
      <c r="G8336" s="390">
        <v>0</v>
      </c>
      <c r="H8336" s="390" t="s">
        <v>1386</v>
      </c>
      <c r="I8336" s="390">
        <v>0</v>
      </c>
      <c r="J8336" s="390"/>
      <c r="K8336" s="734"/>
      <c r="M8336" s="62" t="e">
        <f>IF(#REF!&gt;6,3,5)</f>
        <v>#REF!</v>
      </c>
    </row>
    <row r="8337" spans="1:13">
      <c r="A8337" s="768">
        <v>21</v>
      </c>
      <c r="B8337" s="773" t="s">
        <v>339</v>
      </c>
      <c r="C8337" s="390">
        <v>0</v>
      </c>
      <c r="D8337" s="390">
        <v>0</v>
      </c>
      <c r="E8337" s="390">
        <v>0</v>
      </c>
      <c r="F8337" s="390">
        <f t="shared" si="666"/>
        <v>0</v>
      </c>
      <c r="G8337" s="390">
        <v>0</v>
      </c>
      <c r="H8337" s="390">
        <v>0</v>
      </c>
      <c r="I8337" s="390">
        <v>0</v>
      </c>
      <c r="J8337" s="390"/>
      <c r="K8337" s="734"/>
      <c r="M8337" s="62" t="e">
        <f>IF(#REF!&gt;6,3,5)</f>
        <v>#REF!</v>
      </c>
    </row>
    <row r="8338" spans="1:13">
      <c r="A8338" s="768"/>
      <c r="B8338" s="773"/>
      <c r="C8338" s="390"/>
      <c r="D8338" s="390"/>
      <c r="E8338" s="390"/>
      <c r="F8338" s="390"/>
      <c r="G8338" s="390"/>
      <c r="H8338" s="390"/>
      <c r="I8338" s="390"/>
      <c r="J8338" s="390"/>
      <c r="K8338" s="734"/>
      <c r="M8338" s="62" t="e">
        <f>IF(#REF!&gt;6,3,5)</f>
        <v>#REF!</v>
      </c>
    </row>
    <row r="8339" spans="1:13">
      <c r="A8339" s="770"/>
      <c r="B8339" s="770" t="s">
        <v>1684</v>
      </c>
      <c r="C8339" s="739">
        <f t="shared" ref="C8339:I8339" si="667">SUM(C8317:C8338)</f>
        <v>24400000</v>
      </c>
      <c r="D8339" s="739">
        <f t="shared" si="667"/>
        <v>127600000</v>
      </c>
      <c r="E8339" s="739">
        <f t="shared" si="667"/>
        <v>127600000</v>
      </c>
      <c r="F8339" s="739">
        <f t="shared" si="667"/>
        <v>279600000</v>
      </c>
      <c r="G8339" s="739">
        <f>SUM(G8317:G8338)</f>
        <v>5684500</v>
      </c>
      <c r="H8339" s="739">
        <f t="shared" si="667"/>
        <v>24700000</v>
      </c>
      <c r="I8339" s="739">
        <f t="shared" si="667"/>
        <v>7340500</v>
      </c>
      <c r="J8339" s="739"/>
      <c r="K8339" s="740"/>
      <c r="M8339" s="62" t="e">
        <f>IF(#REF!&gt;6,3,5)</f>
        <v>#REF!</v>
      </c>
    </row>
    <row r="8340" spans="1:13" ht="15">
      <c r="C8340" s="77"/>
      <c r="D8340" s="78" t="s">
        <v>5434</v>
      </c>
      <c r="J8340" s="584"/>
      <c r="K8340" s="584"/>
      <c r="M8340" s="62">
        <f t="shared" ref="M8340:M8392" si="668">IF(C8340&gt;6,3,5)</f>
        <v>5</v>
      </c>
    </row>
    <row r="8341" spans="1:13" ht="15">
      <c r="C8341" s="77"/>
      <c r="D8341" s="78" t="s">
        <v>1693</v>
      </c>
      <c r="J8341" s="584"/>
      <c r="K8341" s="584"/>
      <c r="M8341" s="62">
        <f t="shared" si="668"/>
        <v>5</v>
      </c>
    </row>
    <row r="8342" spans="1:13" ht="15">
      <c r="C8342" s="79" t="s">
        <v>717</v>
      </c>
      <c r="D8342" s="78" t="s">
        <v>2408</v>
      </c>
      <c r="J8342" s="584"/>
      <c r="K8342" s="584"/>
      <c r="M8342" s="62">
        <f t="shared" si="668"/>
        <v>3</v>
      </c>
    </row>
    <row r="8343" spans="1:13" ht="15.75" thickBot="1">
      <c r="C8343" s="79" t="s">
        <v>718</v>
      </c>
      <c r="D8343" s="78" t="s">
        <v>3176</v>
      </c>
      <c r="J8343" s="584"/>
      <c r="K8343" s="584"/>
      <c r="M8343" s="62">
        <f t="shared" si="668"/>
        <v>3</v>
      </c>
    </row>
    <row r="8344" spans="1:13" ht="15.75" thickTop="1">
      <c r="A8344" s="1047" t="s">
        <v>2791</v>
      </c>
      <c r="B8344" s="1049" t="s">
        <v>4126</v>
      </c>
      <c r="C8344" s="1049" t="s">
        <v>854</v>
      </c>
      <c r="D8344" s="1040" t="s">
        <v>4127</v>
      </c>
      <c r="E8344" s="1041"/>
      <c r="F8344" s="1041"/>
      <c r="G8344" s="1040" t="s">
        <v>904</v>
      </c>
      <c r="H8344" s="1041"/>
      <c r="I8344" s="1042"/>
      <c r="J8344" s="1035" t="s">
        <v>855</v>
      </c>
      <c r="K8344" s="389"/>
    </row>
    <row r="8345" spans="1:13" ht="26.25" thickBot="1">
      <c r="A8345" s="1048"/>
      <c r="B8345" s="1050"/>
      <c r="C8345" s="1050"/>
      <c r="D8345" s="285" t="s">
        <v>5505</v>
      </c>
      <c r="E8345" s="285" t="s">
        <v>4485</v>
      </c>
      <c r="F8345" s="285" t="s">
        <v>4486</v>
      </c>
      <c r="G8345" s="287" t="s">
        <v>4487</v>
      </c>
      <c r="H8345" s="285" t="s">
        <v>4488</v>
      </c>
      <c r="I8345" s="287" t="s">
        <v>4489</v>
      </c>
      <c r="J8345" s="1036"/>
      <c r="K8345" s="712"/>
    </row>
    <row r="8346" spans="1:13" ht="13.5" thickTop="1">
      <c r="A8346" s="88" t="s">
        <v>1840</v>
      </c>
      <c r="B8346" s="90" t="s">
        <v>800</v>
      </c>
      <c r="C8346" s="69"/>
      <c r="D8346" s="89"/>
      <c r="E8346" s="89"/>
      <c r="F8346" s="89"/>
      <c r="G8346" s="89"/>
      <c r="H8346" s="89"/>
      <c r="I8346" s="89"/>
      <c r="J8346" s="713"/>
      <c r="K8346" s="711"/>
      <c r="M8346" s="62">
        <f t="shared" si="668"/>
        <v>5</v>
      </c>
    </row>
    <row r="8347" spans="1:13">
      <c r="A8347" s="88">
        <v>1</v>
      </c>
      <c r="B8347" s="69" t="s">
        <v>4008</v>
      </c>
      <c r="C8347" s="69">
        <v>8</v>
      </c>
      <c r="D8347" s="89">
        <v>0</v>
      </c>
      <c r="E8347" s="89">
        <v>0</v>
      </c>
      <c r="F8347" s="89">
        <v>0</v>
      </c>
      <c r="G8347" s="89">
        <v>0</v>
      </c>
      <c r="H8347" s="89">
        <v>0</v>
      </c>
      <c r="I8347" s="89">
        <v>0</v>
      </c>
      <c r="J8347" s="710">
        <f>(VLOOKUP($C8347,[2]Sheet1!$A$2:$P$18,$M8347+1)/12)*12*D8347</f>
        <v>0</v>
      </c>
      <c r="K8347" s="711"/>
      <c r="M8347" s="62">
        <f t="shared" si="668"/>
        <v>3</v>
      </c>
    </row>
    <row r="8348" spans="1:13">
      <c r="A8348" s="88">
        <v>2</v>
      </c>
      <c r="B8348" s="69" t="s">
        <v>342</v>
      </c>
      <c r="C8348" s="69">
        <v>7</v>
      </c>
      <c r="D8348" s="89">
        <v>1</v>
      </c>
      <c r="E8348" s="89">
        <v>2</v>
      </c>
      <c r="F8348" s="89"/>
      <c r="G8348" s="89"/>
      <c r="H8348" s="89">
        <v>2</v>
      </c>
      <c r="I8348" s="89">
        <v>1</v>
      </c>
      <c r="J8348" s="710">
        <f>(VLOOKUP($C8348,[2]Sheet1!$A$2:$P$18,$M8348+1)/12)*12*D8348</f>
        <v>307706.70240000007</v>
      </c>
      <c r="K8348" s="711"/>
      <c r="M8348" s="62">
        <f t="shared" si="668"/>
        <v>3</v>
      </c>
    </row>
    <row r="8349" spans="1:13">
      <c r="A8349" s="88">
        <f t="shared" ref="A8349:A8370" si="669">+A8348+1</f>
        <v>3</v>
      </c>
      <c r="B8349" s="69" t="s">
        <v>405</v>
      </c>
      <c r="C8349" s="69">
        <v>6</v>
      </c>
      <c r="D8349" s="89">
        <v>0</v>
      </c>
      <c r="E8349" s="89">
        <v>2</v>
      </c>
      <c r="F8349" s="89">
        <v>2</v>
      </c>
      <c r="G8349" s="89">
        <v>2</v>
      </c>
      <c r="H8349" s="89">
        <v>2</v>
      </c>
      <c r="I8349" s="89">
        <v>0</v>
      </c>
      <c r="J8349" s="710">
        <f>(VLOOKUP($C8349,[2]Sheet1!$A$2:$P$18,$M8349+1)/12)*12*D8349</f>
        <v>0</v>
      </c>
      <c r="K8349" s="711"/>
      <c r="M8349" s="62">
        <f t="shared" si="668"/>
        <v>5</v>
      </c>
    </row>
    <row r="8350" spans="1:13">
      <c r="A8350" s="88">
        <f t="shared" si="669"/>
        <v>4</v>
      </c>
      <c r="B8350" s="69" t="s">
        <v>3770</v>
      </c>
      <c r="C8350" s="69">
        <v>5</v>
      </c>
      <c r="D8350" s="89"/>
      <c r="E8350" s="89">
        <v>0</v>
      </c>
      <c r="F8350" s="89"/>
      <c r="G8350" s="89"/>
      <c r="H8350" s="89">
        <v>0</v>
      </c>
      <c r="I8350" s="89"/>
      <c r="J8350" s="710">
        <f>(VLOOKUP($C8350,[2]Sheet1!$A$2:$P$18,$M8350+1)/12)*12*D8350</f>
        <v>0</v>
      </c>
      <c r="K8350" s="711"/>
      <c r="M8350" s="62">
        <f t="shared" si="668"/>
        <v>5</v>
      </c>
    </row>
    <row r="8351" spans="1:13">
      <c r="A8351" s="88">
        <f t="shared" si="669"/>
        <v>5</v>
      </c>
      <c r="B8351" s="69" t="s">
        <v>2360</v>
      </c>
      <c r="C8351" s="69">
        <v>4</v>
      </c>
      <c r="D8351" s="89">
        <v>7</v>
      </c>
      <c r="E8351" s="89">
        <v>6</v>
      </c>
      <c r="F8351" s="89">
        <v>4</v>
      </c>
      <c r="G8351" s="89">
        <v>4</v>
      </c>
      <c r="H8351" s="89">
        <v>4</v>
      </c>
      <c r="I8351" s="89">
        <v>7</v>
      </c>
      <c r="J8351" s="710">
        <f>(VLOOKUP($C8351,[2]Sheet1!$A$2:$P$18,$M8351+1)/12)*12*D8351</f>
        <v>1571800.852512555</v>
      </c>
      <c r="K8351" s="711"/>
      <c r="M8351" s="62">
        <f t="shared" si="668"/>
        <v>5</v>
      </c>
    </row>
    <row r="8352" spans="1:13">
      <c r="A8352" s="88">
        <f t="shared" si="669"/>
        <v>6</v>
      </c>
      <c r="B8352" s="69" t="s">
        <v>4030</v>
      </c>
      <c r="C8352" s="69">
        <v>3</v>
      </c>
      <c r="D8352" s="89">
        <v>6</v>
      </c>
      <c r="E8352" s="89">
        <v>6</v>
      </c>
      <c r="F8352" s="89">
        <v>3</v>
      </c>
      <c r="G8352" s="89">
        <v>3</v>
      </c>
      <c r="H8352" s="89">
        <v>3</v>
      </c>
      <c r="I8352" s="89">
        <v>6</v>
      </c>
      <c r="J8352" s="710">
        <f>(VLOOKUP($C8352,[2]Sheet1!$A$2:$P$18,$M8352+1)/12)*12*D8352</f>
        <v>1316017.0735821899</v>
      </c>
      <c r="K8352" s="711"/>
      <c r="M8352" s="62">
        <f t="shared" si="668"/>
        <v>5</v>
      </c>
    </row>
    <row r="8353" spans="1:13">
      <c r="A8353" s="88">
        <f t="shared" si="669"/>
        <v>7</v>
      </c>
      <c r="B8353" s="69" t="s">
        <v>319</v>
      </c>
      <c r="C8353" s="69">
        <v>9</v>
      </c>
      <c r="D8353" s="89"/>
      <c r="E8353" s="89">
        <v>0</v>
      </c>
      <c r="F8353" s="89"/>
      <c r="G8353" s="89"/>
      <c r="H8353" s="89">
        <v>0</v>
      </c>
      <c r="I8353" s="89"/>
      <c r="J8353" s="710">
        <f>(VLOOKUP($C8353,[2]Sheet1!$A$2:$P$18,$M8353+1)/12)*12*D8353</f>
        <v>0</v>
      </c>
      <c r="K8353" s="711"/>
      <c r="M8353" s="62">
        <f t="shared" si="668"/>
        <v>3</v>
      </c>
    </row>
    <row r="8354" spans="1:13">
      <c r="A8354" s="88">
        <f t="shared" si="669"/>
        <v>8</v>
      </c>
      <c r="B8354" s="69" t="s">
        <v>1441</v>
      </c>
      <c r="C8354" s="69">
        <v>8</v>
      </c>
      <c r="D8354" s="89"/>
      <c r="E8354" s="89">
        <v>0</v>
      </c>
      <c r="F8354" s="89"/>
      <c r="G8354" s="89"/>
      <c r="H8354" s="89">
        <v>0</v>
      </c>
      <c r="I8354" s="89"/>
      <c r="J8354" s="710">
        <f>(VLOOKUP($C8354,[2]Sheet1!$A$2:$P$18,$M8354+1)/12)*12*D8354</f>
        <v>0</v>
      </c>
      <c r="K8354" s="711"/>
      <c r="M8354" s="62">
        <f t="shared" si="668"/>
        <v>3</v>
      </c>
    </row>
    <row r="8355" spans="1:13">
      <c r="A8355" s="88">
        <f t="shared" si="669"/>
        <v>9</v>
      </c>
      <c r="B8355" s="69" t="s">
        <v>2572</v>
      </c>
      <c r="C8355" s="69">
        <v>7</v>
      </c>
      <c r="D8355" s="89"/>
      <c r="E8355" s="89">
        <v>0</v>
      </c>
      <c r="F8355" s="89"/>
      <c r="G8355" s="89"/>
      <c r="H8355" s="89">
        <v>0</v>
      </c>
      <c r="I8355" s="89"/>
      <c r="J8355" s="710">
        <f>(VLOOKUP($C8355,[2]Sheet1!$A$2:$P$18,$M8355+1)/12)*12*D8355</f>
        <v>0</v>
      </c>
      <c r="K8355" s="711"/>
      <c r="M8355" s="62">
        <f t="shared" si="668"/>
        <v>3</v>
      </c>
    </row>
    <row r="8356" spans="1:13">
      <c r="A8356" s="88">
        <f t="shared" si="669"/>
        <v>10</v>
      </c>
      <c r="B8356" s="69" t="s">
        <v>3896</v>
      </c>
      <c r="C8356" s="69">
        <v>6</v>
      </c>
      <c r="D8356" s="89">
        <v>1</v>
      </c>
      <c r="E8356" s="89">
        <v>1</v>
      </c>
      <c r="F8356" s="89"/>
      <c r="G8356" s="89"/>
      <c r="H8356" s="89">
        <v>1</v>
      </c>
      <c r="I8356" s="89">
        <v>1</v>
      </c>
      <c r="J8356" s="710">
        <f>(VLOOKUP($C8356,[2]Sheet1!$A$2:$P$18,$M8356+1)/12)*12*D8356</f>
        <v>238099.37893036497</v>
      </c>
      <c r="K8356" s="711"/>
      <c r="M8356" s="62">
        <f t="shared" si="668"/>
        <v>5</v>
      </c>
    </row>
    <row r="8357" spans="1:13">
      <c r="A8357" s="88">
        <f t="shared" si="669"/>
        <v>11</v>
      </c>
      <c r="B8357" s="69" t="s">
        <v>3796</v>
      </c>
      <c r="C8357" s="69">
        <v>5</v>
      </c>
      <c r="D8357" s="89"/>
      <c r="E8357" s="89">
        <v>0</v>
      </c>
      <c r="F8357" s="89"/>
      <c r="G8357" s="89"/>
      <c r="H8357" s="89">
        <v>0</v>
      </c>
      <c r="I8357" s="89"/>
      <c r="J8357" s="710">
        <f>(VLOOKUP($C8357,[2]Sheet1!$A$2:$P$18,$M8357+1)/12)*12*D8357</f>
        <v>0</v>
      </c>
      <c r="K8357" s="711"/>
      <c r="M8357" s="62">
        <f t="shared" si="668"/>
        <v>5</v>
      </c>
    </row>
    <row r="8358" spans="1:13">
      <c r="A8358" s="88">
        <f t="shared" si="669"/>
        <v>12</v>
      </c>
      <c r="B8358" s="69" t="s">
        <v>3797</v>
      </c>
      <c r="C8358" s="69">
        <v>4</v>
      </c>
      <c r="D8358" s="89"/>
      <c r="E8358" s="89">
        <v>0</v>
      </c>
      <c r="F8358" s="89"/>
      <c r="G8358" s="89"/>
      <c r="H8358" s="89">
        <v>0</v>
      </c>
      <c r="I8358" s="89"/>
      <c r="J8358" s="710">
        <f>(VLOOKUP($C8358,[2]Sheet1!$A$2:$P$18,$M8358+1)/12)*12*D8358</f>
        <v>0</v>
      </c>
      <c r="K8358" s="711"/>
      <c r="M8358" s="62">
        <f t="shared" si="668"/>
        <v>5</v>
      </c>
    </row>
    <row r="8359" spans="1:13">
      <c r="A8359" s="88">
        <f t="shared" si="669"/>
        <v>13</v>
      </c>
      <c r="B8359" s="69" t="s">
        <v>2556</v>
      </c>
      <c r="C8359" s="69">
        <v>3</v>
      </c>
      <c r="D8359" s="89"/>
      <c r="E8359" s="89">
        <v>0</v>
      </c>
      <c r="F8359" s="89"/>
      <c r="G8359" s="89"/>
      <c r="H8359" s="89">
        <v>0</v>
      </c>
      <c r="I8359" s="89"/>
      <c r="J8359" s="710">
        <f>(VLOOKUP($C8359,[2]Sheet1!$A$2:$P$18,$M8359+1)/12)*12*D8359</f>
        <v>0</v>
      </c>
      <c r="K8359" s="711"/>
      <c r="M8359" s="62">
        <f t="shared" si="668"/>
        <v>5</v>
      </c>
    </row>
    <row r="8360" spans="1:13">
      <c r="A8360" s="88">
        <f t="shared" si="669"/>
        <v>14</v>
      </c>
      <c r="B8360" s="69" t="s">
        <v>3250</v>
      </c>
      <c r="C8360" s="69">
        <v>7</v>
      </c>
      <c r="D8360" s="89"/>
      <c r="E8360" s="89">
        <v>0</v>
      </c>
      <c r="F8360" s="89"/>
      <c r="G8360" s="89"/>
      <c r="H8360" s="89">
        <v>0</v>
      </c>
      <c r="I8360" s="89"/>
      <c r="J8360" s="710">
        <f>(VLOOKUP($C8360,[2]Sheet1!$A$2:$P$18,$M8360+1)/12)*12*D8360</f>
        <v>0</v>
      </c>
      <c r="K8360" s="711"/>
      <c r="M8360" s="62">
        <f t="shared" si="668"/>
        <v>3</v>
      </c>
    </row>
    <row r="8361" spans="1:13">
      <c r="A8361" s="88">
        <f t="shared" si="669"/>
        <v>15</v>
      </c>
      <c r="B8361" s="69" t="s">
        <v>1186</v>
      </c>
      <c r="C8361" s="69">
        <v>6</v>
      </c>
      <c r="D8361" s="89"/>
      <c r="E8361" s="89">
        <v>0</v>
      </c>
      <c r="F8361" s="89"/>
      <c r="G8361" s="89"/>
      <c r="H8361" s="89">
        <v>0</v>
      </c>
      <c r="I8361" s="89"/>
      <c r="J8361" s="710">
        <f>(VLOOKUP($C8361,[2]Sheet1!$A$2:$P$18,$M8361+1)/12)*12*D8361</f>
        <v>0</v>
      </c>
      <c r="K8361" s="711"/>
      <c r="M8361" s="62">
        <f t="shared" si="668"/>
        <v>5</v>
      </c>
    </row>
    <row r="8362" spans="1:13">
      <c r="A8362" s="88">
        <f t="shared" si="669"/>
        <v>16</v>
      </c>
      <c r="B8362" s="69" t="s">
        <v>3252</v>
      </c>
      <c r="C8362" s="69">
        <v>3</v>
      </c>
      <c r="D8362" s="89">
        <v>2</v>
      </c>
      <c r="E8362" s="89">
        <v>2</v>
      </c>
      <c r="F8362" s="89"/>
      <c r="G8362" s="89"/>
      <c r="H8362" s="89">
        <v>2</v>
      </c>
      <c r="I8362" s="89">
        <v>2</v>
      </c>
      <c r="J8362" s="710">
        <f>(VLOOKUP($C8362,[2]Sheet1!$A$2:$P$18,$M8362+1)/12)*12*D8362</f>
        <v>438672.35786072997</v>
      </c>
      <c r="K8362" s="711"/>
      <c r="M8362" s="62">
        <f t="shared" si="668"/>
        <v>5</v>
      </c>
    </row>
    <row r="8363" spans="1:13">
      <c r="A8363" s="88">
        <f t="shared" si="669"/>
        <v>17</v>
      </c>
      <c r="B8363" s="69" t="s">
        <v>2179</v>
      </c>
      <c r="C8363" s="69">
        <v>3</v>
      </c>
      <c r="D8363" s="89"/>
      <c r="E8363" s="89">
        <v>0</v>
      </c>
      <c r="F8363" s="89"/>
      <c r="G8363" s="89"/>
      <c r="H8363" s="89">
        <v>0</v>
      </c>
      <c r="I8363" s="89"/>
      <c r="J8363" s="710">
        <f>(VLOOKUP($C8363,[2]Sheet1!$A$2:$P$18,$M8363+1)/12)*12*D8363</f>
        <v>0</v>
      </c>
      <c r="K8363" s="711"/>
      <c r="M8363" s="62">
        <f t="shared" si="668"/>
        <v>5</v>
      </c>
    </row>
    <row r="8364" spans="1:13">
      <c r="A8364" s="88">
        <f t="shared" si="669"/>
        <v>18</v>
      </c>
      <c r="B8364" s="69" t="s">
        <v>2542</v>
      </c>
      <c r="C8364" s="69">
        <v>3</v>
      </c>
      <c r="D8364" s="89">
        <v>1</v>
      </c>
      <c r="E8364" s="89">
        <v>1</v>
      </c>
      <c r="F8364" s="89">
        <v>1</v>
      </c>
      <c r="G8364" s="89">
        <v>1</v>
      </c>
      <c r="H8364" s="89">
        <v>1</v>
      </c>
      <c r="I8364" s="89">
        <v>1</v>
      </c>
      <c r="J8364" s="710">
        <f>(VLOOKUP($C8364,[2]Sheet1!$A$2:$P$18,$M8364+1)/12)*12*D8364</f>
        <v>219336.17893036499</v>
      </c>
      <c r="K8364" s="711"/>
      <c r="M8364" s="62">
        <f t="shared" si="668"/>
        <v>5</v>
      </c>
    </row>
    <row r="8365" spans="1:13">
      <c r="A8365" s="88">
        <f t="shared" si="669"/>
        <v>19</v>
      </c>
      <c r="B8365" s="69" t="s">
        <v>2543</v>
      </c>
      <c r="C8365" s="69">
        <v>2</v>
      </c>
      <c r="D8365" s="89"/>
      <c r="E8365" s="89">
        <v>0</v>
      </c>
      <c r="F8365" s="89"/>
      <c r="G8365" s="89"/>
      <c r="H8365" s="89">
        <v>0</v>
      </c>
      <c r="I8365" s="89"/>
      <c r="J8365" s="710">
        <f>(VLOOKUP($C8365,[2]Sheet1!$A$2:$P$18,$M8365+1)/12)*12*D8365</f>
        <v>0</v>
      </c>
      <c r="K8365" s="711"/>
      <c r="M8365" s="62">
        <f t="shared" si="668"/>
        <v>5</v>
      </c>
    </row>
    <row r="8366" spans="1:13">
      <c r="A8366" s="88">
        <f t="shared" si="669"/>
        <v>20</v>
      </c>
      <c r="B8366" s="69" t="s">
        <v>2364</v>
      </c>
      <c r="C8366" s="69">
        <v>2</v>
      </c>
      <c r="D8366" s="89"/>
      <c r="E8366" s="89">
        <v>0</v>
      </c>
      <c r="F8366" s="89"/>
      <c r="G8366" s="89"/>
      <c r="H8366" s="89">
        <v>0</v>
      </c>
      <c r="I8366" s="89"/>
      <c r="J8366" s="710">
        <f>(VLOOKUP($C8366,[2]Sheet1!$A$2:$P$18,$M8366+1)/12)*12*D8366</f>
        <v>0</v>
      </c>
      <c r="K8366" s="711"/>
      <c r="M8366" s="62">
        <f t="shared" si="668"/>
        <v>5</v>
      </c>
    </row>
    <row r="8367" spans="1:13">
      <c r="A8367" s="88">
        <f t="shared" si="669"/>
        <v>21</v>
      </c>
      <c r="B8367" s="69" t="s">
        <v>3253</v>
      </c>
      <c r="C8367" s="69">
        <v>2</v>
      </c>
      <c r="D8367" s="89"/>
      <c r="E8367" s="89">
        <v>0</v>
      </c>
      <c r="F8367" s="89"/>
      <c r="G8367" s="89"/>
      <c r="H8367" s="89">
        <v>0</v>
      </c>
      <c r="I8367" s="89"/>
      <c r="J8367" s="710">
        <f>(VLOOKUP($C8367,[2]Sheet1!$A$2:$P$18,$M8367+1)/12)*12*D8367</f>
        <v>0</v>
      </c>
      <c r="K8367" s="711"/>
      <c r="M8367" s="62">
        <f t="shared" si="668"/>
        <v>5</v>
      </c>
    </row>
    <row r="8368" spans="1:13">
      <c r="A8368" s="88">
        <f t="shared" si="669"/>
        <v>22</v>
      </c>
      <c r="B8368" s="69" t="s">
        <v>3256</v>
      </c>
      <c r="C8368" s="69">
        <v>2</v>
      </c>
      <c r="D8368" s="89"/>
      <c r="E8368" s="89">
        <v>0</v>
      </c>
      <c r="F8368" s="89"/>
      <c r="G8368" s="89"/>
      <c r="H8368" s="89">
        <v>0</v>
      </c>
      <c r="I8368" s="89"/>
      <c r="J8368" s="710">
        <f>(VLOOKUP($C8368,[2]Sheet1!$A$2:$P$18,$M8368+1)/12)*12*D8368</f>
        <v>0</v>
      </c>
      <c r="K8368" s="711"/>
      <c r="M8368" s="62">
        <f t="shared" si="668"/>
        <v>5</v>
      </c>
    </row>
    <row r="8369" spans="1:13">
      <c r="A8369" s="88">
        <f t="shared" si="669"/>
        <v>23</v>
      </c>
      <c r="B8369" s="69" t="s">
        <v>3674</v>
      </c>
      <c r="C8369" s="69">
        <v>2</v>
      </c>
      <c r="D8369" s="89">
        <v>1</v>
      </c>
      <c r="E8369" s="89">
        <v>2</v>
      </c>
      <c r="F8369" s="89">
        <v>2</v>
      </c>
      <c r="G8369" s="89">
        <v>2</v>
      </c>
      <c r="H8369" s="89">
        <v>2</v>
      </c>
      <c r="I8369" s="89">
        <v>1</v>
      </c>
      <c r="J8369" s="710">
        <f>(VLOOKUP($C8369,[2]Sheet1!$A$2:$P$18,$M8369+1)/12)*12*D8369</f>
        <v>214657.37893036503</v>
      </c>
      <c r="K8369" s="711"/>
      <c r="M8369" s="62">
        <f t="shared" si="668"/>
        <v>5</v>
      </c>
    </row>
    <row r="8370" spans="1:13">
      <c r="A8370" s="88">
        <f t="shared" si="669"/>
        <v>24</v>
      </c>
      <c r="B8370" s="69" t="s">
        <v>2242</v>
      </c>
      <c r="C8370" s="69">
        <v>3</v>
      </c>
      <c r="D8370" s="89">
        <v>5</v>
      </c>
      <c r="E8370" s="89">
        <v>2</v>
      </c>
      <c r="F8370" s="89">
        <v>2</v>
      </c>
      <c r="G8370" s="89">
        <v>2</v>
      </c>
      <c r="H8370" s="89">
        <v>2</v>
      </c>
      <c r="I8370" s="89">
        <v>5</v>
      </c>
      <c r="J8370" s="710">
        <f>(VLOOKUP($C8370,[2]Sheet1!$A$2:$P$18,$M8370+1)/12)*12*D8370</f>
        <v>1096680.8946518248</v>
      </c>
      <c r="K8370" s="711"/>
      <c r="M8370" s="62">
        <f t="shared" si="668"/>
        <v>5</v>
      </c>
    </row>
    <row r="8371" spans="1:13">
      <c r="A8371" s="88">
        <f>+A8370+1</f>
        <v>25</v>
      </c>
      <c r="B8371" s="69" t="s">
        <v>2172</v>
      </c>
      <c r="C8371" s="69">
        <v>2</v>
      </c>
      <c r="D8371" s="89">
        <v>2</v>
      </c>
      <c r="E8371" s="89">
        <v>4</v>
      </c>
      <c r="F8371" s="89">
        <v>2</v>
      </c>
      <c r="G8371" s="89">
        <v>2</v>
      </c>
      <c r="H8371" s="89">
        <v>2</v>
      </c>
      <c r="I8371" s="89">
        <v>2</v>
      </c>
      <c r="J8371" s="710">
        <f>(VLOOKUP($C8371,[2]Sheet1!$A$2:$P$18,$M8371+1)/12)*12*D8371</f>
        <v>429314.75786073005</v>
      </c>
      <c r="K8371" s="711"/>
      <c r="M8371" s="62">
        <f t="shared" si="668"/>
        <v>5</v>
      </c>
    </row>
    <row r="8372" spans="1:13">
      <c r="A8372" s="88"/>
      <c r="B8372" s="90" t="s">
        <v>4062</v>
      </c>
      <c r="C8372" s="69"/>
      <c r="D8372" s="89"/>
      <c r="E8372" s="89"/>
      <c r="F8372" s="89"/>
      <c r="G8372" s="89"/>
      <c r="H8372" s="89"/>
      <c r="I8372" s="89"/>
      <c r="J8372" s="710"/>
      <c r="K8372" s="711"/>
      <c r="M8372" s="62">
        <f t="shared" si="668"/>
        <v>5</v>
      </c>
    </row>
    <row r="8373" spans="1:13">
      <c r="A8373" s="88">
        <f>+A8371+1</f>
        <v>26</v>
      </c>
      <c r="B8373" s="69" t="s">
        <v>3656</v>
      </c>
      <c r="C8373" s="69" t="s">
        <v>2335</v>
      </c>
      <c r="D8373" s="89" t="s">
        <v>1386</v>
      </c>
      <c r="E8373" s="89" t="s">
        <v>1386</v>
      </c>
      <c r="F8373" s="89">
        <v>1</v>
      </c>
      <c r="G8373" s="89">
        <v>1</v>
      </c>
      <c r="H8373" s="89" t="s">
        <v>1386</v>
      </c>
      <c r="I8373" s="89" t="s">
        <v>1386</v>
      </c>
      <c r="J8373" s="710"/>
      <c r="K8373" s="711"/>
      <c r="L8373" s="62">
        <v>1440000</v>
      </c>
      <c r="M8373" s="62">
        <f t="shared" si="668"/>
        <v>3</v>
      </c>
    </row>
    <row r="8374" spans="1:13">
      <c r="A8374" s="88">
        <f>+A8373+1</f>
        <v>27</v>
      </c>
      <c r="B8374" s="69" t="s">
        <v>3112</v>
      </c>
      <c r="C8374" s="69" t="s">
        <v>2335</v>
      </c>
      <c r="D8374" s="89" t="s">
        <v>1386</v>
      </c>
      <c r="E8374" s="89" t="s">
        <v>1386</v>
      </c>
      <c r="F8374" s="89">
        <v>4</v>
      </c>
      <c r="G8374" s="89">
        <v>4</v>
      </c>
      <c r="H8374" s="89" t="s">
        <v>1386</v>
      </c>
      <c r="I8374" s="89" t="s">
        <v>1386</v>
      </c>
      <c r="J8374" s="710"/>
      <c r="K8374" s="711"/>
      <c r="L8374" s="62">
        <v>1200000</v>
      </c>
      <c r="M8374" s="62">
        <f t="shared" si="668"/>
        <v>3</v>
      </c>
    </row>
    <row r="8375" spans="1:13">
      <c r="A8375" s="88">
        <f>+A8374+1</f>
        <v>28</v>
      </c>
      <c r="B8375" s="69" t="s">
        <v>3113</v>
      </c>
      <c r="C8375" s="69" t="s">
        <v>2335</v>
      </c>
      <c r="D8375" s="89" t="s">
        <v>1386</v>
      </c>
      <c r="E8375" s="89" t="s">
        <v>1386</v>
      </c>
      <c r="F8375" s="89">
        <v>20</v>
      </c>
      <c r="G8375" s="89">
        <v>20</v>
      </c>
      <c r="H8375" s="89" t="s">
        <v>1386</v>
      </c>
      <c r="I8375" s="89" t="s">
        <v>1386</v>
      </c>
      <c r="J8375" s="710"/>
      <c r="K8375" s="711"/>
      <c r="L8375" s="62">
        <v>1200000</v>
      </c>
      <c r="M8375" s="62">
        <f t="shared" si="668"/>
        <v>3</v>
      </c>
    </row>
    <row r="8376" spans="1:13">
      <c r="A8376" s="88">
        <f>+A8375+1</f>
        <v>29</v>
      </c>
      <c r="B8376" s="69" t="s">
        <v>3114</v>
      </c>
      <c r="C8376" s="69" t="s">
        <v>2335</v>
      </c>
      <c r="D8376" s="89" t="s">
        <v>1386</v>
      </c>
      <c r="E8376" s="89" t="s">
        <v>1386</v>
      </c>
      <c r="F8376" s="89">
        <v>65</v>
      </c>
      <c r="G8376" s="89">
        <v>65</v>
      </c>
      <c r="H8376" s="89" t="s">
        <v>1386</v>
      </c>
      <c r="I8376" s="89" t="s">
        <v>1386</v>
      </c>
      <c r="J8376" s="710"/>
      <c r="K8376" s="711"/>
      <c r="L8376" s="62">
        <v>900000</v>
      </c>
      <c r="M8376" s="62">
        <f t="shared" si="668"/>
        <v>3</v>
      </c>
    </row>
    <row r="8377" spans="1:13">
      <c r="A8377" s="88">
        <f>+A8376+1</f>
        <v>30</v>
      </c>
      <c r="B8377" s="69" t="s">
        <v>3509</v>
      </c>
      <c r="C8377" s="69" t="s">
        <v>2335</v>
      </c>
      <c r="D8377" s="89" t="s">
        <v>1386</v>
      </c>
      <c r="E8377" s="89" t="s">
        <v>1386</v>
      </c>
      <c r="F8377" s="89">
        <v>30</v>
      </c>
      <c r="G8377" s="89">
        <v>30</v>
      </c>
      <c r="H8377" s="89" t="s">
        <v>1386</v>
      </c>
      <c r="I8377" s="89" t="s">
        <v>1386</v>
      </c>
      <c r="J8377" s="710"/>
      <c r="K8377" s="711"/>
      <c r="L8377" s="62">
        <v>120000</v>
      </c>
      <c r="M8377" s="62">
        <f t="shared" si="668"/>
        <v>3</v>
      </c>
    </row>
    <row r="8378" spans="1:13">
      <c r="A8378" s="88"/>
      <c r="B8378" s="90" t="s">
        <v>1487</v>
      </c>
      <c r="C8378" s="69"/>
      <c r="D8378" s="89"/>
      <c r="E8378" s="89"/>
      <c r="F8378" s="89"/>
      <c r="G8378" s="89"/>
      <c r="H8378" s="89"/>
      <c r="I8378" s="89"/>
      <c r="J8378" s="710"/>
      <c r="K8378" s="711"/>
      <c r="M8378" s="62">
        <f t="shared" si="668"/>
        <v>5</v>
      </c>
    </row>
    <row r="8379" spans="1:13">
      <c r="A8379" s="88">
        <v>31</v>
      </c>
      <c r="B8379" s="69" t="s">
        <v>2738</v>
      </c>
      <c r="C8379" s="69">
        <v>4</v>
      </c>
      <c r="D8379" s="89">
        <v>1</v>
      </c>
      <c r="E8379" s="89">
        <v>1</v>
      </c>
      <c r="F8379" s="89"/>
      <c r="G8379" s="89"/>
      <c r="H8379" s="89">
        <v>0</v>
      </c>
      <c r="I8379" s="89">
        <v>1</v>
      </c>
      <c r="J8379" s="710">
        <f>(VLOOKUP($C8379,[2]Sheet1!$A$2:$P$18,$M8379+1)/12)*12*D8379</f>
        <v>224542.978930365</v>
      </c>
      <c r="K8379" s="711"/>
      <c r="M8379" s="62">
        <f t="shared" si="668"/>
        <v>5</v>
      </c>
    </row>
    <row r="8380" spans="1:13">
      <c r="A8380" s="88">
        <f>+A8379+1</f>
        <v>32</v>
      </c>
      <c r="B8380" s="69" t="s">
        <v>2739</v>
      </c>
      <c r="C8380" s="69">
        <v>3</v>
      </c>
      <c r="D8380" s="89">
        <v>2</v>
      </c>
      <c r="E8380" s="89">
        <v>1</v>
      </c>
      <c r="F8380" s="89"/>
      <c r="G8380" s="89"/>
      <c r="H8380" s="89">
        <v>0</v>
      </c>
      <c r="I8380" s="89">
        <v>2</v>
      </c>
      <c r="J8380" s="710">
        <f>(VLOOKUP($C8380,[2]Sheet1!$A$2:$P$18,$M8380+1)/12)*12*D8380</f>
        <v>438672.35786072997</v>
      </c>
      <c r="K8380" s="711"/>
      <c r="M8380" s="62">
        <f t="shared" si="668"/>
        <v>5</v>
      </c>
    </row>
    <row r="8381" spans="1:13">
      <c r="A8381" s="92"/>
      <c r="B8381" s="93" t="s">
        <v>2120</v>
      </c>
      <c r="C8381" s="94"/>
      <c r="D8381" s="123">
        <f t="shared" ref="D8381:J8381" si="670">SUM(D8348:D8380)</f>
        <v>29</v>
      </c>
      <c r="E8381" s="123">
        <f t="shared" si="670"/>
        <v>30</v>
      </c>
      <c r="F8381" s="123">
        <f t="shared" si="670"/>
        <v>136</v>
      </c>
      <c r="G8381" s="123">
        <f>SUM(G8348:G8380)</f>
        <v>136</v>
      </c>
      <c r="H8381" s="123">
        <f t="shared" si="670"/>
        <v>21</v>
      </c>
      <c r="I8381" s="123">
        <f t="shared" si="670"/>
        <v>29</v>
      </c>
      <c r="J8381" s="123">
        <f t="shared" si="670"/>
        <v>6495500.9124502204</v>
      </c>
      <c r="K8381" s="378"/>
      <c r="M8381" s="62">
        <f t="shared" si="668"/>
        <v>5</v>
      </c>
    </row>
    <row r="8382" spans="1:13">
      <c r="A8382" s="88" t="s">
        <v>1840</v>
      </c>
      <c r="B8382" s="97" t="s">
        <v>3035</v>
      </c>
      <c r="C8382" s="69"/>
      <c r="D8382" s="89"/>
      <c r="E8382" s="89"/>
      <c r="F8382" s="99"/>
      <c r="G8382" s="240" t="s">
        <v>243</v>
      </c>
      <c r="H8382" s="240" t="s">
        <v>4130</v>
      </c>
      <c r="I8382" s="240" t="s">
        <v>4202</v>
      </c>
      <c r="J8382" s="241" t="s">
        <v>4200</v>
      </c>
      <c r="K8382" s="375"/>
      <c r="M8382" s="62">
        <f t="shared" si="668"/>
        <v>5</v>
      </c>
    </row>
    <row r="8383" spans="1:13">
      <c r="A8383" s="88">
        <v>1</v>
      </c>
      <c r="B8383" s="69" t="s">
        <v>4035</v>
      </c>
      <c r="C8383" s="69"/>
      <c r="D8383" s="89"/>
      <c r="E8383" s="89"/>
      <c r="F8383" s="89"/>
      <c r="G8383" s="100">
        <f>J8381*0.2</f>
        <v>1299100.1824900443</v>
      </c>
      <c r="H8383" s="100">
        <f>G8383*1.02</f>
        <v>1325082.1861398453</v>
      </c>
      <c r="I8383" s="100">
        <f>H8383*1.02</f>
        <v>1351583.8298626423</v>
      </c>
      <c r="J8383" s="100">
        <f>SUM(G8383:I8383)</f>
        <v>3975766.1984925317</v>
      </c>
      <c r="K8383" s="114"/>
      <c r="M8383" s="62">
        <f t="shared" si="668"/>
        <v>5</v>
      </c>
    </row>
    <row r="8384" spans="1:13">
      <c r="A8384" s="92"/>
      <c r="B8384" s="93" t="s">
        <v>2120</v>
      </c>
      <c r="C8384" s="94"/>
      <c r="D8384" s="101"/>
      <c r="E8384" s="101"/>
      <c r="F8384" s="123"/>
      <c r="G8384" s="123">
        <f>SUM(G8383:G8383)</f>
        <v>1299100.1824900443</v>
      </c>
      <c r="H8384" s="123">
        <f>SUM(H8383:H8383)</f>
        <v>1325082.1861398453</v>
      </c>
      <c r="I8384" s="123">
        <f>SUM(I8383:I8383)</f>
        <v>1351583.8298626423</v>
      </c>
      <c r="J8384" s="123">
        <f>SUM(J8383:J8383)</f>
        <v>3975766.1984925317</v>
      </c>
      <c r="K8384" s="378"/>
      <c r="M8384" s="62">
        <f t="shared" si="668"/>
        <v>5</v>
      </c>
    </row>
    <row r="8385" spans="1:13">
      <c r="A8385" s="88"/>
      <c r="B8385" s="97"/>
      <c r="C8385" s="69"/>
      <c r="D8385" s="89"/>
      <c r="E8385" s="89"/>
      <c r="F8385" s="126"/>
      <c r="G8385" s="126"/>
      <c r="H8385" s="126"/>
      <c r="I8385" s="126"/>
      <c r="J8385" s="126"/>
      <c r="K8385" s="132"/>
      <c r="M8385" s="62">
        <f t="shared" si="668"/>
        <v>5</v>
      </c>
    </row>
    <row r="8386" spans="1:13">
      <c r="A8386" s="88" t="s">
        <v>1840</v>
      </c>
      <c r="B8386" s="69" t="s">
        <v>1119</v>
      </c>
      <c r="C8386" s="69"/>
      <c r="D8386" s="89"/>
      <c r="E8386" s="89"/>
      <c r="F8386" s="89"/>
      <c r="G8386" s="100">
        <f>G8384+J8381</f>
        <v>7794601.0949402647</v>
      </c>
      <c r="H8386" s="100">
        <f>G8386*1.02</f>
        <v>7950493.1168390699</v>
      </c>
      <c r="I8386" s="100">
        <f>H8386*1.02</f>
        <v>8109502.9791758517</v>
      </c>
      <c r="J8386" s="100">
        <f>SUM(G8386:I8386)</f>
        <v>23854597.190955184</v>
      </c>
      <c r="K8386" s="114"/>
      <c r="L8386" s="112"/>
      <c r="M8386" s="62">
        <f t="shared" si="668"/>
        <v>5</v>
      </c>
    </row>
    <row r="8387" spans="1:13">
      <c r="A8387" s="88" t="s">
        <v>1840</v>
      </c>
      <c r="B8387" s="69" t="s">
        <v>3944</v>
      </c>
      <c r="C8387" s="69"/>
      <c r="D8387" s="89"/>
      <c r="E8387" s="89"/>
      <c r="F8387" s="89"/>
      <c r="G8387" s="89">
        <f>C8412</f>
        <v>8900000</v>
      </c>
      <c r="H8387" s="89">
        <f>D8412</f>
        <v>11400000</v>
      </c>
      <c r="I8387" s="89">
        <f>E8412</f>
        <v>11400000</v>
      </c>
      <c r="J8387" s="100">
        <f>SUM(G8387:I8387)</f>
        <v>31700000</v>
      </c>
      <c r="K8387" s="114"/>
      <c r="M8387" s="62">
        <f t="shared" si="668"/>
        <v>5</v>
      </c>
    </row>
    <row r="8388" spans="1:13">
      <c r="A8388" s="92" t="s">
        <v>1840</v>
      </c>
      <c r="B8388" s="93" t="s">
        <v>2843</v>
      </c>
      <c r="C8388" s="94"/>
      <c r="D8388" s="101"/>
      <c r="E8388" s="101"/>
      <c r="F8388" s="123"/>
      <c r="G8388" s="123">
        <f>SUM(G8386:G8387)</f>
        <v>16694601.094940264</v>
      </c>
      <c r="H8388" s="123">
        <f>SUM(H8386:H8387)</f>
        <v>19350493.11683907</v>
      </c>
      <c r="I8388" s="123">
        <f>SUM(I8386:I8387)</f>
        <v>19509502.979175851</v>
      </c>
      <c r="J8388" s="123">
        <f>SUM(J8386:J8387)</f>
        <v>55554597.190955184</v>
      </c>
      <c r="K8388" s="378"/>
      <c r="M8388" s="62">
        <f t="shared" si="668"/>
        <v>5</v>
      </c>
    </row>
    <row r="8389" spans="1:13" ht="15">
      <c r="C8389" s="77"/>
      <c r="D8389" s="78" t="s">
        <v>5434</v>
      </c>
      <c r="J8389" s="584"/>
      <c r="K8389" s="584"/>
      <c r="M8389" s="62">
        <f t="shared" si="668"/>
        <v>5</v>
      </c>
    </row>
    <row r="8390" spans="1:13" ht="15">
      <c r="C8390" s="77"/>
      <c r="D8390" s="78" t="s">
        <v>716</v>
      </c>
      <c r="J8390" s="584"/>
      <c r="K8390" s="584"/>
      <c r="M8390" s="62">
        <f t="shared" si="668"/>
        <v>5</v>
      </c>
    </row>
    <row r="8391" spans="1:13" ht="15">
      <c r="C8391" s="79" t="s">
        <v>717</v>
      </c>
      <c r="D8391" s="78" t="s">
        <v>2408</v>
      </c>
      <c r="J8391" s="584"/>
      <c r="K8391" s="584"/>
      <c r="M8391" s="62">
        <f t="shared" si="668"/>
        <v>3</v>
      </c>
    </row>
    <row r="8392" spans="1:13" ht="15">
      <c r="C8392" s="79" t="s">
        <v>718</v>
      </c>
      <c r="D8392" s="78" t="s">
        <v>3176</v>
      </c>
      <c r="J8392" s="584"/>
      <c r="K8392" s="584"/>
      <c r="M8392" s="62">
        <f t="shared" si="668"/>
        <v>3</v>
      </c>
    </row>
    <row r="8393" spans="1:13" ht="15">
      <c r="A8393" s="634" t="s">
        <v>1839</v>
      </c>
      <c r="B8393" s="635" t="s">
        <v>903</v>
      </c>
      <c r="C8393" s="1037" t="s">
        <v>4127</v>
      </c>
      <c r="D8393" s="1038"/>
      <c r="E8393" s="1039"/>
      <c r="F8393" s="635" t="s">
        <v>1684</v>
      </c>
      <c r="G8393" s="1037" t="s">
        <v>4132</v>
      </c>
      <c r="H8393" s="1038"/>
      <c r="I8393" s="1039"/>
      <c r="J8393" s="726"/>
      <c r="K8393" s="727"/>
    </row>
    <row r="8394" spans="1:13">
      <c r="A8394" s="636" t="s">
        <v>1620</v>
      </c>
      <c r="B8394" s="637"/>
      <c r="C8394" s="635" t="s">
        <v>1841</v>
      </c>
      <c r="D8394" s="635" t="s">
        <v>4133</v>
      </c>
      <c r="E8394" s="635" t="s">
        <v>4133</v>
      </c>
      <c r="F8394" s="1056" t="s">
        <v>4200</v>
      </c>
      <c r="G8394" s="634" t="s">
        <v>4135</v>
      </c>
      <c r="H8394" s="1051" t="s">
        <v>4182</v>
      </c>
      <c r="I8394" s="634" t="s">
        <v>4135</v>
      </c>
      <c r="J8394" s="728" t="s">
        <v>4136</v>
      </c>
      <c r="K8394" s="727"/>
    </row>
    <row r="8395" spans="1:13" ht="12.75" customHeight="1">
      <c r="A8395" s="638" t="s">
        <v>387</v>
      </c>
      <c r="B8395" s="639"/>
      <c r="C8395" s="638">
        <v>2015</v>
      </c>
      <c r="D8395" s="638">
        <v>2016</v>
      </c>
      <c r="E8395" s="638">
        <v>2017</v>
      </c>
      <c r="F8395" s="1057"/>
      <c r="G8395" s="638" t="s">
        <v>4304</v>
      </c>
      <c r="H8395" s="1052"/>
      <c r="I8395" s="638" t="s">
        <v>4303</v>
      </c>
      <c r="J8395" s="639"/>
      <c r="K8395" s="729"/>
    </row>
    <row r="8396" spans="1:13">
      <c r="A8396" s="768"/>
      <c r="B8396" s="768"/>
      <c r="C8396" s="390"/>
      <c r="D8396" s="390"/>
      <c r="E8396" s="390"/>
      <c r="F8396" s="390"/>
      <c r="G8396" s="390"/>
      <c r="H8396" s="390"/>
      <c r="I8396" s="390"/>
      <c r="J8396" s="390"/>
      <c r="K8396" s="734"/>
      <c r="M8396" s="62" t="e">
        <f>IF(#REF!&gt;6,3,5)</f>
        <v>#REF!</v>
      </c>
    </row>
    <row r="8397" spans="1:13">
      <c r="A8397" s="768">
        <v>2</v>
      </c>
      <c r="B8397" s="768" t="s">
        <v>1695</v>
      </c>
      <c r="C8397" s="390">
        <v>1000000</v>
      </c>
      <c r="D8397" s="390">
        <v>1000000</v>
      </c>
      <c r="E8397" s="390">
        <v>1000000</v>
      </c>
      <c r="F8397" s="390">
        <f>SUM(C8397:E8397)</f>
        <v>3000000</v>
      </c>
      <c r="G8397" s="390">
        <v>413900</v>
      </c>
      <c r="H8397" s="390">
        <v>1000000</v>
      </c>
      <c r="I8397" s="390">
        <v>312500</v>
      </c>
      <c r="J8397" s="390"/>
      <c r="K8397" s="734"/>
      <c r="M8397" s="62" t="e">
        <f>IF(#REF!&gt;6,3,5)</f>
        <v>#REF!</v>
      </c>
    </row>
    <row r="8398" spans="1:13">
      <c r="A8398" s="768">
        <v>3</v>
      </c>
      <c r="B8398" s="768" t="s">
        <v>1696</v>
      </c>
      <c r="C8398" s="390" t="s">
        <v>1386</v>
      </c>
      <c r="D8398" s="390" t="s">
        <v>1386</v>
      </c>
      <c r="E8398" s="390" t="s">
        <v>1386</v>
      </c>
      <c r="F8398" s="390">
        <f t="shared" ref="F8398:F8411" si="671">SUM(C8398:E8398)</f>
        <v>0</v>
      </c>
      <c r="G8398" s="390"/>
      <c r="H8398" s="390" t="s">
        <v>1386</v>
      </c>
      <c r="I8398" s="390"/>
      <c r="J8398" s="390"/>
      <c r="K8398" s="734"/>
      <c r="M8398" s="62" t="e">
        <f>IF(#REF!&gt;6,3,5)</f>
        <v>#REF!</v>
      </c>
    </row>
    <row r="8399" spans="1:13">
      <c r="A8399" s="768">
        <v>4</v>
      </c>
      <c r="B8399" s="768" t="s">
        <v>1701</v>
      </c>
      <c r="C8399" s="390" t="s">
        <v>1386</v>
      </c>
      <c r="D8399" s="390" t="s">
        <v>1386</v>
      </c>
      <c r="E8399" s="390" t="s">
        <v>1386</v>
      </c>
      <c r="F8399" s="390">
        <f t="shared" si="671"/>
        <v>0</v>
      </c>
      <c r="G8399" s="390"/>
      <c r="H8399" s="390" t="s">
        <v>1386</v>
      </c>
      <c r="I8399" s="390"/>
      <c r="J8399" s="390"/>
      <c r="K8399" s="734"/>
      <c r="M8399" s="62" t="e">
        <f>IF(#REF!&gt;6,3,5)</f>
        <v>#REF!</v>
      </c>
    </row>
    <row r="8400" spans="1:13">
      <c r="A8400" s="768">
        <v>5</v>
      </c>
      <c r="B8400" s="768" t="s">
        <v>1702</v>
      </c>
      <c r="C8400" s="390">
        <v>500000</v>
      </c>
      <c r="D8400" s="390">
        <v>500000</v>
      </c>
      <c r="E8400" s="390">
        <v>500000</v>
      </c>
      <c r="F8400" s="390">
        <f t="shared" si="671"/>
        <v>1500000</v>
      </c>
      <c r="G8400" s="390">
        <v>114000</v>
      </c>
      <c r="H8400" s="390">
        <v>500000</v>
      </c>
      <c r="I8400" s="390">
        <v>88000</v>
      </c>
      <c r="J8400" s="390"/>
      <c r="K8400" s="734"/>
      <c r="M8400" s="62" t="e">
        <f>IF(#REF!&gt;6,3,5)</f>
        <v>#REF!</v>
      </c>
    </row>
    <row r="8401" spans="1:13">
      <c r="A8401" s="768">
        <v>6</v>
      </c>
      <c r="B8401" s="768" t="s">
        <v>1544</v>
      </c>
      <c r="C8401" s="390">
        <v>500000</v>
      </c>
      <c r="D8401" s="390">
        <v>500000</v>
      </c>
      <c r="E8401" s="390">
        <v>500000</v>
      </c>
      <c r="F8401" s="390">
        <f t="shared" si="671"/>
        <v>1500000</v>
      </c>
      <c r="G8401" s="390">
        <v>114000</v>
      </c>
      <c r="H8401" s="390">
        <v>500000</v>
      </c>
      <c r="I8401" s="390">
        <v>15000</v>
      </c>
      <c r="J8401" s="390"/>
      <c r="K8401" s="734"/>
      <c r="M8401" s="62" t="e">
        <f>IF(#REF!&gt;6,3,5)</f>
        <v>#REF!</v>
      </c>
    </row>
    <row r="8402" spans="1:13">
      <c r="A8402" s="768">
        <v>7</v>
      </c>
      <c r="B8402" s="768" t="s">
        <v>897</v>
      </c>
      <c r="C8402" s="390">
        <v>1000000</v>
      </c>
      <c r="D8402" s="390">
        <v>1000000</v>
      </c>
      <c r="E8402" s="390">
        <v>1000000</v>
      </c>
      <c r="F8402" s="390">
        <f t="shared" si="671"/>
        <v>3000000</v>
      </c>
      <c r="G8402" s="390">
        <v>823200</v>
      </c>
      <c r="H8402" s="390">
        <v>1000000</v>
      </c>
      <c r="I8402" s="390">
        <v>490000</v>
      </c>
      <c r="J8402" s="390"/>
      <c r="K8402" s="734"/>
      <c r="M8402" s="62" t="e">
        <f>IF(#REF!&gt;6,3,5)</f>
        <v>#REF!</v>
      </c>
    </row>
    <row r="8403" spans="1:13">
      <c r="A8403" s="768">
        <v>8</v>
      </c>
      <c r="B8403" s="768" t="s">
        <v>1385</v>
      </c>
      <c r="C8403" s="390" t="s">
        <v>1386</v>
      </c>
      <c r="D8403" s="390" t="s">
        <v>1386</v>
      </c>
      <c r="E8403" s="390" t="s">
        <v>1386</v>
      </c>
      <c r="F8403" s="390">
        <f t="shared" si="671"/>
        <v>0</v>
      </c>
      <c r="G8403" s="390"/>
      <c r="H8403" s="390" t="s">
        <v>1386</v>
      </c>
      <c r="I8403" s="390"/>
      <c r="J8403" s="390"/>
      <c r="K8403" s="734"/>
      <c r="M8403" s="62" t="e">
        <f>IF(#REF!&gt;6,3,5)</f>
        <v>#REF!</v>
      </c>
    </row>
    <row r="8404" spans="1:13">
      <c r="A8404" s="768">
        <v>9</v>
      </c>
      <c r="B8404" s="768" t="s">
        <v>2061</v>
      </c>
      <c r="C8404" s="390" t="s">
        <v>1386</v>
      </c>
      <c r="D8404" s="390" t="s">
        <v>1386</v>
      </c>
      <c r="E8404" s="390" t="s">
        <v>1386</v>
      </c>
      <c r="F8404" s="390">
        <f t="shared" si="671"/>
        <v>0</v>
      </c>
      <c r="G8404" s="390"/>
      <c r="H8404" s="390" t="s">
        <v>1386</v>
      </c>
      <c r="I8404" s="390"/>
      <c r="J8404" s="390"/>
      <c r="K8404" s="734"/>
      <c r="M8404" s="62" t="e">
        <f>IF(#REF!&gt;6,3,5)</f>
        <v>#REF!</v>
      </c>
    </row>
    <row r="8405" spans="1:13">
      <c r="A8405" s="768">
        <v>10</v>
      </c>
      <c r="B8405" s="768" t="s">
        <v>1680</v>
      </c>
      <c r="C8405" s="390">
        <v>500000</v>
      </c>
      <c r="D8405" s="390">
        <v>500000</v>
      </c>
      <c r="E8405" s="390">
        <v>500000</v>
      </c>
      <c r="F8405" s="390">
        <f t="shared" si="671"/>
        <v>1500000</v>
      </c>
      <c r="G8405" s="390">
        <v>10000</v>
      </c>
      <c r="H8405" s="390">
        <v>500000</v>
      </c>
      <c r="I8405" s="390">
        <v>0</v>
      </c>
      <c r="J8405" s="390"/>
      <c r="K8405" s="734"/>
      <c r="M8405" s="62" t="e">
        <f>IF(#REF!&gt;6,3,5)</f>
        <v>#REF!</v>
      </c>
    </row>
    <row r="8406" spans="1:13">
      <c r="A8406" s="768">
        <v>11</v>
      </c>
      <c r="B8406" s="768" t="s">
        <v>1681</v>
      </c>
      <c r="C8406" s="390">
        <v>100000</v>
      </c>
      <c r="D8406" s="390">
        <v>100000</v>
      </c>
      <c r="E8406" s="390">
        <v>100000</v>
      </c>
      <c r="F8406" s="390">
        <f t="shared" si="671"/>
        <v>300000</v>
      </c>
      <c r="G8406" s="390">
        <v>30000</v>
      </c>
      <c r="H8406" s="390">
        <v>100000</v>
      </c>
      <c r="I8406" s="390">
        <v>10000</v>
      </c>
      <c r="J8406" s="390"/>
      <c r="K8406" s="734"/>
      <c r="M8406" s="62" t="e">
        <f>IF(#REF!&gt;6,3,5)</f>
        <v>#REF!</v>
      </c>
    </row>
    <row r="8407" spans="1:13">
      <c r="A8407" s="768">
        <v>12</v>
      </c>
      <c r="B8407" s="768" t="s">
        <v>1682</v>
      </c>
      <c r="C8407" s="390">
        <v>1500000</v>
      </c>
      <c r="D8407" s="390">
        <v>2000000</v>
      </c>
      <c r="E8407" s="390">
        <v>2000000</v>
      </c>
      <c r="F8407" s="390">
        <f t="shared" si="671"/>
        <v>5500000</v>
      </c>
      <c r="G8407" s="743">
        <v>1186384.7</v>
      </c>
      <c r="H8407" s="390">
        <v>2000000</v>
      </c>
      <c r="I8407" s="743">
        <v>2173844.4</v>
      </c>
      <c r="J8407" s="390"/>
      <c r="K8407" s="734"/>
      <c r="M8407" s="62" t="e">
        <f>IF(#REF!&gt;6,3,5)</f>
        <v>#REF!</v>
      </c>
    </row>
    <row r="8408" spans="1:13">
      <c r="A8408" s="768">
        <v>13</v>
      </c>
      <c r="B8408" s="768" t="s">
        <v>2249</v>
      </c>
      <c r="C8408" s="390">
        <v>100000</v>
      </c>
      <c r="D8408" s="390">
        <v>100000</v>
      </c>
      <c r="E8408" s="390">
        <v>100000</v>
      </c>
      <c r="F8408" s="390">
        <f t="shared" si="671"/>
        <v>300000</v>
      </c>
      <c r="G8408" s="390"/>
      <c r="H8408" s="390">
        <v>100000</v>
      </c>
      <c r="I8408" s="390"/>
      <c r="J8408" s="390"/>
      <c r="K8408" s="734"/>
      <c r="M8408" s="62" t="e">
        <f>IF(#REF!&gt;6,3,5)</f>
        <v>#REF!</v>
      </c>
    </row>
    <row r="8409" spans="1:13">
      <c r="A8409" s="768">
        <v>14</v>
      </c>
      <c r="B8409" s="768" t="s">
        <v>3695</v>
      </c>
      <c r="C8409" s="390">
        <v>700000</v>
      </c>
      <c r="D8409" s="390">
        <v>700000</v>
      </c>
      <c r="E8409" s="390">
        <v>700000</v>
      </c>
      <c r="F8409" s="390">
        <f t="shared" si="671"/>
        <v>2100000</v>
      </c>
      <c r="G8409" s="390">
        <v>79000</v>
      </c>
      <c r="H8409" s="390">
        <v>700000</v>
      </c>
      <c r="I8409" s="390">
        <v>273000</v>
      </c>
      <c r="J8409" s="390"/>
      <c r="K8409" s="734"/>
      <c r="M8409" s="62" t="e">
        <f>IF(#REF!&gt;6,3,5)</f>
        <v>#REF!</v>
      </c>
    </row>
    <row r="8410" spans="1:13">
      <c r="A8410" s="768">
        <v>15</v>
      </c>
      <c r="B8410" s="768" t="s">
        <v>1034</v>
      </c>
      <c r="C8410" s="390" t="s">
        <v>1386</v>
      </c>
      <c r="D8410" s="390" t="s">
        <v>1386</v>
      </c>
      <c r="E8410" s="390" t="s">
        <v>1386</v>
      </c>
      <c r="F8410" s="390">
        <f t="shared" si="671"/>
        <v>0</v>
      </c>
      <c r="G8410" s="390">
        <v>1281775</v>
      </c>
      <c r="H8410" s="390" t="s">
        <v>1386</v>
      </c>
      <c r="I8410" s="390">
        <v>0</v>
      </c>
      <c r="J8410" s="390"/>
      <c r="K8410" s="734"/>
      <c r="M8410" s="62" t="e">
        <f>IF(#REF!&gt;6,3,5)</f>
        <v>#REF!</v>
      </c>
    </row>
    <row r="8411" spans="1:13">
      <c r="A8411" s="768">
        <v>16</v>
      </c>
      <c r="B8411" s="768" t="s">
        <v>3311</v>
      </c>
      <c r="C8411" s="390">
        <v>3000000</v>
      </c>
      <c r="D8411" s="390">
        <v>5000000</v>
      </c>
      <c r="E8411" s="390">
        <v>5000000</v>
      </c>
      <c r="F8411" s="390">
        <f t="shared" si="671"/>
        <v>13000000</v>
      </c>
      <c r="G8411" s="390">
        <v>150000</v>
      </c>
      <c r="H8411" s="390">
        <v>1000000</v>
      </c>
      <c r="I8411" s="390">
        <v>0</v>
      </c>
      <c r="J8411" s="390"/>
      <c r="K8411" s="734"/>
      <c r="M8411" s="62" t="e">
        <f>IF(#REF!&gt;6,3,5)</f>
        <v>#REF!</v>
      </c>
    </row>
    <row r="8412" spans="1:13">
      <c r="A8412" s="770"/>
      <c r="B8412" s="770" t="s">
        <v>2120</v>
      </c>
      <c r="C8412" s="739">
        <f t="shared" ref="C8412:I8412" si="672">SUM(C8396:C8411)</f>
        <v>8900000</v>
      </c>
      <c r="D8412" s="739">
        <f t="shared" si="672"/>
        <v>11400000</v>
      </c>
      <c r="E8412" s="739">
        <f t="shared" si="672"/>
        <v>11400000</v>
      </c>
      <c r="F8412" s="739">
        <f t="shared" si="672"/>
        <v>31700000</v>
      </c>
      <c r="G8412" s="739">
        <f>SUM(G8396:G8411)</f>
        <v>4202259.7</v>
      </c>
      <c r="H8412" s="739">
        <f t="shared" si="672"/>
        <v>7400000</v>
      </c>
      <c r="I8412" s="739">
        <f t="shared" si="672"/>
        <v>3362344.4</v>
      </c>
      <c r="J8412" s="739"/>
      <c r="K8412" s="740"/>
      <c r="M8412" s="62" t="e">
        <f>IF(#REF!&gt;6,3,5)</f>
        <v>#REF!</v>
      </c>
    </row>
    <row r="8413" spans="1:13" ht="15">
      <c r="C8413" s="77"/>
      <c r="D8413" s="78" t="s">
        <v>5434</v>
      </c>
      <c r="J8413" s="584"/>
      <c r="K8413" s="584"/>
      <c r="M8413" s="62">
        <f t="shared" ref="M8413:M8453" si="673">IF(C8413&gt;6,3,5)</f>
        <v>5</v>
      </c>
    </row>
    <row r="8414" spans="1:13" ht="15">
      <c r="C8414" s="77"/>
      <c r="D8414" s="78" t="s">
        <v>1693</v>
      </c>
      <c r="J8414" s="584"/>
      <c r="K8414" s="584"/>
      <c r="M8414" s="62">
        <f t="shared" si="673"/>
        <v>5</v>
      </c>
    </row>
    <row r="8415" spans="1:13" ht="15">
      <c r="C8415" s="79" t="s">
        <v>717</v>
      </c>
      <c r="D8415" s="78" t="s">
        <v>2591</v>
      </c>
      <c r="J8415" s="584"/>
      <c r="K8415" s="584"/>
      <c r="M8415" s="62">
        <f t="shared" si="673"/>
        <v>3</v>
      </c>
    </row>
    <row r="8416" spans="1:13" ht="15.75" thickBot="1">
      <c r="C8416" s="79" t="s">
        <v>718</v>
      </c>
      <c r="D8416" s="78" t="s">
        <v>3177</v>
      </c>
      <c r="J8416" s="584"/>
      <c r="K8416" s="584"/>
      <c r="M8416" s="62">
        <f t="shared" si="673"/>
        <v>3</v>
      </c>
    </row>
    <row r="8417" spans="1:13" ht="15.75" thickTop="1">
      <c r="A8417" s="1047" t="s">
        <v>2791</v>
      </c>
      <c r="B8417" s="1049" t="s">
        <v>4126</v>
      </c>
      <c r="C8417" s="1049" t="s">
        <v>854</v>
      </c>
      <c r="D8417" s="1040" t="s">
        <v>4127</v>
      </c>
      <c r="E8417" s="1041"/>
      <c r="F8417" s="1041"/>
      <c r="G8417" s="1040" t="s">
        <v>904</v>
      </c>
      <c r="H8417" s="1041"/>
      <c r="I8417" s="1042"/>
      <c r="J8417" s="1035" t="s">
        <v>855</v>
      </c>
      <c r="K8417" s="389"/>
    </row>
    <row r="8418" spans="1:13" ht="26.25" thickBot="1">
      <c r="A8418" s="1048"/>
      <c r="B8418" s="1050"/>
      <c r="C8418" s="1050"/>
      <c r="D8418" s="285" t="s">
        <v>5505</v>
      </c>
      <c r="E8418" s="285" t="s">
        <v>4485</v>
      </c>
      <c r="F8418" s="285" t="s">
        <v>4486</v>
      </c>
      <c r="G8418" s="287" t="s">
        <v>4487</v>
      </c>
      <c r="H8418" s="285" t="s">
        <v>4488</v>
      </c>
      <c r="I8418" s="287" t="s">
        <v>4489</v>
      </c>
      <c r="J8418" s="1036"/>
      <c r="K8418" s="712"/>
    </row>
    <row r="8419" spans="1:13" ht="13.5" thickTop="1">
      <c r="A8419" s="88">
        <v>1</v>
      </c>
      <c r="B8419" s="69" t="s">
        <v>2970</v>
      </c>
      <c r="C8419" s="69" t="s">
        <v>2335</v>
      </c>
      <c r="D8419" s="89">
        <v>1</v>
      </c>
      <c r="E8419" s="89">
        <v>1</v>
      </c>
      <c r="F8419" s="89">
        <v>1</v>
      </c>
      <c r="G8419" s="89"/>
      <c r="H8419" s="89">
        <v>1</v>
      </c>
      <c r="I8419" s="89"/>
      <c r="J8419" s="713">
        <v>123126</v>
      </c>
      <c r="K8419" s="711"/>
      <c r="M8419" s="62">
        <f t="shared" si="673"/>
        <v>3</v>
      </c>
    </row>
    <row r="8420" spans="1:13">
      <c r="A8420" s="88">
        <v>2</v>
      </c>
      <c r="B8420" s="69" t="s">
        <v>1800</v>
      </c>
      <c r="C8420" s="69" t="s">
        <v>2335</v>
      </c>
      <c r="D8420" s="89">
        <v>4</v>
      </c>
      <c r="E8420" s="89">
        <v>4</v>
      </c>
      <c r="F8420" s="89">
        <v>4</v>
      </c>
      <c r="G8420" s="89"/>
      <c r="H8420" s="89">
        <v>4</v>
      </c>
      <c r="I8420" s="89"/>
      <c r="J8420" s="713">
        <v>440000</v>
      </c>
      <c r="K8420" s="711"/>
      <c r="M8420" s="62">
        <f t="shared" si="673"/>
        <v>3</v>
      </c>
    </row>
    <row r="8421" spans="1:13">
      <c r="A8421" s="88">
        <f>+A8420+1</f>
        <v>3</v>
      </c>
      <c r="B8421" s="69" t="s">
        <v>1184</v>
      </c>
      <c r="C8421" s="69" t="s">
        <v>2335</v>
      </c>
      <c r="D8421" s="89">
        <v>1</v>
      </c>
      <c r="E8421" s="89">
        <v>1</v>
      </c>
      <c r="F8421" s="89">
        <v>1</v>
      </c>
      <c r="G8421" s="89"/>
      <c r="H8421" s="89">
        <v>1</v>
      </c>
      <c r="I8421" s="89"/>
      <c r="J8421" s="713">
        <v>123126</v>
      </c>
      <c r="K8421" s="711"/>
      <c r="M8421" s="62">
        <f t="shared" si="673"/>
        <v>3</v>
      </c>
    </row>
    <row r="8422" spans="1:13">
      <c r="A8422" s="88">
        <f>+A8421+1</f>
        <v>4</v>
      </c>
      <c r="B8422" s="69" t="s">
        <v>2000</v>
      </c>
      <c r="C8422" s="69">
        <v>8</v>
      </c>
      <c r="D8422" s="89">
        <v>0</v>
      </c>
      <c r="E8422" s="89">
        <v>0</v>
      </c>
      <c r="F8422" s="89">
        <v>0</v>
      </c>
      <c r="G8422" s="89"/>
      <c r="H8422" s="89">
        <v>0</v>
      </c>
      <c r="I8422" s="89"/>
      <c r="J8422" s="710">
        <f>(VLOOKUP($C8422,[2]Sheet1!$A$2:$P$18,$M8422+1)/12)*12*D8422</f>
        <v>0</v>
      </c>
      <c r="K8422" s="711"/>
      <c r="M8422" s="62">
        <f t="shared" si="673"/>
        <v>3</v>
      </c>
    </row>
    <row r="8423" spans="1:13">
      <c r="A8423" s="88">
        <f>+A8422+1</f>
        <v>5</v>
      </c>
      <c r="B8423" s="69" t="s">
        <v>1700</v>
      </c>
      <c r="C8423" s="69">
        <v>6</v>
      </c>
      <c r="D8423" s="89">
        <v>0</v>
      </c>
      <c r="E8423" s="89">
        <v>0</v>
      </c>
      <c r="F8423" s="89">
        <v>0</v>
      </c>
      <c r="G8423" s="89"/>
      <c r="H8423" s="89">
        <v>0</v>
      </c>
      <c r="I8423" s="89"/>
      <c r="J8423" s="710">
        <f>(VLOOKUP($C8423,[2]Sheet1!$A$2:$P$18,$M8423+1)/12)*12*D8423</f>
        <v>0</v>
      </c>
      <c r="K8423" s="711"/>
      <c r="M8423" s="62">
        <f t="shared" si="673"/>
        <v>5</v>
      </c>
    </row>
    <row r="8424" spans="1:13">
      <c r="A8424" s="88">
        <f>+A8423+1</f>
        <v>6</v>
      </c>
      <c r="B8424" s="69" t="s">
        <v>3862</v>
      </c>
      <c r="C8424" s="69">
        <v>8</v>
      </c>
      <c r="D8424" s="89">
        <v>0</v>
      </c>
      <c r="E8424" s="89">
        <v>0</v>
      </c>
      <c r="F8424" s="89">
        <v>0</v>
      </c>
      <c r="G8424" s="89"/>
      <c r="H8424" s="89">
        <v>0</v>
      </c>
      <c r="I8424" s="89"/>
      <c r="J8424" s="710">
        <f>(VLOOKUP($C8424,[2]Sheet1!$A$2:$P$18,$M8424+1)/12)*12*D8424</f>
        <v>0</v>
      </c>
      <c r="K8424" s="711"/>
      <c r="M8424" s="62">
        <f t="shared" si="673"/>
        <v>3</v>
      </c>
    </row>
    <row r="8425" spans="1:13">
      <c r="A8425" s="88">
        <f>+A8424+1</f>
        <v>7</v>
      </c>
      <c r="B8425" s="69" t="s">
        <v>1185</v>
      </c>
      <c r="C8425" s="69">
        <v>6</v>
      </c>
      <c r="D8425" s="89">
        <v>1</v>
      </c>
      <c r="E8425" s="89">
        <v>1</v>
      </c>
      <c r="F8425" s="89">
        <v>1</v>
      </c>
      <c r="G8425" s="89"/>
      <c r="H8425" s="89">
        <v>1</v>
      </c>
      <c r="I8425" s="89"/>
      <c r="J8425" s="710">
        <f>(VLOOKUP($C8425,[2]Sheet1!$A$2:$P$18,$M8425+1)/12)*12*D8425</f>
        <v>238099.37893036497</v>
      </c>
      <c r="K8425" s="711"/>
      <c r="M8425" s="62">
        <f t="shared" si="673"/>
        <v>5</v>
      </c>
    </row>
    <row r="8426" spans="1:13">
      <c r="A8426" s="88"/>
      <c r="B8426" s="90" t="s">
        <v>2051</v>
      </c>
      <c r="C8426" s="69"/>
      <c r="D8426" s="89"/>
      <c r="E8426" s="89"/>
      <c r="F8426" s="89"/>
      <c r="G8426" s="89"/>
      <c r="H8426" s="89"/>
      <c r="I8426" s="89"/>
      <c r="J8426" s="710"/>
      <c r="K8426" s="711"/>
      <c r="M8426" s="62">
        <f t="shared" si="673"/>
        <v>5</v>
      </c>
    </row>
    <row r="8427" spans="1:13">
      <c r="A8427" s="88">
        <v>8</v>
      </c>
      <c r="B8427" s="69" t="s">
        <v>342</v>
      </c>
      <c r="C8427" s="69">
        <v>7</v>
      </c>
      <c r="D8427" s="89">
        <v>2</v>
      </c>
      <c r="E8427" s="89">
        <v>0</v>
      </c>
      <c r="F8427" s="89">
        <v>0</v>
      </c>
      <c r="G8427" s="89"/>
      <c r="H8427" s="89">
        <v>0</v>
      </c>
      <c r="I8427" s="89">
        <v>2</v>
      </c>
      <c r="J8427" s="710">
        <f>(VLOOKUP($C8427,[2]Sheet1!$A$2:$P$18,$M8427+1)/12)*12*D8427</f>
        <v>615413.40480000013</v>
      </c>
      <c r="K8427" s="711"/>
      <c r="M8427" s="62">
        <f t="shared" si="673"/>
        <v>3</v>
      </c>
    </row>
    <row r="8428" spans="1:13">
      <c r="A8428" s="88">
        <f t="shared" ref="A8428:A8447" si="674">+A8427+1</f>
        <v>9</v>
      </c>
      <c r="B8428" s="69" t="s">
        <v>405</v>
      </c>
      <c r="C8428" s="69">
        <v>6</v>
      </c>
      <c r="D8428" s="89">
        <v>3</v>
      </c>
      <c r="E8428" s="89">
        <v>1</v>
      </c>
      <c r="F8428" s="89">
        <v>1</v>
      </c>
      <c r="G8428" s="89"/>
      <c r="H8428" s="89">
        <v>1</v>
      </c>
      <c r="I8428" s="89">
        <v>3</v>
      </c>
      <c r="J8428" s="710">
        <f>(VLOOKUP($C8428,[2]Sheet1!$A$2:$P$18,$M8428+1)/12)*12*D8428</f>
        <v>714298.1367910949</v>
      </c>
      <c r="K8428" s="711"/>
      <c r="M8428" s="62">
        <f t="shared" si="673"/>
        <v>5</v>
      </c>
    </row>
    <row r="8429" spans="1:13">
      <c r="A8429" s="88">
        <f t="shared" si="674"/>
        <v>10</v>
      </c>
      <c r="B8429" s="69" t="s">
        <v>3770</v>
      </c>
      <c r="C8429" s="69">
        <v>5</v>
      </c>
      <c r="D8429" s="89"/>
      <c r="E8429" s="89">
        <v>0</v>
      </c>
      <c r="F8429" s="89">
        <v>0</v>
      </c>
      <c r="G8429" s="89"/>
      <c r="H8429" s="89">
        <v>0</v>
      </c>
      <c r="I8429" s="89"/>
      <c r="J8429" s="710">
        <f>(VLOOKUP($C8429,[2]Sheet1!$A$2:$P$18,$M8429+1)/12)*12*D8429</f>
        <v>0</v>
      </c>
      <c r="K8429" s="711"/>
      <c r="M8429" s="62">
        <f t="shared" si="673"/>
        <v>5</v>
      </c>
    </row>
    <row r="8430" spans="1:13">
      <c r="A8430" s="88">
        <f t="shared" si="674"/>
        <v>11</v>
      </c>
      <c r="B8430" s="69" t="s">
        <v>2360</v>
      </c>
      <c r="C8430" s="69">
        <v>4</v>
      </c>
      <c r="D8430" s="89">
        <v>1</v>
      </c>
      <c r="E8430" s="89">
        <v>1</v>
      </c>
      <c r="F8430" s="89">
        <v>1</v>
      </c>
      <c r="G8430" s="89"/>
      <c r="H8430" s="89">
        <v>1</v>
      </c>
      <c r="I8430" s="89">
        <v>1</v>
      </c>
      <c r="J8430" s="710">
        <f>(VLOOKUP($C8430,[2]Sheet1!$A$2:$P$18,$M8430+1)/12)*12*D8430</f>
        <v>224542.978930365</v>
      </c>
      <c r="K8430" s="711"/>
      <c r="M8430" s="62">
        <f t="shared" si="673"/>
        <v>5</v>
      </c>
    </row>
    <row r="8431" spans="1:13">
      <c r="A8431" s="88">
        <f t="shared" si="674"/>
        <v>12</v>
      </c>
      <c r="B8431" s="69" t="s">
        <v>4030</v>
      </c>
      <c r="C8431" s="69">
        <v>3</v>
      </c>
      <c r="D8431" s="89">
        <v>2</v>
      </c>
      <c r="E8431" s="89">
        <v>1</v>
      </c>
      <c r="F8431" s="89">
        <v>1</v>
      </c>
      <c r="G8431" s="89"/>
      <c r="H8431" s="89">
        <v>1</v>
      </c>
      <c r="I8431" s="89">
        <v>2</v>
      </c>
      <c r="J8431" s="710">
        <f>(VLOOKUP($C8431,[2]Sheet1!$A$2:$P$18,$M8431+1)/12)*12*D8431</f>
        <v>438672.35786072997</v>
      </c>
      <c r="K8431" s="711"/>
      <c r="M8431" s="62">
        <f t="shared" si="673"/>
        <v>5</v>
      </c>
    </row>
    <row r="8432" spans="1:13">
      <c r="A8432" s="88">
        <f t="shared" si="674"/>
        <v>13</v>
      </c>
      <c r="B8432" s="69" t="s">
        <v>319</v>
      </c>
      <c r="C8432" s="69">
        <v>9</v>
      </c>
      <c r="D8432" s="89"/>
      <c r="E8432" s="89">
        <v>0</v>
      </c>
      <c r="F8432" s="89">
        <v>0</v>
      </c>
      <c r="G8432" s="89"/>
      <c r="H8432" s="89">
        <v>0</v>
      </c>
      <c r="I8432" s="89"/>
      <c r="J8432" s="710">
        <f>(VLOOKUP($C8432,[2]Sheet1!$A$2:$P$18,$M8432+1)/12)*12*D8432</f>
        <v>0</v>
      </c>
      <c r="K8432" s="711"/>
      <c r="M8432" s="62">
        <f t="shared" si="673"/>
        <v>3</v>
      </c>
    </row>
    <row r="8433" spans="1:13">
      <c r="A8433" s="88">
        <f t="shared" si="674"/>
        <v>14</v>
      </c>
      <c r="B8433" s="69" t="s">
        <v>1441</v>
      </c>
      <c r="C8433" s="69">
        <v>8</v>
      </c>
      <c r="D8433" s="89"/>
      <c r="E8433" s="89">
        <v>0</v>
      </c>
      <c r="F8433" s="89">
        <v>0</v>
      </c>
      <c r="G8433" s="89"/>
      <c r="H8433" s="89">
        <v>0</v>
      </c>
      <c r="I8433" s="89"/>
      <c r="J8433" s="710">
        <f>(VLOOKUP($C8433,[2]Sheet1!$A$2:$P$18,$M8433+1)/12)*12*D8433</f>
        <v>0</v>
      </c>
      <c r="K8433" s="711"/>
      <c r="M8433" s="62">
        <f t="shared" si="673"/>
        <v>3</v>
      </c>
    </row>
    <row r="8434" spans="1:13">
      <c r="A8434" s="88">
        <f t="shared" si="674"/>
        <v>15</v>
      </c>
      <c r="B8434" s="69" t="s">
        <v>2572</v>
      </c>
      <c r="C8434" s="69">
        <v>7</v>
      </c>
      <c r="D8434" s="89"/>
      <c r="E8434" s="89">
        <v>0</v>
      </c>
      <c r="F8434" s="89">
        <v>0</v>
      </c>
      <c r="G8434" s="89"/>
      <c r="H8434" s="89">
        <v>0</v>
      </c>
      <c r="I8434" s="89"/>
      <c r="J8434" s="710">
        <f>(VLOOKUP($C8434,[2]Sheet1!$A$2:$P$18,$M8434+1)/12)*12*D8434</f>
        <v>0</v>
      </c>
      <c r="K8434" s="711"/>
      <c r="M8434" s="62">
        <f t="shared" si="673"/>
        <v>3</v>
      </c>
    </row>
    <row r="8435" spans="1:13">
      <c r="A8435" s="88">
        <f t="shared" si="674"/>
        <v>16</v>
      </c>
      <c r="B8435" s="69" t="s">
        <v>1749</v>
      </c>
      <c r="C8435" s="69">
        <v>6</v>
      </c>
      <c r="D8435" s="89">
        <v>1</v>
      </c>
      <c r="E8435" s="89">
        <v>0</v>
      </c>
      <c r="F8435" s="89">
        <v>0</v>
      </c>
      <c r="G8435" s="89"/>
      <c r="H8435" s="89">
        <v>0</v>
      </c>
      <c r="I8435" s="89"/>
      <c r="J8435" s="710">
        <f>(VLOOKUP($C8435,[2]Sheet1!$A$2:$P$18,$M8435+1)/12)*12*D8435</f>
        <v>238099.37893036497</v>
      </c>
      <c r="K8435" s="711"/>
      <c r="M8435" s="62">
        <f t="shared" si="673"/>
        <v>5</v>
      </c>
    </row>
    <row r="8436" spans="1:13">
      <c r="A8436" s="88">
        <f t="shared" si="674"/>
        <v>17</v>
      </c>
      <c r="B8436" s="69" t="s">
        <v>3796</v>
      </c>
      <c r="C8436" s="69">
        <v>5</v>
      </c>
      <c r="D8436" s="89">
        <v>1</v>
      </c>
      <c r="E8436" s="89">
        <v>1</v>
      </c>
      <c r="F8436" s="89">
        <v>1</v>
      </c>
      <c r="G8436" s="89"/>
      <c r="H8436" s="89">
        <v>1</v>
      </c>
      <c r="I8436" s="89">
        <v>1</v>
      </c>
      <c r="J8436" s="710">
        <f>(VLOOKUP($C8436,[2]Sheet1!$A$2:$P$18,$M8436+1)/12)*12*D8436</f>
        <v>229569.77893036499</v>
      </c>
      <c r="K8436" s="711"/>
      <c r="M8436" s="62">
        <f t="shared" si="673"/>
        <v>5</v>
      </c>
    </row>
    <row r="8437" spans="1:13">
      <c r="A8437" s="88">
        <f t="shared" si="674"/>
        <v>18</v>
      </c>
      <c r="B8437" s="69" t="s">
        <v>3797</v>
      </c>
      <c r="C8437" s="69">
        <v>4</v>
      </c>
      <c r="D8437" s="89"/>
      <c r="E8437" s="89">
        <v>0</v>
      </c>
      <c r="F8437" s="89">
        <v>0</v>
      </c>
      <c r="G8437" s="89"/>
      <c r="H8437" s="89">
        <v>0</v>
      </c>
      <c r="I8437" s="89"/>
      <c r="J8437" s="710">
        <f>(VLOOKUP($C8437,[2]Sheet1!$A$2:$P$18,$M8437+1)/12)*12*D8437</f>
        <v>0</v>
      </c>
      <c r="K8437" s="711"/>
      <c r="M8437" s="62">
        <f t="shared" si="673"/>
        <v>5</v>
      </c>
    </row>
    <row r="8438" spans="1:13">
      <c r="A8438" s="88">
        <f t="shared" si="674"/>
        <v>19</v>
      </c>
      <c r="B8438" s="69" t="s">
        <v>2556</v>
      </c>
      <c r="C8438" s="69">
        <v>3</v>
      </c>
      <c r="D8438" s="89"/>
      <c r="E8438" s="89">
        <v>2</v>
      </c>
      <c r="F8438" s="89">
        <v>2</v>
      </c>
      <c r="G8438" s="89"/>
      <c r="H8438" s="89">
        <v>2</v>
      </c>
      <c r="I8438" s="89"/>
      <c r="J8438" s="710">
        <f>(VLOOKUP($C8438,[2]Sheet1!$A$2:$P$18,$M8438+1)/12)*12*D8438</f>
        <v>0</v>
      </c>
      <c r="K8438" s="711"/>
      <c r="M8438" s="62">
        <f t="shared" si="673"/>
        <v>5</v>
      </c>
    </row>
    <row r="8439" spans="1:13">
      <c r="A8439" s="88">
        <f t="shared" si="674"/>
        <v>20</v>
      </c>
      <c r="B8439" s="69" t="s">
        <v>3250</v>
      </c>
      <c r="C8439" s="69">
        <v>7</v>
      </c>
      <c r="D8439" s="89"/>
      <c r="E8439" s="89">
        <v>0</v>
      </c>
      <c r="F8439" s="89">
        <v>0</v>
      </c>
      <c r="G8439" s="89"/>
      <c r="H8439" s="89">
        <v>0</v>
      </c>
      <c r="I8439" s="89"/>
      <c r="J8439" s="710">
        <f>(VLOOKUP($C8439,[2]Sheet1!$A$2:$P$18,$M8439+1)/12)*12*D8439</f>
        <v>0</v>
      </c>
      <c r="K8439" s="711"/>
      <c r="M8439" s="62">
        <f t="shared" si="673"/>
        <v>3</v>
      </c>
    </row>
    <row r="8440" spans="1:13">
      <c r="A8440" s="88">
        <f t="shared" si="674"/>
        <v>21</v>
      </c>
      <c r="B8440" s="69" t="s">
        <v>1186</v>
      </c>
      <c r="C8440" s="69">
        <v>6</v>
      </c>
      <c r="D8440" s="89"/>
      <c r="E8440" s="89">
        <v>0</v>
      </c>
      <c r="F8440" s="89">
        <v>0</v>
      </c>
      <c r="G8440" s="89"/>
      <c r="H8440" s="89">
        <v>0</v>
      </c>
      <c r="I8440" s="89"/>
      <c r="J8440" s="710">
        <f>(VLOOKUP($C8440,[2]Sheet1!$A$2:$P$18,$M8440+1)/12)*12*D8440</f>
        <v>0</v>
      </c>
      <c r="K8440" s="711"/>
      <c r="M8440" s="62">
        <f t="shared" si="673"/>
        <v>5</v>
      </c>
    </row>
    <row r="8441" spans="1:13">
      <c r="A8441" s="88">
        <f t="shared" si="674"/>
        <v>22</v>
      </c>
      <c r="B8441" s="69" t="s">
        <v>3252</v>
      </c>
      <c r="C8441" s="69">
        <v>3</v>
      </c>
      <c r="D8441" s="89"/>
      <c r="E8441" s="89">
        <v>3</v>
      </c>
      <c r="F8441" s="89">
        <v>3</v>
      </c>
      <c r="G8441" s="89"/>
      <c r="H8441" s="89">
        <v>3</v>
      </c>
      <c r="I8441" s="89"/>
      <c r="J8441" s="710">
        <f>(VLOOKUP($C8441,[2]Sheet1!$A$2:$P$18,$M8441+1)/12)*12*D8441</f>
        <v>0</v>
      </c>
      <c r="K8441" s="711"/>
      <c r="M8441" s="62">
        <f t="shared" si="673"/>
        <v>5</v>
      </c>
    </row>
    <row r="8442" spans="1:13">
      <c r="A8442" s="88">
        <f t="shared" si="674"/>
        <v>23</v>
      </c>
      <c r="B8442" s="69" t="s">
        <v>2179</v>
      </c>
      <c r="C8442" s="69">
        <v>3</v>
      </c>
      <c r="D8442" s="89"/>
      <c r="E8442" s="89">
        <v>1</v>
      </c>
      <c r="F8442" s="89">
        <v>1</v>
      </c>
      <c r="G8442" s="89"/>
      <c r="H8442" s="89">
        <v>1</v>
      </c>
      <c r="I8442" s="89"/>
      <c r="J8442" s="710">
        <f>(VLOOKUP($C8442,[2]Sheet1!$A$2:$P$18,$M8442+1)/12)*12*D8442</f>
        <v>0</v>
      </c>
      <c r="K8442" s="711"/>
      <c r="M8442" s="62">
        <f t="shared" si="673"/>
        <v>5</v>
      </c>
    </row>
    <row r="8443" spans="1:13">
      <c r="A8443" s="88">
        <f t="shared" si="674"/>
        <v>24</v>
      </c>
      <c r="B8443" s="69" t="s">
        <v>2542</v>
      </c>
      <c r="C8443" s="69">
        <v>2</v>
      </c>
      <c r="D8443" s="89"/>
      <c r="E8443" s="89">
        <v>1</v>
      </c>
      <c r="F8443" s="89">
        <v>1</v>
      </c>
      <c r="G8443" s="89"/>
      <c r="H8443" s="89">
        <v>1</v>
      </c>
      <c r="I8443" s="89"/>
      <c r="J8443" s="710">
        <f>(VLOOKUP($C8443,[2]Sheet1!$A$2:$P$18,$M8443+1)/12)*12*D8443</f>
        <v>0</v>
      </c>
      <c r="K8443" s="711"/>
      <c r="M8443" s="62">
        <f t="shared" si="673"/>
        <v>5</v>
      </c>
    </row>
    <row r="8444" spans="1:13">
      <c r="A8444" s="88">
        <f t="shared" si="674"/>
        <v>25</v>
      </c>
      <c r="B8444" s="69" t="s">
        <v>2543</v>
      </c>
      <c r="C8444" s="69">
        <v>2</v>
      </c>
      <c r="D8444" s="89"/>
      <c r="E8444" s="89">
        <v>4</v>
      </c>
      <c r="F8444" s="89">
        <v>2</v>
      </c>
      <c r="G8444" s="89"/>
      <c r="H8444" s="89">
        <v>2</v>
      </c>
      <c r="I8444" s="89"/>
      <c r="J8444" s="710">
        <f>(VLOOKUP($C8444,[2]Sheet1!$A$2:$P$18,$M8444+1)/12)*12*D8444</f>
        <v>0</v>
      </c>
      <c r="K8444" s="711"/>
      <c r="M8444" s="62">
        <f t="shared" si="673"/>
        <v>5</v>
      </c>
    </row>
    <row r="8445" spans="1:13">
      <c r="A8445" s="88">
        <f t="shared" si="674"/>
        <v>26</v>
      </c>
      <c r="B8445" s="69" t="s">
        <v>2232</v>
      </c>
      <c r="C8445" s="69">
        <v>4</v>
      </c>
      <c r="D8445" s="89">
        <v>1</v>
      </c>
      <c r="E8445" s="89">
        <v>1</v>
      </c>
      <c r="F8445" s="89">
        <v>3</v>
      </c>
      <c r="G8445" s="89"/>
      <c r="H8445" s="89">
        <v>3</v>
      </c>
      <c r="I8445" s="89">
        <v>1</v>
      </c>
      <c r="J8445" s="710">
        <f>(VLOOKUP($C8445,[2]Sheet1!$A$2:$P$18,$M8445+1)/12)*12*D8445</f>
        <v>224542.978930365</v>
      </c>
      <c r="K8445" s="711"/>
      <c r="M8445" s="62">
        <f t="shared" si="673"/>
        <v>5</v>
      </c>
    </row>
    <row r="8446" spans="1:13">
      <c r="A8446" s="88">
        <f t="shared" si="674"/>
        <v>27</v>
      </c>
      <c r="B8446" s="69" t="s">
        <v>3674</v>
      </c>
      <c r="C8446" s="69">
        <v>2</v>
      </c>
      <c r="D8446" s="89">
        <v>1</v>
      </c>
      <c r="E8446" s="89">
        <v>3</v>
      </c>
      <c r="F8446" s="89">
        <v>3</v>
      </c>
      <c r="G8446" s="89"/>
      <c r="H8446" s="89">
        <v>3</v>
      </c>
      <c r="I8446" s="89">
        <v>1</v>
      </c>
      <c r="J8446" s="710">
        <f>(VLOOKUP($C8446,[2]Sheet1!$A$2:$P$18,$M8446+1)/12)*12*D8446</f>
        <v>214657.37893036503</v>
      </c>
      <c r="K8446" s="711"/>
      <c r="M8446" s="62">
        <f t="shared" si="673"/>
        <v>5</v>
      </c>
    </row>
    <row r="8447" spans="1:13">
      <c r="A8447" s="88">
        <f t="shared" si="674"/>
        <v>28</v>
      </c>
      <c r="B8447" s="69" t="s">
        <v>2172</v>
      </c>
      <c r="C8447" s="69">
        <v>2</v>
      </c>
      <c r="D8447" s="89">
        <v>2</v>
      </c>
      <c r="E8447" s="89">
        <v>4</v>
      </c>
      <c r="F8447" s="89">
        <v>3</v>
      </c>
      <c r="G8447" s="89"/>
      <c r="H8447" s="89">
        <v>3</v>
      </c>
      <c r="I8447" s="89">
        <v>2</v>
      </c>
      <c r="J8447" s="710">
        <f>(VLOOKUP($C8447,[2]Sheet1!$A$2:$P$18,$M8447+1)/12)*12*D8447</f>
        <v>429314.75786073005</v>
      </c>
      <c r="K8447" s="711"/>
      <c r="M8447" s="62">
        <f t="shared" si="673"/>
        <v>5</v>
      </c>
    </row>
    <row r="8448" spans="1:13">
      <c r="A8448" s="88"/>
      <c r="B8448" s="90" t="s">
        <v>1487</v>
      </c>
      <c r="C8448" s="69"/>
      <c r="D8448" s="89"/>
      <c r="E8448" s="89"/>
      <c r="F8448" s="89"/>
      <c r="G8448" s="89"/>
      <c r="H8448" s="89"/>
      <c r="I8448" s="89"/>
      <c r="J8448" s="710"/>
      <c r="K8448" s="711"/>
      <c r="M8448" s="62">
        <f t="shared" si="673"/>
        <v>5</v>
      </c>
    </row>
    <row r="8449" spans="1:13">
      <c r="A8449" s="88">
        <f>+A8447+1</f>
        <v>29</v>
      </c>
      <c r="B8449" s="69" t="s">
        <v>2738</v>
      </c>
      <c r="C8449" s="69">
        <v>4</v>
      </c>
      <c r="D8449" s="89"/>
      <c r="E8449" s="89">
        <v>0</v>
      </c>
      <c r="F8449" s="89">
        <v>0</v>
      </c>
      <c r="G8449" s="89"/>
      <c r="H8449" s="89">
        <v>0</v>
      </c>
      <c r="I8449" s="89"/>
      <c r="J8449" s="710">
        <f>(VLOOKUP($C8449,[2]Sheet1!$A$2:$P$18,$M8449+1)/12)*12*D8449</f>
        <v>0</v>
      </c>
      <c r="K8449" s="711"/>
      <c r="M8449" s="62">
        <f t="shared" si="673"/>
        <v>5</v>
      </c>
    </row>
    <row r="8450" spans="1:13">
      <c r="A8450" s="88">
        <f>+A8449+1</f>
        <v>30</v>
      </c>
      <c r="B8450" s="69" t="s">
        <v>2739</v>
      </c>
      <c r="C8450" s="69">
        <v>3</v>
      </c>
      <c r="D8450" s="89"/>
      <c r="E8450" s="89">
        <v>1</v>
      </c>
      <c r="F8450" s="89">
        <v>1</v>
      </c>
      <c r="G8450" s="89"/>
      <c r="H8450" s="89">
        <v>1</v>
      </c>
      <c r="I8450" s="89"/>
      <c r="J8450" s="710">
        <f>(VLOOKUP($C8450,[2]Sheet1!$A$2:$P$18,$M8450+1)/12)*12*D8450</f>
        <v>0</v>
      </c>
      <c r="K8450" s="711"/>
      <c r="M8450" s="62">
        <f t="shared" si="673"/>
        <v>5</v>
      </c>
    </row>
    <row r="8451" spans="1:13">
      <c r="A8451" s="92"/>
      <c r="B8451" s="93" t="s">
        <v>2120</v>
      </c>
      <c r="C8451" s="94"/>
      <c r="D8451" s="123">
        <f t="shared" ref="D8451:J8451" si="675">SUM(D8421:D8450)</f>
        <v>16</v>
      </c>
      <c r="E8451" s="123">
        <f t="shared" si="675"/>
        <v>26</v>
      </c>
      <c r="F8451" s="123">
        <f t="shared" si="675"/>
        <v>25</v>
      </c>
      <c r="G8451" s="123">
        <f>SUM(G8421:G8450)</f>
        <v>0</v>
      </c>
      <c r="H8451" s="123">
        <f t="shared" si="675"/>
        <v>25</v>
      </c>
      <c r="I8451" s="123">
        <f t="shared" si="675"/>
        <v>13</v>
      </c>
      <c r="J8451" s="123">
        <f t="shared" si="675"/>
        <v>3690336.5308947447</v>
      </c>
      <c r="K8451" s="378"/>
      <c r="M8451" s="62">
        <f t="shared" si="673"/>
        <v>5</v>
      </c>
    </row>
    <row r="8452" spans="1:13">
      <c r="A8452" s="88" t="s">
        <v>1840</v>
      </c>
      <c r="B8452" s="97" t="s">
        <v>3035</v>
      </c>
      <c r="C8452" s="69"/>
      <c r="D8452" s="89"/>
      <c r="E8452" s="89"/>
      <c r="F8452" s="99"/>
      <c r="G8452" s="240" t="s">
        <v>243</v>
      </c>
      <c r="H8452" s="240" t="s">
        <v>4130</v>
      </c>
      <c r="I8452" s="240" t="s">
        <v>4202</v>
      </c>
      <c r="J8452" s="241" t="s">
        <v>4200</v>
      </c>
      <c r="K8452" s="375"/>
      <c r="M8452" s="62">
        <f t="shared" si="673"/>
        <v>5</v>
      </c>
    </row>
    <row r="8453" spans="1:13">
      <c r="A8453" s="88">
        <v>1</v>
      </c>
      <c r="B8453" s="69" t="s">
        <v>4035</v>
      </c>
      <c r="C8453" s="69"/>
      <c r="D8453" s="89"/>
      <c r="E8453" s="89"/>
      <c r="F8453" s="89"/>
      <c r="G8453" s="100">
        <f>J8451*0.2</f>
        <v>738067.30617894896</v>
      </c>
      <c r="H8453" s="100">
        <f>G8453*1.02</f>
        <v>752828.65230252792</v>
      </c>
      <c r="I8453" s="100">
        <f>H8453*1.02</f>
        <v>767885.22534857853</v>
      </c>
      <c r="J8453" s="100">
        <f>SUM(G8453:I8453)</f>
        <v>2258781.1838300554</v>
      </c>
      <c r="K8453" s="114"/>
      <c r="M8453" s="62">
        <f t="shared" si="673"/>
        <v>5</v>
      </c>
    </row>
    <row r="8454" spans="1:13">
      <c r="A8454" s="92"/>
      <c r="B8454" s="93" t="s">
        <v>2120</v>
      </c>
      <c r="C8454" s="94"/>
      <c r="D8454" s="101"/>
      <c r="E8454" s="101"/>
      <c r="F8454" s="123"/>
      <c r="G8454" s="123">
        <f>SUM(G8453:G8453)</f>
        <v>738067.30617894896</v>
      </c>
      <c r="H8454" s="123">
        <f>SUM(H8453:H8453)</f>
        <v>752828.65230252792</v>
      </c>
      <c r="I8454" s="123">
        <f>SUM(I8453:I8453)</f>
        <v>767885.22534857853</v>
      </c>
      <c r="J8454" s="123">
        <f>SUM(J8453:J8453)</f>
        <v>2258781.1838300554</v>
      </c>
      <c r="K8454" s="378"/>
      <c r="M8454" s="62">
        <f t="shared" ref="M8454:M8461" si="676">IF(C8454&gt;6,3,5)</f>
        <v>5</v>
      </c>
    </row>
    <row r="8455" spans="1:13">
      <c r="A8455" s="88" t="s">
        <v>1840</v>
      </c>
      <c r="B8455" s="69" t="s">
        <v>1119</v>
      </c>
      <c r="C8455" s="69"/>
      <c r="D8455" s="89"/>
      <c r="E8455" s="89"/>
      <c r="F8455" s="89"/>
      <c r="G8455" s="100">
        <f>G8454+J8451</f>
        <v>4428403.837073694</v>
      </c>
      <c r="H8455" s="100">
        <f>G8455*1.02</f>
        <v>4516971.9138151677</v>
      </c>
      <c r="I8455" s="100">
        <f>H8455*1.02</f>
        <v>4607311.3520914707</v>
      </c>
      <c r="J8455" s="100">
        <f>SUM(G8455:I8455)</f>
        <v>13552687.102980332</v>
      </c>
      <c r="K8455" s="114"/>
      <c r="L8455" s="112"/>
      <c r="M8455" s="62">
        <f t="shared" si="676"/>
        <v>5</v>
      </c>
    </row>
    <row r="8456" spans="1:13">
      <c r="A8456" s="88" t="s">
        <v>1840</v>
      </c>
      <c r="B8456" s="69" t="s">
        <v>3944</v>
      </c>
      <c r="C8456" s="69"/>
      <c r="D8456" s="89"/>
      <c r="E8456" s="89"/>
      <c r="F8456" s="89"/>
      <c r="G8456" s="89">
        <f>C8480</f>
        <v>6500000</v>
      </c>
      <c r="H8456" s="89">
        <f>D8480</f>
        <v>8600000</v>
      </c>
      <c r="I8456" s="89">
        <f>E8480</f>
        <v>8600000</v>
      </c>
      <c r="J8456" s="100">
        <f>SUM(G8456:I8456)</f>
        <v>23700000</v>
      </c>
      <c r="K8456" s="114"/>
      <c r="M8456" s="62">
        <f t="shared" si="676"/>
        <v>5</v>
      </c>
    </row>
    <row r="8457" spans="1:13">
      <c r="A8457" s="92" t="s">
        <v>1840</v>
      </c>
      <c r="B8457" s="93" t="s">
        <v>2843</v>
      </c>
      <c r="C8457" s="94"/>
      <c r="D8457" s="101"/>
      <c r="E8457" s="101"/>
      <c r="F8457" s="123"/>
      <c r="G8457" s="123">
        <f>SUM(G8455:G8456)</f>
        <v>10928403.837073695</v>
      </c>
      <c r="H8457" s="123">
        <f>SUM(H8455:H8456)</f>
        <v>13116971.913815167</v>
      </c>
      <c r="I8457" s="123">
        <f>SUM(I8455:I8456)</f>
        <v>13207311.352091471</v>
      </c>
      <c r="J8457" s="123">
        <f>SUM(J8455:J8456)</f>
        <v>37252687.102980331</v>
      </c>
      <c r="K8457" s="378"/>
      <c r="M8457" s="62">
        <f t="shared" si="676"/>
        <v>5</v>
      </c>
    </row>
    <row r="8458" spans="1:13">
      <c r="C8458" s="77"/>
      <c r="D8458" s="78" t="s">
        <v>5434</v>
      </c>
      <c r="M8458" s="62">
        <f t="shared" si="676"/>
        <v>5</v>
      </c>
    </row>
    <row r="8459" spans="1:13">
      <c r="C8459" s="77"/>
      <c r="D8459" s="78" t="s">
        <v>716</v>
      </c>
      <c r="M8459" s="62">
        <f t="shared" si="676"/>
        <v>5</v>
      </c>
    </row>
    <row r="8460" spans="1:13">
      <c r="C8460" s="79" t="s">
        <v>717</v>
      </c>
      <c r="D8460" s="78" t="s">
        <v>2591</v>
      </c>
      <c r="M8460" s="62">
        <f t="shared" si="676"/>
        <v>3</v>
      </c>
    </row>
    <row r="8461" spans="1:13">
      <c r="C8461" s="79" t="s">
        <v>718</v>
      </c>
      <c r="D8461" s="78" t="s">
        <v>3177</v>
      </c>
      <c r="M8461" s="62">
        <f t="shared" si="676"/>
        <v>3</v>
      </c>
    </row>
    <row r="8462" spans="1:13" ht="15">
      <c r="A8462" s="634" t="s">
        <v>1839</v>
      </c>
      <c r="B8462" s="635" t="s">
        <v>903</v>
      </c>
      <c r="C8462" s="1037" t="s">
        <v>4127</v>
      </c>
      <c r="D8462" s="1038"/>
      <c r="E8462" s="1039"/>
      <c r="F8462" s="635" t="s">
        <v>1684</v>
      </c>
      <c r="G8462" s="1037" t="s">
        <v>4132</v>
      </c>
      <c r="H8462" s="1038"/>
      <c r="I8462" s="1039"/>
      <c r="J8462" s="726"/>
      <c r="K8462" s="727"/>
    </row>
    <row r="8463" spans="1:13">
      <c r="A8463" s="636" t="s">
        <v>1620</v>
      </c>
      <c r="B8463" s="637"/>
      <c r="C8463" s="635" t="s">
        <v>1841</v>
      </c>
      <c r="D8463" s="635" t="s">
        <v>4133</v>
      </c>
      <c r="E8463" s="635" t="s">
        <v>4133</v>
      </c>
      <c r="F8463" s="1056" t="s">
        <v>4200</v>
      </c>
      <c r="G8463" s="634" t="s">
        <v>4135</v>
      </c>
      <c r="H8463" s="1051" t="s">
        <v>4182</v>
      </c>
      <c r="I8463" s="634" t="s">
        <v>4135</v>
      </c>
      <c r="J8463" s="728" t="s">
        <v>4136</v>
      </c>
      <c r="K8463" s="727"/>
    </row>
    <row r="8464" spans="1:13" ht="12.75" customHeight="1">
      <c r="A8464" s="638" t="s">
        <v>387</v>
      </c>
      <c r="B8464" s="639"/>
      <c r="C8464" s="638">
        <v>2015</v>
      </c>
      <c r="D8464" s="638">
        <v>2016</v>
      </c>
      <c r="E8464" s="638">
        <v>2017</v>
      </c>
      <c r="F8464" s="1057"/>
      <c r="G8464" s="638" t="s">
        <v>4304</v>
      </c>
      <c r="H8464" s="1052"/>
      <c r="I8464" s="638" t="s">
        <v>4303</v>
      </c>
      <c r="J8464" s="639"/>
      <c r="K8464" s="729"/>
    </row>
    <row r="8465" spans="1:13">
      <c r="A8465" s="768"/>
      <c r="B8465" s="768"/>
      <c r="C8465" s="390"/>
      <c r="D8465" s="390"/>
      <c r="E8465" s="390"/>
      <c r="F8465" s="390"/>
      <c r="G8465" s="390"/>
      <c r="H8465" s="390"/>
      <c r="I8465" s="390"/>
      <c r="J8465" s="390"/>
      <c r="K8465" s="734"/>
      <c r="M8465" s="62" t="e">
        <f>IF(#REF!&gt;6,3,5)</f>
        <v>#REF!</v>
      </c>
    </row>
    <row r="8466" spans="1:13">
      <c r="A8466" s="768">
        <v>2</v>
      </c>
      <c r="B8466" s="773" t="s">
        <v>1695</v>
      </c>
      <c r="C8466" s="390">
        <v>500000</v>
      </c>
      <c r="D8466" s="390">
        <v>1500000</v>
      </c>
      <c r="E8466" s="390">
        <v>1500000</v>
      </c>
      <c r="F8466" s="390">
        <f>SUM(C8466:E8466)</f>
        <v>3500000</v>
      </c>
      <c r="G8466" s="390"/>
      <c r="H8466" s="390">
        <v>1500000</v>
      </c>
      <c r="I8466" s="390">
        <v>120000</v>
      </c>
      <c r="J8466" s="390"/>
      <c r="K8466" s="734"/>
      <c r="M8466" s="62" t="e">
        <f>IF(#REF!&gt;6,3,5)</f>
        <v>#REF!</v>
      </c>
    </row>
    <row r="8467" spans="1:13">
      <c r="A8467" s="768">
        <f t="shared" ref="A8467:A8478" si="677">+A8466+1</f>
        <v>3</v>
      </c>
      <c r="B8467" s="773" t="s">
        <v>1696</v>
      </c>
      <c r="C8467" s="390">
        <v>100000</v>
      </c>
      <c r="D8467" s="390">
        <v>100000</v>
      </c>
      <c r="E8467" s="390">
        <v>100000</v>
      </c>
      <c r="F8467" s="390">
        <f t="shared" ref="F8467:F8478" si="678">SUM(C8467:E8467)</f>
        <v>300000</v>
      </c>
      <c r="G8467" s="390"/>
      <c r="H8467" s="390" t="s">
        <v>1386</v>
      </c>
      <c r="I8467" s="390"/>
      <c r="J8467" s="390"/>
      <c r="K8467" s="734"/>
      <c r="M8467" s="62" t="e">
        <f>IF(#REF!&gt;6,3,5)</f>
        <v>#REF!</v>
      </c>
    </row>
    <row r="8468" spans="1:13">
      <c r="A8468" s="768">
        <f t="shared" si="677"/>
        <v>4</v>
      </c>
      <c r="B8468" s="773" t="s">
        <v>1701</v>
      </c>
      <c r="C8468" s="390" t="s">
        <v>1386</v>
      </c>
      <c r="D8468" s="390" t="s">
        <v>1386</v>
      </c>
      <c r="E8468" s="390" t="s">
        <v>1386</v>
      </c>
      <c r="F8468" s="390">
        <f t="shared" si="678"/>
        <v>0</v>
      </c>
      <c r="G8468" s="390"/>
      <c r="H8468" s="390" t="s">
        <v>1386</v>
      </c>
      <c r="I8468" s="390"/>
      <c r="J8468" s="390"/>
      <c r="K8468" s="734"/>
      <c r="M8468" s="62" t="e">
        <f>IF(#REF!&gt;6,3,5)</f>
        <v>#REF!</v>
      </c>
    </row>
    <row r="8469" spans="1:13">
      <c r="A8469" s="768">
        <f t="shared" si="677"/>
        <v>5</v>
      </c>
      <c r="B8469" s="773" t="s">
        <v>1702</v>
      </c>
      <c r="C8469" s="390">
        <v>500000</v>
      </c>
      <c r="D8469" s="390">
        <v>500000</v>
      </c>
      <c r="E8469" s="390">
        <v>500000</v>
      </c>
      <c r="F8469" s="390">
        <f t="shared" si="678"/>
        <v>1500000</v>
      </c>
      <c r="G8469" s="390"/>
      <c r="H8469" s="390">
        <v>500000</v>
      </c>
      <c r="I8469" s="390">
        <v>215000</v>
      </c>
      <c r="J8469" s="390"/>
      <c r="K8469" s="734"/>
      <c r="M8469" s="62" t="e">
        <f>IF(#REF!&gt;6,3,5)</f>
        <v>#REF!</v>
      </c>
    </row>
    <row r="8470" spans="1:13" ht="25.5">
      <c r="A8470" s="768">
        <f t="shared" si="677"/>
        <v>6</v>
      </c>
      <c r="B8470" s="773" t="s">
        <v>1544</v>
      </c>
      <c r="C8470" s="390">
        <v>700000</v>
      </c>
      <c r="D8470" s="390">
        <v>800000</v>
      </c>
      <c r="E8470" s="390">
        <v>800000</v>
      </c>
      <c r="F8470" s="390">
        <f t="shared" si="678"/>
        <v>2300000</v>
      </c>
      <c r="G8470" s="390"/>
      <c r="H8470" s="390">
        <v>800000</v>
      </c>
      <c r="I8470" s="390">
        <v>215000</v>
      </c>
      <c r="J8470" s="390"/>
      <c r="K8470" s="734"/>
      <c r="M8470" s="62" t="e">
        <f>IF(#REF!&gt;6,3,5)</f>
        <v>#REF!</v>
      </c>
    </row>
    <row r="8471" spans="1:13">
      <c r="A8471" s="768">
        <f t="shared" si="677"/>
        <v>7</v>
      </c>
      <c r="B8471" s="773" t="s">
        <v>897</v>
      </c>
      <c r="C8471" s="390">
        <v>1000000</v>
      </c>
      <c r="D8471" s="390">
        <v>2000000</v>
      </c>
      <c r="E8471" s="390">
        <v>2000000</v>
      </c>
      <c r="F8471" s="390">
        <f t="shared" si="678"/>
        <v>5000000</v>
      </c>
      <c r="G8471" s="390"/>
      <c r="H8471" s="390">
        <v>2000000</v>
      </c>
      <c r="I8471" s="390">
        <v>560000</v>
      </c>
      <c r="J8471" s="390"/>
      <c r="K8471" s="734"/>
      <c r="M8471" s="62" t="e">
        <f>IF(#REF!&gt;6,3,5)</f>
        <v>#REF!</v>
      </c>
    </row>
    <row r="8472" spans="1:13">
      <c r="A8472" s="768">
        <f t="shared" si="677"/>
        <v>8</v>
      </c>
      <c r="B8472" s="773" t="s">
        <v>1385</v>
      </c>
      <c r="C8472" s="390" t="s">
        <v>1386</v>
      </c>
      <c r="D8472" s="390" t="s">
        <v>1386</v>
      </c>
      <c r="E8472" s="390" t="s">
        <v>1386</v>
      </c>
      <c r="F8472" s="390">
        <f t="shared" si="678"/>
        <v>0</v>
      </c>
      <c r="G8472" s="390"/>
      <c r="H8472" s="390" t="s">
        <v>1386</v>
      </c>
      <c r="I8472" s="390"/>
      <c r="J8472" s="390"/>
      <c r="K8472" s="734"/>
      <c r="M8472" s="62" t="e">
        <f>IF(#REF!&gt;6,3,5)</f>
        <v>#REF!</v>
      </c>
    </row>
    <row r="8473" spans="1:13">
      <c r="A8473" s="768">
        <f t="shared" si="677"/>
        <v>9</v>
      </c>
      <c r="B8473" s="773" t="s">
        <v>2061</v>
      </c>
      <c r="C8473" s="390" t="s">
        <v>1386</v>
      </c>
      <c r="D8473" s="390" t="s">
        <v>1386</v>
      </c>
      <c r="E8473" s="390" t="s">
        <v>1386</v>
      </c>
      <c r="F8473" s="390">
        <f t="shared" si="678"/>
        <v>0</v>
      </c>
      <c r="G8473" s="390"/>
      <c r="H8473" s="390" t="s">
        <v>1386</v>
      </c>
      <c r="I8473" s="390"/>
      <c r="J8473" s="390"/>
      <c r="K8473" s="734"/>
      <c r="M8473" s="62" t="e">
        <f>IF(#REF!&gt;6,3,5)</f>
        <v>#REF!</v>
      </c>
    </row>
    <row r="8474" spans="1:13">
      <c r="A8474" s="768">
        <f t="shared" si="677"/>
        <v>10</v>
      </c>
      <c r="B8474" s="773" t="s">
        <v>1680</v>
      </c>
      <c r="C8474" s="390">
        <v>700000</v>
      </c>
      <c r="D8474" s="390">
        <v>500000</v>
      </c>
      <c r="E8474" s="390">
        <v>500000</v>
      </c>
      <c r="F8474" s="390">
        <f t="shared" si="678"/>
        <v>1700000</v>
      </c>
      <c r="G8474" s="390"/>
      <c r="H8474" s="390">
        <v>500000</v>
      </c>
      <c r="I8474" s="390"/>
      <c r="J8474" s="390"/>
      <c r="K8474" s="734"/>
      <c r="M8474" s="62" t="e">
        <f>IF(#REF!&gt;6,3,5)</f>
        <v>#REF!</v>
      </c>
    </row>
    <row r="8475" spans="1:13">
      <c r="A8475" s="768">
        <f t="shared" si="677"/>
        <v>11</v>
      </c>
      <c r="B8475" s="773" t="s">
        <v>1681</v>
      </c>
      <c r="C8475" s="390">
        <v>100000</v>
      </c>
      <c r="D8475" s="390">
        <v>100000</v>
      </c>
      <c r="E8475" s="390">
        <v>100000</v>
      </c>
      <c r="F8475" s="390">
        <f t="shared" si="678"/>
        <v>300000</v>
      </c>
      <c r="G8475" s="390"/>
      <c r="H8475" s="390">
        <v>100000</v>
      </c>
      <c r="I8475" s="390">
        <v>70000</v>
      </c>
      <c r="J8475" s="390"/>
      <c r="K8475" s="734"/>
      <c r="M8475" s="62" t="e">
        <f>IF(#REF!&gt;6,3,5)</f>
        <v>#REF!</v>
      </c>
    </row>
    <row r="8476" spans="1:13">
      <c r="A8476" s="768">
        <f t="shared" si="677"/>
        <v>12</v>
      </c>
      <c r="B8476" s="773" t="s">
        <v>1682</v>
      </c>
      <c r="C8476" s="390">
        <v>2000000</v>
      </c>
      <c r="D8476" s="390">
        <v>2500000</v>
      </c>
      <c r="E8476" s="390">
        <v>2500000</v>
      </c>
      <c r="F8476" s="390">
        <f t="shared" si="678"/>
        <v>7000000</v>
      </c>
      <c r="G8476" s="390"/>
      <c r="H8476" s="390">
        <v>2700000</v>
      </c>
      <c r="I8476" s="390">
        <v>1670000</v>
      </c>
      <c r="J8476" s="390"/>
      <c r="K8476" s="734"/>
      <c r="M8476" s="62" t="e">
        <f>IF(#REF!&gt;6,3,5)</f>
        <v>#REF!</v>
      </c>
    </row>
    <row r="8477" spans="1:13">
      <c r="A8477" s="768">
        <f t="shared" si="677"/>
        <v>13</v>
      </c>
      <c r="B8477" s="773" t="s">
        <v>2249</v>
      </c>
      <c r="C8477" s="390">
        <v>100000</v>
      </c>
      <c r="D8477" s="390">
        <v>100000</v>
      </c>
      <c r="E8477" s="390">
        <v>100000</v>
      </c>
      <c r="F8477" s="390">
        <f t="shared" si="678"/>
        <v>300000</v>
      </c>
      <c r="G8477" s="390"/>
      <c r="H8477" s="390">
        <v>100000</v>
      </c>
      <c r="I8477" s="390"/>
      <c r="J8477" s="390"/>
      <c r="K8477" s="734"/>
      <c r="M8477" s="62" t="e">
        <f>IF(#REF!&gt;6,3,5)</f>
        <v>#REF!</v>
      </c>
    </row>
    <row r="8478" spans="1:13">
      <c r="A8478" s="768">
        <f t="shared" si="677"/>
        <v>14</v>
      </c>
      <c r="B8478" s="773" t="s">
        <v>1336</v>
      </c>
      <c r="C8478" s="390">
        <v>800000</v>
      </c>
      <c r="D8478" s="390">
        <v>500000</v>
      </c>
      <c r="E8478" s="390">
        <v>500000</v>
      </c>
      <c r="F8478" s="390">
        <f t="shared" si="678"/>
        <v>1800000</v>
      </c>
      <c r="G8478" s="390"/>
      <c r="H8478" s="390">
        <v>800000</v>
      </c>
      <c r="I8478" s="390"/>
      <c r="J8478" s="390"/>
      <c r="K8478" s="734"/>
      <c r="M8478" s="62" t="e">
        <f>IF(#REF!&gt;6,3,5)</f>
        <v>#REF!</v>
      </c>
    </row>
    <row r="8479" spans="1:13">
      <c r="A8479" s="768"/>
      <c r="B8479" s="768"/>
      <c r="C8479" s="390"/>
      <c r="D8479" s="390"/>
      <c r="E8479" s="390"/>
      <c r="F8479" s="390"/>
      <c r="G8479" s="390"/>
      <c r="H8479" s="390"/>
      <c r="I8479" s="390"/>
      <c r="J8479" s="390"/>
      <c r="K8479" s="734"/>
      <c r="M8479" s="62" t="e">
        <f>IF(#REF!&gt;6,3,5)</f>
        <v>#REF!</v>
      </c>
    </row>
    <row r="8480" spans="1:13">
      <c r="A8480" s="770"/>
      <c r="B8480" s="770" t="s">
        <v>2120</v>
      </c>
      <c r="C8480" s="739">
        <f t="shared" ref="C8480:I8480" si="679">SUM(C8465:C8479)</f>
        <v>6500000</v>
      </c>
      <c r="D8480" s="739">
        <f t="shared" si="679"/>
        <v>8600000</v>
      </c>
      <c r="E8480" s="739">
        <f t="shared" si="679"/>
        <v>8600000</v>
      </c>
      <c r="F8480" s="739">
        <f t="shared" si="679"/>
        <v>23700000</v>
      </c>
      <c r="G8480" s="739">
        <f>SUM(G8465:G8479)</f>
        <v>0</v>
      </c>
      <c r="H8480" s="739">
        <f t="shared" si="679"/>
        <v>9000000</v>
      </c>
      <c r="I8480" s="739">
        <f t="shared" si="679"/>
        <v>2850000</v>
      </c>
      <c r="J8480" s="739"/>
      <c r="K8480" s="740"/>
      <c r="M8480" s="62" t="e">
        <f>IF(#REF!&gt;6,3,5)</f>
        <v>#REF!</v>
      </c>
    </row>
  </sheetData>
  <mergeCells count="1213">
    <mergeCell ref="A8417:A8418"/>
    <mergeCell ref="B8417:B8418"/>
    <mergeCell ref="C8417:C8418"/>
    <mergeCell ref="D8417:F8417"/>
    <mergeCell ref="G8417:I8417"/>
    <mergeCell ref="C8462:E8462"/>
    <mergeCell ref="G8462:I8462"/>
    <mergeCell ref="A8344:A8345"/>
    <mergeCell ref="B8344:B8345"/>
    <mergeCell ref="C8344:C8345"/>
    <mergeCell ref="D8344:F8344"/>
    <mergeCell ref="G8344:I8344"/>
    <mergeCell ref="C8393:E8393"/>
    <mergeCell ref="G8393:I8393"/>
    <mergeCell ref="B8238:B8239"/>
    <mergeCell ref="C8238:C8239"/>
    <mergeCell ref="D8238:F8238"/>
    <mergeCell ref="G8238:I8238"/>
    <mergeCell ref="F8463:F8464"/>
    <mergeCell ref="H8463:H8464"/>
    <mergeCell ref="F8315:F8316"/>
    <mergeCell ref="H8315:H8316"/>
    <mergeCell ref="F8394:F8395"/>
    <mergeCell ref="H8394:H8395"/>
    <mergeCell ref="H8205:H8206"/>
    <mergeCell ref="C8100:C8101"/>
    <mergeCell ref="A8100:A8101"/>
    <mergeCell ref="B8100:B8101"/>
    <mergeCell ref="A8277:A8278"/>
    <mergeCell ref="B8277:B8278"/>
    <mergeCell ref="C8277:C8278"/>
    <mergeCell ref="D8277:F8277"/>
    <mergeCell ref="G8277:I8277"/>
    <mergeCell ref="A8238:A8239"/>
    <mergeCell ref="C8314:E8314"/>
    <mergeCell ref="G8314:I8314"/>
    <mergeCell ref="A8182:A8183"/>
    <mergeCell ref="B8182:B8183"/>
    <mergeCell ref="C8182:C8183"/>
    <mergeCell ref="D8182:F8182"/>
    <mergeCell ref="G8182:I8182"/>
    <mergeCell ref="C8204:E8204"/>
    <mergeCell ref="G8204:I8204"/>
    <mergeCell ref="F8205:F8206"/>
    <mergeCell ref="D8100:F8100"/>
    <mergeCell ref="G8100:I8100"/>
    <mergeCell ref="A8139:A8140"/>
    <mergeCell ref="B8139:B8140"/>
    <mergeCell ref="C8139:C8140"/>
    <mergeCell ref="D8139:F8139"/>
    <mergeCell ref="B8164:C8164"/>
    <mergeCell ref="C7990:E7990"/>
    <mergeCell ref="G7990:I7990"/>
    <mergeCell ref="F7991:F7992"/>
    <mergeCell ref="H7991:H7992"/>
    <mergeCell ref="B8021:B8022"/>
    <mergeCell ref="C8021:C8022"/>
    <mergeCell ref="D8021:F8021"/>
    <mergeCell ref="A7915:A7916"/>
    <mergeCell ref="B7915:B7916"/>
    <mergeCell ref="C7915:C7916"/>
    <mergeCell ref="D7915:F7915"/>
    <mergeCell ref="G7915:I7915"/>
    <mergeCell ref="C8071:E8071"/>
    <mergeCell ref="G8071:I8071"/>
    <mergeCell ref="A8021:A8022"/>
    <mergeCell ref="G8021:I8021"/>
    <mergeCell ref="C7851:E7851"/>
    <mergeCell ref="G7851:I7851"/>
    <mergeCell ref="F7852:F7853"/>
    <mergeCell ref="H7852:H7853"/>
    <mergeCell ref="A7755:A7756"/>
    <mergeCell ref="B7755:B7756"/>
    <mergeCell ref="C7755:C7756"/>
    <mergeCell ref="D7755:F7755"/>
    <mergeCell ref="G7755:I7755"/>
    <mergeCell ref="A7818:A7819"/>
    <mergeCell ref="G8139:I8139"/>
    <mergeCell ref="A7876:A7877"/>
    <mergeCell ref="B7876:B7877"/>
    <mergeCell ref="C7876:C7877"/>
    <mergeCell ref="D7876:F7876"/>
    <mergeCell ref="G7876:I7876"/>
    <mergeCell ref="A7958:A7959"/>
    <mergeCell ref="B7958:B7959"/>
    <mergeCell ref="C7958:C7959"/>
    <mergeCell ref="D7958:F7958"/>
    <mergeCell ref="G7958:I7958"/>
    <mergeCell ref="F8072:F8073"/>
    <mergeCell ref="H8072:H8073"/>
    <mergeCell ref="B7818:B7819"/>
    <mergeCell ref="C7818:C7819"/>
    <mergeCell ref="D7818:F7818"/>
    <mergeCell ref="G7818:I7818"/>
    <mergeCell ref="A7716:A7717"/>
    <mergeCell ref="B7716:B7717"/>
    <mergeCell ref="C7716:C7717"/>
    <mergeCell ref="D7716:F7716"/>
    <mergeCell ref="G7716:I7716"/>
    <mergeCell ref="C7791:E7791"/>
    <mergeCell ref="F7792:F7793"/>
    <mergeCell ref="H7792:H7793"/>
    <mergeCell ref="C7689:E7689"/>
    <mergeCell ref="G7689:I7689"/>
    <mergeCell ref="F7690:F7691"/>
    <mergeCell ref="H7690:H7691"/>
    <mergeCell ref="G7791:I7791"/>
    <mergeCell ref="D7472:F7472"/>
    <mergeCell ref="C7325:E7325"/>
    <mergeCell ref="G7567:I7567"/>
    <mergeCell ref="D7350:F7350"/>
    <mergeCell ref="G7350:I7350"/>
    <mergeCell ref="F7443:F7444"/>
    <mergeCell ref="H7443:H7444"/>
    <mergeCell ref="D7389:F7389"/>
    <mergeCell ref="B7511:B7512"/>
    <mergeCell ref="C7511:C7512"/>
    <mergeCell ref="G7511:I7511"/>
    <mergeCell ref="B7472:B7473"/>
    <mergeCell ref="A7644:A7645"/>
    <mergeCell ref="B7644:B7645"/>
    <mergeCell ref="C7644:C7645"/>
    <mergeCell ref="D7644:F7644"/>
    <mergeCell ref="G7644:I7644"/>
    <mergeCell ref="C7539:E7539"/>
    <mergeCell ref="G7539:I7539"/>
    <mergeCell ref="F7540:F7541"/>
    <mergeCell ref="H7540:H7541"/>
    <mergeCell ref="A7601:A7602"/>
    <mergeCell ref="A7567:A7568"/>
    <mergeCell ref="A7511:A7512"/>
    <mergeCell ref="B7601:B7602"/>
    <mergeCell ref="C7601:C7602"/>
    <mergeCell ref="D7601:F7601"/>
    <mergeCell ref="G7601:I7601"/>
    <mergeCell ref="B7389:B7390"/>
    <mergeCell ref="C7389:C7390"/>
    <mergeCell ref="A7350:A7351"/>
    <mergeCell ref="B7350:B7351"/>
    <mergeCell ref="C7350:C7351"/>
    <mergeCell ref="G7389:I7389"/>
    <mergeCell ref="C7442:E7442"/>
    <mergeCell ref="G7472:I7472"/>
    <mergeCell ref="B7567:B7568"/>
    <mergeCell ref="C7567:C7568"/>
    <mergeCell ref="D7567:F7567"/>
    <mergeCell ref="D7511:F7511"/>
    <mergeCell ref="C7472:C7473"/>
    <mergeCell ref="C7187:E7187"/>
    <mergeCell ref="G7187:I7187"/>
    <mergeCell ref="F7188:F7189"/>
    <mergeCell ref="H7188:H7189"/>
    <mergeCell ref="A7254:A7255"/>
    <mergeCell ref="B7254:B7255"/>
    <mergeCell ref="C7254:C7255"/>
    <mergeCell ref="D7254:F7254"/>
    <mergeCell ref="G7254:I7254"/>
    <mergeCell ref="A7215:A7216"/>
    <mergeCell ref="B7297:B7298"/>
    <mergeCell ref="C7297:C7298"/>
    <mergeCell ref="D7297:F7297"/>
    <mergeCell ref="G7297:I7297"/>
    <mergeCell ref="B7215:B7216"/>
    <mergeCell ref="C7215:C7216"/>
    <mergeCell ref="D7215:F7215"/>
    <mergeCell ref="A7048:A7049"/>
    <mergeCell ref="B7048:B7049"/>
    <mergeCell ref="C7048:C7049"/>
    <mergeCell ref="D7048:F7048"/>
    <mergeCell ref="G7048:I7048"/>
    <mergeCell ref="A7127:A7128"/>
    <mergeCell ref="B7127:B7128"/>
    <mergeCell ref="C7127:C7128"/>
    <mergeCell ref="D7127:F7127"/>
    <mergeCell ref="G7127:I7127"/>
    <mergeCell ref="G7325:I7325"/>
    <mergeCell ref="F7326:F7327"/>
    <mergeCell ref="H7326:H7327"/>
    <mergeCell ref="A7389:A7390"/>
    <mergeCell ref="G7442:I7442"/>
    <mergeCell ref="A7472:A7473"/>
    <mergeCell ref="A7005:A7006"/>
    <mergeCell ref="B7005:B7006"/>
    <mergeCell ref="C7005:C7006"/>
    <mergeCell ref="D7005:F7005"/>
    <mergeCell ref="G7005:I7005"/>
    <mergeCell ref="A7166:A7167"/>
    <mergeCell ref="B7166:B7167"/>
    <mergeCell ref="C7166:C7167"/>
    <mergeCell ref="D7166:F7166"/>
    <mergeCell ref="G7166:I7166"/>
    <mergeCell ref="C7094:E7094"/>
    <mergeCell ref="G7094:I7094"/>
    <mergeCell ref="F7095:F7096"/>
    <mergeCell ref="H7095:H7096"/>
    <mergeCell ref="G7215:I7215"/>
    <mergeCell ref="A7297:A7298"/>
    <mergeCell ref="C6938:E6938"/>
    <mergeCell ref="G6938:I6938"/>
    <mergeCell ref="F6939:F6940"/>
    <mergeCell ref="H6939:H6940"/>
    <mergeCell ref="A6966:A6967"/>
    <mergeCell ref="B6966:B6967"/>
    <mergeCell ref="C6966:C6967"/>
    <mergeCell ref="D6966:F6966"/>
    <mergeCell ref="G6966:I6966"/>
    <mergeCell ref="A6859:A6860"/>
    <mergeCell ref="B6859:B6860"/>
    <mergeCell ref="C6859:C6860"/>
    <mergeCell ref="D6859:F6859"/>
    <mergeCell ref="G6859:I6859"/>
    <mergeCell ref="A6898:A6899"/>
    <mergeCell ref="B6898:B6899"/>
    <mergeCell ref="C6898:C6899"/>
    <mergeCell ref="D6898:F6898"/>
    <mergeCell ref="G6898:I6898"/>
    <mergeCell ref="B6789:B6790"/>
    <mergeCell ref="C6789:C6790"/>
    <mergeCell ref="D6789:F6789"/>
    <mergeCell ref="G6789:I6789"/>
    <mergeCell ref="C6833:E6833"/>
    <mergeCell ref="G6833:I6833"/>
    <mergeCell ref="F6834:F6835"/>
    <mergeCell ref="H6834:H6835"/>
    <mergeCell ref="A6707:A6708"/>
    <mergeCell ref="B6707:B6708"/>
    <mergeCell ref="C6707:C6708"/>
    <mergeCell ref="D6707:F6707"/>
    <mergeCell ref="G6707:I6707"/>
    <mergeCell ref="A6746:A6747"/>
    <mergeCell ref="B6746:B6747"/>
    <mergeCell ref="A6789:A6790"/>
    <mergeCell ref="C6746:C6747"/>
    <mergeCell ref="D6746:F6746"/>
    <mergeCell ref="G6746:I6746"/>
    <mergeCell ref="F6683:F6684"/>
    <mergeCell ref="H6683:H6684"/>
    <mergeCell ref="C6566:E6566"/>
    <mergeCell ref="G6566:I6566"/>
    <mergeCell ref="F6567:F6568"/>
    <mergeCell ref="H6567:H6568"/>
    <mergeCell ref="A6331:A6332"/>
    <mergeCell ref="B6331:B6332"/>
    <mergeCell ref="C6331:C6332"/>
    <mergeCell ref="D6331:F6331"/>
    <mergeCell ref="G6331:I6331"/>
    <mergeCell ref="A6594:A6595"/>
    <mergeCell ref="B6594:B6595"/>
    <mergeCell ref="C6594:C6595"/>
    <mergeCell ref="D6594:F6594"/>
    <mergeCell ref="G6594:I6594"/>
    <mergeCell ref="F6358:F6359"/>
    <mergeCell ref="H6358:H6359"/>
    <mergeCell ref="A6633:A6634"/>
    <mergeCell ref="B6633:B6634"/>
    <mergeCell ref="C6633:C6634"/>
    <mergeCell ref="D6633:F6633"/>
    <mergeCell ref="G6633:I6633"/>
    <mergeCell ref="C6682:E6682"/>
    <mergeCell ref="G6682:I6682"/>
    <mergeCell ref="A6421:A6422"/>
    <mergeCell ref="B6421:B6422"/>
    <mergeCell ref="C6421:C6422"/>
    <mergeCell ref="D6421:F6421"/>
    <mergeCell ref="G6421:I6421"/>
    <mergeCell ref="A6464:A6465"/>
    <mergeCell ref="B6464:B6465"/>
    <mergeCell ref="C6186:E6186"/>
    <mergeCell ref="G6186:I6186"/>
    <mergeCell ref="F6187:F6188"/>
    <mergeCell ref="H6187:H6188"/>
    <mergeCell ref="C6357:E6357"/>
    <mergeCell ref="G6357:I6357"/>
    <mergeCell ref="A6507:A6508"/>
    <mergeCell ref="B6507:B6508"/>
    <mergeCell ref="C6507:C6508"/>
    <mergeCell ref="D6507:F6507"/>
    <mergeCell ref="G6507:I6507"/>
    <mergeCell ref="A6382:A6383"/>
    <mergeCell ref="B6382:B6383"/>
    <mergeCell ref="C6382:C6383"/>
    <mergeCell ref="D6382:F6382"/>
    <mergeCell ref="G6382:I6382"/>
    <mergeCell ref="A6093:A6094"/>
    <mergeCell ref="B6093:B6094"/>
    <mergeCell ref="C6093:C6094"/>
    <mergeCell ref="D6093:F6093"/>
    <mergeCell ref="G6093:I6093"/>
    <mergeCell ref="A6135:A6136"/>
    <mergeCell ref="B6135:B6136"/>
    <mergeCell ref="C6135:C6136"/>
    <mergeCell ref="D6135:F6135"/>
    <mergeCell ref="G6135:I6135"/>
    <mergeCell ref="C6464:C6465"/>
    <mergeCell ref="D6464:F6464"/>
    <mergeCell ref="G6464:I6464"/>
    <mergeCell ref="A6007:A6008"/>
    <mergeCell ref="B6007:B6008"/>
    <mergeCell ref="C6007:C6008"/>
    <mergeCell ref="D6007:F6007"/>
    <mergeCell ref="G6007:I6007"/>
    <mergeCell ref="A6050:A6051"/>
    <mergeCell ref="B6050:B6051"/>
    <mergeCell ref="C6050:C6051"/>
    <mergeCell ref="D6050:F6050"/>
    <mergeCell ref="G6050:I6050"/>
    <mergeCell ref="A5921:A5922"/>
    <mergeCell ref="B5921:B5922"/>
    <mergeCell ref="C5921:C5922"/>
    <mergeCell ref="D5921:F5921"/>
    <mergeCell ref="G5921:I5921"/>
    <mergeCell ref="A5964:A5965"/>
    <mergeCell ref="B5964:B5965"/>
    <mergeCell ref="C5964:C5965"/>
    <mergeCell ref="D5964:F5964"/>
    <mergeCell ref="G5964:I5964"/>
    <mergeCell ref="A5835:A5836"/>
    <mergeCell ref="B5835:B5836"/>
    <mergeCell ref="C5835:C5836"/>
    <mergeCell ref="D5835:F5835"/>
    <mergeCell ref="G5835:I5835"/>
    <mergeCell ref="A5878:A5879"/>
    <mergeCell ref="B5878:B5879"/>
    <mergeCell ref="C5878:C5879"/>
    <mergeCell ref="D5878:F5878"/>
    <mergeCell ref="G5878:I5878"/>
    <mergeCell ref="C5768:E5768"/>
    <mergeCell ref="G5768:I5768"/>
    <mergeCell ref="F5703:F5704"/>
    <mergeCell ref="F5769:F5770"/>
    <mergeCell ref="A5796:A5797"/>
    <mergeCell ref="B5796:B5797"/>
    <mergeCell ref="C5796:C5797"/>
    <mergeCell ref="D5796:F5796"/>
    <mergeCell ref="G5796:I5796"/>
    <mergeCell ref="H5769:H5770"/>
    <mergeCell ref="C5702:E5702"/>
    <mergeCell ref="G5702:I5702"/>
    <mergeCell ref="C5731:C5732"/>
    <mergeCell ref="D5731:F5731"/>
    <mergeCell ref="G5731:I5731"/>
    <mergeCell ref="A5731:A5732"/>
    <mergeCell ref="B5731:B5732"/>
    <mergeCell ref="G5491:I5491"/>
    <mergeCell ref="H5703:H5704"/>
    <mergeCell ref="C5599:E5599"/>
    <mergeCell ref="G5599:I5599"/>
    <mergeCell ref="F5600:F5601"/>
    <mergeCell ref="H5600:H5601"/>
    <mergeCell ref="A5665:A5666"/>
    <mergeCell ref="B5665:B5666"/>
    <mergeCell ref="A5626:A5627"/>
    <mergeCell ref="B5626:B5627"/>
    <mergeCell ref="C5626:C5627"/>
    <mergeCell ref="D5626:F5626"/>
    <mergeCell ref="G5626:I5626"/>
    <mergeCell ref="A5491:A5492"/>
    <mergeCell ref="B5491:B5492"/>
    <mergeCell ref="C5491:C5492"/>
    <mergeCell ref="D5491:F5491"/>
    <mergeCell ref="C5063:E5063"/>
    <mergeCell ref="G5063:I5063"/>
    <mergeCell ref="F5064:F5065"/>
    <mergeCell ref="H5064:H5065"/>
    <mergeCell ref="D5019:F5019"/>
    <mergeCell ref="G5019:I5019"/>
    <mergeCell ref="C5019:C5020"/>
    <mergeCell ref="A5088:A5089"/>
    <mergeCell ref="B5088:B5089"/>
    <mergeCell ref="C5088:C5089"/>
    <mergeCell ref="D5088:F5088"/>
    <mergeCell ref="G5088:I5088"/>
    <mergeCell ref="A5127:A5128"/>
    <mergeCell ref="B5127:B5128"/>
    <mergeCell ref="C5127:C5128"/>
    <mergeCell ref="D5127:F5127"/>
    <mergeCell ref="C5665:C5666"/>
    <mergeCell ref="D5665:F5665"/>
    <mergeCell ref="G5665:I5665"/>
    <mergeCell ref="A5450:A5451"/>
    <mergeCell ref="B5450:B5451"/>
    <mergeCell ref="C5450:C5451"/>
    <mergeCell ref="D5450:F5450"/>
    <mergeCell ref="G5450:I5450"/>
    <mergeCell ref="G5313:I5313"/>
    <mergeCell ref="D5313:F5313"/>
    <mergeCell ref="H5201:H5202"/>
    <mergeCell ref="A5233:A5234"/>
    <mergeCell ref="D5233:F5233"/>
    <mergeCell ref="D5198:E5198"/>
    <mergeCell ref="D5231:E5231"/>
    <mergeCell ref="D5270:F5270"/>
    <mergeCell ref="C4843:E4843"/>
    <mergeCell ref="G4843:I4843"/>
    <mergeCell ref="F4844:F4845"/>
    <mergeCell ref="D3157:F3157"/>
    <mergeCell ref="G3157:I3157"/>
    <mergeCell ref="A3196:A3197"/>
    <mergeCell ref="B3196:B3197"/>
    <mergeCell ref="C3196:C3197"/>
    <mergeCell ref="D3196:F3196"/>
    <mergeCell ref="G3196:I3196"/>
    <mergeCell ref="D4875:F4875"/>
    <mergeCell ref="D4949:F4949"/>
    <mergeCell ref="D5086:E5086"/>
    <mergeCell ref="G4980:I4980"/>
    <mergeCell ref="D5168:F5168"/>
    <mergeCell ref="G5168:I5168"/>
    <mergeCell ref="C4951:E4951"/>
    <mergeCell ref="G4951:I4951"/>
    <mergeCell ref="C4916:C4917"/>
    <mergeCell ref="D4916:F4916"/>
    <mergeCell ref="B4980:B4981"/>
    <mergeCell ref="C4980:C4981"/>
    <mergeCell ref="D4980:F4980"/>
    <mergeCell ref="A3157:A3158"/>
    <mergeCell ref="B3157:B3158"/>
    <mergeCell ref="C3157:C3158"/>
    <mergeCell ref="A5168:A5169"/>
    <mergeCell ref="B5168:B5169"/>
    <mergeCell ref="C5168:C5169"/>
    <mergeCell ref="A5019:A5020"/>
    <mergeCell ref="B5019:B5020"/>
    <mergeCell ref="A4980:A4981"/>
    <mergeCell ref="B3489:B3490"/>
    <mergeCell ref="C3489:C3490"/>
    <mergeCell ref="D3489:F3489"/>
    <mergeCell ref="C3725:E3725"/>
    <mergeCell ref="A3883:A3884"/>
    <mergeCell ref="B3883:B3884"/>
    <mergeCell ref="C3883:C3884"/>
    <mergeCell ref="D3883:F3883"/>
    <mergeCell ref="F4048:F4049"/>
    <mergeCell ref="A4225:A4226"/>
    <mergeCell ref="B4225:B4226"/>
    <mergeCell ref="C4225:C4226"/>
    <mergeCell ref="D4225:F4225"/>
    <mergeCell ref="D3625:F3625"/>
    <mergeCell ref="A3840:A3841"/>
    <mergeCell ref="B3840:B3841"/>
    <mergeCell ref="C3840:C3841"/>
    <mergeCell ref="D3840:F3840"/>
    <mergeCell ref="C5200:E5200"/>
    <mergeCell ref="F5201:F5202"/>
    <mergeCell ref="G3088:I3088"/>
    <mergeCell ref="C3130:E3130"/>
    <mergeCell ref="G3130:I3130"/>
    <mergeCell ref="F3131:F3132"/>
    <mergeCell ref="H3131:H3132"/>
    <mergeCell ref="A3404:A3405"/>
    <mergeCell ref="B3404:B3405"/>
    <mergeCell ref="C3404:C3405"/>
    <mergeCell ref="D3404:F3404"/>
    <mergeCell ref="G3404:I3404"/>
    <mergeCell ref="A3447:A3448"/>
    <mergeCell ref="B3447:B3448"/>
    <mergeCell ref="C3447:C3448"/>
    <mergeCell ref="D3447:F3447"/>
    <mergeCell ref="G3447:I3447"/>
    <mergeCell ref="A3489:A3490"/>
    <mergeCell ref="G3489:I3489"/>
    <mergeCell ref="C3537:E3537"/>
    <mergeCell ref="G3537:I3537"/>
    <mergeCell ref="F3538:F3539"/>
    <mergeCell ref="H3538:H3539"/>
    <mergeCell ref="A3586:A3587"/>
    <mergeCell ref="B3586:B3587"/>
    <mergeCell ref="C3586:C3587"/>
    <mergeCell ref="D3586:F3586"/>
    <mergeCell ref="G3586:I3586"/>
    <mergeCell ref="A3625:A3626"/>
    <mergeCell ref="B3625:B3626"/>
    <mergeCell ref="C3625:C3626"/>
    <mergeCell ref="A3088:A3089"/>
    <mergeCell ref="C3017:E3017"/>
    <mergeCell ref="G3017:I3017"/>
    <mergeCell ref="F3018:F3019"/>
    <mergeCell ref="H3018:H3019"/>
    <mergeCell ref="A3049:A3050"/>
    <mergeCell ref="B3049:B3050"/>
    <mergeCell ref="C3049:C3050"/>
    <mergeCell ref="D3049:F3049"/>
    <mergeCell ref="G3049:I3049"/>
    <mergeCell ref="F3339:F3340"/>
    <mergeCell ref="H3339:H3340"/>
    <mergeCell ref="A3365:A3366"/>
    <mergeCell ref="B3365:B3366"/>
    <mergeCell ref="C3365:C3366"/>
    <mergeCell ref="D3365:F3365"/>
    <mergeCell ref="G3365:I3365"/>
    <mergeCell ref="D2929:F2929"/>
    <mergeCell ref="G2929:I2929"/>
    <mergeCell ref="B3088:B3089"/>
    <mergeCell ref="C3088:C3089"/>
    <mergeCell ref="D3088:F3088"/>
    <mergeCell ref="A2810:A2811"/>
    <mergeCell ref="B2810:B2811"/>
    <mergeCell ref="C2810:C2811"/>
    <mergeCell ref="D2810:F2810"/>
    <mergeCell ref="G2810:I2810"/>
    <mergeCell ref="C2856:E2856"/>
    <mergeCell ref="G2856:I2856"/>
    <mergeCell ref="F2857:F2858"/>
    <mergeCell ref="D2679:F2679"/>
    <mergeCell ref="G2679:I2679"/>
    <mergeCell ref="A2972:A2973"/>
    <mergeCell ref="B2972:B2973"/>
    <mergeCell ref="C2972:C2973"/>
    <mergeCell ref="D2972:F2972"/>
    <mergeCell ref="G2972:I2972"/>
    <mergeCell ref="A2929:A2930"/>
    <mergeCell ref="B2929:B2930"/>
    <mergeCell ref="C2929:C2930"/>
    <mergeCell ref="H2857:H2858"/>
    <mergeCell ref="A2890:A2891"/>
    <mergeCell ref="B2890:B2891"/>
    <mergeCell ref="C2890:C2891"/>
    <mergeCell ref="D2890:F2890"/>
    <mergeCell ref="G2890:I2890"/>
    <mergeCell ref="C1294:E1294"/>
    <mergeCell ref="D2649:F2649"/>
    <mergeCell ref="G2649:I2649"/>
    <mergeCell ref="A2722:A2723"/>
    <mergeCell ref="B2722:B2723"/>
    <mergeCell ref="C2722:C2723"/>
    <mergeCell ref="D2722:F2722"/>
    <mergeCell ref="G2722:I2722"/>
    <mergeCell ref="A2679:A2680"/>
    <mergeCell ref="B2679:B2680"/>
    <mergeCell ref="C2679:C2680"/>
    <mergeCell ref="A2766:A2767"/>
    <mergeCell ref="B2766:B2767"/>
    <mergeCell ref="C2766:C2767"/>
    <mergeCell ref="D2766:F2766"/>
    <mergeCell ref="G2766:I2766"/>
    <mergeCell ref="A2649:A2650"/>
    <mergeCell ref="H2550:H2551"/>
    <mergeCell ref="A2578:A2579"/>
    <mergeCell ref="B2578:B2579"/>
    <mergeCell ref="C2578:C2579"/>
    <mergeCell ref="D2578:F2578"/>
    <mergeCell ref="G2578:I2578"/>
    <mergeCell ref="H1295:H1296"/>
    <mergeCell ref="A1318:A1319"/>
    <mergeCell ref="D1356:F1356"/>
    <mergeCell ref="G1356:I1356"/>
    <mergeCell ref="C2478:E2478"/>
    <mergeCell ref="G2478:I2478"/>
    <mergeCell ref="F2479:F2480"/>
    <mergeCell ref="H2479:H2480"/>
    <mergeCell ref="H2417:H2418"/>
    <mergeCell ref="C2620:E2620"/>
    <mergeCell ref="G2620:I2620"/>
    <mergeCell ref="C2549:E2549"/>
    <mergeCell ref="G2549:I2549"/>
    <mergeCell ref="F2550:F2551"/>
    <mergeCell ref="F2621:F2622"/>
    <mergeCell ref="H2621:H2622"/>
    <mergeCell ref="F2417:F2418"/>
    <mergeCell ref="G1416:I1416"/>
    <mergeCell ref="C1536:E1536"/>
    <mergeCell ref="G1536:I1536"/>
    <mergeCell ref="C1478:E1478"/>
    <mergeCell ref="G1478:I1478"/>
    <mergeCell ref="H1717:H1718"/>
    <mergeCell ref="C2048:E2048"/>
    <mergeCell ref="G2048:I2048"/>
    <mergeCell ref="F2049:F2050"/>
    <mergeCell ref="H2049:H2050"/>
    <mergeCell ref="H2228:H2229"/>
    <mergeCell ref="D2443:F2443"/>
    <mergeCell ref="G2443:I2443"/>
    <mergeCell ref="C2339:E2339"/>
    <mergeCell ref="A1416:A1417"/>
    <mergeCell ref="B1416:B1417"/>
    <mergeCell ref="C1416:C1417"/>
    <mergeCell ref="D1416:F1416"/>
    <mergeCell ref="C982:E982"/>
    <mergeCell ref="G982:I982"/>
    <mergeCell ref="F983:F984"/>
    <mergeCell ref="H983:H984"/>
    <mergeCell ref="A1081:A1082"/>
    <mergeCell ref="A1237:A1238"/>
    <mergeCell ref="D1237:F1237"/>
    <mergeCell ref="G1237:I1237"/>
    <mergeCell ref="D1081:F1081"/>
    <mergeCell ref="G1081:I1081"/>
    <mergeCell ref="D1195:F1195"/>
    <mergeCell ref="B1237:B1238"/>
    <mergeCell ref="C1237:C1238"/>
    <mergeCell ref="G1294:I1294"/>
    <mergeCell ref="B1318:B1319"/>
    <mergeCell ref="C1318:C1319"/>
    <mergeCell ref="D1318:F1318"/>
    <mergeCell ref="F1295:F1296"/>
    <mergeCell ref="G1318:I1318"/>
    <mergeCell ref="A1356:A1357"/>
    <mergeCell ref="B1356:B1357"/>
    <mergeCell ref="C1356:C1357"/>
    <mergeCell ref="A1006:A1007"/>
    <mergeCell ref="B1006:B1007"/>
    <mergeCell ref="C1006:C1007"/>
    <mergeCell ref="D1006:F1006"/>
    <mergeCell ref="G1006:I1006"/>
    <mergeCell ref="G1195:I1195"/>
    <mergeCell ref="F947:F948"/>
    <mergeCell ref="H947:H948"/>
    <mergeCell ref="A903:A904"/>
    <mergeCell ref="B903:B904"/>
    <mergeCell ref="C903:C904"/>
    <mergeCell ref="D903:F903"/>
    <mergeCell ref="G903:I903"/>
    <mergeCell ref="C1129:E1129"/>
    <mergeCell ref="G1129:I1129"/>
    <mergeCell ref="F1130:F1131"/>
    <mergeCell ref="H1130:H1131"/>
    <mergeCell ref="A1156:A1157"/>
    <mergeCell ref="B1156:B1157"/>
    <mergeCell ref="C1156:C1157"/>
    <mergeCell ref="D1156:F1156"/>
    <mergeCell ref="G1156:I1156"/>
    <mergeCell ref="A1195:A1196"/>
    <mergeCell ref="B1195:B1196"/>
    <mergeCell ref="C1195:C1196"/>
    <mergeCell ref="B1081:B1082"/>
    <mergeCell ref="C1081:C1082"/>
    <mergeCell ref="C1054:E1054"/>
    <mergeCell ref="G1054:I1054"/>
    <mergeCell ref="F1055:F1056"/>
    <mergeCell ref="H1055:H1056"/>
    <mergeCell ref="C826:E826"/>
    <mergeCell ref="G826:I826"/>
    <mergeCell ref="F827:F828"/>
    <mergeCell ref="H827:H828"/>
    <mergeCell ref="C946:E946"/>
    <mergeCell ref="G946:I946"/>
    <mergeCell ref="A727:A728"/>
    <mergeCell ref="B727:B728"/>
    <mergeCell ref="C727:C728"/>
    <mergeCell ref="D727:F727"/>
    <mergeCell ref="G727:I727"/>
    <mergeCell ref="A864:A865"/>
    <mergeCell ref="B864:B865"/>
    <mergeCell ref="C864:C865"/>
    <mergeCell ref="D864:F864"/>
    <mergeCell ref="G864:I864"/>
    <mergeCell ref="A654:A655"/>
    <mergeCell ref="B654:B655"/>
    <mergeCell ref="C654:C655"/>
    <mergeCell ref="D654:F654"/>
    <mergeCell ref="G654:I654"/>
    <mergeCell ref="A766:A767"/>
    <mergeCell ref="B766:B767"/>
    <mergeCell ref="C766:C767"/>
    <mergeCell ref="D766:F766"/>
    <mergeCell ref="G766:I766"/>
    <mergeCell ref="F590:F591"/>
    <mergeCell ref="H590:H591"/>
    <mergeCell ref="C701:E701"/>
    <mergeCell ref="G701:I701"/>
    <mergeCell ref="F702:F703"/>
    <mergeCell ref="H702:H703"/>
    <mergeCell ref="G506:I506"/>
    <mergeCell ref="F507:F508"/>
    <mergeCell ref="H507:H508"/>
    <mergeCell ref="A615:A616"/>
    <mergeCell ref="B615:B616"/>
    <mergeCell ref="C615:C616"/>
    <mergeCell ref="D615:F615"/>
    <mergeCell ref="G615:I615"/>
    <mergeCell ref="C589:E589"/>
    <mergeCell ref="G589:I589"/>
    <mergeCell ref="C401:E401"/>
    <mergeCell ref="G401:I401"/>
    <mergeCell ref="F402:F403"/>
    <mergeCell ref="H402:H403"/>
    <mergeCell ref="A532:A533"/>
    <mergeCell ref="B532:B533"/>
    <mergeCell ref="C532:C533"/>
    <mergeCell ref="D532:F532"/>
    <mergeCell ref="G532:I532"/>
    <mergeCell ref="C506:E506"/>
    <mergeCell ref="G326:I326"/>
    <mergeCell ref="C300:E300"/>
    <mergeCell ref="G300:I300"/>
    <mergeCell ref="F301:F302"/>
    <mergeCell ref="H301:H302"/>
    <mergeCell ref="A432:A433"/>
    <mergeCell ref="B432:B433"/>
    <mergeCell ref="C432:C433"/>
    <mergeCell ref="D432:F432"/>
    <mergeCell ref="G432:I432"/>
    <mergeCell ref="A211:A212"/>
    <mergeCell ref="B211:B212"/>
    <mergeCell ref="A326:A327"/>
    <mergeCell ref="B326:B327"/>
    <mergeCell ref="C326:C327"/>
    <mergeCell ref="D326:F326"/>
    <mergeCell ref="A177:A178"/>
    <mergeCell ref="B177:B178"/>
    <mergeCell ref="C177:C178"/>
    <mergeCell ref="D177:F177"/>
    <mergeCell ref="G177:I177"/>
    <mergeCell ref="A254:A255"/>
    <mergeCell ref="B254:B255"/>
    <mergeCell ref="C254:C255"/>
    <mergeCell ref="D254:F254"/>
    <mergeCell ref="G254:I254"/>
    <mergeCell ref="G87:I87"/>
    <mergeCell ref="C211:C212"/>
    <mergeCell ref="D211:F211"/>
    <mergeCell ref="G211:I211"/>
    <mergeCell ref="G148:I148"/>
    <mergeCell ref="C148:E148"/>
    <mergeCell ref="F149:F150"/>
    <mergeCell ref="H149:H150"/>
    <mergeCell ref="A5:A6"/>
    <mergeCell ref="B5:B6"/>
    <mergeCell ref="C5:C6"/>
    <mergeCell ref="D5:F5"/>
    <mergeCell ref="G5:I5"/>
    <mergeCell ref="C118:E118"/>
    <mergeCell ref="G118:I118"/>
    <mergeCell ref="A87:A88"/>
    <mergeCell ref="B87:B88"/>
    <mergeCell ref="C87:C88"/>
    <mergeCell ref="A44:A45"/>
    <mergeCell ref="B44:B45"/>
    <mergeCell ref="C44:C45"/>
    <mergeCell ref="D44:F44"/>
    <mergeCell ref="G44:I44"/>
    <mergeCell ref="F119:F120"/>
    <mergeCell ref="H119:H120"/>
    <mergeCell ref="D87:F87"/>
    <mergeCell ref="B1452:B1453"/>
    <mergeCell ref="C1389:E1389"/>
    <mergeCell ref="G1389:I1389"/>
    <mergeCell ref="F1390:F1391"/>
    <mergeCell ref="H1390:H1391"/>
    <mergeCell ref="A1683:A1684"/>
    <mergeCell ref="B1683:B1684"/>
    <mergeCell ref="C1683:C1684"/>
    <mergeCell ref="D1683:F1683"/>
    <mergeCell ref="G1683:I1683"/>
    <mergeCell ref="A1452:A1453"/>
    <mergeCell ref="C1452:C1453"/>
    <mergeCell ref="D1452:F1452"/>
    <mergeCell ref="G1452:I1452"/>
    <mergeCell ref="F1479:F1480"/>
    <mergeCell ref="H1479:H1480"/>
    <mergeCell ref="A1503:A1504"/>
    <mergeCell ref="B1503:B1504"/>
    <mergeCell ref="C1503:C1504"/>
    <mergeCell ref="D1503:F1503"/>
    <mergeCell ref="G1503:I1503"/>
    <mergeCell ref="F1537:F1538"/>
    <mergeCell ref="H1537:H1538"/>
    <mergeCell ref="A1567:A1568"/>
    <mergeCell ref="B1567:B1568"/>
    <mergeCell ref="C1567:C1568"/>
    <mergeCell ref="D1567:F1567"/>
    <mergeCell ref="G1567:I1567"/>
    <mergeCell ref="C1619:E1619"/>
    <mergeCell ref="G1619:I1619"/>
    <mergeCell ref="F1620:F1621"/>
    <mergeCell ref="H1620:H1621"/>
    <mergeCell ref="A1742:A1743"/>
    <mergeCell ref="B1742:B1743"/>
    <mergeCell ref="C1742:C1743"/>
    <mergeCell ref="D1742:F1742"/>
    <mergeCell ref="G1742:I1742"/>
    <mergeCell ref="A1868:A1869"/>
    <mergeCell ref="B1868:B1869"/>
    <mergeCell ref="C1868:C1869"/>
    <mergeCell ref="D1868:F1868"/>
    <mergeCell ref="G1868:I1868"/>
    <mergeCell ref="A1781:A1782"/>
    <mergeCell ref="B1781:B1782"/>
    <mergeCell ref="C1781:C1782"/>
    <mergeCell ref="D1781:F1781"/>
    <mergeCell ref="G1781:I1781"/>
    <mergeCell ref="A1644:A1645"/>
    <mergeCell ref="B1644:B1645"/>
    <mergeCell ref="C1644:C1645"/>
    <mergeCell ref="D1644:F1644"/>
    <mergeCell ref="G1644:I1644"/>
    <mergeCell ref="F1837:F1838"/>
    <mergeCell ref="H1837:H1838"/>
    <mergeCell ref="C1836:E1836"/>
    <mergeCell ref="G1836:I1836"/>
    <mergeCell ref="F1717:F1718"/>
    <mergeCell ref="C1716:E1716"/>
    <mergeCell ref="G1716:I1716"/>
    <mergeCell ref="A1907:A1908"/>
    <mergeCell ref="B1907:B1908"/>
    <mergeCell ref="C1907:C1908"/>
    <mergeCell ref="D1907:F1907"/>
    <mergeCell ref="G1907:I1907"/>
    <mergeCell ref="A1950:A1951"/>
    <mergeCell ref="B1950:B1951"/>
    <mergeCell ref="C1950:C1951"/>
    <mergeCell ref="D1950:F1950"/>
    <mergeCell ref="G1950:I1950"/>
    <mergeCell ref="C1981:E1981"/>
    <mergeCell ref="G1981:I1981"/>
    <mergeCell ref="F1982:F1983"/>
    <mergeCell ref="H1982:H1983"/>
    <mergeCell ref="A2005:A2006"/>
    <mergeCell ref="B2005:B2006"/>
    <mergeCell ref="C2005:C2006"/>
    <mergeCell ref="D2005:F2005"/>
    <mergeCell ref="G2005:I2005"/>
    <mergeCell ref="A2072:A2073"/>
    <mergeCell ref="B2072:B2073"/>
    <mergeCell ref="C2072:C2073"/>
    <mergeCell ref="D2072:F2072"/>
    <mergeCell ref="G2072:I2072"/>
    <mergeCell ref="A2109:A2110"/>
    <mergeCell ref="B2109:B2110"/>
    <mergeCell ref="C2109:C2110"/>
    <mergeCell ref="D2109:F2109"/>
    <mergeCell ref="G2109:I2109"/>
    <mergeCell ref="C2227:E2227"/>
    <mergeCell ref="G2227:I2227"/>
    <mergeCell ref="C2196:C2197"/>
    <mergeCell ref="D2196:F2196"/>
    <mergeCell ref="G2196:I2196"/>
    <mergeCell ref="A2369:A2370"/>
    <mergeCell ref="B2369:B2370"/>
    <mergeCell ref="C2369:C2370"/>
    <mergeCell ref="D2369:F2369"/>
    <mergeCell ref="G2369:I2369"/>
    <mergeCell ref="B2256:B2257"/>
    <mergeCell ref="C2256:C2257"/>
    <mergeCell ref="D2256:F2256"/>
    <mergeCell ref="G2256:I2256"/>
    <mergeCell ref="G2339:I2339"/>
    <mergeCell ref="A2292:A2293"/>
    <mergeCell ref="B2292:B2293"/>
    <mergeCell ref="C2292:C2293"/>
    <mergeCell ref="D2292:F2292"/>
    <mergeCell ref="G2292:I2292"/>
    <mergeCell ref="A2256:A2257"/>
    <mergeCell ref="F2228:F2229"/>
    <mergeCell ref="A2152:A2153"/>
    <mergeCell ref="B2152:B2153"/>
    <mergeCell ref="C2152:C2153"/>
    <mergeCell ref="D2152:F2152"/>
    <mergeCell ref="G2152:I2152"/>
    <mergeCell ref="A2196:A2197"/>
    <mergeCell ref="B2196:B2197"/>
    <mergeCell ref="C3257:E3257"/>
    <mergeCell ref="G3257:I3257"/>
    <mergeCell ref="F3258:F3259"/>
    <mergeCell ref="H3258:H3259"/>
    <mergeCell ref="A3288:A3289"/>
    <mergeCell ref="B3288:B3289"/>
    <mergeCell ref="C3288:C3289"/>
    <mergeCell ref="D3288:F3288"/>
    <mergeCell ref="G3288:I3288"/>
    <mergeCell ref="C3338:E3338"/>
    <mergeCell ref="G3338:I3338"/>
    <mergeCell ref="B2649:B2650"/>
    <mergeCell ref="C2649:C2650"/>
    <mergeCell ref="F2340:F2341"/>
    <mergeCell ref="H2340:H2341"/>
    <mergeCell ref="A2506:A2507"/>
    <mergeCell ref="B2506:B2507"/>
    <mergeCell ref="C2506:C2507"/>
    <mergeCell ref="D2506:F2506"/>
    <mergeCell ref="G2506:I2506"/>
    <mergeCell ref="C2416:E2416"/>
    <mergeCell ref="G2416:I2416"/>
    <mergeCell ref="A2443:A2444"/>
    <mergeCell ref="B2443:B2444"/>
    <mergeCell ref="C2443:C2444"/>
    <mergeCell ref="G3625:I3625"/>
    <mergeCell ref="A3668:A3669"/>
    <mergeCell ref="B3668:B3669"/>
    <mergeCell ref="C3668:C3669"/>
    <mergeCell ref="D3668:F3668"/>
    <mergeCell ref="G3668:I3668"/>
    <mergeCell ref="G3725:I3725"/>
    <mergeCell ref="F3726:F3727"/>
    <mergeCell ref="H3726:H3727"/>
    <mergeCell ref="A3758:A3759"/>
    <mergeCell ref="B3758:B3759"/>
    <mergeCell ref="C3758:C3759"/>
    <mergeCell ref="D3758:F3758"/>
    <mergeCell ref="G3758:I3758"/>
    <mergeCell ref="A3797:A3798"/>
    <mergeCell ref="B3797:B3798"/>
    <mergeCell ref="C3797:C3798"/>
    <mergeCell ref="D3797:F3797"/>
    <mergeCell ref="G3797:I3797"/>
    <mergeCell ref="G3840:I3840"/>
    <mergeCell ref="G3883:I3883"/>
    <mergeCell ref="C3916:E3916"/>
    <mergeCell ref="G3916:I3916"/>
    <mergeCell ref="F3917:F3918"/>
    <mergeCell ref="H3917:H3918"/>
    <mergeCell ref="A3950:A3951"/>
    <mergeCell ref="B3950:B3951"/>
    <mergeCell ref="C3950:C3951"/>
    <mergeCell ref="D3950:F3950"/>
    <mergeCell ref="G3950:I3950"/>
    <mergeCell ref="A3989:A3990"/>
    <mergeCell ref="B3989:B3990"/>
    <mergeCell ref="C3989:C3990"/>
    <mergeCell ref="D3989:F3989"/>
    <mergeCell ref="G3989:I3989"/>
    <mergeCell ref="C4047:E4047"/>
    <mergeCell ref="G4047:I4047"/>
    <mergeCell ref="H4048:H4049"/>
    <mergeCell ref="A4080:A4081"/>
    <mergeCell ref="B4080:B4081"/>
    <mergeCell ref="C4080:C4081"/>
    <mergeCell ref="D4080:F4080"/>
    <mergeCell ref="G4080:I4080"/>
    <mergeCell ref="A4119:A4120"/>
    <mergeCell ref="B4119:B4120"/>
    <mergeCell ref="C4119:C4120"/>
    <mergeCell ref="D4119:F4119"/>
    <mergeCell ref="G4119:I4119"/>
    <mergeCell ref="C4160:E4160"/>
    <mergeCell ref="G4160:I4160"/>
    <mergeCell ref="F4161:F4162"/>
    <mergeCell ref="H4161:H4162"/>
    <mergeCell ref="A4189:A4190"/>
    <mergeCell ref="B4189:B4190"/>
    <mergeCell ref="C4189:C4190"/>
    <mergeCell ref="D4189:F4189"/>
    <mergeCell ref="G4189:I4189"/>
    <mergeCell ref="D4187:E4187"/>
    <mergeCell ref="G4225:I4225"/>
    <mergeCell ref="A4267:A4268"/>
    <mergeCell ref="B4267:B4268"/>
    <mergeCell ref="C4267:C4268"/>
    <mergeCell ref="D4267:F4267"/>
    <mergeCell ref="G4267:I4267"/>
    <mergeCell ref="A4310:A4311"/>
    <mergeCell ref="B4310:B4311"/>
    <mergeCell ref="C4310:C4311"/>
    <mergeCell ref="D4310:F4310"/>
    <mergeCell ref="G4310:I4310"/>
    <mergeCell ref="A4353:A4354"/>
    <mergeCell ref="B4353:B4354"/>
    <mergeCell ref="C4353:C4354"/>
    <mergeCell ref="D4353:F4353"/>
    <mergeCell ref="G4353:I4353"/>
    <mergeCell ref="A4397:A4398"/>
    <mergeCell ref="B4397:B4398"/>
    <mergeCell ref="C4397:C4398"/>
    <mergeCell ref="D4397:F4397"/>
    <mergeCell ref="G4397:I4397"/>
    <mergeCell ref="B4438:B4439"/>
    <mergeCell ref="C4438:C4439"/>
    <mergeCell ref="D4438:F4438"/>
    <mergeCell ref="G4438:I4438"/>
    <mergeCell ref="F4500:F4501"/>
    <mergeCell ref="H4500:H4501"/>
    <mergeCell ref="C4523:E4523"/>
    <mergeCell ref="G4523:I4523"/>
    <mergeCell ref="C4499:E4499"/>
    <mergeCell ref="H4524:H4525"/>
    <mergeCell ref="A4543:A4544"/>
    <mergeCell ref="B4543:B4544"/>
    <mergeCell ref="C4543:C4544"/>
    <mergeCell ref="D4543:F4543"/>
    <mergeCell ref="G4543:I4543"/>
    <mergeCell ref="F4524:F4525"/>
    <mergeCell ref="A4582:A4583"/>
    <mergeCell ref="B4582:B4583"/>
    <mergeCell ref="C4582:C4583"/>
    <mergeCell ref="D4582:F4582"/>
    <mergeCell ref="G4582:I4582"/>
    <mergeCell ref="A4438:A4439"/>
    <mergeCell ref="F5386:F5387"/>
    <mergeCell ref="G5270:I5270"/>
    <mergeCell ref="C5385:E5385"/>
    <mergeCell ref="G5385:I5385"/>
    <mergeCell ref="C5313:C5314"/>
    <mergeCell ref="A4625:A4626"/>
    <mergeCell ref="B4625:B4626"/>
    <mergeCell ref="C4625:C4626"/>
    <mergeCell ref="D4625:F4625"/>
    <mergeCell ref="G4625:I4625"/>
    <mergeCell ref="D4732:F4732"/>
    <mergeCell ref="G4732:I4732"/>
    <mergeCell ref="A4668:A4669"/>
    <mergeCell ref="B4668:B4669"/>
    <mergeCell ref="C4668:C4669"/>
    <mergeCell ref="D4668:F4668"/>
    <mergeCell ref="G4668:I4668"/>
    <mergeCell ref="C4696:E4696"/>
    <mergeCell ref="G4696:I4696"/>
    <mergeCell ref="A4814:A4815"/>
    <mergeCell ref="B4814:B4815"/>
    <mergeCell ref="C4814:C4815"/>
    <mergeCell ref="D4814:F4814"/>
    <mergeCell ref="G4814:I4814"/>
    <mergeCell ref="F4697:F4698"/>
    <mergeCell ref="H4697:H4698"/>
    <mergeCell ref="A4732:A4733"/>
    <mergeCell ref="B4732:B4733"/>
    <mergeCell ref="C4732:C4733"/>
    <mergeCell ref="B5233:B5234"/>
    <mergeCell ref="C5233:C5234"/>
    <mergeCell ref="H4844:H4845"/>
    <mergeCell ref="J3196:J3197"/>
    <mergeCell ref="J3288:J3289"/>
    <mergeCell ref="G5127:I5127"/>
    <mergeCell ref="F6268:F6269"/>
    <mergeCell ref="H6268:H6269"/>
    <mergeCell ref="A6292:A6293"/>
    <mergeCell ref="B6292:B6293"/>
    <mergeCell ref="C6292:C6293"/>
    <mergeCell ref="D6292:F6292"/>
    <mergeCell ref="G6292:I6292"/>
    <mergeCell ref="J5019:J5020"/>
    <mergeCell ref="J5088:J5089"/>
    <mergeCell ref="J5127:J5128"/>
    <mergeCell ref="J5168:J5169"/>
    <mergeCell ref="J4732:J4733"/>
    <mergeCell ref="J4771:J4772"/>
    <mergeCell ref="J4814:J4815"/>
    <mergeCell ref="J4877:J4878"/>
    <mergeCell ref="J4916:J4917"/>
    <mergeCell ref="J4980:J4981"/>
    <mergeCell ref="D4841:J4841"/>
    <mergeCell ref="F4952:F4953"/>
    <mergeCell ref="H4952:H4953"/>
    <mergeCell ref="G4916:I4916"/>
    <mergeCell ref="A4771:A4772"/>
    <mergeCell ref="B4771:B4772"/>
    <mergeCell ref="C4771:C4772"/>
    <mergeCell ref="D4771:F4771"/>
    <mergeCell ref="G4771:I4771"/>
    <mergeCell ref="A4877:A4878"/>
    <mergeCell ref="B4877:B4878"/>
    <mergeCell ref="C4877:C4878"/>
    <mergeCell ref="J3586:J3587"/>
    <mergeCell ref="J3625:J3626"/>
    <mergeCell ref="J3668:J3669"/>
    <mergeCell ref="J3758:J3759"/>
    <mergeCell ref="J3797:J3798"/>
    <mergeCell ref="J3840:J3841"/>
    <mergeCell ref="B5313:B5314"/>
    <mergeCell ref="A5313:A5314"/>
    <mergeCell ref="A6221:A6222"/>
    <mergeCell ref="B6221:B6222"/>
    <mergeCell ref="C6221:C6222"/>
    <mergeCell ref="D6221:F6221"/>
    <mergeCell ref="G6221:I6221"/>
    <mergeCell ref="C6267:E6267"/>
    <mergeCell ref="G6267:I6267"/>
    <mergeCell ref="D4877:F4877"/>
    <mergeCell ref="G4877:I4877"/>
    <mergeCell ref="A4916:A4917"/>
    <mergeCell ref="B4916:B4917"/>
    <mergeCell ref="H5386:H5387"/>
    <mergeCell ref="A5533:A5534"/>
    <mergeCell ref="B5533:B5534"/>
    <mergeCell ref="C5533:C5534"/>
    <mergeCell ref="D5533:F5533"/>
    <mergeCell ref="G5533:I5533"/>
    <mergeCell ref="A5411:A5412"/>
    <mergeCell ref="B5411:B5412"/>
    <mergeCell ref="C5411:C5412"/>
    <mergeCell ref="D5411:F5411"/>
    <mergeCell ref="A5270:A5271"/>
    <mergeCell ref="B5270:B5271"/>
    <mergeCell ref="C5270:C5271"/>
    <mergeCell ref="J6007:J6008"/>
    <mergeCell ref="J6050:J6051"/>
    <mergeCell ref="J6093:J6094"/>
    <mergeCell ref="J4310:J4311"/>
    <mergeCell ref="J4397:J4398"/>
    <mergeCell ref="J4438:J4439"/>
    <mergeCell ref="J4543:J4544"/>
    <mergeCell ref="J4582:J4583"/>
    <mergeCell ref="J4625:J4626"/>
    <mergeCell ref="J4668:J4669"/>
    <mergeCell ref="J5731:J5732"/>
    <mergeCell ref="J5796:J5797"/>
    <mergeCell ref="J5835:J5836"/>
    <mergeCell ref="J5878:J5879"/>
    <mergeCell ref="J5921:J5922"/>
    <mergeCell ref="J5964:J5965"/>
    <mergeCell ref="G4499:I4499"/>
    <mergeCell ref="G5233:I5233"/>
    <mergeCell ref="G5411:I5411"/>
    <mergeCell ref="J5233:J5234"/>
    <mergeCell ref="J5270:J5271"/>
    <mergeCell ref="G5200:I5200"/>
    <mergeCell ref="J7755:J7756"/>
    <mergeCell ref="J7818:J7819"/>
    <mergeCell ref="J7876:J7877"/>
    <mergeCell ref="J6135:J6136"/>
    <mergeCell ref="J6221:J6222"/>
    <mergeCell ref="J6292:J6293"/>
    <mergeCell ref="J6331:J6332"/>
    <mergeCell ref="J6382:J6383"/>
    <mergeCell ref="J6421:J6422"/>
    <mergeCell ref="J6464:J6465"/>
    <mergeCell ref="J7472:J7473"/>
    <mergeCell ref="J7511:J7512"/>
    <mergeCell ref="J7567:J7568"/>
    <mergeCell ref="J7601:J7602"/>
    <mergeCell ref="J7644:J7645"/>
    <mergeCell ref="J7716:J7717"/>
    <mergeCell ref="J7166:J7167"/>
    <mergeCell ref="J7215:J7216"/>
    <mergeCell ref="J7254:J7255"/>
    <mergeCell ref="J7297:J7298"/>
    <mergeCell ref="J7350:J7351"/>
    <mergeCell ref="J7389:J7390"/>
    <mergeCell ref="J432:J433"/>
    <mergeCell ref="J532:J533"/>
    <mergeCell ref="J615:J616"/>
    <mergeCell ref="J654:J655"/>
    <mergeCell ref="J727:J728"/>
    <mergeCell ref="J766:J767"/>
    <mergeCell ref="J1868:J1869"/>
    <mergeCell ref="J1907:J1908"/>
    <mergeCell ref="J1950:J1951"/>
    <mergeCell ref="J2005:J2006"/>
    <mergeCell ref="J2072:J2073"/>
    <mergeCell ref="J2109:J2110"/>
    <mergeCell ref="J4267:J4268"/>
    <mergeCell ref="J4353:J4354"/>
    <mergeCell ref="J5665:J5666"/>
    <mergeCell ref="J1452:J1453"/>
    <mergeCell ref="J6746:J6747"/>
    <mergeCell ref="J2890:J2891"/>
    <mergeCell ref="J2929:J2930"/>
    <mergeCell ref="J2972:J2973"/>
    <mergeCell ref="J3049:J3050"/>
    <mergeCell ref="J3088:J3089"/>
    <mergeCell ref="J3157:J3158"/>
    <mergeCell ref="J4225:J4226"/>
    <mergeCell ref="J2369:J2370"/>
    <mergeCell ref="J2443:J2444"/>
    <mergeCell ref="J2506:J2507"/>
    <mergeCell ref="J2578:J2579"/>
    <mergeCell ref="J2649:J2650"/>
    <mergeCell ref="J2679:J2680"/>
    <mergeCell ref="J2722:J2723"/>
    <mergeCell ref="J2766:J2767"/>
    <mergeCell ref="J3447:J3448"/>
    <mergeCell ref="J3489:J3490"/>
    <mergeCell ref="J1237:J1238"/>
    <mergeCell ref="J1318:J1319"/>
    <mergeCell ref="J1356:J1357"/>
    <mergeCell ref="J1416:J1417"/>
    <mergeCell ref="J7048:J7049"/>
    <mergeCell ref="J7127:J7128"/>
    <mergeCell ref="J6507:J6508"/>
    <mergeCell ref="J6594:J6595"/>
    <mergeCell ref="J6633:J6634"/>
    <mergeCell ref="J6707:J6708"/>
    <mergeCell ref="J864:J865"/>
    <mergeCell ref="J903:J904"/>
    <mergeCell ref="J1006:J1007"/>
    <mergeCell ref="J1081:J1082"/>
    <mergeCell ref="J1156:J1157"/>
    <mergeCell ref="J1195:J1196"/>
    <mergeCell ref="J6789:J6790"/>
    <mergeCell ref="J6859:J6860"/>
    <mergeCell ref="J6898:J6899"/>
    <mergeCell ref="J6966:J6967"/>
    <mergeCell ref="J7005:J7006"/>
    <mergeCell ref="J2810:J2811"/>
    <mergeCell ref="J3883:J3884"/>
    <mergeCell ref="J3950:J3951"/>
    <mergeCell ref="J3989:J3990"/>
    <mergeCell ref="J4080:J4081"/>
    <mergeCell ref="J1503:J1504"/>
    <mergeCell ref="J1567:J1568"/>
    <mergeCell ref="J4119:J4120"/>
    <mergeCell ref="J4189:J4190"/>
    <mergeCell ref="J1644:J1645"/>
    <mergeCell ref="J1683:J1684"/>
    <mergeCell ref="J1742:J1743"/>
    <mergeCell ref="J1781:J1782"/>
    <mergeCell ref="J8238:J8239"/>
    <mergeCell ref="J8344:J8345"/>
    <mergeCell ref="J8417:J8418"/>
    <mergeCell ref="J5:J6"/>
    <mergeCell ref="J44:J45"/>
    <mergeCell ref="J87:J88"/>
    <mergeCell ref="J177:J178"/>
    <mergeCell ref="J211:J212"/>
    <mergeCell ref="J254:J255"/>
    <mergeCell ref="J326:J327"/>
    <mergeCell ref="J7915:J7916"/>
    <mergeCell ref="J7958:J7959"/>
    <mergeCell ref="J8021:J8022"/>
    <mergeCell ref="J8100:J8101"/>
    <mergeCell ref="J8139:J8140"/>
    <mergeCell ref="J8182:J8183"/>
    <mergeCell ref="J5313:J5314"/>
    <mergeCell ref="J5411:J5412"/>
    <mergeCell ref="J5450:J5451"/>
    <mergeCell ref="J5491:J5492"/>
    <mergeCell ref="J5533:J5534"/>
    <mergeCell ref="J5626:J5627"/>
    <mergeCell ref="J2152:J2153"/>
    <mergeCell ref="J2196:J2197"/>
    <mergeCell ref="J2256:J2257"/>
    <mergeCell ref="J2292:J2293"/>
    <mergeCell ref="J3365:J3366"/>
    <mergeCell ref="J3404:J3405"/>
  </mergeCells>
  <phoneticPr fontId="22" type="noConversion"/>
  <pageMargins left="0.31496062992125984" right="0.15748031496062992" top="0.31496062992125984" bottom="0.56999999999999995" header="0.31496062992125984" footer="0.42"/>
  <pageSetup paperSize="9" scale="90" firstPageNumber="22" orientation="landscape" useFirstPageNumber="1" horizontalDpi="4294967292" verticalDpi="4294967292" r:id="rId1"/>
  <headerFooter alignWithMargins="0">
    <oddFooter>&amp;C&amp;P</oddFooter>
  </headerFooter>
  <rowBreaks count="244" manualBreakCount="244">
    <brk id="43" max="8" man="1"/>
    <brk id="86" max="9" man="1"/>
    <brk id="113" max="8" man="1"/>
    <brk id="143" max="6" man="1"/>
    <brk id="171" max="16383" man="1"/>
    <brk id="210" max="6" man="1"/>
    <brk id="253" max="9" man="1"/>
    <brk id="295" max="6" man="1"/>
    <brk id="321" max="6" man="1"/>
    <brk id="361" max="8" man="1"/>
    <brk id="396" max="6" man="1"/>
    <brk id="427" max="6" man="1"/>
    <brk id="466" max="8" man="1"/>
    <brk id="501" max="6" man="1"/>
    <brk id="527" max="6" man="1"/>
    <brk id="562" max="8" man="1"/>
    <brk id="584" max="6" man="1"/>
    <brk id="610" max="6" man="1"/>
    <brk id="653" max="9" man="1"/>
    <brk id="696" max="16383" man="1"/>
    <brk id="722" max="6" man="1"/>
    <brk id="765" max="9" man="1"/>
    <brk id="809" max="8" man="1"/>
    <brk id="821" max="6" man="1"/>
    <brk id="859" max="6" man="1"/>
    <brk id="902" max="9" man="1"/>
    <brk id="941" max="6" man="1"/>
    <brk id="977" max="8" man="1"/>
    <brk id="1001" max="16383" man="1"/>
    <brk id="1040" max="9" man="1"/>
    <brk id="1049" max="6" man="1"/>
    <brk id="1076" max="6" man="1"/>
    <brk id="1115" max="9" man="1"/>
    <brk id="1124" max="6" man="1"/>
    <brk id="1151" max="6" man="1"/>
    <brk id="1194" max="9" man="1"/>
    <brk id="1236" max="9" man="1"/>
    <brk id="1280" max="9" man="1"/>
    <brk id="1289" max="16383" man="1"/>
    <brk id="1313" max="8" man="1"/>
    <brk id="1355" max="8" man="1"/>
    <brk id="1384" max="16383" man="1"/>
    <brk id="1411" max="6" man="1"/>
    <brk id="1451" max="9" man="1"/>
    <brk id="1473" max="6" man="1"/>
    <brk id="1498" max="8" man="1"/>
    <brk id="1531" max="6" man="1"/>
    <brk id="1562" max="6" man="1"/>
    <brk id="1596" max="8" man="1"/>
    <brk id="1614" max="6" man="1"/>
    <brk id="1639" max="8" man="1"/>
    <brk id="1682" max="9" man="1"/>
    <brk id="1711" max="8" man="1"/>
    <brk id="1737" max="6" man="1"/>
    <brk id="1780" max="9" man="1"/>
    <brk id="1831" max="6" man="1"/>
    <brk id="1863" max="9" man="1"/>
    <brk id="1906" max="9" man="1"/>
    <brk id="1949" max="9" man="1"/>
    <brk id="1976" max="6" man="1"/>
    <brk id="2000" max="6" man="1"/>
    <brk id="2043" max="6" man="1"/>
    <brk id="2067" max="6" man="1"/>
    <brk id="2108" max="6" man="1"/>
    <brk id="2151" max="9" man="1"/>
    <brk id="2195" max="9" man="1"/>
    <brk id="2222" max="6" man="1"/>
    <brk id="2251" max="6" man="1"/>
    <brk id="2291" max="6" man="1"/>
    <brk id="2334" max="6" man="1"/>
    <brk id="2364" max="6" man="1"/>
    <brk id="2405" max="9" man="1"/>
    <brk id="2411" max="6" man="1"/>
    <brk id="2438" max="6" man="1"/>
    <brk id="2473" max="6" man="1"/>
    <brk id="2501" max="6" man="1"/>
    <brk id="2544" max="6" man="1"/>
    <brk id="2573" max="6" man="1"/>
    <brk id="2615" max="6" man="1"/>
    <brk id="2644" max="6" man="1"/>
    <brk id="2678" max="8" man="1"/>
    <brk id="2721" max="9" man="1"/>
    <brk id="2765" max="9" man="1"/>
    <brk id="2809" max="9" man="1"/>
    <brk id="2851" max="6" man="1"/>
    <brk id="2885" max="8" man="1"/>
    <brk id="2928" max="9" man="1"/>
    <brk id="2971" max="9" man="1"/>
    <brk id="3012" max="16383" man="1"/>
    <brk id="3044" max="9" man="1"/>
    <brk id="3087" max="9" man="1"/>
    <brk id="3125" max="6" man="1"/>
    <brk id="3152" max="6" man="1"/>
    <brk id="3195" max="9" man="1"/>
    <brk id="3235" max="9" man="1"/>
    <brk id="3252" max="6" man="1"/>
    <brk id="3283" max="6" man="1"/>
    <brk id="3319" max="9" man="1"/>
    <brk id="3333" max="6" man="1"/>
    <brk id="3360" max="6" man="1"/>
    <brk id="3403" max="9" man="1"/>
    <brk id="3446" max="9" man="1"/>
    <brk id="3488" max="9" man="1"/>
    <brk id="3532" max="6" man="1"/>
    <brk id="3581" max="6" man="1"/>
    <brk id="3624" max="9" man="1"/>
    <brk id="3667" max="9" man="1"/>
    <brk id="3720" max="6" man="1"/>
    <brk id="3753" max="6" man="1"/>
    <brk id="3796" max="9" man="1"/>
    <brk id="3839" max="9" man="1"/>
    <brk id="3882" max="9" man="1"/>
    <brk id="3911" max="16383" man="1"/>
    <brk id="3945" max="9" man="1"/>
    <brk id="3988" max="9" man="1"/>
    <brk id="4027" max="9" man="1"/>
    <brk id="4042" max="6" man="1"/>
    <brk id="4075" max="8" man="1"/>
    <brk id="4118" max="9" man="1"/>
    <brk id="4155" max="8" man="1"/>
    <brk id="4184" max="6" man="1"/>
    <brk id="4224" max="9" man="1"/>
    <brk id="4266" max="9" man="1"/>
    <brk id="4309" max="9" man="1"/>
    <brk id="4352" max="9" man="1"/>
    <brk id="4396" max="9" man="1"/>
    <brk id="4437" max="9" man="1"/>
    <brk id="4478" max="9" man="1"/>
    <brk id="4494" max="16383" man="1"/>
    <brk id="4538" max="16383" man="1"/>
    <brk id="4581" max="9" man="1"/>
    <brk id="4624" max="9" man="1"/>
    <brk id="4667" max="9" man="1"/>
    <brk id="4691" max="6" man="1"/>
    <brk id="4727" max="6" man="1"/>
    <brk id="4770" max="9" man="1"/>
    <brk id="4813" max="9" man="1"/>
    <brk id="4838" max="6" man="1"/>
    <brk id="4872" max="6" man="1"/>
    <brk id="4915" max="9" man="1"/>
    <brk id="4946" max="6" man="1"/>
    <brk id="4975" max="6" man="1"/>
    <brk id="5018" max="9" man="1"/>
    <brk id="5058" max="6" man="1"/>
    <brk id="5083" max="6" man="1"/>
    <brk id="5126" max="9" man="1"/>
    <brk id="5167" max="9" man="1"/>
    <brk id="5195" max="6" man="1"/>
    <brk id="5228" max="6" man="1"/>
    <brk id="5269" max="9" man="1"/>
    <brk id="5312" max="9" man="1"/>
    <brk id="5380" max="6" man="1"/>
    <brk id="5406" max="6" man="1"/>
    <brk id="5449" max="6" man="1"/>
    <brk id="5490" max="8" man="1"/>
    <brk id="5532" max="8" man="1"/>
    <brk id="5573" max="9" man="1"/>
    <brk id="5594" max="6" man="1"/>
    <brk id="5621" max="6" man="1"/>
    <brk id="5664" max="9" man="1"/>
    <brk id="5697" max="6" man="1"/>
    <brk id="5727" max="6" man="1"/>
    <brk id="5763" max="6" man="1"/>
    <brk id="5791" max="6" man="1"/>
    <brk id="5834" max="9" man="1"/>
    <brk id="5877" max="9" man="1"/>
    <brk id="5920" max="6" man="1"/>
    <brk id="5963" max="9" man="1"/>
    <brk id="6006" max="9" man="1"/>
    <brk id="6049" max="9" man="1"/>
    <brk id="6092" max="9" man="1"/>
    <brk id="6134" max="9" man="1"/>
    <brk id="6167" max="9" man="1"/>
    <brk id="6181" max="6" man="1"/>
    <brk id="6216" max="6" man="1"/>
    <brk id="6255" max="9" man="1"/>
    <brk id="6262" max="6" man="1"/>
    <brk id="6287" max="6" man="1"/>
    <brk id="6330" max="9" man="1"/>
    <brk id="6352" max="6" man="1"/>
    <brk id="6377" max="8" man="1"/>
    <brk id="6420" max="9" man="1"/>
    <brk id="6463" max="9" man="1"/>
    <brk id="6506" max="9" man="1"/>
    <brk id="6544" max="9" man="1"/>
    <brk id="6561" max="8" man="1"/>
    <brk id="6589" max="6" man="1"/>
    <brk id="6632" max="16383" man="1"/>
    <brk id="6670" max="9" man="1"/>
    <brk id="6676" max="16383" man="1"/>
    <brk id="6702" max="8" man="1"/>
    <brk id="6745" max="9" man="1"/>
    <brk id="6788" max="9" man="1"/>
    <brk id="6828" max="6" man="1"/>
    <brk id="6854" max="8" man="1"/>
    <brk id="6897" max="9" man="1"/>
    <brk id="6933" max="8" man="1"/>
    <brk id="6961" max="6" man="1"/>
    <brk id="7004" max="9" man="1"/>
    <brk id="7047" max="9" man="1"/>
    <brk id="7089" max="6" man="1"/>
    <brk id="7122" max="8" man="1"/>
    <brk id="7165" max="9" man="1"/>
    <brk id="7182" max="8" man="1"/>
    <brk id="7210" max="6" man="1"/>
    <brk id="7253" max="9" man="1"/>
    <brk id="7296" max="9" man="1"/>
    <brk id="7320" max="6" man="1"/>
    <brk id="7345" max="6" man="1"/>
    <brk id="7388" max="9" man="1"/>
    <brk id="7429" max="9" man="1"/>
    <brk id="7437" max="6" man="1"/>
    <brk id="7467" max="6" man="1"/>
    <brk id="7510" max="9" man="1"/>
    <brk id="7534" max="8" man="1"/>
    <brk id="7562" max="6" man="1"/>
    <brk id="7600" max="8" man="1"/>
    <brk id="7643" max="9" man="1"/>
    <brk id="7684" max="6" man="1"/>
    <brk id="7711" max="6" man="1"/>
    <brk id="7754" max="9" man="1"/>
    <brk id="7786" max="6" man="1"/>
    <brk id="7813" max="6" man="1"/>
    <brk id="7846" max="6" man="1"/>
    <brk id="7871" max="6" man="1"/>
    <brk id="7914" max="6" man="1"/>
    <brk id="7957" max="9" man="1"/>
    <brk id="7985" max="6" man="1"/>
    <brk id="8016" max="6" man="1"/>
    <brk id="8056" max="9" man="1"/>
    <brk id="8066" max="6" man="1"/>
    <brk id="8095" max="6" man="1"/>
    <brk id="8138" max="9" man="1"/>
    <brk id="8181" max="9" man="1"/>
    <brk id="8199" max="6" man="1"/>
    <brk id="8233" max="6" man="1"/>
    <brk id="8276" max="9" man="1"/>
    <brk id="8309" max="6" man="1"/>
    <brk id="8339" max="8" man="1"/>
    <brk id="8381" max="9" man="1"/>
    <brk id="8388" max="16383" man="1"/>
    <brk id="8412" max="8" man="1"/>
    <brk id="8451" max="9" man="1"/>
    <brk id="845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7:J9140"/>
  <sheetViews>
    <sheetView topLeftCell="C258" zoomScale="150" zoomScaleNormal="150" zoomScaleSheetLayoutView="150" workbookViewId="0">
      <selection activeCell="H269" sqref="H269"/>
    </sheetView>
  </sheetViews>
  <sheetFormatPr defaultColWidth="8.85546875" defaultRowHeight="15"/>
  <cols>
    <col min="1" max="1" width="6.140625" style="23" customWidth="1"/>
    <col min="2" max="2" width="32.42578125" style="23" customWidth="1"/>
    <col min="3" max="3" width="11.42578125" style="23" customWidth="1"/>
    <col min="4" max="4" width="10.85546875" style="23" customWidth="1"/>
    <col min="5" max="5" width="14.28515625" style="23" customWidth="1"/>
    <col min="6" max="6" width="14.28515625" style="25" customWidth="1"/>
    <col min="7" max="7" width="18.140625" style="23" customWidth="1"/>
    <col min="8" max="8" width="8.85546875" style="23"/>
    <col min="9" max="9" width="16.42578125" style="23" bestFit="1" customWidth="1"/>
    <col min="10" max="16384" width="8.85546875" style="23"/>
  </cols>
  <sheetData>
    <row r="7" spans="1:6" ht="24.75" customHeight="1">
      <c r="A7" s="1068" t="s">
        <v>4040</v>
      </c>
      <c r="B7" s="1070"/>
      <c r="C7" s="1070"/>
      <c r="D7" s="1070"/>
      <c r="E7" s="1070"/>
      <c r="F7" s="1070"/>
    </row>
    <row r="8" spans="1:6" ht="24.75" customHeight="1">
      <c r="A8" s="1068" t="s">
        <v>4041</v>
      </c>
      <c r="B8" s="1069"/>
      <c r="C8" s="1069"/>
      <c r="D8" s="1069"/>
      <c r="E8" s="1069"/>
      <c r="F8" s="1069"/>
    </row>
    <row r="9" spans="1:6" ht="22.5">
      <c r="A9" s="22"/>
      <c r="B9" s="22"/>
      <c r="C9" s="22"/>
      <c r="D9" s="24"/>
      <c r="E9" s="24"/>
      <c r="F9" s="24"/>
    </row>
    <row r="17" spans="1:6" ht="18">
      <c r="A17" s="1071" t="s">
        <v>5435</v>
      </c>
      <c r="B17" s="1071"/>
      <c r="C17" s="1071"/>
      <c r="D17" s="1071"/>
      <c r="E17" s="1071"/>
      <c r="F17" s="1071"/>
    </row>
    <row r="18" spans="1:6" ht="18">
      <c r="A18" s="1072" t="s">
        <v>2199</v>
      </c>
      <c r="B18" s="1072"/>
      <c r="C18" s="1072"/>
      <c r="D18" s="1072"/>
      <c r="E18" s="1072"/>
      <c r="F18" s="1072"/>
    </row>
    <row r="19" spans="1:6" ht="23.25">
      <c r="A19" s="27" t="s">
        <v>1620</v>
      </c>
      <c r="B19" s="27" t="s">
        <v>903</v>
      </c>
      <c r="C19" s="27" t="s">
        <v>2200</v>
      </c>
      <c r="D19" s="27" t="s">
        <v>1188</v>
      </c>
      <c r="E19" s="27" t="s">
        <v>1841</v>
      </c>
      <c r="F19" s="27" t="s">
        <v>4512</v>
      </c>
    </row>
    <row r="20" spans="1:6">
      <c r="A20" s="28"/>
      <c r="B20" s="28"/>
      <c r="C20" s="28">
        <v>2014</v>
      </c>
      <c r="D20" s="28">
        <v>2014</v>
      </c>
      <c r="E20" s="28">
        <v>2015</v>
      </c>
      <c r="F20" s="28">
        <v>2015</v>
      </c>
    </row>
    <row r="21" spans="1:6">
      <c r="A21" s="25"/>
      <c r="B21" s="58" t="s">
        <v>3863</v>
      </c>
      <c r="C21" s="29" t="s">
        <v>3556</v>
      </c>
      <c r="D21" s="29" t="s">
        <v>387</v>
      </c>
      <c r="E21" s="29"/>
      <c r="F21" s="30"/>
    </row>
    <row r="22" spans="1:6">
      <c r="A22" s="31">
        <v>1</v>
      </c>
      <c r="B22" s="31" t="s">
        <v>1180</v>
      </c>
      <c r="C22" s="32">
        <v>1</v>
      </c>
      <c r="D22" s="33">
        <v>1940095.55</v>
      </c>
      <c r="E22" s="32">
        <v>1</v>
      </c>
      <c r="F22" s="32">
        <v>1</v>
      </c>
    </row>
    <row r="23" spans="1:6">
      <c r="A23" s="31">
        <v>2</v>
      </c>
      <c r="B23" s="31" t="s">
        <v>1181</v>
      </c>
      <c r="C23" s="32">
        <v>15</v>
      </c>
      <c r="D23" s="33">
        <f>1804740*C23</f>
        <v>27071100</v>
      </c>
      <c r="E23" s="32">
        <v>15</v>
      </c>
      <c r="F23" s="32">
        <v>15</v>
      </c>
    </row>
    <row r="24" spans="1:6">
      <c r="A24" s="31" t="s">
        <v>1840</v>
      </c>
      <c r="B24" s="31"/>
      <c r="C24" s="32"/>
      <c r="D24" s="33">
        <f>SUM(D22:D23)</f>
        <v>29011195.550000001</v>
      </c>
      <c r="E24" s="32"/>
      <c r="F24" s="32"/>
    </row>
    <row r="25" spans="1:6">
      <c r="A25" s="31">
        <v>3</v>
      </c>
      <c r="B25" s="31" t="s">
        <v>2418</v>
      </c>
      <c r="C25" s="32"/>
      <c r="D25" s="33"/>
      <c r="E25" s="32"/>
      <c r="F25" s="32"/>
    </row>
    <row r="26" spans="1:6">
      <c r="A26" s="31" t="s">
        <v>1840</v>
      </c>
      <c r="B26" s="31" t="s">
        <v>1343</v>
      </c>
      <c r="C26" s="32"/>
      <c r="D26" s="52">
        <f>D24</f>
        <v>29011195.550000001</v>
      </c>
      <c r="E26" s="32"/>
      <c r="F26" s="32"/>
    </row>
    <row r="27" spans="1:6">
      <c r="A27" s="31">
        <v>4</v>
      </c>
      <c r="B27" s="31" t="s">
        <v>1342</v>
      </c>
      <c r="C27" s="32"/>
      <c r="D27" s="33">
        <f>D26/2</f>
        <v>14505597.775</v>
      </c>
      <c r="E27" s="32"/>
      <c r="F27" s="32"/>
    </row>
    <row r="28" spans="1:6">
      <c r="A28" s="31">
        <v>5</v>
      </c>
      <c r="B28" s="31" t="s">
        <v>2968</v>
      </c>
      <c r="C28" s="32"/>
      <c r="D28" s="33"/>
      <c r="E28" s="32"/>
      <c r="F28" s="32"/>
    </row>
    <row r="29" spans="1:6">
      <c r="A29" s="31" t="s">
        <v>1840</v>
      </c>
      <c r="B29" s="31" t="s">
        <v>1343</v>
      </c>
      <c r="C29" s="32"/>
      <c r="D29" s="33">
        <f>D27/2</f>
        <v>7252798.8875000002</v>
      </c>
      <c r="E29" s="32"/>
      <c r="F29" s="32"/>
    </row>
    <row r="30" spans="1:6">
      <c r="A30" s="31">
        <v>6</v>
      </c>
      <c r="B30" s="31" t="s">
        <v>2419</v>
      </c>
      <c r="C30" s="32"/>
      <c r="D30" s="33"/>
      <c r="E30" s="32"/>
      <c r="F30" s="32"/>
    </row>
    <row r="31" spans="1:6">
      <c r="A31" s="31" t="s">
        <v>1840</v>
      </c>
      <c r="B31" s="31" t="s">
        <v>1343</v>
      </c>
      <c r="C31" s="32"/>
      <c r="D31" s="33">
        <f>D29</f>
        <v>7252798.8875000002</v>
      </c>
      <c r="E31" s="32"/>
      <c r="F31" s="32"/>
    </row>
    <row r="32" spans="1:6">
      <c r="A32" s="31">
        <v>7</v>
      </c>
      <c r="B32" s="31" t="s">
        <v>2420</v>
      </c>
      <c r="C32" s="32"/>
      <c r="D32" s="33"/>
      <c r="E32" s="32"/>
      <c r="F32" s="32"/>
    </row>
    <row r="33" spans="1:6">
      <c r="A33" s="31" t="s">
        <v>1840</v>
      </c>
      <c r="B33" s="31" t="s">
        <v>1537</v>
      </c>
      <c r="C33" s="32"/>
      <c r="D33" s="33">
        <f>D24*0.3</f>
        <v>8703358.6649999991</v>
      </c>
      <c r="E33" s="32"/>
      <c r="F33" s="32"/>
    </row>
    <row r="34" spans="1:6">
      <c r="A34" s="31">
        <v>8</v>
      </c>
      <c r="B34" s="31" t="s">
        <v>2878</v>
      </c>
      <c r="C34" s="32"/>
      <c r="D34" s="33"/>
      <c r="E34" s="32"/>
      <c r="F34" s="32"/>
    </row>
    <row r="35" spans="1:6">
      <c r="A35" s="31" t="s">
        <v>1840</v>
      </c>
      <c r="B35" s="31" t="s">
        <v>2512</v>
      </c>
      <c r="C35" s="31"/>
      <c r="D35" s="33">
        <f>D27</f>
        <v>14505597.775</v>
      </c>
      <c r="E35" s="31"/>
      <c r="F35" s="31"/>
    </row>
    <row r="36" spans="1:6">
      <c r="A36" s="31">
        <v>9</v>
      </c>
      <c r="B36" s="31" t="s">
        <v>1303</v>
      </c>
      <c r="C36" s="31"/>
      <c r="D36" s="33"/>
      <c r="E36" s="31"/>
      <c r="F36" s="31"/>
    </row>
    <row r="37" spans="1:6">
      <c r="A37" s="31" t="s">
        <v>1840</v>
      </c>
      <c r="B37" s="31" t="s">
        <v>1344</v>
      </c>
      <c r="C37" s="31"/>
      <c r="D37" s="33">
        <f>D24*0.1</f>
        <v>2901119.5550000002</v>
      </c>
      <c r="E37" s="31"/>
      <c r="F37" s="31"/>
    </row>
    <row r="38" spans="1:6">
      <c r="A38" s="31"/>
      <c r="B38" s="31"/>
      <c r="C38" s="31"/>
      <c r="D38" s="33"/>
      <c r="E38" s="31"/>
      <c r="F38" s="31"/>
    </row>
    <row r="39" spans="1:6">
      <c r="A39" s="31">
        <v>10</v>
      </c>
      <c r="B39" s="31" t="s">
        <v>1304</v>
      </c>
      <c r="C39" s="31"/>
      <c r="D39" s="33">
        <f>D35</f>
        <v>14505597.775</v>
      </c>
      <c r="E39" s="31"/>
      <c r="F39" s="31"/>
    </row>
    <row r="40" spans="1:6">
      <c r="A40" s="31" t="s">
        <v>1840</v>
      </c>
      <c r="B40" s="31"/>
      <c r="C40" s="31"/>
      <c r="D40" s="33"/>
      <c r="E40" s="31"/>
      <c r="F40" s="31"/>
    </row>
    <row r="41" spans="1:6">
      <c r="A41" s="31">
        <v>11</v>
      </c>
      <c r="B41" s="31" t="s">
        <v>4056</v>
      </c>
      <c r="C41" s="31"/>
      <c r="D41" s="33">
        <f>D24*0.15</f>
        <v>4351679.3324999996</v>
      </c>
      <c r="E41" s="31"/>
      <c r="F41" s="31"/>
    </row>
    <row r="42" spans="1:6">
      <c r="A42" s="31" t="s">
        <v>1840</v>
      </c>
      <c r="B42" s="31"/>
      <c r="C42" s="31"/>
      <c r="D42" s="33"/>
      <c r="E42" s="31"/>
      <c r="F42" s="31"/>
    </row>
    <row r="43" spans="1:6">
      <c r="A43" s="31">
        <v>12</v>
      </c>
      <c r="B43" s="31" t="s">
        <v>1143</v>
      </c>
      <c r="C43" s="31"/>
      <c r="D43" s="33">
        <f>D41</f>
        <v>4351679.3324999996</v>
      </c>
      <c r="E43" s="31"/>
      <c r="F43" s="31"/>
    </row>
    <row r="44" spans="1:6">
      <c r="A44" s="31"/>
      <c r="B44" s="31"/>
      <c r="C44" s="31"/>
      <c r="D44" s="33"/>
      <c r="E44" s="31"/>
      <c r="F44" s="31"/>
    </row>
    <row r="45" spans="1:6">
      <c r="A45" s="31">
        <v>13</v>
      </c>
      <c r="B45" s="31" t="s">
        <v>4057</v>
      </c>
      <c r="C45" s="31"/>
      <c r="D45" s="33">
        <f>D43</f>
        <v>4351679.3324999996</v>
      </c>
      <c r="E45" s="31"/>
      <c r="F45" s="31"/>
    </row>
    <row r="46" spans="1:6">
      <c r="A46" s="31"/>
      <c r="B46" s="31"/>
      <c r="C46" s="31"/>
      <c r="D46" s="33"/>
      <c r="E46" s="31"/>
      <c r="F46" s="31"/>
    </row>
    <row r="47" spans="1:6">
      <c r="A47" s="31">
        <v>14</v>
      </c>
      <c r="B47" s="31" t="s">
        <v>4058</v>
      </c>
      <c r="C47" s="31"/>
      <c r="D47" s="35" t="s">
        <v>1182</v>
      </c>
      <c r="E47" s="31"/>
      <c r="F47" s="31"/>
    </row>
    <row r="48" spans="1:6">
      <c r="A48" s="31"/>
      <c r="B48" s="31"/>
      <c r="C48" s="31"/>
      <c r="D48" s="33"/>
      <c r="E48" s="31"/>
      <c r="F48" s="31"/>
    </row>
    <row r="49" spans="1:6">
      <c r="A49" s="31">
        <v>15</v>
      </c>
      <c r="B49" s="31" t="s">
        <v>4059</v>
      </c>
      <c r="C49" s="31"/>
      <c r="D49" s="35" t="s">
        <v>1182</v>
      </c>
      <c r="E49" s="31"/>
      <c r="F49" s="31"/>
    </row>
    <row r="50" spans="1:6">
      <c r="A50" s="31"/>
      <c r="B50" s="31"/>
      <c r="C50" s="31"/>
      <c r="D50" s="33"/>
      <c r="E50" s="31"/>
      <c r="F50" s="31"/>
    </row>
    <row r="51" spans="1:6">
      <c r="A51" s="36" t="s">
        <v>1840</v>
      </c>
      <c r="B51" s="37" t="s">
        <v>1684</v>
      </c>
      <c r="C51" s="38" t="s">
        <v>1840</v>
      </c>
      <c r="D51" s="39">
        <f>SUM(D24:D50)</f>
        <v>140704298.41750002</v>
      </c>
      <c r="E51" s="39">
        <v>140100000</v>
      </c>
      <c r="F51" s="39">
        <f>D51</f>
        <v>140704298.41750002</v>
      </c>
    </row>
    <row r="52" spans="1:6" ht="18.75">
      <c r="A52" s="41" t="s">
        <v>1840</v>
      </c>
      <c r="B52" s="41" t="s">
        <v>3017</v>
      </c>
      <c r="C52" s="25"/>
      <c r="D52" s="40"/>
      <c r="E52" s="25"/>
    </row>
    <row r="53" spans="1:6" ht="18.75">
      <c r="A53" s="41" t="s">
        <v>1840</v>
      </c>
      <c r="B53" s="224" t="s">
        <v>3751</v>
      </c>
      <c r="C53" s="25"/>
      <c r="D53" s="40"/>
      <c r="E53" s="25"/>
    </row>
    <row r="54" spans="1:6" ht="23.25">
      <c r="A54" s="27" t="s">
        <v>1620</v>
      </c>
      <c r="B54" s="27" t="s">
        <v>903</v>
      </c>
      <c r="C54" s="27" t="s">
        <v>2200</v>
      </c>
      <c r="D54" s="27" t="s">
        <v>1188</v>
      </c>
      <c r="E54" s="27" t="s">
        <v>1841</v>
      </c>
      <c r="F54" s="27" t="s">
        <v>4512</v>
      </c>
    </row>
    <row r="55" spans="1:6">
      <c r="A55" s="28"/>
      <c r="B55" s="28"/>
      <c r="C55" s="28">
        <v>2014</v>
      </c>
      <c r="D55" s="28">
        <v>2014</v>
      </c>
      <c r="E55" s="28">
        <v>2015</v>
      </c>
      <c r="F55" s="28">
        <v>2015</v>
      </c>
    </row>
    <row r="56" spans="1:6">
      <c r="A56" s="31">
        <v>1</v>
      </c>
      <c r="B56" s="31" t="s">
        <v>3752</v>
      </c>
      <c r="C56" s="31">
        <v>1</v>
      </c>
      <c r="D56" s="33">
        <v>1804740</v>
      </c>
      <c r="E56" s="31">
        <v>1</v>
      </c>
      <c r="F56" s="31">
        <v>1</v>
      </c>
    </row>
    <row r="57" spans="1:6">
      <c r="A57" s="31" t="s">
        <v>1840</v>
      </c>
      <c r="B57" s="31"/>
      <c r="C57" s="31"/>
      <c r="D57" s="33"/>
      <c r="E57" s="31"/>
      <c r="F57" s="31"/>
    </row>
    <row r="58" spans="1:6">
      <c r="A58" s="31">
        <v>2</v>
      </c>
      <c r="B58" s="31" t="s">
        <v>3753</v>
      </c>
      <c r="C58" s="31">
        <v>6</v>
      </c>
      <c r="D58" s="33">
        <f>1669385*C58</f>
        <v>10016310</v>
      </c>
      <c r="E58" s="31">
        <v>15</v>
      </c>
      <c r="F58" s="31">
        <v>12</v>
      </c>
    </row>
    <row r="59" spans="1:6">
      <c r="A59" s="31" t="s">
        <v>1840</v>
      </c>
      <c r="B59" s="31"/>
      <c r="C59" s="31"/>
      <c r="D59" s="33">
        <f>SUM(D56:D58)</f>
        <v>11821050</v>
      </c>
      <c r="E59" s="31"/>
      <c r="F59" s="31"/>
    </row>
    <row r="60" spans="1:6">
      <c r="A60" s="31">
        <v>3</v>
      </c>
      <c r="B60" s="31" t="s">
        <v>2418</v>
      </c>
      <c r="C60" s="31"/>
      <c r="D60" s="33"/>
      <c r="E60" s="31"/>
      <c r="F60" s="31"/>
    </row>
    <row r="61" spans="1:6">
      <c r="A61" s="31" t="s">
        <v>1840</v>
      </c>
      <c r="B61" s="31" t="s">
        <v>1343</v>
      </c>
      <c r="C61" s="42"/>
      <c r="D61" s="52">
        <f>D59</f>
        <v>11821050</v>
      </c>
      <c r="E61" s="42"/>
      <c r="F61" s="42"/>
    </row>
    <row r="62" spans="1:6">
      <c r="A62" s="31" t="s">
        <v>1840</v>
      </c>
      <c r="B62" s="31"/>
      <c r="C62" s="42"/>
      <c r="D62" s="33"/>
      <c r="E62" s="42"/>
      <c r="F62" s="42"/>
    </row>
    <row r="63" spans="1:6">
      <c r="A63" s="31">
        <v>4</v>
      </c>
      <c r="B63" s="31" t="s">
        <v>1342</v>
      </c>
      <c r="C63" s="42"/>
      <c r="D63" s="33">
        <f>D61/2</f>
        <v>5910525</v>
      </c>
      <c r="E63" s="42"/>
      <c r="F63" s="42"/>
    </row>
    <row r="64" spans="1:6">
      <c r="A64" s="31" t="s">
        <v>1840</v>
      </c>
      <c r="B64" s="31"/>
      <c r="C64" s="42"/>
      <c r="D64" s="33"/>
      <c r="E64" s="42"/>
      <c r="F64" s="42"/>
    </row>
    <row r="65" spans="1:6">
      <c r="A65" s="31">
        <v>5</v>
      </c>
      <c r="B65" s="31" t="s">
        <v>2968</v>
      </c>
      <c r="C65" s="42"/>
      <c r="D65" s="33"/>
      <c r="E65" s="42"/>
      <c r="F65" s="42"/>
    </row>
    <row r="66" spans="1:6">
      <c r="A66" s="31" t="s">
        <v>1840</v>
      </c>
      <c r="B66" s="31" t="s">
        <v>1343</v>
      </c>
      <c r="C66" s="42"/>
      <c r="D66" s="33">
        <f>D63/2</f>
        <v>2955262.5</v>
      </c>
      <c r="E66" s="42"/>
      <c r="F66" s="42"/>
    </row>
    <row r="67" spans="1:6">
      <c r="A67" s="31" t="s">
        <v>1840</v>
      </c>
      <c r="B67" s="31"/>
      <c r="C67" s="42"/>
      <c r="D67" s="33"/>
      <c r="E67" s="42"/>
      <c r="F67" s="42"/>
    </row>
    <row r="68" spans="1:6">
      <c r="A68" s="31">
        <v>6</v>
      </c>
      <c r="B68" s="31" t="s">
        <v>2419</v>
      </c>
      <c r="C68" s="42"/>
      <c r="D68" s="33"/>
      <c r="E68" s="42"/>
      <c r="F68" s="42"/>
    </row>
    <row r="69" spans="1:6">
      <c r="A69" s="31" t="s">
        <v>1840</v>
      </c>
      <c r="B69" s="31" t="s">
        <v>1343</v>
      </c>
      <c r="C69" s="42"/>
      <c r="D69" s="33">
        <f>D66</f>
        <v>2955262.5</v>
      </c>
      <c r="E69" s="42"/>
      <c r="F69" s="42"/>
    </row>
    <row r="70" spans="1:6">
      <c r="A70" s="31"/>
      <c r="B70" s="31"/>
      <c r="C70" s="42"/>
      <c r="D70" s="33"/>
      <c r="E70" s="42"/>
      <c r="F70" s="42"/>
    </row>
    <row r="71" spans="1:6">
      <c r="A71" s="31">
        <v>7</v>
      </c>
      <c r="B71" s="31" t="s">
        <v>2420</v>
      </c>
      <c r="C71" s="42"/>
      <c r="D71" s="33"/>
      <c r="E71" s="42"/>
      <c r="F71" s="42"/>
    </row>
    <row r="72" spans="1:6">
      <c r="A72" s="31" t="s">
        <v>1840</v>
      </c>
      <c r="B72" s="31" t="s">
        <v>1537</v>
      </c>
      <c r="C72" s="42"/>
      <c r="D72" s="33">
        <f>D59*0.3</f>
        <v>3546315</v>
      </c>
      <c r="E72" s="42"/>
      <c r="F72" s="42"/>
    </row>
    <row r="73" spans="1:6">
      <c r="A73" s="31" t="s">
        <v>1840</v>
      </c>
      <c r="B73" s="31"/>
      <c r="C73" s="42"/>
      <c r="D73" s="33"/>
      <c r="E73" s="42"/>
      <c r="F73" s="42"/>
    </row>
    <row r="74" spans="1:6">
      <c r="A74" s="31">
        <v>8</v>
      </c>
      <c r="B74" s="31" t="s">
        <v>2878</v>
      </c>
      <c r="C74" s="42"/>
      <c r="D74" s="33"/>
      <c r="E74" s="42"/>
      <c r="F74" s="42"/>
    </row>
    <row r="75" spans="1:6">
      <c r="A75" s="31" t="s">
        <v>1840</v>
      </c>
      <c r="B75" s="31" t="s">
        <v>2512</v>
      </c>
      <c r="C75" s="42"/>
      <c r="D75" s="33">
        <f>D63</f>
        <v>5910525</v>
      </c>
      <c r="E75" s="42"/>
      <c r="F75" s="42"/>
    </row>
    <row r="76" spans="1:6">
      <c r="A76" s="31" t="s">
        <v>1840</v>
      </c>
      <c r="B76" s="31"/>
      <c r="C76" s="42"/>
      <c r="D76" s="33"/>
      <c r="E76" s="42"/>
      <c r="F76" s="42"/>
    </row>
    <row r="77" spans="1:6">
      <c r="A77" s="31">
        <v>9</v>
      </c>
      <c r="B77" s="31" t="s">
        <v>1303</v>
      </c>
      <c r="C77" s="42"/>
      <c r="D77" s="33"/>
      <c r="E77" s="42"/>
      <c r="F77" s="42"/>
    </row>
    <row r="78" spans="1:6">
      <c r="A78" s="31" t="s">
        <v>1840</v>
      </c>
      <c r="B78" s="31" t="s">
        <v>1344</v>
      </c>
      <c r="C78" s="42"/>
      <c r="D78" s="33">
        <f>D59*0.1</f>
        <v>1182105</v>
      </c>
      <c r="E78" s="42"/>
      <c r="F78" s="42"/>
    </row>
    <row r="79" spans="1:6">
      <c r="A79" s="31"/>
      <c r="B79" s="31"/>
      <c r="C79" s="42"/>
      <c r="D79" s="33"/>
      <c r="E79" s="42"/>
      <c r="F79" s="42"/>
    </row>
    <row r="80" spans="1:6">
      <c r="A80" s="31">
        <v>10</v>
      </c>
      <c r="B80" s="31" t="s">
        <v>1304</v>
      </c>
      <c r="C80" s="42"/>
      <c r="D80" s="33">
        <f>D75</f>
        <v>5910525</v>
      </c>
      <c r="E80" s="42"/>
      <c r="F80" s="42"/>
    </row>
    <row r="81" spans="1:6">
      <c r="A81" s="31" t="s">
        <v>1840</v>
      </c>
      <c r="B81" s="31"/>
      <c r="C81" s="42"/>
      <c r="D81" s="33"/>
      <c r="E81" s="42"/>
      <c r="F81" s="42"/>
    </row>
    <row r="82" spans="1:6">
      <c r="A82" s="31">
        <v>11</v>
      </c>
      <c r="B82" s="31" t="s">
        <v>4056</v>
      </c>
      <c r="C82" s="42"/>
      <c r="D82" s="33">
        <f>D59*0.15</f>
        <v>1773157.5</v>
      </c>
      <c r="E82" s="42"/>
      <c r="F82" s="42"/>
    </row>
    <row r="83" spans="1:6">
      <c r="A83" s="31" t="s">
        <v>1840</v>
      </c>
      <c r="B83" s="31"/>
      <c r="C83" s="42"/>
      <c r="D83" s="33"/>
      <c r="E83" s="42"/>
      <c r="F83" s="42"/>
    </row>
    <row r="84" spans="1:6">
      <c r="A84" s="31">
        <v>12</v>
      </c>
      <c r="B84" s="31" t="s">
        <v>1143</v>
      </c>
      <c r="C84" s="42"/>
      <c r="D84" s="33">
        <f>D82</f>
        <v>1773157.5</v>
      </c>
      <c r="E84" s="42"/>
      <c r="F84" s="42"/>
    </row>
    <row r="85" spans="1:6">
      <c r="A85" s="31"/>
      <c r="B85" s="31"/>
      <c r="C85" s="42"/>
      <c r="D85" s="33"/>
      <c r="E85" s="42"/>
      <c r="F85" s="42"/>
    </row>
    <row r="86" spans="1:6">
      <c r="A86" s="31">
        <v>13</v>
      </c>
      <c r="B86" s="31" t="s">
        <v>4057</v>
      </c>
      <c r="C86" s="42"/>
      <c r="D86" s="33">
        <f>D84</f>
        <v>1773157.5</v>
      </c>
      <c r="E86" s="42"/>
      <c r="F86" s="42"/>
    </row>
    <row r="87" spans="1:6">
      <c r="A87" s="36" t="s">
        <v>1840</v>
      </c>
      <c r="B87" s="37" t="s">
        <v>1684</v>
      </c>
      <c r="C87" s="37"/>
      <c r="D87" s="39">
        <f>SUM(D59:D86)</f>
        <v>57332092.5</v>
      </c>
      <c r="E87" s="44">
        <v>165000000</v>
      </c>
      <c r="F87" s="44">
        <f>D87</f>
        <v>57332092.5</v>
      </c>
    </row>
    <row r="88" spans="1:6" ht="18">
      <c r="A88" s="26" t="s">
        <v>1840</v>
      </c>
      <c r="B88" s="224" t="s">
        <v>2965</v>
      </c>
      <c r="C88" s="25"/>
      <c r="D88" s="40"/>
      <c r="E88" s="25"/>
    </row>
    <row r="89" spans="1:6" ht="23.25">
      <c r="A89" s="27" t="s">
        <v>1620</v>
      </c>
      <c r="B89" s="27" t="s">
        <v>903</v>
      </c>
      <c r="C89" s="27" t="s">
        <v>2200</v>
      </c>
      <c r="D89" s="27" t="s">
        <v>1188</v>
      </c>
      <c r="E89" s="27" t="s">
        <v>1841</v>
      </c>
      <c r="F89" s="27" t="s">
        <v>4512</v>
      </c>
    </row>
    <row r="90" spans="1:6">
      <c r="A90" s="28"/>
      <c r="B90" s="28"/>
      <c r="C90" s="28">
        <v>2014</v>
      </c>
      <c r="D90" s="28">
        <v>2014</v>
      </c>
      <c r="E90" s="28">
        <v>2015</v>
      </c>
      <c r="F90" s="28">
        <v>2015</v>
      </c>
    </row>
    <row r="91" spans="1:6">
      <c r="A91" s="31">
        <v>28</v>
      </c>
      <c r="B91" s="31" t="s">
        <v>2966</v>
      </c>
      <c r="C91" s="31">
        <v>1</v>
      </c>
      <c r="D91" s="33">
        <v>49590</v>
      </c>
      <c r="E91" s="31">
        <v>1</v>
      </c>
      <c r="F91" s="31">
        <v>1</v>
      </c>
    </row>
    <row r="92" spans="1:6">
      <c r="A92" s="31"/>
      <c r="B92" s="31"/>
      <c r="C92" s="31"/>
      <c r="D92" s="31"/>
      <c r="E92" s="31"/>
      <c r="F92" s="31"/>
    </row>
    <row r="93" spans="1:6">
      <c r="A93" s="31">
        <v>29</v>
      </c>
      <c r="B93" s="31" t="s">
        <v>4056</v>
      </c>
      <c r="C93" s="31"/>
      <c r="D93" s="33">
        <v>20010</v>
      </c>
      <c r="E93" s="31">
        <v>1</v>
      </c>
      <c r="F93" s="31">
        <v>1</v>
      </c>
    </row>
    <row r="94" spans="1:6">
      <c r="A94" s="31" t="s">
        <v>1840</v>
      </c>
      <c r="B94" s="31" t="s">
        <v>1840</v>
      </c>
      <c r="C94" s="31"/>
      <c r="D94" s="33"/>
      <c r="E94" s="31"/>
      <c r="F94" s="31"/>
    </row>
    <row r="95" spans="1:6">
      <c r="A95" s="31">
        <v>30</v>
      </c>
      <c r="B95" s="31" t="s">
        <v>2967</v>
      </c>
      <c r="C95" s="43" t="s">
        <v>387</v>
      </c>
      <c r="D95" s="33">
        <v>20010</v>
      </c>
      <c r="E95" s="43">
        <v>1</v>
      </c>
      <c r="F95" s="43">
        <v>1</v>
      </c>
    </row>
    <row r="96" spans="1:6">
      <c r="A96" s="31"/>
      <c r="B96" s="31"/>
      <c r="C96" s="31"/>
      <c r="D96" s="31"/>
      <c r="E96" s="31"/>
      <c r="F96" s="31"/>
    </row>
    <row r="97" spans="1:6">
      <c r="A97" s="31">
        <v>31</v>
      </c>
      <c r="B97" s="31" t="s">
        <v>2968</v>
      </c>
      <c r="C97" s="31"/>
      <c r="D97" s="33">
        <v>19840</v>
      </c>
      <c r="E97" s="31">
        <v>1</v>
      </c>
      <c r="F97" s="31">
        <v>1</v>
      </c>
    </row>
    <row r="98" spans="1:6">
      <c r="A98" s="31" t="s">
        <v>1840</v>
      </c>
      <c r="B98" s="31" t="s">
        <v>3556</v>
      </c>
      <c r="C98" s="31"/>
      <c r="D98" s="33"/>
      <c r="E98" s="31"/>
      <c r="F98" s="31"/>
    </row>
    <row r="99" spans="1:6">
      <c r="A99" s="31">
        <v>32</v>
      </c>
      <c r="B99" s="31" t="s">
        <v>774</v>
      </c>
      <c r="C99" s="31">
        <v>1</v>
      </c>
      <c r="D99" s="33">
        <v>20010</v>
      </c>
      <c r="E99" s="31">
        <v>1</v>
      </c>
      <c r="F99" s="31">
        <v>1</v>
      </c>
    </row>
    <row r="100" spans="1:6">
      <c r="A100" s="31"/>
      <c r="B100" s="31"/>
      <c r="C100" s="45"/>
      <c r="D100" s="33"/>
      <c r="E100" s="31"/>
      <c r="F100" s="45"/>
    </row>
    <row r="101" spans="1:6">
      <c r="A101" s="46" t="s">
        <v>1840</v>
      </c>
      <c r="B101" s="46" t="s">
        <v>1684</v>
      </c>
      <c r="C101" s="46"/>
      <c r="D101" s="39">
        <f>SUM(D90:D100)</f>
        <v>131474</v>
      </c>
      <c r="E101" s="39">
        <v>10000000</v>
      </c>
      <c r="F101" s="39">
        <f>633294*14</f>
        <v>8866116</v>
      </c>
    </row>
    <row r="102" spans="1:6">
      <c r="A102" s="25" t="s">
        <v>1840</v>
      </c>
      <c r="B102" s="25" t="s">
        <v>1840</v>
      </c>
      <c r="C102" s="25"/>
      <c r="D102" s="40"/>
      <c r="E102" s="25"/>
    </row>
    <row r="103" spans="1:6">
      <c r="A103" s="25" t="s">
        <v>1840</v>
      </c>
      <c r="B103" s="224" t="s">
        <v>2969</v>
      </c>
      <c r="C103" s="25"/>
      <c r="D103" s="40"/>
      <c r="E103" s="25"/>
    </row>
    <row r="104" spans="1:6" ht="23.25">
      <c r="A104" s="27" t="s">
        <v>1620</v>
      </c>
      <c r="B104" s="27" t="s">
        <v>903</v>
      </c>
      <c r="C104" s="27" t="s">
        <v>2200</v>
      </c>
      <c r="D104" s="27" t="s">
        <v>1188</v>
      </c>
      <c r="E104" s="27" t="s">
        <v>1841</v>
      </c>
      <c r="F104" s="27" t="s">
        <v>4512</v>
      </c>
    </row>
    <row r="105" spans="1:6">
      <c r="A105" s="28"/>
      <c r="B105" s="28"/>
      <c r="C105" s="28">
        <v>2014</v>
      </c>
      <c r="D105" s="28">
        <v>2014</v>
      </c>
      <c r="E105" s="28">
        <v>2015</v>
      </c>
      <c r="F105" s="28">
        <v>2015</v>
      </c>
    </row>
    <row r="106" spans="1:6">
      <c r="A106" s="31">
        <v>33</v>
      </c>
      <c r="B106" s="31" t="s">
        <v>2970</v>
      </c>
      <c r="C106" s="31">
        <v>1</v>
      </c>
      <c r="D106" s="33">
        <v>123126</v>
      </c>
      <c r="E106" s="31">
        <v>1</v>
      </c>
      <c r="F106" s="31">
        <v>1</v>
      </c>
    </row>
    <row r="107" spans="1:6">
      <c r="A107" s="31" t="s">
        <v>1840</v>
      </c>
      <c r="B107" s="31"/>
      <c r="C107" s="31" t="s">
        <v>1840</v>
      </c>
      <c r="D107" s="33"/>
      <c r="E107" s="31" t="s">
        <v>1840</v>
      </c>
      <c r="F107" s="31" t="s">
        <v>1840</v>
      </c>
    </row>
    <row r="108" spans="1:6">
      <c r="A108" s="31">
        <v>34</v>
      </c>
      <c r="B108" s="31" t="s">
        <v>777</v>
      </c>
      <c r="C108" s="31">
        <v>4</v>
      </c>
      <c r="D108" s="33">
        <v>440000</v>
      </c>
      <c r="E108" s="31">
        <v>4</v>
      </c>
      <c r="F108" s="31">
        <v>4</v>
      </c>
    </row>
    <row r="109" spans="1:6">
      <c r="A109" s="31" t="s">
        <v>1840</v>
      </c>
      <c r="B109" s="31"/>
      <c r="C109" s="45"/>
      <c r="D109" s="33"/>
      <c r="E109" s="31"/>
      <c r="F109" s="45"/>
    </row>
    <row r="110" spans="1:6" ht="23.25">
      <c r="A110" s="31">
        <v>35</v>
      </c>
      <c r="B110" s="31" t="s">
        <v>778</v>
      </c>
      <c r="C110" s="45">
        <v>0</v>
      </c>
      <c r="D110" s="33">
        <v>24000</v>
      </c>
      <c r="E110" s="43">
        <v>0</v>
      </c>
      <c r="F110" s="45">
        <v>0</v>
      </c>
    </row>
    <row r="111" spans="1:6">
      <c r="A111" s="31" t="s">
        <v>1840</v>
      </c>
      <c r="B111" s="31"/>
      <c r="C111" s="45"/>
      <c r="D111" s="33"/>
      <c r="E111" s="31"/>
      <c r="F111" s="45"/>
    </row>
    <row r="112" spans="1:6">
      <c r="A112" s="31">
        <v>36</v>
      </c>
      <c r="B112" s="31" t="s">
        <v>774</v>
      </c>
      <c r="C112" s="45">
        <v>0</v>
      </c>
      <c r="D112" s="33">
        <v>80000</v>
      </c>
      <c r="E112" s="43">
        <v>0</v>
      </c>
      <c r="F112" s="45">
        <v>0</v>
      </c>
    </row>
    <row r="113" spans="1:6">
      <c r="A113" s="31"/>
      <c r="B113" s="31"/>
      <c r="C113" s="45"/>
      <c r="D113" s="33"/>
      <c r="E113" s="31"/>
      <c r="F113" s="45"/>
    </row>
    <row r="114" spans="1:6">
      <c r="A114" s="36" t="s">
        <v>1840</v>
      </c>
      <c r="B114" s="37" t="s">
        <v>1684</v>
      </c>
      <c r="C114" s="37" t="s">
        <v>1840</v>
      </c>
      <c r="D114" s="38">
        <f>SUM(D105:D113)</f>
        <v>669140</v>
      </c>
      <c r="E114" s="44">
        <v>35000000</v>
      </c>
      <c r="F114" s="44">
        <v>22130748</v>
      </c>
    </row>
    <row r="115" spans="1:6">
      <c r="A115" s="25" t="s">
        <v>1840</v>
      </c>
      <c r="B115" s="25"/>
      <c r="C115" s="25" t="s">
        <v>1840</v>
      </c>
      <c r="D115" s="40"/>
      <c r="E115" s="25"/>
    </row>
    <row r="116" spans="1:6">
      <c r="A116" s="25" t="s">
        <v>1840</v>
      </c>
      <c r="B116" s="225" t="s">
        <v>1797</v>
      </c>
      <c r="C116" s="25"/>
      <c r="D116" s="40"/>
      <c r="E116" s="29"/>
    </row>
    <row r="117" spans="1:6" ht="23.25">
      <c r="A117" s="27" t="s">
        <v>1620</v>
      </c>
      <c r="B117" s="27" t="s">
        <v>903</v>
      </c>
      <c r="C117" s="27" t="s">
        <v>2200</v>
      </c>
      <c r="D117" s="27" t="s">
        <v>1188</v>
      </c>
      <c r="E117" s="27" t="s">
        <v>1841</v>
      </c>
      <c r="F117" s="27" t="s">
        <v>4512</v>
      </c>
    </row>
    <row r="118" spans="1:6">
      <c r="A118" s="28"/>
      <c r="B118" s="28"/>
      <c r="C118" s="28">
        <v>2014</v>
      </c>
      <c r="D118" s="28">
        <v>2014</v>
      </c>
      <c r="E118" s="28">
        <v>2015</v>
      </c>
      <c r="F118" s="28">
        <v>2015</v>
      </c>
    </row>
    <row r="119" spans="1:6">
      <c r="A119" s="31">
        <v>37</v>
      </c>
      <c r="B119" s="31" t="s">
        <v>2970</v>
      </c>
      <c r="C119" s="31">
        <v>1</v>
      </c>
      <c r="D119" s="33">
        <v>123126</v>
      </c>
      <c r="E119" s="31">
        <v>1</v>
      </c>
      <c r="F119" s="31">
        <v>1</v>
      </c>
    </row>
    <row r="120" spans="1:6">
      <c r="A120" s="31" t="s">
        <v>1840</v>
      </c>
      <c r="B120" s="31"/>
      <c r="C120" s="45"/>
      <c r="D120" s="33"/>
      <c r="E120" s="31"/>
      <c r="F120" s="45"/>
    </row>
    <row r="121" spans="1:6">
      <c r="A121" s="31">
        <v>38</v>
      </c>
      <c r="B121" s="31" t="s">
        <v>1752</v>
      </c>
      <c r="C121" s="45"/>
      <c r="D121" s="33">
        <v>40000</v>
      </c>
      <c r="E121" s="43"/>
      <c r="F121" s="45"/>
    </row>
    <row r="122" spans="1:6">
      <c r="A122" s="46" t="s">
        <v>1840</v>
      </c>
      <c r="B122" s="46" t="s">
        <v>1684</v>
      </c>
      <c r="C122" s="46" t="s">
        <v>1840</v>
      </c>
      <c r="D122" s="39">
        <f>D121</f>
        <v>40000</v>
      </c>
      <c r="E122" s="44">
        <v>3200000</v>
      </c>
      <c r="F122" s="44">
        <f>3200000+700000</f>
        <v>3900000</v>
      </c>
    </row>
    <row r="123" spans="1:6">
      <c r="A123" s="25" t="s">
        <v>1840</v>
      </c>
      <c r="B123" s="224" t="s">
        <v>1753</v>
      </c>
      <c r="C123" s="25"/>
      <c r="D123" s="40"/>
      <c r="E123" s="25"/>
    </row>
    <row r="124" spans="1:6" ht="23.25">
      <c r="A124" s="27" t="s">
        <v>1620</v>
      </c>
      <c r="B124" s="27" t="s">
        <v>903</v>
      </c>
      <c r="C124" s="27" t="s">
        <v>2200</v>
      </c>
      <c r="D124" s="27" t="s">
        <v>1188</v>
      </c>
      <c r="E124" s="27" t="s">
        <v>1841</v>
      </c>
      <c r="F124" s="27" t="s">
        <v>4512</v>
      </c>
    </row>
    <row r="125" spans="1:6">
      <c r="A125" s="28"/>
      <c r="B125" s="28"/>
      <c r="C125" s="28">
        <v>2014</v>
      </c>
      <c r="D125" s="28">
        <v>2014</v>
      </c>
      <c r="E125" s="28">
        <v>2015</v>
      </c>
      <c r="F125" s="28">
        <v>2015</v>
      </c>
    </row>
    <row r="126" spans="1:6">
      <c r="A126" s="31">
        <v>39</v>
      </c>
      <c r="B126" s="31" t="s">
        <v>2970</v>
      </c>
      <c r="C126" s="31">
        <v>1</v>
      </c>
      <c r="D126" s="33">
        <v>123126</v>
      </c>
      <c r="E126" s="31">
        <v>1</v>
      </c>
      <c r="F126" s="31">
        <v>1</v>
      </c>
    </row>
    <row r="127" spans="1:6">
      <c r="A127" s="31">
        <v>40</v>
      </c>
      <c r="B127" s="31" t="s">
        <v>1800</v>
      </c>
      <c r="C127" s="31">
        <v>4</v>
      </c>
      <c r="D127" s="33">
        <v>440000</v>
      </c>
      <c r="E127" s="31">
        <v>4</v>
      </c>
      <c r="F127" s="31">
        <v>4</v>
      </c>
    </row>
    <row r="128" spans="1:6">
      <c r="A128" s="31" t="s">
        <v>1840</v>
      </c>
      <c r="B128" s="31"/>
      <c r="C128" s="31"/>
      <c r="D128" s="33"/>
      <c r="E128" s="31"/>
      <c r="F128" s="31"/>
    </row>
    <row r="129" spans="1:6" ht="23.25">
      <c r="A129" s="31">
        <v>41</v>
      </c>
      <c r="B129" s="31" t="s">
        <v>778</v>
      </c>
      <c r="C129" s="43" t="s">
        <v>1182</v>
      </c>
      <c r="D129" s="33">
        <v>24000</v>
      </c>
      <c r="E129" s="43" t="s">
        <v>1182</v>
      </c>
      <c r="F129" s="43" t="s">
        <v>1182</v>
      </c>
    </row>
    <row r="130" spans="1:6">
      <c r="A130" s="31" t="s">
        <v>1840</v>
      </c>
      <c r="B130" s="31"/>
      <c r="C130" s="31"/>
      <c r="D130" s="33"/>
      <c r="E130" s="31"/>
      <c r="F130" s="31"/>
    </row>
    <row r="131" spans="1:6">
      <c r="A131" s="31">
        <v>42</v>
      </c>
      <c r="B131" s="31" t="s">
        <v>774</v>
      </c>
      <c r="C131" s="43" t="s">
        <v>1182</v>
      </c>
      <c r="D131" s="33">
        <v>60000</v>
      </c>
      <c r="E131" s="43" t="s">
        <v>1182</v>
      </c>
      <c r="F131" s="43" t="s">
        <v>1182</v>
      </c>
    </row>
    <row r="132" spans="1:6">
      <c r="A132" s="214" t="s">
        <v>1840</v>
      </c>
      <c r="B132" s="214" t="s">
        <v>1684</v>
      </c>
      <c r="C132" s="214" t="s">
        <v>1840</v>
      </c>
      <c r="D132" s="215">
        <f>SUM(D126:D131)</f>
        <v>647126</v>
      </c>
      <c r="E132" s="216">
        <v>65000000</v>
      </c>
      <c r="F132" s="216">
        <v>33006588</v>
      </c>
    </row>
    <row r="133" spans="1:6">
      <c r="A133" s="217"/>
      <c r="B133" s="217"/>
      <c r="C133" s="217" t="s">
        <v>1840</v>
      </c>
      <c r="D133" s="218"/>
      <c r="E133" s="217"/>
      <c r="F133" s="219"/>
    </row>
    <row r="134" spans="1:6">
      <c r="A134" s="217" t="s">
        <v>1840</v>
      </c>
      <c r="B134" s="203" t="s">
        <v>1913</v>
      </c>
      <c r="C134" s="217"/>
      <c r="D134" s="218"/>
      <c r="E134" s="217"/>
      <c r="F134" s="219"/>
    </row>
    <row r="135" spans="1:6" ht="26.25">
      <c r="A135" s="220" t="s">
        <v>1620</v>
      </c>
      <c r="B135" s="220" t="s">
        <v>903</v>
      </c>
      <c r="C135" s="220" t="s">
        <v>2200</v>
      </c>
      <c r="D135" s="220" t="s">
        <v>1188</v>
      </c>
      <c r="E135" s="220" t="s">
        <v>1841</v>
      </c>
      <c r="F135" s="27" t="s">
        <v>4512</v>
      </c>
    </row>
    <row r="136" spans="1:6">
      <c r="A136" s="221"/>
      <c r="B136" s="221"/>
      <c r="C136" s="221">
        <v>2014</v>
      </c>
      <c r="D136" s="221">
        <v>2014</v>
      </c>
      <c r="E136" s="221">
        <v>2015</v>
      </c>
      <c r="F136" s="221">
        <v>2015</v>
      </c>
    </row>
    <row r="137" spans="1:6">
      <c r="A137" s="222">
        <v>43</v>
      </c>
      <c r="B137" s="222" t="s">
        <v>1804</v>
      </c>
      <c r="C137" s="222">
        <v>1</v>
      </c>
      <c r="D137" s="223">
        <v>123126</v>
      </c>
      <c r="E137" s="222">
        <v>1</v>
      </c>
      <c r="F137" s="222">
        <v>1</v>
      </c>
    </row>
    <row r="138" spans="1:6">
      <c r="A138" s="222" t="s">
        <v>1840</v>
      </c>
      <c r="B138" s="222"/>
      <c r="C138" s="222"/>
      <c r="D138" s="223"/>
      <c r="E138" s="222"/>
      <c r="F138" s="222"/>
    </row>
    <row r="139" spans="1:6">
      <c r="A139" s="222">
        <v>44</v>
      </c>
      <c r="B139" s="222" t="s">
        <v>426</v>
      </c>
      <c r="C139" s="222">
        <v>2</v>
      </c>
      <c r="D139" s="223">
        <v>220010</v>
      </c>
      <c r="E139" s="222">
        <v>2</v>
      </c>
      <c r="F139" s="222">
        <v>2</v>
      </c>
    </row>
    <row r="140" spans="1:6">
      <c r="A140" s="222" t="s">
        <v>1840</v>
      </c>
      <c r="B140" s="222"/>
      <c r="C140" s="222"/>
      <c r="D140" s="223"/>
      <c r="E140" s="222"/>
      <c r="F140" s="222"/>
    </row>
    <row r="141" spans="1:6">
      <c r="A141" s="222">
        <v>45</v>
      </c>
      <c r="B141" s="222" t="s">
        <v>3771</v>
      </c>
      <c r="C141" s="222">
        <v>1</v>
      </c>
      <c r="D141" s="223" t="s">
        <v>3772</v>
      </c>
      <c r="E141" s="222">
        <v>1</v>
      </c>
      <c r="F141" s="222">
        <v>1</v>
      </c>
    </row>
    <row r="142" spans="1:6">
      <c r="A142" s="222" t="s">
        <v>1840</v>
      </c>
      <c r="B142" s="222"/>
      <c r="C142" s="222"/>
      <c r="D142" s="223"/>
      <c r="E142" s="222"/>
      <c r="F142" s="222"/>
    </row>
    <row r="143" spans="1:6" ht="26.25">
      <c r="A143" s="222">
        <v>46</v>
      </c>
      <c r="B143" s="222" t="s">
        <v>3773</v>
      </c>
      <c r="C143" s="222"/>
      <c r="D143" s="223">
        <v>8000</v>
      </c>
      <c r="E143" s="222"/>
      <c r="F143" s="222"/>
    </row>
    <row r="144" spans="1:6">
      <c r="A144" s="214" t="s">
        <v>1840</v>
      </c>
      <c r="B144" s="214" t="s">
        <v>1684</v>
      </c>
      <c r="C144" s="214"/>
      <c r="D144" s="215">
        <f>SUM(D137:D143)</f>
        <v>351136</v>
      </c>
      <c r="E144" s="216">
        <v>6600000</v>
      </c>
      <c r="F144" s="216">
        <v>6600000</v>
      </c>
    </row>
    <row r="145" spans="1:6">
      <c r="A145" s="217"/>
      <c r="B145" s="226" t="s">
        <v>3483</v>
      </c>
      <c r="C145" s="217"/>
      <c r="D145" s="217"/>
      <c r="E145" s="217"/>
      <c r="F145" s="222"/>
    </row>
    <row r="146" spans="1:6" ht="26.25">
      <c r="A146" s="220" t="s">
        <v>1620</v>
      </c>
      <c r="B146" s="220" t="s">
        <v>903</v>
      </c>
      <c r="C146" s="220" t="s">
        <v>2200</v>
      </c>
      <c r="D146" s="220" t="s">
        <v>1188</v>
      </c>
      <c r="E146" s="220" t="s">
        <v>1841</v>
      </c>
      <c r="F146" s="27" t="s">
        <v>4512</v>
      </c>
    </row>
    <row r="147" spans="1:6">
      <c r="A147" s="221"/>
      <c r="B147" s="221"/>
      <c r="C147" s="221">
        <v>2014</v>
      </c>
      <c r="D147" s="221">
        <v>2014</v>
      </c>
      <c r="E147" s="221">
        <v>2015</v>
      </c>
      <c r="F147" s="221">
        <v>2015</v>
      </c>
    </row>
    <row r="148" spans="1:6">
      <c r="A148" s="222">
        <v>47</v>
      </c>
      <c r="B148" s="222" t="s">
        <v>3785</v>
      </c>
      <c r="C148" s="222">
        <v>1</v>
      </c>
      <c r="D148" s="223">
        <v>123126</v>
      </c>
      <c r="E148" s="222">
        <v>1</v>
      </c>
      <c r="F148" s="222">
        <v>1</v>
      </c>
    </row>
    <row r="149" spans="1:6">
      <c r="A149" s="31"/>
      <c r="B149" s="31"/>
      <c r="C149" s="47"/>
      <c r="D149" s="31"/>
      <c r="E149" s="31"/>
      <c r="F149" s="47"/>
    </row>
    <row r="150" spans="1:6">
      <c r="A150" s="31">
        <v>48</v>
      </c>
      <c r="B150" s="31" t="s">
        <v>4056</v>
      </c>
      <c r="C150" s="45">
        <v>0</v>
      </c>
      <c r="D150" s="33">
        <v>10000</v>
      </c>
      <c r="E150" s="45">
        <v>0</v>
      </c>
      <c r="F150" s="45">
        <v>0</v>
      </c>
    </row>
    <row r="151" spans="1:6">
      <c r="A151" s="31"/>
      <c r="B151" s="31"/>
      <c r="C151" s="45"/>
      <c r="D151" s="33"/>
      <c r="E151" s="31"/>
      <c r="F151" s="45"/>
    </row>
    <row r="152" spans="1:6">
      <c r="A152" s="31">
        <v>49</v>
      </c>
      <c r="B152" s="31" t="s">
        <v>2967</v>
      </c>
      <c r="C152" s="45">
        <v>0</v>
      </c>
      <c r="D152" s="33">
        <v>20010</v>
      </c>
      <c r="E152" s="45">
        <v>0</v>
      </c>
      <c r="F152" s="45">
        <v>0</v>
      </c>
    </row>
    <row r="153" spans="1:6">
      <c r="A153" s="31"/>
      <c r="B153" s="31"/>
      <c r="C153" s="47"/>
      <c r="D153" s="31"/>
      <c r="E153" s="31"/>
      <c r="F153" s="47"/>
    </row>
    <row r="154" spans="1:6">
      <c r="A154" s="31">
        <v>50</v>
      </c>
      <c r="B154" s="31" t="s">
        <v>2968</v>
      </c>
      <c r="C154" s="45">
        <v>0</v>
      </c>
      <c r="D154" s="33">
        <v>19840</v>
      </c>
      <c r="E154" s="45">
        <v>0</v>
      </c>
      <c r="F154" s="45">
        <v>0</v>
      </c>
    </row>
    <row r="155" spans="1:6">
      <c r="A155" s="31"/>
      <c r="B155" s="31"/>
      <c r="C155" s="45"/>
      <c r="D155" s="33"/>
      <c r="E155" s="31"/>
      <c r="F155" s="45"/>
    </row>
    <row r="156" spans="1:6">
      <c r="A156" s="31">
        <v>51</v>
      </c>
      <c r="B156" s="31" t="s">
        <v>774</v>
      </c>
      <c r="C156" s="45">
        <v>0</v>
      </c>
      <c r="D156" s="33">
        <v>20010</v>
      </c>
      <c r="E156" s="45">
        <v>0</v>
      </c>
      <c r="F156" s="45">
        <v>0</v>
      </c>
    </row>
    <row r="157" spans="1:6">
      <c r="A157" s="36" t="s">
        <v>1840</v>
      </c>
      <c r="B157" s="48" t="s">
        <v>1684</v>
      </c>
      <c r="C157" s="48"/>
      <c r="D157" s="49">
        <f>SUM(D148:D156)</f>
        <v>192986</v>
      </c>
      <c r="E157" s="44">
        <v>10000000</v>
      </c>
      <c r="F157" s="44">
        <v>32365969</v>
      </c>
    </row>
    <row r="158" spans="1:6">
      <c r="A158" s="25" t="s">
        <v>1840</v>
      </c>
      <c r="B158" s="224" t="s">
        <v>1887</v>
      </c>
      <c r="C158" s="25"/>
      <c r="D158" s="40"/>
      <c r="E158" s="25"/>
    </row>
    <row r="159" spans="1:6" ht="23.25">
      <c r="A159" s="27" t="s">
        <v>1620</v>
      </c>
      <c r="B159" s="27" t="s">
        <v>903</v>
      </c>
      <c r="C159" s="27" t="s">
        <v>2200</v>
      </c>
      <c r="D159" s="27" t="s">
        <v>1188</v>
      </c>
      <c r="E159" s="27" t="s">
        <v>1841</v>
      </c>
      <c r="F159" s="27" t="s">
        <v>4512</v>
      </c>
    </row>
    <row r="160" spans="1:6">
      <c r="A160" s="28"/>
      <c r="B160" s="28"/>
      <c r="C160" s="28">
        <v>2014</v>
      </c>
      <c r="D160" s="28">
        <v>2014</v>
      </c>
      <c r="E160" s="28">
        <v>2015</v>
      </c>
      <c r="F160" s="28">
        <v>2015</v>
      </c>
    </row>
    <row r="161" spans="1:6">
      <c r="A161" s="31">
        <v>52</v>
      </c>
      <c r="B161" s="31" t="s">
        <v>2970</v>
      </c>
      <c r="C161" s="31">
        <v>1</v>
      </c>
      <c r="D161" s="33">
        <v>123126</v>
      </c>
      <c r="E161" s="31">
        <v>1</v>
      </c>
      <c r="F161" s="31">
        <v>1</v>
      </c>
    </row>
    <row r="162" spans="1:6">
      <c r="A162" s="31" t="s">
        <v>1840</v>
      </c>
      <c r="B162" s="31"/>
      <c r="C162" s="31"/>
      <c r="D162" s="33" t="s">
        <v>1840</v>
      </c>
      <c r="E162" s="31"/>
      <c r="F162" s="31"/>
    </row>
    <row r="163" spans="1:6">
      <c r="A163" s="31">
        <v>53</v>
      </c>
      <c r="B163" s="31" t="s">
        <v>1800</v>
      </c>
      <c r="C163" s="31">
        <v>4</v>
      </c>
      <c r="D163" s="33">
        <v>440000</v>
      </c>
      <c r="E163" s="31">
        <v>4</v>
      </c>
      <c r="F163" s="31">
        <v>4</v>
      </c>
    </row>
    <row r="164" spans="1:6">
      <c r="A164" s="31" t="s">
        <v>1840</v>
      </c>
      <c r="B164" s="31"/>
      <c r="C164" s="45"/>
      <c r="D164" s="33"/>
      <c r="E164" s="31"/>
      <c r="F164" s="45"/>
    </row>
    <row r="165" spans="1:6" ht="23.25">
      <c r="A165" s="31">
        <v>54</v>
      </c>
      <c r="B165" s="31" t="s">
        <v>778</v>
      </c>
      <c r="C165" s="45">
        <v>0</v>
      </c>
      <c r="D165" s="33">
        <v>24000</v>
      </c>
      <c r="E165" s="45">
        <v>0</v>
      </c>
      <c r="F165" s="45">
        <v>0</v>
      </c>
    </row>
    <row r="166" spans="1:6">
      <c r="A166" s="31" t="s">
        <v>1840</v>
      </c>
      <c r="B166" s="31"/>
      <c r="C166" s="45"/>
      <c r="D166" s="33"/>
      <c r="E166" s="31"/>
      <c r="F166" s="45"/>
    </row>
    <row r="167" spans="1:6">
      <c r="A167" s="31">
        <v>55</v>
      </c>
      <c r="B167" s="31" t="s">
        <v>774</v>
      </c>
      <c r="C167" s="45">
        <v>0</v>
      </c>
      <c r="D167" s="33">
        <v>60000</v>
      </c>
      <c r="E167" s="45">
        <v>0</v>
      </c>
      <c r="F167" s="45">
        <v>0</v>
      </c>
    </row>
    <row r="168" spans="1:6">
      <c r="A168" s="31"/>
      <c r="B168" s="31"/>
      <c r="C168" s="45"/>
      <c r="D168" s="33"/>
      <c r="E168" s="31"/>
      <c r="F168" s="45"/>
    </row>
    <row r="169" spans="1:6">
      <c r="A169" s="46" t="s">
        <v>1840</v>
      </c>
      <c r="B169" s="46" t="s">
        <v>1684</v>
      </c>
      <c r="C169" s="46" t="s">
        <v>1840</v>
      </c>
      <c r="D169" s="39">
        <f>SUM(D161:D168)</f>
        <v>647126</v>
      </c>
      <c r="E169" s="44">
        <v>26000000</v>
      </c>
      <c r="F169" s="44">
        <v>38400000</v>
      </c>
    </row>
    <row r="170" spans="1:6">
      <c r="A170" s="25" t="s">
        <v>1840</v>
      </c>
      <c r="B170" s="25" t="s">
        <v>1840</v>
      </c>
      <c r="C170" s="25" t="s">
        <v>1840</v>
      </c>
      <c r="D170" s="25" t="s">
        <v>1840</v>
      </c>
      <c r="E170" s="25" t="s">
        <v>1840</v>
      </c>
      <c r="F170" s="25" t="s">
        <v>1840</v>
      </c>
    </row>
    <row r="171" spans="1:6">
      <c r="A171" s="25" t="s">
        <v>1840</v>
      </c>
      <c r="B171" s="224" t="s">
        <v>852</v>
      </c>
      <c r="C171" s="25"/>
      <c r="D171" s="40"/>
      <c r="E171" s="25"/>
    </row>
    <row r="172" spans="1:6" ht="23.25">
      <c r="A172" s="27" t="s">
        <v>1620</v>
      </c>
      <c r="B172" s="27" t="s">
        <v>903</v>
      </c>
      <c r="C172" s="27" t="s">
        <v>2200</v>
      </c>
      <c r="D172" s="27" t="s">
        <v>1188</v>
      </c>
      <c r="E172" s="27" t="s">
        <v>1841</v>
      </c>
      <c r="F172" s="27" t="s">
        <v>4512</v>
      </c>
    </row>
    <row r="173" spans="1:6">
      <c r="A173" s="28"/>
      <c r="B173" s="28"/>
      <c r="C173" s="28">
        <v>2014</v>
      </c>
      <c r="D173" s="28">
        <v>2014</v>
      </c>
      <c r="E173" s="28">
        <v>2015</v>
      </c>
      <c r="F173" s="28">
        <v>2015</v>
      </c>
    </row>
    <row r="174" spans="1:6">
      <c r="A174" s="31">
        <v>52</v>
      </c>
      <c r="B174" s="31" t="s">
        <v>2970</v>
      </c>
      <c r="C174" s="31">
        <v>1</v>
      </c>
      <c r="D174" s="33">
        <v>123126</v>
      </c>
      <c r="E174" s="31">
        <v>1</v>
      </c>
      <c r="F174" s="31">
        <v>1</v>
      </c>
    </row>
    <row r="175" spans="1:6">
      <c r="A175" s="31" t="s">
        <v>1840</v>
      </c>
      <c r="B175" s="31"/>
      <c r="C175" s="31"/>
      <c r="D175" s="33" t="s">
        <v>1840</v>
      </c>
      <c r="E175" s="31"/>
      <c r="F175" s="31"/>
    </row>
    <row r="176" spans="1:6">
      <c r="A176" s="31">
        <v>53</v>
      </c>
      <c r="B176" s="31" t="s">
        <v>1800</v>
      </c>
      <c r="C176" s="31">
        <v>8</v>
      </c>
      <c r="D176" s="33">
        <v>440000</v>
      </c>
      <c r="E176" s="31">
        <v>8</v>
      </c>
      <c r="F176" s="31">
        <v>8</v>
      </c>
    </row>
    <row r="177" spans="1:6">
      <c r="A177" s="31" t="s">
        <v>1840</v>
      </c>
      <c r="B177" s="31"/>
      <c r="C177" s="45"/>
      <c r="D177" s="33"/>
      <c r="E177" s="31"/>
      <c r="F177" s="45"/>
    </row>
    <row r="178" spans="1:6" ht="23.25">
      <c r="A178" s="31">
        <v>54</v>
      </c>
      <c r="B178" s="31" t="s">
        <v>778</v>
      </c>
      <c r="C178" s="45">
        <v>0</v>
      </c>
      <c r="D178" s="33">
        <v>24000</v>
      </c>
      <c r="E178" s="43">
        <v>0</v>
      </c>
      <c r="F178" s="45">
        <v>0</v>
      </c>
    </row>
    <row r="179" spans="1:6">
      <c r="A179" s="31" t="s">
        <v>1840</v>
      </c>
      <c r="B179" s="31"/>
      <c r="C179" s="45"/>
      <c r="D179" s="33"/>
      <c r="E179" s="31"/>
      <c r="F179" s="45"/>
    </row>
    <row r="180" spans="1:6">
      <c r="A180" s="31">
        <v>55</v>
      </c>
      <c r="B180" s="31" t="s">
        <v>774</v>
      </c>
      <c r="C180" s="45">
        <v>0</v>
      </c>
      <c r="D180" s="33">
        <v>60000</v>
      </c>
      <c r="E180" s="43">
        <v>0</v>
      </c>
      <c r="F180" s="45">
        <v>0</v>
      </c>
    </row>
    <row r="181" spans="1:6">
      <c r="A181" s="31"/>
      <c r="B181" s="31"/>
      <c r="C181" s="45"/>
      <c r="D181" s="33"/>
      <c r="E181" s="31"/>
      <c r="F181" s="45"/>
    </row>
    <row r="182" spans="1:6">
      <c r="A182" s="46" t="s">
        <v>1840</v>
      </c>
      <c r="B182" s="46" t="s">
        <v>1684</v>
      </c>
      <c r="C182" s="46" t="s">
        <v>1840</v>
      </c>
      <c r="D182" s="39">
        <f>SUM(D174:D181)</f>
        <v>647126</v>
      </c>
      <c r="E182" s="44">
        <v>60000000</v>
      </c>
      <c r="F182" s="44">
        <v>43882476</v>
      </c>
    </row>
    <row r="183" spans="1:6">
      <c r="A183" s="25"/>
      <c r="B183" s="25"/>
      <c r="C183" s="25"/>
      <c r="D183" s="25"/>
      <c r="E183" s="25"/>
    </row>
    <row r="184" spans="1:6">
      <c r="A184" s="25"/>
      <c r="B184" s="25"/>
      <c r="C184" s="25"/>
      <c r="D184" s="25"/>
      <c r="E184" s="25"/>
    </row>
    <row r="185" spans="1:6">
      <c r="F185" s="50"/>
    </row>
    <row r="186" spans="1:6">
      <c r="A186" s="25" t="s">
        <v>1840</v>
      </c>
      <c r="B186" s="224" t="s">
        <v>860</v>
      </c>
      <c r="C186" s="25"/>
      <c r="D186" s="40"/>
      <c r="E186" s="25"/>
    </row>
    <row r="187" spans="1:6" ht="23.25">
      <c r="A187" s="27" t="s">
        <v>1620</v>
      </c>
      <c r="B187" s="27" t="s">
        <v>903</v>
      </c>
      <c r="C187" s="27" t="s">
        <v>2200</v>
      </c>
      <c r="D187" s="27" t="s">
        <v>1188</v>
      </c>
      <c r="E187" s="27" t="s">
        <v>1841</v>
      </c>
      <c r="F187" s="27" t="s">
        <v>4512</v>
      </c>
    </row>
    <row r="188" spans="1:6">
      <c r="A188" s="28"/>
      <c r="B188" s="28"/>
      <c r="C188" s="28">
        <v>2014</v>
      </c>
      <c r="D188" s="28">
        <v>2014</v>
      </c>
      <c r="E188" s="28">
        <v>2015</v>
      </c>
      <c r="F188" s="28">
        <v>2015</v>
      </c>
    </row>
    <row r="189" spans="1:6">
      <c r="A189" s="31">
        <v>52</v>
      </c>
      <c r="B189" s="31" t="s">
        <v>2970</v>
      </c>
      <c r="C189" s="31">
        <v>1</v>
      </c>
      <c r="D189" s="33">
        <v>123126</v>
      </c>
      <c r="E189" s="31">
        <v>1</v>
      </c>
      <c r="F189" s="31">
        <v>1</v>
      </c>
    </row>
    <row r="190" spans="1:6">
      <c r="A190" s="31" t="s">
        <v>1840</v>
      </c>
      <c r="B190" s="31"/>
      <c r="C190" s="31"/>
      <c r="D190" s="33" t="s">
        <v>1840</v>
      </c>
      <c r="E190" s="31"/>
      <c r="F190" s="31"/>
    </row>
    <row r="191" spans="1:6">
      <c r="A191" s="31">
        <v>53</v>
      </c>
      <c r="B191" s="31" t="s">
        <v>1800</v>
      </c>
      <c r="C191" s="31">
        <v>8</v>
      </c>
      <c r="D191" s="33">
        <v>440000</v>
      </c>
      <c r="E191" s="31">
        <v>8</v>
      </c>
      <c r="F191" s="31">
        <v>8</v>
      </c>
    </row>
    <row r="192" spans="1:6">
      <c r="A192" s="31" t="s">
        <v>1840</v>
      </c>
      <c r="B192" s="31"/>
      <c r="C192" s="45"/>
      <c r="D192" s="33"/>
      <c r="E192" s="31"/>
      <c r="F192" s="45"/>
    </row>
    <row r="193" spans="1:7" ht="23.25">
      <c r="A193" s="31">
        <v>54</v>
      </c>
      <c r="B193" s="31" t="s">
        <v>778</v>
      </c>
      <c r="C193" s="45">
        <v>0</v>
      </c>
      <c r="D193" s="33">
        <v>24000</v>
      </c>
      <c r="E193" s="43">
        <v>0</v>
      </c>
      <c r="F193" s="45">
        <v>0</v>
      </c>
    </row>
    <row r="194" spans="1:7">
      <c r="A194" s="31" t="s">
        <v>1840</v>
      </c>
      <c r="B194" s="31"/>
      <c r="C194" s="45"/>
      <c r="D194" s="33"/>
      <c r="E194" s="31"/>
      <c r="F194" s="45"/>
    </row>
    <row r="195" spans="1:7">
      <c r="A195" s="31">
        <v>55</v>
      </c>
      <c r="B195" s="31" t="s">
        <v>774</v>
      </c>
      <c r="C195" s="45">
        <v>0</v>
      </c>
      <c r="D195" s="33">
        <v>60000</v>
      </c>
      <c r="E195" s="43">
        <v>0</v>
      </c>
      <c r="F195" s="45">
        <v>0</v>
      </c>
    </row>
    <row r="196" spans="1:7">
      <c r="A196" s="31"/>
      <c r="B196" s="31"/>
      <c r="C196" s="45"/>
      <c r="D196" s="33"/>
      <c r="E196" s="31"/>
      <c r="F196" s="45"/>
    </row>
    <row r="197" spans="1:7">
      <c r="A197" s="46" t="s">
        <v>1840</v>
      </c>
      <c r="B197" s="46" t="s">
        <v>1684</v>
      </c>
      <c r="C197" s="46" t="s">
        <v>1840</v>
      </c>
      <c r="D197" s="39">
        <f>SUM(D189:D196)</f>
        <v>647126</v>
      </c>
      <c r="E197" s="44">
        <f>3500000*14</f>
        <v>49000000</v>
      </c>
      <c r="F197" s="44">
        <f>3500000*14</f>
        <v>49000000</v>
      </c>
    </row>
    <row r="198" spans="1:7" ht="18">
      <c r="A198" s="25"/>
      <c r="B198" s="26"/>
      <c r="C198" s="25"/>
      <c r="D198" s="40"/>
      <c r="E198" s="25"/>
      <c r="F198" s="50"/>
    </row>
    <row r="199" spans="1:7">
      <c r="A199" s="25" t="s">
        <v>1840</v>
      </c>
      <c r="B199" s="225" t="s">
        <v>519</v>
      </c>
      <c r="C199" s="25"/>
      <c r="D199" s="40"/>
      <c r="E199" s="25"/>
      <c r="F199" s="50"/>
    </row>
    <row r="200" spans="1:7" ht="23.25">
      <c r="A200" s="27" t="s">
        <v>1620</v>
      </c>
      <c r="B200" s="27" t="s">
        <v>903</v>
      </c>
      <c r="C200" s="27" t="s">
        <v>2200</v>
      </c>
      <c r="D200" s="27" t="s">
        <v>1188</v>
      </c>
      <c r="E200" s="27" t="s">
        <v>1841</v>
      </c>
      <c r="F200" s="27" t="s">
        <v>4512</v>
      </c>
    </row>
    <row r="201" spans="1:7">
      <c r="A201" s="28"/>
      <c r="B201" s="28"/>
      <c r="C201" s="28">
        <v>2014</v>
      </c>
      <c r="D201" s="28">
        <v>2014</v>
      </c>
      <c r="E201" s="28">
        <v>2015</v>
      </c>
      <c r="F201" s="28">
        <v>2015</v>
      </c>
    </row>
    <row r="202" spans="1:7">
      <c r="A202" s="31">
        <v>56</v>
      </c>
      <c r="B202" s="31" t="s">
        <v>3484</v>
      </c>
      <c r="C202" s="51">
        <v>600000000</v>
      </c>
      <c r="D202" s="51">
        <v>700000000</v>
      </c>
      <c r="E202" s="51">
        <v>600000000</v>
      </c>
      <c r="F202" s="51">
        <v>700000000</v>
      </c>
      <c r="G202" s="374">
        <f>12716795+15889035.65+25381885.69+11890644.09+8067847.26</f>
        <v>73946207.690000013</v>
      </c>
    </row>
    <row r="203" spans="1:7">
      <c r="A203" s="31" t="s">
        <v>1840</v>
      </c>
      <c r="B203" s="31"/>
      <c r="C203" s="45"/>
      <c r="D203" s="45"/>
      <c r="E203" s="45"/>
      <c r="F203" s="45"/>
    </row>
    <row r="204" spans="1:7">
      <c r="A204" s="31">
        <v>57</v>
      </c>
      <c r="B204" s="31" t="s">
        <v>3485</v>
      </c>
      <c r="C204" s="51">
        <v>350000000</v>
      </c>
      <c r="D204" s="51">
        <v>250000000</v>
      </c>
      <c r="E204" s="51">
        <v>350000000</v>
      </c>
      <c r="F204" s="51">
        <v>200000000</v>
      </c>
    </row>
    <row r="205" spans="1:7">
      <c r="A205" s="31" t="s">
        <v>1840</v>
      </c>
      <c r="B205" s="31"/>
      <c r="C205" s="45"/>
      <c r="D205" s="45"/>
      <c r="E205" s="45"/>
      <c r="F205" s="45"/>
      <c r="G205" s="372"/>
    </row>
    <row r="206" spans="1:7">
      <c r="A206" s="31">
        <v>58</v>
      </c>
      <c r="B206" s="31" t="s">
        <v>3194</v>
      </c>
      <c r="C206" s="53">
        <v>30000000</v>
      </c>
      <c r="D206" s="53">
        <v>25000000</v>
      </c>
      <c r="E206" s="53">
        <v>25000000</v>
      </c>
      <c r="F206" s="53">
        <v>150000000</v>
      </c>
    </row>
    <row r="207" spans="1:7">
      <c r="A207" s="31" t="s">
        <v>1840</v>
      </c>
      <c r="B207" s="31"/>
      <c r="C207" s="45"/>
      <c r="D207" s="45"/>
      <c r="E207" s="45"/>
      <c r="F207" s="45"/>
    </row>
    <row r="208" spans="1:7">
      <c r="A208" s="31">
        <v>59</v>
      </c>
      <c r="B208" s="31" t="s">
        <v>1673</v>
      </c>
      <c r="C208" s="51">
        <v>15000000</v>
      </c>
      <c r="D208" s="51">
        <v>10000000</v>
      </c>
      <c r="E208" s="51">
        <v>10000000</v>
      </c>
      <c r="F208" s="51">
        <v>15000000</v>
      </c>
    </row>
    <row r="209" spans="1:6">
      <c r="A209" s="31" t="s">
        <v>3556</v>
      </c>
      <c r="B209" s="31"/>
      <c r="C209" s="45"/>
      <c r="D209" s="45"/>
      <c r="E209" s="45"/>
      <c r="F209" s="45"/>
    </row>
    <row r="210" spans="1:6">
      <c r="A210" s="31">
        <v>60</v>
      </c>
      <c r="B210" s="31" t="s">
        <v>4059</v>
      </c>
      <c r="C210" s="54">
        <v>230000</v>
      </c>
      <c r="D210" s="54">
        <v>3500000</v>
      </c>
      <c r="E210" s="54">
        <v>335150000</v>
      </c>
      <c r="F210" s="54">
        <v>2000000</v>
      </c>
    </row>
    <row r="211" spans="1:6">
      <c r="A211" s="31"/>
      <c r="B211" s="31"/>
      <c r="C211" s="54"/>
      <c r="D211" s="52"/>
      <c r="E211" s="54"/>
      <c r="F211" s="54"/>
    </row>
    <row r="212" spans="1:6" ht="23.25">
      <c r="A212" s="31">
        <v>61</v>
      </c>
      <c r="B212" s="31" t="s">
        <v>923</v>
      </c>
      <c r="C212" s="53">
        <v>450000000</v>
      </c>
      <c r="D212" s="53">
        <v>0</v>
      </c>
      <c r="E212" s="53">
        <v>650000000</v>
      </c>
      <c r="F212" s="53">
        <v>250000000</v>
      </c>
    </row>
    <row r="213" spans="1:6">
      <c r="A213" s="31"/>
      <c r="B213" s="31"/>
      <c r="C213" s="45"/>
      <c r="D213" s="33"/>
      <c r="E213" s="51"/>
      <c r="F213" s="45"/>
    </row>
    <row r="214" spans="1:6">
      <c r="A214" s="46"/>
      <c r="B214" s="46" t="s">
        <v>1684</v>
      </c>
      <c r="C214" s="46"/>
      <c r="D214" s="39">
        <f>SUM(D202:D213)</f>
        <v>988500000</v>
      </c>
      <c r="E214" s="44">
        <f>SUM(E202:E210)</f>
        <v>1320150000</v>
      </c>
      <c r="F214" s="44">
        <f>SUM(F202:F213)</f>
        <v>1317000000</v>
      </c>
    </row>
    <row r="215" spans="1:6">
      <c r="F215" s="23"/>
    </row>
    <row r="216" spans="1:6">
      <c r="A216" s="25" t="s">
        <v>1840</v>
      </c>
      <c r="B216" s="224" t="s">
        <v>3697</v>
      </c>
      <c r="C216" s="25"/>
      <c r="D216" s="40"/>
      <c r="E216" s="25"/>
    </row>
    <row r="217" spans="1:6" ht="23.25">
      <c r="A217" s="27" t="s">
        <v>1620</v>
      </c>
      <c r="B217" s="27" t="s">
        <v>903</v>
      </c>
      <c r="C217" s="27" t="s">
        <v>2200</v>
      </c>
      <c r="D217" s="27" t="s">
        <v>1188</v>
      </c>
      <c r="E217" s="27" t="s">
        <v>1841</v>
      </c>
      <c r="F217" s="27" t="s">
        <v>4512</v>
      </c>
    </row>
    <row r="218" spans="1:6">
      <c r="A218" s="28"/>
      <c r="B218" s="28"/>
      <c r="C218" s="28">
        <v>2014</v>
      </c>
      <c r="D218" s="28">
        <v>2014</v>
      </c>
      <c r="E218" s="28">
        <v>2015</v>
      </c>
      <c r="F218" s="28">
        <v>2015</v>
      </c>
    </row>
    <row r="219" spans="1:6">
      <c r="A219" s="31">
        <v>52</v>
      </c>
      <c r="B219" s="31" t="s">
        <v>2970</v>
      </c>
      <c r="C219" s="31">
        <v>1</v>
      </c>
      <c r="D219" s="33">
        <v>123126</v>
      </c>
      <c r="E219" s="31">
        <v>1</v>
      </c>
      <c r="F219" s="31">
        <v>1</v>
      </c>
    </row>
    <row r="220" spans="1:6">
      <c r="A220" s="31" t="s">
        <v>1840</v>
      </c>
      <c r="B220" s="31"/>
      <c r="C220" s="31"/>
      <c r="D220" s="33" t="s">
        <v>1840</v>
      </c>
      <c r="E220" s="31"/>
      <c r="F220" s="31"/>
    </row>
    <row r="221" spans="1:6">
      <c r="A221" s="31">
        <v>53</v>
      </c>
      <c r="B221" s="31" t="s">
        <v>1800</v>
      </c>
      <c r="C221" s="31">
        <v>8</v>
      </c>
      <c r="D221" s="33">
        <v>440000</v>
      </c>
      <c r="E221" s="31">
        <v>8</v>
      </c>
      <c r="F221" s="31">
        <v>8</v>
      </c>
    </row>
    <row r="222" spans="1:6">
      <c r="A222" s="31"/>
      <c r="B222" s="31"/>
      <c r="C222" s="31"/>
      <c r="D222" s="33"/>
      <c r="E222" s="31"/>
      <c r="F222" s="31"/>
    </row>
    <row r="223" spans="1:6">
      <c r="A223" s="46" t="s">
        <v>1840</v>
      </c>
      <c r="B223" s="46" t="s">
        <v>1684</v>
      </c>
      <c r="C223" s="46"/>
      <c r="D223" s="39">
        <f>SUM(D219:D222)</f>
        <v>563126</v>
      </c>
      <c r="E223" s="39">
        <f>SUM(E219:E222)</f>
        <v>9</v>
      </c>
      <c r="F223" s="44">
        <f>3500000*14-20000000</f>
        <v>29000000</v>
      </c>
    </row>
    <row r="224" spans="1:6">
      <c r="A224" s="31"/>
      <c r="B224" s="31"/>
      <c r="C224" s="31"/>
      <c r="D224" s="33"/>
      <c r="E224" s="31"/>
      <c r="F224" s="31"/>
    </row>
    <row r="225" spans="1:6">
      <c r="A225" s="31"/>
      <c r="B225" s="31"/>
      <c r="C225" s="31"/>
      <c r="D225" s="33"/>
      <c r="E225" s="31"/>
      <c r="F225" s="31"/>
    </row>
    <row r="226" spans="1:6">
      <c r="A226" s="31"/>
      <c r="B226" s="31"/>
      <c r="C226" s="31"/>
      <c r="D226" s="33"/>
      <c r="E226" s="31"/>
      <c r="F226" s="31"/>
    </row>
    <row r="227" spans="1:6">
      <c r="A227" s="25" t="s">
        <v>1840</v>
      </c>
      <c r="B227" s="224" t="s">
        <v>3698</v>
      </c>
      <c r="C227" s="25"/>
      <c r="D227" s="40"/>
      <c r="E227" s="25"/>
    </row>
    <row r="228" spans="1:6" ht="23.25">
      <c r="A228" s="27" t="s">
        <v>1620</v>
      </c>
      <c r="B228" s="27" t="s">
        <v>903</v>
      </c>
      <c r="C228" s="27" t="s">
        <v>2200</v>
      </c>
      <c r="D228" s="27" t="s">
        <v>1188</v>
      </c>
      <c r="E228" s="27" t="s">
        <v>1841</v>
      </c>
      <c r="F228" s="27" t="s">
        <v>4512</v>
      </c>
    </row>
    <row r="229" spans="1:6">
      <c r="A229" s="28"/>
      <c r="B229" s="28"/>
      <c r="C229" s="28">
        <v>2014</v>
      </c>
      <c r="D229" s="28">
        <v>2014</v>
      </c>
      <c r="E229" s="28">
        <v>2015</v>
      </c>
      <c r="F229" s="28">
        <v>2015</v>
      </c>
    </row>
    <row r="230" spans="1:6">
      <c r="A230" s="31">
        <v>55</v>
      </c>
      <c r="B230" s="31" t="s">
        <v>210</v>
      </c>
      <c r="C230" s="42">
        <v>5000000</v>
      </c>
      <c r="D230" s="31"/>
      <c r="E230" s="42">
        <v>25000000</v>
      </c>
      <c r="F230" s="42">
        <v>5000000</v>
      </c>
    </row>
    <row r="231" spans="1:6">
      <c r="A231" s="31"/>
      <c r="B231" s="31"/>
      <c r="C231" s="42"/>
      <c r="D231" s="31"/>
      <c r="E231" s="42"/>
      <c r="F231" s="42"/>
    </row>
    <row r="232" spans="1:6">
      <c r="A232" s="31">
        <v>56</v>
      </c>
      <c r="B232" s="31" t="s">
        <v>1357</v>
      </c>
      <c r="C232" s="42">
        <v>10000000</v>
      </c>
      <c r="D232" s="31"/>
      <c r="E232" s="42">
        <v>10000000</v>
      </c>
      <c r="F232" s="42">
        <v>10000000</v>
      </c>
    </row>
    <row r="233" spans="1:6">
      <c r="A233" s="31"/>
      <c r="B233" s="31"/>
      <c r="C233" s="42"/>
      <c r="D233" s="31"/>
      <c r="E233" s="42"/>
      <c r="F233" s="42"/>
    </row>
    <row r="234" spans="1:6">
      <c r="A234" s="31">
        <v>57</v>
      </c>
      <c r="B234" s="31" t="s">
        <v>1358</v>
      </c>
      <c r="C234" s="42">
        <v>10000000</v>
      </c>
      <c r="D234" s="31"/>
      <c r="E234" s="42">
        <v>10000000</v>
      </c>
      <c r="F234" s="42">
        <v>10000000</v>
      </c>
    </row>
    <row r="235" spans="1:6">
      <c r="A235" s="31"/>
      <c r="B235" s="31"/>
      <c r="C235" s="42"/>
      <c r="D235" s="31"/>
      <c r="E235" s="42"/>
      <c r="F235" s="42"/>
    </row>
    <row r="236" spans="1:6" ht="23.25">
      <c r="A236" s="31">
        <v>58</v>
      </c>
      <c r="B236" s="31" t="s">
        <v>3756</v>
      </c>
      <c r="C236" s="42">
        <v>10000000</v>
      </c>
      <c r="D236" s="31"/>
      <c r="E236" s="42">
        <v>10000000</v>
      </c>
      <c r="F236" s="42">
        <v>10000000</v>
      </c>
    </row>
    <row r="237" spans="1:6">
      <c r="A237" s="31" t="s">
        <v>1840</v>
      </c>
      <c r="B237" s="31"/>
      <c r="C237" s="53"/>
      <c r="D237" s="52" t="s">
        <v>3007</v>
      </c>
      <c r="E237" s="53"/>
      <c r="F237" s="53"/>
    </row>
    <row r="238" spans="1:6">
      <c r="A238" s="31">
        <v>59</v>
      </c>
      <c r="B238" s="31" t="s">
        <v>3757</v>
      </c>
      <c r="C238" s="51">
        <v>0</v>
      </c>
      <c r="D238" s="33">
        <v>5000000</v>
      </c>
      <c r="E238" s="51">
        <v>20000000</v>
      </c>
      <c r="F238" s="51">
        <v>0</v>
      </c>
    </row>
    <row r="239" spans="1:6">
      <c r="A239" s="31"/>
      <c r="B239" s="31"/>
      <c r="C239" s="53"/>
      <c r="D239" s="52"/>
      <c r="E239" s="53"/>
      <c r="F239" s="53"/>
    </row>
    <row r="240" spans="1:6">
      <c r="A240" s="31">
        <v>60</v>
      </c>
      <c r="B240" s="31" t="s">
        <v>3604</v>
      </c>
      <c r="C240" s="51">
        <v>0</v>
      </c>
      <c r="D240" s="52">
        <v>10000000</v>
      </c>
      <c r="E240" s="51">
        <v>20000000</v>
      </c>
      <c r="F240" s="51">
        <v>0</v>
      </c>
    </row>
    <row r="241" spans="1:6">
      <c r="A241" s="31" t="s">
        <v>1840</v>
      </c>
      <c r="B241" s="43" t="s">
        <v>3556</v>
      </c>
      <c r="C241" s="51"/>
      <c r="D241" s="33" t="s">
        <v>1840</v>
      </c>
      <c r="E241" s="51"/>
      <c r="F241" s="51"/>
    </row>
    <row r="242" spans="1:6">
      <c r="A242" s="31">
        <v>61</v>
      </c>
      <c r="B242" s="31" t="s">
        <v>3605</v>
      </c>
      <c r="C242" s="51">
        <v>3000000</v>
      </c>
      <c r="D242" s="33">
        <v>5000000</v>
      </c>
      <c r="E242" s="51">
        <v>3000000</v>
      </c>
      <c r="F242" s="51">
        <v>3000000</v>
      </c>
    </row>
    <row r="243" spans="1:6">
      <c r="A243" s="31" t="s">
        <v>1840</v>
      </c>
      <c r="B243" s="31"/>
      <c r="C243" s="51"/>
      <c r="D243" s="33" t="s">
        <v>1840</v>
      </c>
      <c r="E243" s="51"/>
      <c r="F243" s="51"/>
    </row>
    <row r="244" spans="1:6">
      <c r="A244" s="31">
        <v>62</v>
      </c>
      <c r="B244" s="31" t="s">
        <v>3618</v>
      </c>
      <c r="C244" s="51">
        <v>0</v>
      </c>
      <c r="D244" s="33">
        <v>5000000</v>
      </c>
      <c r="E244" s="51">
        <v>20000000</v>
      </c>
      <c r="F244" s="51">
        <v>0</v>
      </c>
    </row>
    <row r="245" spans="1:6">
      <c r="A245" s="31" t="s">
        <v>1840</v>
      </c>
      <c r="B245" s="31"/>
      <c r="C245" s="33"/>
      <c r="D245" s="33" t="s">
        <v>1840</v>
      </c>
      <c r="E245" s="33"/>
      <c r="F245" s="33"/>
    </row>
    <row r="246" spans="1:6">
      <c r="A246" s="31">
        <v>63</v>
      </c>
      <c r="B246" s="31" t="s">
        <v>3622</v>
      </c>
      <c r="C246" s="52">
        <v>0</v>
      </c>
      <c r="D246" s="52" t="s">
        <v>3007</v>
      </c>
      <c r="E246" s="52">
        <v>20000000</v>
      </c>
      <c r="F246" s="52">
        <v>0</v>
      </c>
    </row>
    <row r="247" spans="1:6">
      <c r="A247" s="31"/>
      <c r="B247" s="31"/>
      <c r="C247" s="52"/>
      <c r="D247" s="52"/>
      <c r="E247" s="52"/>
      <c r="F247" s="52"/>
    </row>
    <row r="248" spans="1:6">
      <c r="A248" s="31"/>
      <c r="B248" s="31"/>
      <c r="C248" s="31"/>
      <c r="D248" s="31"/>
      <c r="E248" s="31"/>
      <c r="F248" s="31"/>
    </row>
    <row r="249" spans="1:6">
      <c r="A249" s="46" t="s">
        <v>1840</v>
      </c>
      <c r="B249" s="46" t="s">
        <v>1684</v>
      </c>
      <c r="C249" s="46"/>
      <c r="D249" s="39">
        <f>SUM(D220:D248)</f>
        <v>26005140</v>
      </c>
      <c r="E249" s="39">
        <f>SUM(E221:E248)</f>
        <v>138002032</v>
      </c>
      <c r="F249" s="39">
        <f>SUM(F230:F248)</f>
        <v>38000000</v>
      </c>
    </row>
    <row r="250" spans="1:6">
      <c r="A250" s="25"/>
      <c r="B250" s="25"/>
      <c r="C250" s="25"/>
      <c r="D250" s="25"/>
      <c r="E250" s="25"/>
    </row>
    <row r="251" spans="1:6" ht="20.25">
      <c r="A251" s="25"/>
      <c r="B251" s="55" t="s">
        <v>3623</v>
      </c>
      <c r="C251" s="25"/>
      <c r="D251" s="40"/>
      <c r="E251" s="25"/>
    </row>
    <row r="252" spans="1:6" ht="23.25">
      <c r="A252" s="27" t="s">
        <v>1620</v>
      </c>
      <c r="B252" s="27" t="s">
        <v>903</v>
      </c>
      <c r="C252" s="27" t="s">
        <v>2200</v>
      </c>
      <c r="D252" s="27" t="s">
        <v>1188</v>
      </c>
      <c r="E252" s="27" t="s">
        <v>1841</v>
      </c>
      <c r="F252" s="27" t="s">
        <v>4306</v>
      </c>
    </row>
    <row r="253" spans="1:6">
      <c r="A253" s="28"/>
      <c r="B253" s="28"/>
      <c r="C253" s="28">
        <v>2014</v>
      </c>
      <c r="D253" s="28">
        <v>2014</v>
      </c>
      <c r="E253" s="28">
        <v>2015</v>
      </c>
      <c r="F253" s="28">
        <v>2015</v>
      </c>
    </row>
    <row r="254" spans="1:6">
      <c r="A254" s="31"/>
      <c r="B254" s="31" t="s">
        <v>3863</v>
      </c>
      <c r="C254" s="31">
        <v>198036390.91750002</v>
      </c>
      <c r="D254" s="33">
        <v>293100000</v>
      </c>
      <c r="E254" s="33">
        <f>E51*1+E87</f>
        <v>305100000</v>
      </c>
      <c r="F254" s="223">
        <f>F51*1+F87</f>
        <v>198036390.91750002</v>
      </c>
    </row>
    <row r="255" spans="1:6">
      <c r="A255" s="31"/>
      <c r="B255" s="31" t="s">
        <v>2965</v>
      </c>
      <c r="C255" s="31">
        <v>8866116</v>
      </c>
      <c r="D255" s="33">
        <v>8866116</v>
      </c>
      <c r="E255" s="33">
        <f>E101*1</f>
        <v>10000000</v>
      </c>
      <c r="F255" s="256">
        <f>F101*1</f>
        <v>8866116</v>
      </c>
    </row>
    <row r="256" spans="1:6">
      <c r="A256" s="31"/>
      <c r="B256" s="31" t="s">
        <v>2969</v>
      </c>
      <c r="C256" s="31">
        <v>32163684</v>
      </c>
      <c r="D256" s="33">
        <v>32163684</v>
      </c>
      <c r="E256" s="33">
        <f>E114*1</f>
        <v>35000000</v>
      </c>
      <c r="F256" s="256">
        <f>F114*1</f>
        <v>22130748</v>
      </c>
    </row>
    <row r="257" spans="1:9">
      <c r="A257" s="31"/>
      <c r="B257" s="31" t="s">
        <v>694</v>
      </c>
      <c r="C257" s="31">
        <v>3200000</v>
      </c>
      <c r="D257" s="33">
        <v>3200000</v>
      </c>
      <c r="E257" s="33">
        <f>E122*1</f>
        <v>3200000</v>
      </c>
      <c r="F257" s="256">
        <f>F122*1</f>
        <v>3900000</v>
      </c>
    </row>
    <row r="258" spans="1:9">
      <c r="A258" s="31"/>
      <c r="B258" s="31" t="s">
        <v>1753</v>
      </c>
      <c r="C258" s="31">
        <v>57540910</v>
      </c>
      <c r="D258" s="33">
        <v>57540910</v>
      </c>
      <c r="E258" s="33">
        <f>E132*1</f>
        <v>65000000</v>
      </c>
      <c r="F258" s="256">
        <f>F132*1</f>
        <v>33006588</v>
      </c>
    </row>
    <row r="259" spans="1:9">
      <c r="A259" s="31"/>
      <c r="B259" s="31" t="s">
        <v>1913</v>
      </c>
      <c r="C259" s="31">
        <v>6600000</v>
      </c>
      <c r="D259" s="33">
        <v>6600000</v>
      </c>
      <c r="E259" s="33">
        <f>E144*1</f>
        <v>6600000</v>
      </c>
      <c r="F259" s="256">
        <f>F144*1</f>
        <v>6600000</v>
      </c>
    </row>
    <row r="260" spans="1:9">
      <c r="A260" s="31"/>
      <c r="B260" s="31" t="s">
        <v>692</v>
      </c>
      <c r="C260" s="31">
        <v>8866116</v>
      </c>
      <c r="D260" s="33">
        <v>8866116</v>
      </c>
      <c r="E260" s="33">
        <f>E157*1</f>
        <v>10000000</v>
      </c>
      <c r="F260" s="256">
        <f>F157*1</f>
        <v>32365969</v>
      </c>
    </row>
    <row r="261" spans="1:9" ht="23.25">
      <c r="A261" s="31"/>
      <c r="B261" s="31" t="s">
        <v>36</v>
      </c>
      <c r="C261" s="31">
        <v>21032928</v>
      </c>
      <c r="D261" s="33">
        <v>21032928</v>
      </c>
      <c r="E261" s="33">
        <f>+E169</f>
        <v>26000000</v>
      </c>
      <c r="F261" s="256">
        <f>+F169</f>
        <v>38400000</v>
      </c>
    </row>
    <row r="262" spans="1:9">
      <c r="A262" s="31"/>
      <c r="B262" s="31" t="s">
        <v>37</v>
      </c>
      <c r="C262" s="31">
        <v>51196600</v>
      </c>
      <c r="D262" s="33">
        <v>51196600</v>
      </c>
      <c r="E262" s="33">
        <f>+E182</f>
        <v>60000000</v>
      </c>
      <c r="F262" s="256">
        <f>+F182</f>
        <v>43882476</v>
      </c>
    </row>
    <row r="263" spans="1:9">
      <c r="A263" s="31"/>
      <c r="B263" s="31" t="s">
        <v>38</v>
      </c>
      <c r="C263" s="31">
        <v>49000000</v>
      </c>
      <c r="D263" s="33">
        <v>49000000</v>
      </c>
      <c r="E263" s="33">
        <f>E197</f>
        <v>49000000</v>
      </c>
      <c r="F263" s="256">
        <f>F223</f>
        <v>29000000</v>
      </c>
    </row>
    <row r="264" spans="1:9">
      <c r="A264" s="31"/>
      <c r="B264" s="31" t="s">
        <v>39</v>
      </c>
      <c r="C264" s="31">
        <v>1445230000</v>
      </c>
      <c r="D264" s="33">
        <v>988500000</v>
      </c>
      <c r="E264" s="33">
        <f>E214</f>
        <v>1320150000</v>
      </c>
      <c r="F264" s="256">
        <f>F214</f>
        <v>1317000000</v>
      </c>
    </row>
    <row r="265" spans="1:9" ht="23.25">
      <c r="A265" s="31"/>
      <c r="B265" s="31" t="s">
        <v>40</v>
      </c>
      <c r="C265" s="31">
        <v>38002030</v>
      </c>
      <c r="D265" s="33">
        <v>38000008</v>
      </c>
      <c r="E265" s="33">
        <f>E249*1</f>
        <v>138002032</v>
      </c>
      <c r="F265" s="33">
        <f>F249*1</f>
        <v>38000000</v>
      </c>
    </row>
    <row r="266" spans="1:9">
      <c r="A266" s="31"/>
      <c r="B266" s="31" t="s">
        <v>5354</v>
      </c>
      <c r="C266" s="31">
        <f>2533780216+1397695956-546244457</f>
        <v>3385231715</v>
      </c>
      <c r="D266" s="33">
        <v>650000000</v>
      </c>
      <c r="E266" s="52">
        <f>850000000+25399012.57+400000000+295999987.43-700000000-118000000-199000000-4399000</f>
        <v>550000000.00000024</v>
      </c>
      <c r="F266" s="257">
        <f>1804945216+143045340.16</f>
        <v>1947990556.1600001</v>
      </c>
      <c r="G266" s="610"/>
      <c r="I266" s="939"/>
    </row>
    <row r="267" spans="1:9">
      <c r="A267" s="46"/>
      <c r="B267" s="46" t="s">
        <v>1684</v>
      </c>
      <c r="C267" s="39">
        <f>SUM(C253:C266)</f>
        <v>5304968503.9174995</v>
      </c>
      <c r="D267" s="39">
        <f>SUM(D253:D266)</f>
        <v>2208068376</v>
      </c>
      <c r="E267" s="39">
        <f>SUM(E254:E266)</f>
        <v>2578052032</v>
      </c>
      <c r="F267" s="39">
        <f>SUM(F254:F266)</f>
        <v>3719178844.0775003</v>
      </c>
      <c r="G267" s="188">
        <v>3719178844.0742002</v>
      </c>
      <c r="I267" s="345">
        <f>BUDBRF!F45</f>
        <v>0</v>
      </c>
    </row>
    <row r="268" spans="1:9">
      <c r="A268" s="56"/>
      <c r="B268" s="25"/>
      <c r="C268" s="25"/>
      <c r="D268" s="25"/>
      <c r="E268" s="25"/>
      <c r="F268" s="57"/>
    </row>
    <row r="269" spans="1:9" ht="18">
      <c r="A269" s="25"/>
      <c r="B269" s="198" t="s">
        <v>3990</v>
      </c>
      <c r="C269" s="25"/>
      <c r="D269" s="25"/>
      <c r="E269" s="25"/>
      <c r="G269" s="196"/>
      <c r="H269" s="188">
        <f>G267-F267</f>
        <v>-3.3001899719238281E-3</v>
      </c>
    </row>
    <row r="270" spans="1:9" ht="23.25">
      <c r="A270" s="27" t="s">
        <v>1620</v>
      </c>
      <c r="B270" s="27" t="s">
        <v>903</v>
      </c>
      <c r="C270" s="27" t="s">
        <v>2200</v>
      </c>
      <c r="D270" s="27" t="s">
        <v>1188</v>
      </c>
      <c r="E270" s="27" t="s">
        <v>1841</v>
      </c>
      <c r="F270" s="27" t="s">
        <v>4512</v>
      </c>
    </row>
    <row r="271" spans="1:9">
      <c r="A271" s="28"/>
      <c r="B271" s="28"/>
      <c r="C271" s="28">
        <v>2014</v>
      </c>
      <c r="D271" s="28">
        <v>2014</v>
      </c>
      <c r="E271" s="28">
        <v>2015</v>
      </c>
      <c r="F271" s="28">
        <v>2015</v>
      </c>
    </row>
    <row r="272" spans="1:9" ht="23.25">
      <c r="A272" s="31">
        <v>69</v>
      </c>
      <c r="B272" s="31" t="s">
        <v>3991</v>
      </c>
      <c r="C272" s="189">
        <v>0</v>
      </c>
      <c r="D272" s="33">
        <v>0</v>
      </c>
      <c r="E272" s="52" t="s">
        <v>3007</v>
      </c>
      <c r="F272" s="189">
        <v>0</v>
      </c>
    </row>
    <row r="273" spans="1:7">
      <c r="A273" s="31" t="s">
        <v>1840</v>
      </c>
      <c r="B273" s="31"/>
      <c r="C273" s="33"/>
      <c r="D273" s="33"/>
      <c r="E273" s="33"/>
      <c r="F273" s="33"/>
    </row>
    <row r="274" spans="1:7">
      <c r="A274" s="31">
        <v>70</v>
      </c>
      <c r="B274" s="31" t="s">
        <v>3992</v>
      </c>
      <c r="C274" s="189">
        <v>0</v>
      </c>
      <c r="D274" s="33">
        <v>0</v>
      </c>
      <c r="E274" s="52" t="s">
        <v>3007</v>
      </c>
      <c r="F274" s="189">
        <v>0</v>
      </c>
    </row>
    <row r="275" spans="1:7">
      <c r="A275" s="31" t="s">
        <v>1840</v>
      </c>
      <c r="B275" s="31"/>
      <c r="C275" s="33"/>
      <c r="D275" s="33"/>
      <c r="E275" s="33"/>
      <c r="F275" s="33"/>
    </row>
    <row r="276" spans="1:7">
      <c r="A276" s="31">
        <v>71</v>
      </c>
      <c r="B276" s="31" t="s">
        <v>1882</v>
      </c>
      <c r="C276" s="189">
        <v>0</v>
      </c>
      <c r="D276" s="33">
        <v>0</v>
      </c>
      <c r="E276" s="52" t="s">
        <v>3007</v>
      </c>
      <c r="F276" s="189">
        <v>0</v>
      </c>
    </row>
    <row r="277" spans="1:7">
      <c r="A277" s="31" t="s">
        <v>1840</v>
      </c>
      <c r="B277" s="31"/>
      <c r="C277" s="33"/>
      <c r="D277" s="33"/>
      <c r="E277" s="33"/>
      <c r="F277" s="33"/>
    </row>
    <row r="278" spans="1:7">
      <c r="A278" s="31">
        <v>72</v>
      </c>
      <c r="B278" s="31" t="s">
        <v>4177</v>
      </c>
      <c r="C278" s="33">
        <f>5201727812-6800000+3104076485</f>
        <v>8299004297</v>
      </c>
      <c r="D278" s="33">
        <v>7392426312</v>
      </c>
      <c r="E278" s="33">
        <v>17464000000</v>
      </c>
      <c r="F278" s="33">
        <f>12701727812-7000000000-1500000064-1000000000</f>
        <v>3201727748</v>
      </c>
      <c r="G278" s="188">
        <v>21300000000</v>
      </c>
    </row>
    <row r="279" spans="1:7">
      <c r="A279" s="31" t="s">
        <v>1840</v>
      </c>
      <c r="B279" s="31"/>
      <c r="C279" s="33"/>
      <c r="D279" s="33"/>
      <c r="E279" s="33"/>
      <c r="F279" s="33"/>
    </row>
    <row r="280" spans="1:7" ht="23.25">
      <c r="A280" s="31">
        <v>73</v>
      </c>
      <c r="B280" s="31" t="s">
        <v>4033</v>
      </c>
      <c r="C280" s="33">
        <v>1000000000</v>
      </c>
      <c r="D280" s="33">
        <v>50000000</v>
      </c>
      <c r="E280" s="33">
        <v>50000000</v>
      </c>
      <c r="F280" s="33">
        <f>1005580000-320000000+200000000-350000000</f>
        <v>535580000</v>
      </c>
    </row>
    <row r="281" spans="1:7">
      <c r="A281" s="31" t="s">
        <v>1840</v>
      </c>
      <c r="B281" s="31"/>
      <c r="C281" s="33"/>
      <c r="D281" s="33"/>
      <c r="E281" s="33"/>
      <c r="F281" s="33"/>
      <c r="G281" s="188"/>
    </row>
    <row r="282" spans="1:7" ht="23.25">
      <c r="A282" s="31">
        <v>74</v>
      </c>
      <c r="B282" s="31" t="s">
        <v>2045</v>
      </c>
      <c r="C282" s="189">
        <v>0</v>
      </c>
      <c r="D282" s="33">
        <v>0</v>
      </c>
      <c r="E282" s="189">
        <v>362000000</v>
      </c>
      <c r="F282" s="189">
        <f>Revenue!D14*0.1</f>
        <v>408679842.10000002</v>
      </c>
      <c r="G282" s="1"/>
    </row>
    <row r="283" spans="1:7">
      <c r="A283" s="31" t="s">
        <v>1840</v>
      </c>
      <c r="B283" s="31"/>
      <c r="C283" s="33"/>
      <c r="D283" s="33"/>
      <c r="E283" s="33"/>
      <c r="F283" s="33"/>
    </row>
    <row r="284" spans="1:7" ht="23.25">
      <c r="A284" s="31">
        <v>75</v>
      </c>
      <c r="B284" s="31" t="s">
        <v>2046</v>
      </c>
      <c r="C284" s="33">
        <v>20000000</v>
      </c>
      <c r="D284" s="33">
        <v>20000000</v>
      </c>
      <c r="E284" s="33">
        <v>20000000</v>
      </c>
      <c r="F284" s="33">
        <v>120000000</v>
      </c>
    </row>
    <row r="285" spans="1:7">
      <c r="A285" s="31"/>
      <c r="B285" s="31"/>
      <c r="C285" s="31"/>
      <c r="D285" s="31"/>
      <c r="E285" s="31"/>
      <c r="F285" s="31"/>
    </row>
    <row r="286" spans="1:7">
      <c r="A286" s="31">
        <v>76</v>
      </c>
      <c r="B286" s="31" t="s">
        <v>2096</v>
      </c>
      <c r="C286" s="52" t="s">
        <v>3007</v>
      </c>
      <c r="D286" s="33">
        <v>1000000</v>
      </c>
      <c r="E286" s="52" t="s">
        <v>3007</v>
      </c>
      <c r="F286" s="52" t="s">
        <v>3007</v>
      </c>
    </row>
    <row r="287" spans="1:7">
      <c r="A287" s="31"/>
      <c r="B287" s="31"/>
      <c r="C287" s="33" t="s">
        <v>1840</v>
      </c>
      <c r="D287" s="33" t="s">
        <v>1840</v>
      </c>
      <c r="E287" s="33" t="s">
        <v>1840</v>
      </c>
      <c r="F287" s="33" t="s">
        <v>1840</v>
      </c>
    </row>
    <row r="288" spans="1:7">
      <c r="A288" s="31">
        <v>77</v>
      </c>
      <c r="B288" s="31" t="s">
        <v>1241</v>
      </c>
      <c r="C288" s="52" t="s">
        <v>3007</v>
      </c>
      <c r="D288" s="33" t="s">
        <v>3007</v>
      </c>
      <c r="E288" s="52" t="s">
        <v>3007</v>
      </c>
      <c r="F288" s="52" t="s">
        <v>3007</v>
      </c>
    </row>
    <row r="289" spans="1:6">
      <c r="A289" s="31"/>
      <c r="B289" s="31"/>
      <c r="C289" s="33" t="s">
        <v>1840</v>
      </c>
      <c r="D289" s="33" t="s">
        <v>1840</v>
      </c>
      <c r="E289" s="33" t="s">
        <v>1840</v>
      </c>
      <c r="F289" s="33" t="s">
        <v>1840</v>
      </c>
    </row>
    <row r="290" spans="1:6">
      <c r="A290" s="31">
        <v>78</v>
      </c>
      <c r="B290" s="31" t="s">
        <v>2104</v>
      </c>
      <c r="C290" s="189">
        <v>0</v>
      </c>
      <c r="D290" s="33" t="s">
        <v>3007</v>
      </c>
      <c r="E290" s="52" t="s">
        <v>3007</v>
      </c>
      <c r="F290" s="189">
        <v>0</v>
      </c>
    </row>
    <row r="291" spans="1:6">
      <c r="A291" s="31" t="s">
        <v>1840</v>
      </c>
      <c r="B291" s="31" t="s">
        <v>1840</v>
      </c>
      <c r="C291" s="33" t="s">
        <v>1840</v>
      </c>
      <c r="D291" s="33" t="s">
        <v>1840</v>
      </c>
      <c r="E291" s="33" t="s">
        <v>1840</v>
      </c>
      <c r="F291" s="33" t="s">
        <v>1840</v>
      </c>
    </row>
    <row r="292" spans="1:6">
      <c r="A292" s="31">
        <v>79</v>
      </c>
      <c r="B292" s="31" t="s">
        <v>2105</v>
      </c>
      <c r="C292" s="189">
        <v>0</v>
      </c>
      <c r="D292" s="33">
        <v>0</v>
      </c>
      <c r="E292" s="52" t="s">
        <v>3007</v>
      </c>
      <c r="F292" s="189">
        <v>0</v>
      </c>
    </row>
    <row r="293" spans="1:6">
      <c r="A293" s="31"/>
      <c r="B293" s="31"/>
      <c r="C293" s="31"/>
      <c r="D293" s="31"/>
      <c r="E293" s="31"/>
      <c r="F293" s="31"/>
    </row>
    <row r="294" spans="1:6">
      <c r="A294" s="46" t="s">
        <v>1840</v>
      </c>
      <c r="B294" s="46" t="s">
        <v>1684</v>
      </c>
      <c r="C294" s="39">
        <f>SUM(C272:C292)</f>
        <v>9319004297</v>
      </c>
      <c r="D294" s="39">
        <f>SUM(D272:D292)</f>
        <v>7463426312</v>
      </c>
      <c r="E294" s="39">
        <f>SUM(E278:E293)</f>
        <v>17896000000</v>
      </c>
      <c r="F294" s="39">
        <f>SUM(F272:F293)</f>
        <v>4265987590.0999999</v>
      </c>
    </row>
    <row r="295" spans="1:6">
      <c r="A295" s="25"/>
      <c r="F295" s="57"/>
    </row>
    <row r="296" spans="1:6">
      <c r="A296" s="25"/>
      <c r="D296" s="34"/>
      <c r="E296" s="34"/>
      <c r="F296" s="57"/>
    </row>
    <row r="297" spans="1:6">
      <c r="C297" s="344"/>
    </row>
    <row r="302" spans="1:6" ht="24.75" customHeight="1">
      <c r="A302" s="1068" t="s">
        <v>2106</v>
      </c>
      <c r="B302" s="1070"/>
      <c r="C302" s="1070"/>
      <c r="D302" s="1070"/>
      <c r="E302" s="1070"/>
      <c r="F302" s="1070"/>
    </row>
    <row r="303" spans="1:6" ht="24.75" customHeight="1">
      <c r="A303" s="1068" t="s">
        <v>2107</v>
      </c>
      <c r="B303" s="1069"/>
      <c r="C303" s="1069"/>
      <c r="D303" s="1069"/>
      <c r="E303" s="1069"/>
      <c r="F303" s="1069"/>
    </row>
    <row r="304" spans="1:6" ht="24.75" customHeight="1"/>
    <row r="305" spans="1:6" ht="24.75" customHeight="1">
      <c r="A305" s="1068" t="s">
        <v>2109</v>
      </c>
      <c r="B305" s="1069"/>
      <c r="C305" s="1069"/>
      <c r="D305" s="1069"/>
      <c r="E305" s="1069"/>
      <c r="F305" s="1069"/>
    </row>
    <row r="306" spans="1:6" ht="24.75" customHeight="1">
      <c r="A306" s="1068" t="s">
        <v>3920</v>
      </c>
      <c r="B306" s="1069"/>
      <c r="C306" s="1069"/>
      <c r="D306" s="1069"/>
      <c r="E306" s="1069"/>
      <c r="F306" s="1069"/>
    </row>
    <row r="312" spans="1:6">
      <c r="A312" s="59"/>
      <c r="B312" s="59"/>
      <c r="C312" s="59"/>
      <c r="D312" s="59"/>
      <c r="E312" s="59"/>
      <c r="F312" s="59"/>
    </row>
    <row r="313" spans="1:6">
      <c r="A313" s="59"/>
      <c r="B313" s="59"/>
      <c r="C313" s="59"/>
      <c r="D313" s="59"/>
      <c r="E313" s="59"/>
      <c r="F313" s="59"/>
    </row>
    <row r="314" spans="1:6">
      <c r="A314" s="59"/>
      <c r="B314" s="59"/>
      <c r="C314" s="59"/>
      <c r="D314" s="59"/>
      <c r="E314" s="59"/>
      <c r="F314" s="59"/>
    </row>
    <row r="315" spans="1:6">
      <c r="A315" s="59"/>
      <c r="B315" s="59"/>
      <c r="C315" s="59"/>
      <c r="D315" s="59"/>
      <c r="E315" s="59"/>
      <c r="F315" s="59"/>
    </row>
    <row r="8433" spans="7:8">
      <c r="G8433" s="25"/>
      <c r="H8433" s="25"/>
    </row>
    <row r="8434" spans="7:8">
      <c r="G8434" s="25"/>
      <c r="H8434" s="25"/>
    </row>
    <row r="8435" spans="7:8">
      <c r="G8435" s="25"/>
      <c r="H8435" s="25"/>
    </row>
    <row r="8436" spans="7:8">
      <c r="G8436" s="25"/>
      <c r="H8436" s="25"/>
    </row>
    <row r="8437" spans="7:8">
      <c r="G8437" s="25"/>
      <c r="H8437" s="25"/>
    </row>
    <row r="8438" spans="7:8">
      <c r="G8438" s="25"/>
      <c r="H8438" s="25"/>
    </row>
    <row r="8439" spans="7:8">
      <c r="G8439" s="25"/>
      <c r="H8439" s="25"/>
    </row>
    <row r="8440" spans="7:8">
      <c r="G8440" s="25"/>
      <c r="H8440" s="25"/>
    </row>
    <row r="8441" spans="7:8">
      <c r="G8441" s="25"/>
      <c r="H8441" s="25"/>
    </row>
    <row r="8442" spans="7:8">
      <c r="G8442" s="25"/>
      <c r="H8442" s="25"/>
    </row>
    <row r="8443" spans="7:8">
      <c r="G8443" s="25"/>
      <c r="H8443" s="25"/>
    </row>
    <row r="8444" spans="7:8">
      <c r="G8444" s="25"/>
      <c r="H8444" s="25"/>
    </row>
    <row r="8445" spans="7:8">
      <c r="G8445" s="25"/>
      <c r="H8445" s="25"/>
    </row>
    <row r="8446" spans="7:8">
      <c r="G8446" s="25"/>
      <c r="H8446" s="25"/>
    </row>
    <row r="8447" spans="7:8">
      <c r="G8447" s="25"/>
      <c r="H8447" s="25"/>
    </row>
    <row r="8448" spans="7:8">
      <c r="G8448" s="25"/>
      <c r="H8448" s="25"/>
    </row>
    <row r="8449" spans="7:10">
      <c r="G8449" s="25"/>
      <c r="H8449" s="25"/>
    </row>
    <row r="8450" spans="7:10">
      <c r="G8450" s="25"/>
      <c r="H8450" s="25"/>
    </row>
    <row r="8451" spans="7:10">
      <c r="G8451" s="25"/>
      <c r="H8451" s="25"/>
    </row>
    <row r="8452" spans="7:10">
      <c r="G8452" s="25"/>
      <c r="H8452" s="25"/>
    </row>
    <row r="8453" spans="7:10">
      <c r="G8453" s="25"/>
      <c r="H8453" s="25"/>
    </row>
    <row r="8454" spans="7:10" ht="30">
      <c r="I8454" s="303" t="s">
        <v>4130</v>
      </c>
      <c r="J8454" s="303" t="s">
        <v>4131</v>
      </c>
    </row>
    <row r="8455" spans="7:10">
      <c r="J8455" s="23">
        <f>SUM(G8455:I8455)</f>
        <v>0</v>
      </c>
    </row>
    <row r="8456" spans="7:10">
      <c r="J8456" s="302">
        <f>SUM(G8456:I8456)</f>
        <v>0</v>
      </c>
    </row>
    <row r="8457" spans="7:10">
      <c r="J8457" s="302">
        <f>SUM(G8457:I8457)</f>
        <v>0</v>
      </c>
    </row>
    <row r="8458" spans="7:10">
      <c r="J8458" s="302">
        <f>SUM(G8458:I8458)</f>
        <v>0</v>
      </c>
    </row>
    <row r="8459" spans="7:10">
      <c r="J8459" s="302">
        <f>SUM(G8459:I8459)</f>
        <v>0</v>
      </c>
    </row>
    <row r="8461" spans="7:10">
      <c r="G8461" s="302"/>
      <c r="H8461" s="302"/>
      <c r="I8461" s="302"/>
    </row>
    <row r="8462" spans="7:10">
      <c r="J8462" s="302">
        <f>SUM(G8462:I8462)</f>
        <v>0</v>
      </c>
    </row>
    <row r="8463" spans="7:10">
      <c r="J8463" s="302">
        <f>SUM(G8463:I8463)</f>
        <v>0</v>
      </c>
    </row>
    <row r="8464" spans="7:10">
      <c r="G8464" s="302"/>
      <c r="H8464" s="302"/>
      <c r="I8464" s="302"/>
    </row>
    <row r="8469" spans="1:10">
      <c r="A8469" s="80" t="s">
        <v>1839</v>
      </c>
      <c r="B8469" s="81" t="s">
        <v>903</v>
      </c>
      <c r="C8469" s="1073" t="s">
        <v>4127</v>
      </c>
      <c r="D8469" s="1074"/>
      <c r="E8469" s="1075"/>
      <c r="F8469" s="81" t="s">
        <v>1684</v>
      </c>
      <c r="G8469" s="1073" t="s">
        <v>4132</v>
      </c>
      <c r="H8469" s="1074"/>
      <c r="I8469" s="1075"/>
      <c r="J8469" s="83"/>
    </row>
    <row r="8470" spans="1:10">
      <c r="A8470" s="84" t="s">
        <v>1620</v>
      </c>
      <c r="B8470" s="82"/>
      <c r="C8470" s="81" t="s">
        <v>1188</v>
      </c>
      <c r="D8470" s="81" t="s">
        <v>4133</v>
      </c>
      <c r="E8470" s="81" t="s">
        <v>4133</v>
      </c>
      <c r="F8470" s="1076" t="s">
        <v>4209</v>
      </c>
      <c r="G8470" s="1078" t="s">
        <v>4134</v>
      </c>
      <c r="H8470" s="1078" t="s">
        <v>4182</v>
      </c>
      <c r="I8470" s="80" t="s">
        <v>4135</v>
      </c>
      <c r="J8470" s="85" t="s">
        <v>4136</v>
      </c>
    </row>
    <row r="8471" spans="1:10">
      <c r="A8471" s="86" t="s">
        <v>387</v>
      </c>
      <c r="B8471" s="87"/>
      <c r="C8471" s="86">
        <v>2014</v>
      </c>
      <c r="D8471" s="86">
        <v>2015</v>
      </c>
      <c r="E8471" s="86">
        <v>2016</v>
      </c>
      <c r="F8471" s="1077"/>
      <c r="G8471" s="1079"/>
      <c r="H8471" s="1079"/>
      <c r="I8471" s="86" t="s">
        <v>4183</v>
      </c>
      <c r="J8471" s="87"/>
    </row>
    <row r="8472" spans="1:10">
      <c r="D8472" s="302"/>
    </row>
    <row r="8473" spans="1:10">
      <c r="D8473" s="302"/>
      <c r="E8473" s="302"/>
      <c r="F8473" s="25">
        <f>SUM(E8473)</f>
        <v>0</v>
      </c>
    </row>
    <row r="8474" spans="1:10">
      <c r="D8474" s="302"/>
      <c r="F8474" s="25">
        <f t="shared" ref="F8474:F8486" si="0">SUM(E8474)</f>
        <v>0</v>
      </c>
    </row>
    <row r="8475" spans="1:10">
      <c r="D8475" s="302"/>
      <c r="F8475" s="25">
        <f t="shared" si="0"/>
        <v>0</v>
      </c>
    </row>
    <row r="8476" spans="1:10">
      <c r="D8476" s="302"/>
      <c r="F8476" s="25">
        <f t="shared" si="0"/>
        <v>0</v>
      </c>
    </row>
    <row r="8477" spans="1:10">
      <c r="D8477" s="302"/>
      <c r="F8477" s="25">
        <f t="shared" si="0"/>
        <v>0</v>
      </c>
    </row>
    <row r="8478" spans="1:10">
      <c r="D8478" s="302"/>
      <c r="F8478" s="25">
        <f t="shared" si="0"/>
        <v>0</v>
      </c>
    </row>
    <row r="8479" spans="1:10">
      <c r="D8479" s="302"/>
      <c r="F8479" s="25">
        <f t="shared" si="0"/>
        <v>0</v>
      </c>
    </row>
    <row r="8480" spans="1:10">
      <c r="D8480" s="302"/>
      <c r="F8480" s="25">
        <f t="shared" si="0"/>
        <v>0</v>
      </c>
    </row>
    <row r="8481" spans="4:6">
      <c r="D8481" s="302"/>
      <c r="F8481" s="25">
        <f t="shared" si="0"/>
        <v>0</v>
      </c>
    </row>
    <row r="8482" spans="4:6">
      <c r="D8482" s="302"/>
      <c r="F8482" s="25">
        <f t="shared" si="0"/>
        <v>0</v>
      </c>
    </row>
    <row r="8483" spans="4:6">
      <c r="D8483" s="302"/>
      <c r="F8483" s="25">
        <f t="shared" si="0"/>
        <v>0</v>
      </c>
    </row>
    <row r="8484" spans="4:6">
      <c r="D8484" s="302"/>
      <c r="F8484" s="25">
        <f t="shared" si="0"/>
        <v>0</v>
      </c>
    </row>
    <row r="8485" spans="4:6">
      <c r="D8485" s="302"/>
      <c r="F8485" s="25">
        <f t="shared" si="0"/>
        <v>0</v>
      </c>
    </row>
    <row r="8486" spans="4:6">
      <c r="D8486" s="302"/>
      <c r="F8486" s="25">
        <f t="shared" si="0"/>
        <v>0</v>
      </c>
    </row>
    <row r="8497" spans="1:9" ht="15.75" thickBot="1"/>
    <row r="8498" spans="1:9" ht="15.75" thickTop="1">
      <c r="A8498" s="1047" t="s">
        <v>2791</v>
      </c>
      <c r="B8498" s="1049" t="s">
        <v>4126</v>
      </c>
      <c r="C8498" s="1049" t="s">
        <v>854</v>
      </c>
      <c r="D8498" s="1040" t="s">
        <v>4127</v>
      </c>
      <c r="E8498" s="1082"/>
      <c r="F8498" s="1082"/>
      <c r="G8498" s="1040" t="s">
        <v>904</v>
      </c>
      <c r="H8498" s="1082"/>
      <c r="I8498" s="1083"/>
    </row>
    <row r="8499" spans="1:9" ht="64.5" thickBot="1">
      <c r="A8499" s="1080"/>
      <c r="B8499" s="1081"/>
      <c r="C8499" s="1081"/>
      <c r="D8499" s="285" t="s">
        <v>4128</v>
      </c>
      <c r="E8499" s="285" t="s">
        <v>5506</v>
      </c>
      <c r="F8499" s="285" t="s">
        <v>5507</v>
      </c>
      <c r="G8499" s="286" t="s">
        <v>4129</v>
      </c>
      <c r="H8499" s="285" t="s">
        <v>4184</v>
      </c>
      <c r="I8499" s="287" t="s">
        <v>4185</v>
      </c>
    </row>
    <row r="8500" spans="1:9" ht="15.75" thickTop="1">
      <c r="G8500" s="25"/>
      <c r="H8500" s="25"/>
    </row>
    <row r="8501" spans="1:9">
      <c r="G8501" s="25"/>
      <c r="H8501" s="25"/>
    </row>
    <row r="8502" spans="1:9">
      <c r="G8502" s="25"/>
      <c r="H8502" s="25"/>
    </row>
    <row r="8503" spans="1:9">
      <c r="G8503" s="25"/>
      <c r="H8503" s="25"/>
    </row>
    <row r="8504" spans="1:9">
      <c r="G8504" s="25"/>
      <c r="H8504" s="25"/>
    </row>
    <row r="8505" spans="1:9">
      <c r="G8505" s="25"/>
      <c r="H8505" s="25"/>
    </row>
    <row r="8506" spans="1:9">
      <c r="G8506" s="25"/>
      <c r="H8506" s="25"/>
    </row>
    <row r="8507" spans="1:9">
      <c r="G8507" s="25"/>
      <c r="H8507" s="25"/>
    </row>
    <row r="8508" spans="1:9">
      <c r="G8508" s="25"/>
      <c r="H8508" s="25"/>
    </row>
    <row r="8509" spans="1:9">
      <c r="G8509" s="25"/>
      <c r="H8509" s="25"/>
    </row>
    <row r="8510" spans="1:9">
      <c r="G8510" s="25"/>
      <c r="H8510" s="25"/>
    </row>
    <row r="8511" spans="1:9">
      <c r="G8511" s="25"/>
      <c r="H8511" s="25"/>
    </row>
    <row r="8512" spans="1:9">
      <c r="G8512" s="25"/>
      <c r="H8512" s="25"/>
    </row>
    <row r="8513" spans="7:8">
      <c r="G8513" s="25"/>
      <c r="H8513" s="25"/>
    </row>
    <row r="8514" spans="7:8">
      <c r="G8514" s="25"/>
      <c r="H8514" s="25"/>
    </row>
    <row r="8515" spans="7:8">
      <c r="G8515" s="25"/>
      <c r="H8515" s="25"/>
    </row>
    <row r="8516" spans="7:8">
      <c r="G8516" s="25"/>
      <c r="H8516" s="25"/>
    </row>
    <row r="8517" spans="7:8">
      <c r="G8517" s="25"/>
      <c r="H8517" s="25"/>
    </row>
    <row r="8518" spans="7:8">
      <c r="G8518" s="25"/>
      <c r="H8518" s="25"/>
    </row>
    <row r="8519" spans="7:8">
      <c r="G8519" s="25"/>
      <c r="H8519" s="25"/>
    </row>
    <row r="8520" spans="7:8">
      <c r="G8520" s="25"/>
      <c r="H8520" s="25"/>
    </row>
    <row r="8521" spans="7:8">
      <c r="G8521" s="25"/>
      <c r="H8521" s="25"/>
    </row>
    <row r="8522" spans="7:8">
      <c r="G8522" s="25"/>
      <c r="H8522" s="25"/>
    </row>
    <row r="8523" spans="7:8">
      <c r="G8523" s="25"/>
      <c r="H8523" s="25"/>
    </row>
    <row r="8524" spans="7:8">
      <c r="G8524" s="25"/>
      <c r="H8524" s="25"/>
    </row>
    <row r="8525" spans="7:8">
      <c r="G8525" s="25"/>
      <c r="H8525" s="25"/>
    </row>
    <row r="8526" spans="7:8">
      <c r="G8526" s="25"/>
      <c r="H8526" s="25"/>
    </row>
    <row r="8527" spans="7:8">
      <c r="G8527" s="25"/>
      <c r="H8527" s="25"/>
    </row>
    <row r="8528" spans="7:8">
      <c r="G8528" s="25"/>
      <c r="H8528" s="25"/>
    </row>
    <row r="8529" spans="1:9">
      <c r="G8529" s="25"/>
      <c r="H8529" s="25"/>
    </row>
    <row r="8530" spans="1:9">
      <c r="G8530" s="25"/>
      <c r="H8530" s="25"/>
    </row>
    <row r="8531" spans="1:9">
      <c r="G8531" s="25"/>
      <c r="H8531" s="25"/>
    </row>
    <row r="8532" spans="1:9">
      <c r="G8532" s="25"/>
      <c r="H8532" s="25"/>
    </row>
    <row r="8533" spans="1:9">
      <c r="G8533" s="25"/>
      <c r="H8533" s="25"/>
    </row>
    <row r="8534" spans="1:9">
      <c r="G8534" s="25"/>
      <c r="H8534" s="25"/>
    </row>
    <row r="8535" spans="1:9">
      <c r="G8535" s="25"/>
      <c r="H8535" s="25"/>
    </row>
    <row r="8536" spans="1:9" ht="15.75" thickBot="1">
      <c r="G8536" s="25"/>
      <c r="H8536" s="25"/>
    </row>
    <row r="8537" spans="1:9" ht="15.75" thickTop="1">
      <c r="A8537" s="1047" t="s">
        <v>2791</v>
      </c>
      <c r="B8537" s="1049" t="s">
        <v>4126</v>
      </c>
      <c r="C8537" s="1049" t="s">
        <v>854</v>
      </c>
      <c r="D8537" s="1040" t="s">
        <v>4127</v>
      </c>
      <c r="E8537" s="1082"/>
      <c r="F8537" s="1082"/>
      <c r="G8537" s="1040" t="s">
        <v>904</v>
      </c>
      <c r="H8537" s="1082"/>
      <c r="I8537" s="1083"/>
    </row>
    <row r="8538" spans="1:9" s="302" customFormat="1" ht="64.5" thickBot="1">
      <c r="A8538" s="1080"/>
      <c r="B8538" s="1081"/>
      <c r="C8538" s="1081"/>
      <c r="D8538" s="285" t="s">
        <v>4128</v>
      </c>
      <c r="E8538" s="285" t="s">
        <v>5506</v>
      </c>
      <c r="F8538" s="285" t="s">
        <v>5507</v>
      </c>
      <c r="G8538" s="286" t="s">
        <v>4129</v>
      </c>
      <c r="H8538" s="285" t="s">
        <v>4184</v>
      </c>
      <c r="I8538" s="287" t="s">
        <v>4185</v>
      </c>
    </row>
    <row r="8539" spans="1:9" ht="15.75" thickTop="1">
      <c r="G8539" s="25"/>
      <c r="H8539" s="25"/>
    </row>
    <row r="8540" spans="1:9">
      <c r="G8540" s="25"/>
      <c r="H8540" s="25"/>
    </row>
    <row r="8541" spans="1:9">
      <c r="G8541" s="25"/>
      <c r="H8541" s="25"/>
    </row>
    <row r="8542" spans="1:9">
      <c r="G8542" s="25"/>
      <c r="H8542" s="25"/>
    </row>
    <row r="8543" spans="1:9">
      <c r="G8543" s="25"/>
      <c r="H8543" s="25"/>
    </row>
    <row r="8544" spans="1:9">
      <c r="G8544" s="25"/>
      <c r="H8544" s="25"/>
    </row>
    <row r="8545" spans="7:8">
      <c r="G8545" s="25"/>
      <c r="H8545" s="25"/>
    </row>
    <row r="8546" spans="7:8">
      <c r="G8546" s="25"/>
      <c r="H8546" s="25"/>
    </row>
    <row r="8547" spans="7:8">
      <c r="G8547" s="25"/>
      <c r="H8547" s="25"/>
    </row>
    <row r="8548" spans="7:8">
      <c r="G8548" s="25"/>
      <c r="H8548" s="25"/>
    </row>
    <row r="8549" spans="7:8">
      <c r="G8549" s="25"/>
      <c r="H8549" s="25"/>
    </row>
    <row r="8550" spans="7:8">
      <c r="G8550" s="25"/>
      <c r="H8550" s="25"/>
    </row>
    <row r="8551" spans="7:8">
      <c r="G8551" s="25"/>
      <c r="H8551" s="25"/>
    </row>
    <row r="8552" spans="7:8">
      <c r="G8552" s="25"/>
      <c r="H8552" s="25"/>
    </row>
    <row r="8553" spans="7:8">
      <c r="G8553" s="25"/>
      <c r="H8553" s="25"/>
    </row>
    <row r="8554" spans="7:8">
      <c r="G8554" s="25"/>
      <c r="H8554" s="25"/>
    </row>
    <row r="8555" spans="7:8">
      <c r="G8555" s="25"/>
      <c r="H8555" s="25"/>
    </row>
    <row r="8556" spans="7:8">
      <c r="G8556" s="25"/>
      <c r="H8556" s="25"/>
    </row>
    <row r="8557" spans="7:8">
      <c r="G8557" s="25"/>
      <c r="H8557" s="25"/>
    </row>
    <row r="8558" spans="7:8">
      <c r="G8558" s="25"/>
      <c r="H8558" s="25"/>
    </row>
    <row r="8559" spans="7:8">
      <c r="G8559" s="25"/>
      <c r="H8559" s="25"/>
    </row>
    <row r="8560" spans="7:8">
      <c r="G8560" s="25"/>
      <c r="H8560" s="25"/>
    </row>
    <row r="8561" spans="7:8">
      <c r="G8561" s="25"/>
      <c r="H8561" s="25"/>
    </row>
    <row r="8562" spans="7:8">
      <c r="G8562" s="25"/>
      <c r="H8562" s="25"/>
    </row>
    <row r="8563" spans="7:8">
      <c r="G8563" s="25"/>
      <c r="H8563" s="25"/>
    </row>
    <row r="8564" spans="7:8">
      <c r="G8564" s="25"/>
      <c r="H8564" s="25"/>
    </row>
    <row r="8565" spans="7:8">
      <c r="G8565" s="25"/>
      <c r="H8565" s="25"/>
    </row>
    <row r="8566" spans="7:8">
      <c r="G8566" s="25"/>
      <c r="H8566" s="25"/>
    </row>
    <row r="8567" spans="7:8">
      <c r="G8567" s="25"/>
      <c r="H8567" s="25"/>
    </row>
    <row r="8568" spans="7:8">
      <c r="G8568" s="25"/>
      <c r="H8568" s="25"/>
    </row>
    <row r="8569" spans="7:8">
      <c r="G8569" s="25"/>
      <c r="H8569" s="25"/>
    </row>
    <row r="8570" spans="7:8">
      <c r="G8570" s="25"/>
      <c r="H8570" s="25"/>
    </row>
    <row r="8571" spans="7:8">
      <c r="G8571" s="25"/>
      <c r="H8571" s="25"/>
    </row>
    <row r="8572" spans="7:8">
      <c r="G8572" s="25"/>
      <c r="H8572" s="25"/>
    </row>
    <row r="8573" spans="7:8">
      <c r="G8573" s="25"/>
      <c r="H8573" s="25"/>
    </row>
    <row r="8574" spans="7:8">
      <c r="G8574" s="25"/>
      <c r="H8574" s="25"/>
    </row>
    <row r="8575" spans="7:8">
      <c r="G8575" s="25"/>
      <c r="H8575" s="25"/>
    </row>
    <row r="8576" spans="7:8">
      <c r="G8576" s="25"/>
      <c r="H8576" s="25"/>
    </row>
    <row r="8577" spans="1:9">
      <c r="G8577" s="25"/>
      <c r="H8577" s="25"/>
    </row>
    <row r="8578" spans="1:9">
      <c r="G8578" s="25"/>
      <c r="H8578" s="25"/>
    </row>
    <row r="8579" spans="1:9">
      <c r="G8579" s="25"/>
      <c r="H8579" s="25"/>
    </row>
    <row r="8580" spans="1:9" ht="15.75" thickBot="1">
      <c r="G8580" s="25"/>
      <c r="H8580" s="25"/>
    </row>
    <row r="8581" spans="1:9" s="302" customFormat="1" ht="15.75" thickTop="1">
      <c r="A8581" s="1047" t="s">
        <v>2791</v>
      </c>
      <c r="B8581" s="1049" t="s">
        <v>4126</v>
      </c>
      <c r="C8581" s="1049" t="s">
        <v>854</v>
      </c>
      <c r="D8581" s="1040" t="s">
        <v>4127</v>
      </c>
      <c r="E8581" s="1082"/>
      <c r="F8581" s="1082"/>
      <c r="G8581" s="1040" t="s">
        <v>904</v>
      </c>
      <c r="H8581" s="1082"/>
      <c r="I8581" s="1083"/>
    </row>
    <row r="8582" spans="1:9" s="302" customFormat="1" ht="64.5" thickBot="1">
      <c r="A8582" s="1080"/>
      <c r="B8582" s="1081"/>
      <c r="C8582" s="1081"/>
      <c r="D8582" s="285" t="s">
        <v>4128</v>
      </c>
      <c r="E8582" s="285" t="s">
        <v>5506</v>
      </c>
      <c r="F8582" s="285" t="s">
        <v>5507</v>
      </c>
      <c r="G8582" s="286" t="s">
        <v>4129</v>
      </c>
      <c r="H8582" s="285" t="s">
        <v>4184</v>
      </c>
      <c r="I8582" s="287" t="s">
        <v>4185</v>
      </c>
    </row>
    <row r="8583" spans="1:9" ht="15.75" thickTop="1">
      <c r="G8583" s="25"/>
      <c r="H8583" s="25"/>
    </row>
    <row r="8584" spans="1:9">
      <c r="G8584" s="25"/>
      <c r="H8584" s="25"/>
    </row>
    <row r="8585" spans="1:9">
      <c r="G8585" s="25"/>
      <c r="H8585" s="25"/>
    </row>
    <row r="8586" spans="1:9">
      <c r="G8586" s="25"/>
      <c r="H8586" s="25"/>
    </row>
    <row r="8587" spans="1:9">
      <c r="G8587" s="25"/>
      <c r="H8587" s="25"/>
    </row>
    <row r="8588" spans="1:9">
      <c r="G8588" s="25"/>
      <c r="H8588" s="25"/>
    </row>
    <row r="8589" spans="1:9">
      <c r="G8589" s="25"/>
      <c r="H8589" s="25"/>
    </row>
    <row r="8590" spans="1:9">
      <c r="G8590" s="25"/>
      <c r="H8590" s="25"/>
    </row>
    <row r="8591" spans="1:9">
      <c r="G8591" s="25"/>
      <c r="H8591" s="25"/>
    </row>
    <row r="8592" spans="1:9">
      <c r="G8592" s="25"/>
      <c r="H8592" s="25"/>
    </row>
    <row r="8593" spans="1:10">
      <c r="G8593" s="25"/>
      <c r="H8593" s="25"/>
    </row>
    <row r="8594" spans="1:10">
      <c r="G8594" s="25"/>
      <c r="H8594" s="25"/>
    </row>
    <row r="8595" spans="1:10">
      <c r="G8595" s="25"/>
      <c r="H8595" s="25"/>
    </row>
    <row r="8596" spans="1:10">
      <c r="G8596" s="25"/>
      <c r="H8596" s="25"/>
    </row>
    <row r="8597" spans="1:10">
      <c r="A8597" s="302"/>
      <c r="B8597" s="302"/>
      <c r="G8597" s="25"/>
      <c r="H8597" s="25"/>
    </row>
    <row r="8598" spans="1:10" ht="30">
      <c r="I8598" s="303" t="s">
        <v>4130</v>
      </c>
      <c r="J8598" s="303" t="s">
        <v>4131</v>
      </c>
    </row>
    <row r="8599" spans="1:10">
      <c r="J8599" s="23">
        <f>SUM(G8599:I8599)</f>
        <v>0</v>
      </c>
    </row>
    <row r="8600" spans="1:10">
      <c r="J8600" s="302">
        <f t="shared" ref="J8600:J8605" si="1">SUM(G8600:I8600)</f>
        <v>0</v>
      </c>
    </row>
    <row r="8601" spans="1:10">
      <c r="J8601" s="302">
        <f t="shared" si="1"/>
        <v>0</v>
      </c>
    </row>
    <row r="8602" spans="1:10">
      <c r="J8602" s="302">
        <f t="shared" si="1"/>
        <v>0</v>
      </c>
    </row>
    <row r="8603" spans="1:10">
      <c r="J8603" s="302">
        <f t="shared" si="1"/>
        <v>0</v>
      </c>
    </row>
    <row r="8604" spans="1:10">
      <c r="J8604" s="302">
        <f t="shared" si="1"/>
        <v>0</v>
      </c>
    </row>
    <row r="8605" spans="1:10">
      <c r="J8605" s="302">
        <f t="shared" si="1"/>
        <v>0</v>
      </c>
    </row>
    <row r="8606" spans="1:10">
      <c r="G8606" s="302"/>
      <c r="H8606" s="302"/>
      <c r="I8606" s="302"/>
    </row>
    <row r="8608" spans="1:10">
      <c r="J8608" s="302">
        <f>SUM(G8608:I8608)</f>
        <v>0</v>
      </c>
    </row>
    <row r="8609" spans="1:10">
      <c r="J8609" s="302">
        <f>SUM(G8609:I8609)</f>
        <v>0</v>
      </c>
    </row>
    <row r="8611" spans="1:10">
      <c r="G8611" s="302"/>
      <c r="H8611" s="302"/>
      <c r="I8611" s="302"/>
    </row>
    <row r="8617" spans="1:10">
      <c r="A8617" s="80" t="s">
        <v>1839</v>
      </c>
      <c r="B8617" s="81" t="s">
        <v>903</v>
      </c>
      <c r="C8617" s="1073" t="s">
        <v>4127</v>
      </c>
      <c r="D8617" s="1074"/>
      <c r="E8617" s="1075"/>
      <c r="F8617" s="81" t="s">
        <v>1684</v>
      </c>
      <c r="G8617" s="1073" t="s">
        <v>4132</v>
      </c>
      <c r="H8617" s="1074"/>
      <c r="I8617" s="1075"/>
      <c r="J8617" s="83"/>
    </row>
    <row r="8618" spans="1:10">
      <c r="A8618" s="84" t="s">
        <v>1620</v>
      </c>
      <c r="B8618" s="82"/>
      <c r="C8618" s="81" t="s">
        <v>1188</v>
      </c>
      <c r="D8618" s="81" t="s">
        <v>4133</v>
      </c>
      <c r="E8618" s="81" t="s">
        <v>4133</v>
      </c>
      <c r="F8618" s="1076" t="s">
        <v>4209</v>
      </c>
      <c r="G8618" s="1078" t="s">
        <v>4134</v>
      </c>
      <c r="H8618" s="1078" t="s">
        <v>4182</v>
      </c>
      <c r="I8618" s="80" t="s">
        <v>4135</v>
      </c>
      <c r="J8618" s="85" t="s">
        <v>4136</v>
      </c>
    </row>
    <row r="8619" spans="1:10">
      <c r="A8619" s="86" t="s">
        <v>387</v>
      </c>
      <c r="B8619" s="87"/>
      <c r="C8619" s="86">
        <v>2014</v>
      </c>
      <c r="D8619" s="86">
        <v>2015</v>
      </c>
      <c r="E8619" s="86">
        <v>2016</v>
      </c>
      <c r="F8619" s="1077"/>
      <c r="G8619" s="1079"/>
      <c r="H8619" s="1079"/>
      <c r="I8619" s="86" t="s">
        <v>4183</v>
      </c>
      <c r="J8619" s="87"/>
    </row>
    <row r="8620" spans="1:10">
      <c r="H8620" s="25"/>
    </row>
    <row r="8621" spans="1:10">
      <c r="F8621" s="25">
        <f>SUM(C8621:E8621)</f>
        <v>0</v>
      </c>
      <c r="H8621" s="25"/>
    </row>
    <row r="8622" spans="1:10">
      <c r="F8622" s="25">
        <f t="shared" ref="F8622:F8637" si="2">SUM(C8622:E8622)</f>
        <v>0</v>
      </c>
      <c r="H8622" s="25"/>
    </row>
    <row r="8623" spans="1:10">
      <c r="F8623" s="25">
        <f t="shared" si="2"/>
        <v>0</v>
      </c>
      <c r="H8623" s="25"/>
    </row>
    <row r="8624" spans="1:10">
      <c r="F8624" s="25">
        <f t="shared" si="2"/>
        <v>0</v>
      </c>
      <c r="H8624" s="25"/>
    </row>
    <row r="8625" spans="6:8">
      <c r="F8625" s="25">
        <f t="shared" si="2"/>
        <v>0</v>
      </c>
      <c r="H8625" s="25"/>
    </row>
    <row r="8626" spans="6:8">
      <c r="F8626" s="25">
        <f t="shared" si="2"/>
        <v>0</v>
      </c>
      <c r="H8626" s="25"/>
    </row>
    <row r="8627" spans="6:8">
      <c r="F8627" s="25">
        <f t="shared" si="2"/>
        <v>0</v>
      </c>
      <c r="H8627" s="25"/>
    </row>
    <row r="8628" spans="6:8">
      <c r="F8628" s="25">
        <f t="shared" si="2"/>
        <v>0</v>
      </c>
      <c r="H8628" s="25"/>
    </row>
    <row r="8629" spans="6:8">
      <c r="F8629" s="25">
        <f t="shared" si="2"/>
        <v>0</v>
      </c>
      <c r="H8629" s="25"/>
    </row>
    <row r="8630" spans="6:8">
      <c r="F8630" s="25">
        <f t="shared" si="2"/>
        <v>0</v>
      </c>
      <c r="H8630" s="25"/>
    </row>
    <row r="8631" spans="6:8">
      <c r="F8631" s="25">
        <f t="shared" si="2"/>
        <v>0</v>
      </c>
      <c r="H8631" s="25"/>
    </row>
    <row r="8632" spans="6:8">
      <c r="F8632" s="25">
        <f t="shared" si="2"/>
        <v>0</v>
      </c>
      <c r="H8632" s="25"/>
    </row>
    <row r="8633" spans="6:8">
      <c r="F8633" s="25">
        <f t="shared" si="2"/>
        <v>0</v>
      </c>
      <c r="H8633" s="25"/>
    </row>
    <row r="8634" spans="6:8">
      <c r="F8634" s="25">
        <f t="shared" si="2"/>
        <v>0</v>
      </c>
      <c r="H8634" s="25"/>
    </row>
    <row r="8635" spans="6:8">
      <c r="F8635" s="25">
        <f t="shared" si="2"/>
        <v>0</v>
      </c>
      <c r="H8635" s="25"/>
    </row>
    <row r="8636" spans="6:8">
      <c r="F8636" s="25">
        <f t="shared" si="2"/>
        <v>0</v>
      </c>
      <c r="H8636" s="25"/>
    </row>
    <row r="8637" spans="6:8">
      <c r="F8637" s="25">
        <f t="shared" si="2"/>
        <v>0</v>
      </c>
      <c r="H8637" s="25"/>
    </row>
    <row r="8638" spans="6:8">
      <c r="H8638" s="25"/>
    </row>
    <row r="8639" spans="6:8">
      <c r="H8639" s="25"/>
    </row>
    <row r="8640" spans="6:8">
      <c r="H8640" s="25"/>
    </row>
    <row r="8641" spans="1:9">
      <c r="H8641" s="25"/>
    </row>
    <row r="8642" spans="1:9">
      <c r="H8642" s="25"/>
    </row>
    <row r="8647" spans="1:9" ht="15.75" thickBot="1"/>
    <row r="8648" spans="1:9" ht="15.75" thickTop="1">
      <c r="A8648" s="1047" t="s">
        <v>2791</v>
      </c>
      <c r="B8648" s="1049" t="s">
        <v>4126</v>
      </c>
      <c r="C8648" s="1049" t="s">
        <v>854</v>
      </c>
      <c r="D8648" s="1040" t="s">
        <v>4127</v>
      </c>
      <c r="E8648" s="1082"/>
      <c r="F8648" s="1082"/>
      <c r="G8648" s="1040" t="s">
        <v>904</v>
      </c>
      <c r="H8648" s="1082"/>
      <c r="I8648" s="1083"/>
    </row>
    <row r="8649" spans="1:9" ht="64.5" thickBot="1">
      <c r="A8649" s="1080"/>
      <c r="B8649" s="1081"/>
      <c r="C8649" s="1081"/>
      <c r="D8649" s="285" t="s">
        <v>4128</v>
      </c>
      <c r="E8649" s="285" t="s">
        <v>5506</v>
      </c>
      <c r="F8649" s="285" t="s">
        <v>5507</v>
      </c>
      <c r="G8649" s="286" t="s">
        <v>4129</v>
      </c>
      <c r="H8649" s="285" t="s">
        <v>4184</v>
      </c>
      <c r="I8649" s="287" t="s">
        <v>4185</v>
      </c>
    </row>
    <row r="8650" spans="1:9" ht="15.75" thickTop="1">
      <c r="G8650" s="25"/>
      <c r="H8650" s="25"/>
    </row>
    <row r="8651" spans="1:9">
      <c r="G8651" s="25"/>
      <c r="H8651" s="25"/>
    </row>
    <row r="8652" spans="1:9">
      <c r="G8652" s="25"/>
      <c r="H8652" s="25"/>
    </row>
    <row r="8653" spans="1:9">
      <c r="G8653" s="25"/>
      <c r="H8653" s="25"/>
    </row>
    <row r="8654" spans="1:9">
      <c r="G8654" s="25"/>
      <c r="H8654" s="25"/>
    </row>
    <row r="8655" spans="1:9">
      <c r="G8655" s="25"/>
      <c r="H8655" s="25"/>
    </row>
    <row r="8656" spans="1:9">
      <c r="G8656" s="25"/>
      <c r="H8656" s="25"/>
    </row>
    <row r="8657" spans="7:8">
      <c r="G8657" s="25"/>
      <c r="H8657" s="25"/>
    </row>
    <row r="8658" spans="7:8">
      <c r="G8658" s="25"/>
      <c r="H8658" s="25"/>
    </row>
    <row r="8659" spans="7:8">
      <c r="G8659" s="25"/>
      <c r="H8659" s="25"/>
    </row>
    <row r="8660" spans="7:8">
      <c r="G8660" s="25"/>
      <c r="H8660" s="25"/>
    </row>
    <row r="8661" spans="7:8">
      <c r="G8661" s="25"/>
      <c r="H8661" s="25"/>
    </row>
    <row r="8662" spans="7:8">
      <c r="G8662" s="25"/>
      <c r="H8662" s="25"/>
    </row>
    <row r="8663" spans="7:8">
      <c r="G8663" s="25"/>
      <c r="H8663" s="25"/>
    </row>
    <row r="8664" spans="7:8">
      <c r="G8664" s="25"/>
      <c r="H8664" s="25"/>
    </row>
    <row r="8665" spans="7:8">
      <c r="G8665" s="25"/>
      <c r="H8665" s="25"/>
    </row>
    <row r="8666" spans="7:8">
      <c r="G8666" s="25"/>
      <c r="H8666" s="25"/>
    </row>
    <row r="8667" spans="7:8">
      <c r="G8667" s="25"/>
      <c r="H8667" s="25"/>
    </row>
    <row r="8668" spans="7:8">
      <c r="G8668" s="25"/>
      <c r="H8668" s="25"/>
    </row>
    <row r="8669" spans="7:8">
      <c r="G8669" s="25"/>
      <c r="H8669" s="25"/>
    </row>
    <row r="8670" spans="7:8">
      <c r="G8670" s="25"/>
      <c r="H8670" s="25"/>
    </row>
    <row r="8671" spans="7:8">
      <c r="G8671" s="25"/>
      <c r="H8671" s="25"/>
    </row>
    <row r="8672" spans="7:8">
      <c r="G8672" s="25"/>
      <c r="H8672" s="25"/>
    </row>
    <row r="8673" spans="7:8">
      <c r="G8673" s="25"/>
      <c r="H8673" s="25"/>
    </row>
    <row r="8674" spans="7:8">
      <c r="G8674" s="25"/>
      <c r="H8674" s="25"/>
    </row>
    <row r="8675" spans="7:8">
      <c r="G8675" s="25"/>
      <c r="H8675" s="25"/>
    </row>
    <row r="8676" spans="7:8">
      <c r="G8676" s="25"/>
      <c r="H8676" s="25"/>
    </row>
    <row r="8677" spans="7:8">
      <c r="G8677" s="25"/>
      <c r="H8677" s="25"/>
    </row>
    <row r="8678" spans="7:8">
      <c r="G8678" s="25"/>
      <c r="H8678" s="25"/>
    </row>
    <row r="8679" spans="7:8">
      <c r="G8679" s="25"/>
      <c r="H8679" s="25"/>
    </row>
    <row r="8680" spans="7:8">
      <c r="G8680" s="25"/>
      <c r="H8680" s="25"/>
    </row>
    <row r="8681" spans="7:8">
      <c r="G8681" s="25"/>
      <c r="H8681" s="25"/>
    </row>
    <row r="8682" spans="7:8">
      <c r="G8682" s="25"/>
      <c r="H8682" s="25"/>
    </row>
    <row r="8683" spans="7:8">
      <c r="G8683" s="25"/>
      <c r="H8683" s="25"/>
    </row>
    <row r="8684" spans="7:8">
      <c r="G8684" s="25"/>
      <c r="H8684" s="25"/>
    </row>
    <row r="8685" spans="7:8">
      <c r="G8685" s="25"/>
      <c r="H8685" s="25"/>
    </row>
    <row r="8686" spans="7:8">
      <c r="G8686" s="25"/>
      <c r="H8686" s="25"/>
    </row>
    <row r="8687" spans="7:8">
      <c r="G8687" s="25"/>
      <c r="H8687" s="25"/>
    </row>
    <row r="8689" spans="7:10" ht="30">
      <c r="I8689" s="303" t="s">
        <v>4130</v>
      </c>
      <c r="J8689" s="303" t="s">
        <v>4131</v>
      </c>
    </row>
    <row r="8690" spans="7:10">
      <c r="J8690" s="23">
        <f t="shared" ref="J8690:J8695" si="3">SUM(G8690:I8690)</f>
        <v>0</v>
      </c>
    </row>
    <row r="8691" spans="7:10">
      <c r="J8691" s="302">
        <f t="shared" si="3"/>
        <v>0</v>
      </c>
    </row>
    <row r="8692" spans="7:10">
      <c r="J8692" s="302">
        <f t="shared" si="3"/>
        <v>0</v>
      </c>
    </row>
    <row r="8693" spans="7:10">
      <c r="J8693" s="302">
        <f t="shared" si="3"/>
        <v>0</v>
      </c>
    </row>
    <row r="8694" spans="7:10">
      <c r="J8694" s="302">
        <f t="shared" si="3"/>
        <v>0</v>
      </c>
    </row>
    <row r="8695" spans="7:10">
      <c r="J8695" s="302">
        <f t="shared" si="3"/>
        <v>0</v>
      </c>
    </row>
    <row r="8697" spans="7:10">
      <c r="G8697" s="302">
        <f>SUM(G8690:G8696)</f>
        <v>0</v>
      </c>
      <c r="H8697" s="302">
        <f>SUM(H8690:H8696)</f>
        <v>0</v>
      </c>
      <c r="I8697" s="302">
        <f>SUM(I8690:I8696)</f>
        <v>0</v>
      </c>
      <c r="J8697" s="302">
        <f>SUM(J8690:J8696)</f>
        <v>0</v>
      </c>
    </row>
    <row r="8698" spans="7:10">
      <c r="J8698" s="302"/>
    </row>
    <row r="8699" spans="7:10">
      <c r="J8699" s="302">
        <f>SUM(G8699:I8699)</f>
        <v>0</v>
      </c>
    </row>
    <row r="8700" spans="7:10">
      <c r="J8700" s="302">
        <f>SUM(G8700:I8700)</f>
        <v>0</v>
      </c>
    </row>
    <row r="8701" spans="7:10">
      <c r="G8701" s="302"/>
      <c r="H8701" s="302"/>
      <c r="I8701" s="302"/>
    </row>
    <row r="8706" spans="1:10">
      <c r="A8706" s="80" t="s">
        <v>1839</v>
      </c>
      <c r="B8706" s="81" t="s">
        <v>903</v>
      </c>
      <c r="C8706" s="1073" t="s">
        <v>4127</v>
      </c>
      <c r="D8706" s="1074"/>
      <c r="E8706" s="1075"/>
      <c r="F8706" s="81" t="s">
        <v>1684</v>
      </c>
      <c r="G8706" s="1073" t="s">
        <v>4132</v>
      </c>
      <c r="H8706" s="1074"/>
      <c r="I8706" s="1075"/>
      <c r="J8706" s="83"/>
    </row>
    <row r="8707" spans="1:10">
      <c r="A8707" s="84" t="s">
        <v>1620</v>
      </c>
      <c r="B8707" s="82"/>
      <c r="C8707" s="81" t="s">
        <v>1188</v>
      </c>
      <c r="D8707" s="81" t="s">
        <v>4133</v>
      </c>
      <c r="E8707" s="81" t="s">
        <v>4133</v>
      </c>
      <c r="F8707" s="1076" t="s">
        <v>4209</v>
      </c>
      <c r="G8707" s="1078" t="s">
        <v>4134</v>
      </c>
      <c r="H8707" s="1078" t="s">
        <v>4182</v>
      </c>
      <c r="I8707" s="80" t="s">
        <v>4135</v>
      </c>
      <c r="J8707" s="85" t="s">
        <v>4136</v>
      </c>
    </row>
    <row r="8708" spans="1:10">
      <c r="A8708" s="86" t="s">
        <v>387</v>
      </c>
      <c r="B8708" s="87"/>
      <c r="C8708" s="86">
        <v>2014</v>
      </c>
      <c r="D8708" s="86">
        <v>2015</v>
      </c>
      <c r="E8708" s="86">
        <v>2016</v>
      </c>
      <c r="F8708" s="1077"/>
      <c r="G8708" s="1079"/>
      <c r="H8708" s="1079"/>
      <c r="I8708" s="86" t="s">
        <v>4183</v>
      </c>
      <c r="J8708" s="87"/>
    </row>
    <row r="8709" spans="1:10">
      <c r="H8709" s="25"/>
    </row>
    <row r="8710" spans="1:10">
      <c r="F8710" s="25">
        <f>SUM(C8710:E8710)</f>
        <v>0</v>
      </c>
      <c r="H8710" s="25"/>
    </row>
    <row r="8711" spans="1:10">
      <c r="F8711" s="25">
        <f t="shared" ref="F8711:F8725" si="4">SUM(C8711:E8711)</f>
        <v>0</v>
      </c>
      <c r="H8711" s="25"/>
    </row>
    <row r="8712" spans="1:10">
      <c r="F8712" s="25">
        <f t="shared" si="4"/>
        <v>0</v>
      </c>
      <c r="H8712" s="25"/>
    </row>
    <row r="8713" spans="1:10">
      <c r="F8713" s="25">
        <f t="shared" si="4"/>
        <v>0</v>
      </c>
      <c r="H8713" s="25"/>
    </row>
    <row r="8714" spans="1:10">
      <c r="F8714" s="25">
        <f t="shared" si="4"/>
        <v>0</v>
      </c>
      <c r="H8714" s="25"/>
    </row>
    <row r="8715" spans="1:10">
      <c r="F8715" s="25">
        <f t="shared" si="4"/>
        <v>0</v>
      </c>
      <c r="H8715" s="25"/>
    </row>
    <row r="8716" spans="1:10">
      <c r="F8716" s="25">
        <f t="shared" si="4"/>
        <v>0</v>
      </c>
      <c r="H8716" s="25"/>
    </row>
    <row r="8717" spans="1:10">
      <c r="F8717" s="25">
        <f t="shared" si="4"/>
        <v>0</v>
      </c>
      <c r="H8717" s="25"/>
    </row>
    <row r="8718" spans="1:10">
      <c r="F8718" s="25">
        <f t="shared" si="4"/>
        <v>0</v>
      </c>
      <c r="H8718" s="25"/>
    </row>
    <row r="8719" spans="1:10">
      <c r="F8719" s="25">
        <f t="shared" si="4"/>
        <v>0</v>
      </c>
      <c r="H8719" s="25"/>
    </row>
    <row r="8720" spans="1:10">
      <c r="F8720" s="25">
        <f t="shared" si="4"/>
        <v>0</v>
      </c>
      <c r="H8720" s="25"/>
    </row>
    <row r="8721" spans="1:9">
      <c r="F8721" s="25">
        <f t="shared" si="4"/>
        <v>0</v>
      </c>
      <c r="H8721" s="25"/>
    </row>
    <row r="8722" spans="1:9">
      <c r="F8722" s="25">
        <f t="shared" si="4"/>
        <v>0</v>
      </c>
      <c r="H8722" s="25"/>
    </row>
    <row r="8723" spans="1:9">
      <c r="F8723" s="25">
        <f t="shared" si="4"/>
        <v>0</v>
      </c>
      <c r="H8723" s="25"/>
    </row>
    <row r="8724" spans="1:9">
      <c r="F8724" s="25">
        <f t="shared" si="4"/>
        <v>0</v>
      </c>
      <c r="H8724" s="25"/>
    </row>
    <row r="8725" spans="1:9">
      <c r="F8725" s="25">
        <f t="shared" si="4"/>
        <v>0</v>
      </c>
      <c r="H8725" s="25"/>
    </row>
    <row r="8726" spans="1:9">
      <c r="H8726" s="25"/>
    </row>
    <row r="8727" spans="1:9">
      <c r="H8727" s="25"/>
    </row>
    <row r="8728" spans="1:9">
      <c r="H8728" s="25"/>
    </row>
    <row r="8729" spans="1:9">
      <c r="H8729" s="25"/>
    </row>
    <row r="8734" spans="1:9" ht="15.75" thickBot="1"/>
    <row r="8735" spans="1:9" ht="15.75" thickTop="1">
      <c r="A8735" s="1047" t="s">
        <v>2791</v>
      </c>
      <c r="B8735" s="1049" t="s">
        <v>4126</v>
      </c>
      <c r="C8735" s="1049" t="s">
        <v>854</v>
      </c>
      <c r="D8735" s="1040" t="s">
        <v>4127</v>
      </c>
      <c r="E8735" s="1082"/>
      <c r="F8735" s="1082"/>
      <c r="G8735" s="1040" t="s">
        <v>904</v>
      </c>
      <c r="H8735" s="1082"/>
      <c r="I8735" s="1083"/>
    </row>
    <row r="8736" spans="1:9" ht="64.5" thickBot="1">
      <c r="A8736" s="1080"/>
      <c r="B8736" s="1081"/>
      <c r="C8736" s="1081"/>
      <c r="D8736" s="285" t="s">
        <v>4128</v>
      </c>
      <c r="E8736" s="285" t="s">
        <v>5506</v>
      </c>
      <c r="F8736" s="285" t="s">
        <v>5507</v>
      </c>
      <c r="G8736" s="286" t="s">
        <v>4129</v>
      </c>
      <c r="H8736" s="285" t="s">
        <v>4184</v>
      </c>
      <c r="I8736" s="287" t="s">
        <v>4185</v>
      </c>
    </row>
    <row r="8737" spans="7:8" ht="15.75" thickTop="1">
      <c r="G8737" s="25"/>
      <c r="H8737" s="25"/>
    </row>
    <row r="8738" spans="7:8">
      <c r="G8738" s="25"/>
      <c r="H8738" s="25"/>
    </row>
    <row r="8739" spans="7:8">
      <c r="G8739" s="25"/>
      <c r="H8739" s="25"/>
    </row>
    <row r="8740" spans="7:8">
      <c r="G8740" s="25"/>
      <c r="H8740" s="25"/>
    </row>
    <row r="8741" spans="7:8">
      <c r="G8741" s="25"/>
      <c r="H8741" s="25"/>
    </row>
    <row r="8742" spans="7:8">
      <c r="G8742" s="25"/>
      <c r="H8742" s="25"/>
    </row>
    <row r="8743" spans="7:8">
      <c r="G8743" s="25"/>
      <c r="H8743" s="25"/>
    </row>
    <row r="8744" spans="7:8">
      <c r="G8744" s="25"/>
      <c r="H8744" s="25"/>
    </row>
    <row r="8745" spans="7:8">
      <c r="G8745" s="25"/>
      <c r="H8745" s="25"/>
    </row>
    <row r="8746" spans="7:8">
      <c r="G8746" s="25"/>
      <c r="H8746" s="25"/>
    </row>
    <row r="8747" spans="7:8">
      <c r="G8747" s="25"/>
      <c r="H8747" s="25"/>
    </row>
    <row r="8748" spans="7:8">
      <c r="G8748" s="25"/>
      <c r="H8748" s="25"/>
    </row>
    <row r="8749" spans="7:8">
      <c r="G8749" s="25"/>
      <c r="H8749" s="25"/>
    </row>
    <row r="8750" spans="7:8">
      <c r="G8750" s="25"/>
      <c r="H8750" s="25"/>
    </row>
    <row r="8751" spans="7:8">
      <c r="G8751" s="25"/>
      <c r="H8751" s="25"/>
    </row>
    <row r="8752" spans="7:8">
      <c r="G8752" s="25"/>
      <c r="H8752" s="25"/>
    </row>
    <row r="8753" spans="7:8">
      <c r="G8753" s="25"/>
      <c r="H8753" s="25"/>
    </row>
    <row r="8754" spans="7:8">
      <c r="G8754" s="25"/>
      <c r="H8754" s="25"/>
    </row>
    <row r="8755" spans="7:8">
      <c r="G8755" s="25"/>
      <c r="H8755" s="25"/>
    </row>
    <row r="8756" spans="7:8">
      <c r="G8756" s="25"/>
      <c r="H8756" s="25"/>
    </row>
    <row r="8757" spans="7:8">
      <c r="G8757" s="25"/>
      <c r="H8757" s="25"/>
    </row>
    <row r="8758" spans="7:8">
      <c r="G8758" s="25"/>
      <c r="H8758" s="25"/>
    </row>
    <row r="8759" spans="7:8">
      <c r="G8759" s="25"/>
      <c r="H8759" s="25"/>
    </row>
    <row r="8760" spans="7:8">
      <c r="G8760" s="25"/>
      <c r="H8760" s="25"/>
    </row>
    <row r="8761" spans="7:8">
      <c r="G8761" s="25"/>
      <c r="H8761" s="25"/>
    </row>
    <row r="8762" spans="7:8">
      <c r="G8762" s="25"/>
      <c r="H8762" s="25"/>
    </row>
    <row r="8763" spans="7:8">
      <c r="G8763" s="25"/>
      <c r="H8763" s="25"/>
    </row>
    <row r="8764" spans="7:8">
      <c r="G8764" s="25"/>
      <c r="H8764" s="25"/>
    </row>
    <row r="8765" spans="7:8">
      <c r="G8765" s="25"/>
      <c r="H8765" s="25"/>
    </row>
    <row r="8766" spans="7:8">
      <c r="G8766" s="25"/>
      <c r="H8766" s="25"/>
    </row>
    <row r="8767" spans="7:8">
      <c r="G8767" s="25"/>
      <c r="H8767" s="25"/>
    </row>
    <row r="8768" spans="7:8">
      <c r="G8768" s="25"/>
      <c r="H8768" s="25"/>
    </row>
    <row r="8769" spans="1:9">
      <c r="G8769" s="25"/>
      <c r="H8769" s="25"/>
    </row>
    <row r="8770" spans="1:9">
      <c r="G8770" s="25"/>
      <c r="H8770" s="25"/>
    </row>
    <row r="8771" spans="1:9">
      <c r="G8771" s="25"/>
      <c r="H8771" s="25"/>
    </row>
    <row r="8772" spans="1:9">
      <c r="G8772" s="25"/>
      <c r="H8772" s="25"/>
    </row>
    <row r="8773" spans="1:9">
      <c r="G8773" s="25"/>
      <c r="H8773" s="25"/>
    </row>
    <row r="8774" spans="1:9" ht="15.75" thickBot="1">
      <c r="G8774" s="25"/>
      <c r="H8774" s="25"/>
    </row>
    <row r="8775" spans="1:9" s="302" customFormat="1" ht="15.75" thickTop="1">
      <c r="A8775" s="1047" t="s">
        <v>2791</v>
      </c>
      <c r="B8775" s="1049" t="s">
        <v>4126</v>
      </c>
      <c r="C8775" s="1049" t="s">
        <v>854</v>
      </c>
      <c r="D8775" s="1040" t="s">
        <v>4127</v>
      </c>
      <c r="E8775" s="1082"/>
      <c r="F8775" s="1082"/>
      <c r="G8775" s="1040" t="s">
        <v>904</v>
      </c>
      <c r="H8775" s="1082"/>
      <c r="I8775" s="1083"/>
    </row>
    <row r="8776" spans="1:9" s="302" customFormat="1" ht="64.5" thickBot="1">
      <c r="A8776" s="1080"/>
      <c r="B8776" s="1081"/>
      <c r="C8776" s="1081"/>
      <c r="D8776" s="285" t="s">
        <v>4128</v>
      </c>
      <c r="E8776" s="285" t="s">
        <v>5506</v>
      </c>
      <c r="F8776" s="285" t="s">
        <v>5507</v>
      </c>
      <c r="G8776" s="286" t="s">
        <v>4129</v>
      </c>
      <c r="H8776" s="285" t="s">
        <v>4184</v>
      </c>
      <c r="I8776" s="287" t="s">
        <v>4185</v>
      </c>
    </row>
    <row r="8777" spans="1:9" ht="15.75" thickTop="1">
      <c r="G8777" s="25"/>
      <c r="H8777" s="25"/>
    </row>
    <row r="8778" spans="1:9">
      <c r="G8778" s="25"/>
      <c r="H8778" s="25"/>
    </row>
    <row r="8779" spans="1:9">
      <c r="G8779" s="25"/>
      <c r="H8779" s="25"/>
    </row>
    <row r="8780" spans="1:9">
      <c r="G8780" s="25"/>
      <c r="H8780" s="25"/>
    </row>
    <row r="8781" spans="1:9">
      <c r="G8781" s="25"/>
      <c r="H8781" s="25"/>
    </row>
    <row r="8782" spans="1:9">
      <c r="G8782" s="25"/>
      <c r="H8782" s="25"/>
    </row>
    <row r="8783" spans="1:9">
      <c r="G8783" s="25"/>
      <c r="H8783" s="25"/>
    </row>
    <row r="8784" spans="1:9">
      <c r="G8784" s="25"/>
      <c r="H8784" s="25"/>
    </row>
    <row r="8785" spans="7:8">
      <c r="G8785" s="25"/>
      <c r="H8785" s="25"/>
    </row>
    <row r="8786" spans="7:8">
      <c r="G8786" s="25"/>
      <c r="H8786" s="25"/>
    </row>
    <row r="8787" spans="7:8">
      <c r="G8787" s="25"/>
      <c r="H8787" s="25"/>
    </row>
    <row r="8788" spans="7:8">
      <c r="G8788" s="25"/>
      <c r="H8788" s="25"/>
    </row>
    <row r="8789" spans="7:8">
      <c r="G8789" s="25"/>
      <c r="H8789" s="25"/>
    </row>
    <row r="8790" spans="7:8">
      <c r="G8790" s="25"/>
      <c r="H8790" s="25"/>
    </row>
    <row r="8791" spans="7:8">
      <c r="G8791" s="25"/>
      <c r="H8791" s="25"/>
    </row>
    <row r="8792" spans="7:8">
      <c r="G8792" s="25"/>
      <c r="H8792" s="25"/>
    </row>
    <row r="8793" spans="7:8">
      <c r="G8793" s="25"/>
      <c r="H8793" s="25"/>
    </row>
    <row r="8794" spans="7:8">
      <c r="G8794" s="25"/>
      <c r="H8794" s="25"/>
    </row>
    <row r="8795" spans="7:8">
      <c r="G8795" s="25"/>
      <c r="H8795" s="25"/>
    </row>
    <row r="8796" spans="7:8">
      <c r="G8796" s="25"/>
      <c r="H8796" s="25"/>
    </row>
    <row r="8797" spans="7:8">
      <c r="G8797" s="25"/>
      <c r="H8797" s="25"/>
    </row>
    <row r="8798" spans="7:8">
      <c r="G8798" s="25"/>
      <c r="H8798" s="25"/>
    </row>
    <row r="8799" spans="7:8">
      <c r="G8799" s="25"/>
      <c r="H8799" s="25"/>
    </row>
    <row r="8800" spans="7:8">
      <c r="G8800" s="25"/>
      <c r="H8800" s="25"/>
    </row>
    <row r="8801" spans="7:8">
      <c r="G8801" s="25"/>
      <c r="H8801" s="25"/>
    </row>
    <row r="8802" spans="7:8">
      <c r="G8802" s="25"/>
      <c r="H8802" s="25"/>
    </row>
    <row r="8803" spans="7:8">
      <c r="G8803" s="25"/>
      <c r="H8803" s="25"/>
    </row>
    <row r="8804" spans="7:8">
      <c r="G8804" s="25"/>
      <c r="H8804" s="25"/>
    </row>
    <row r="8805" spans="7:8">
      <c r="G8805" s="25"/>
      <c r="H8805" s="25"/>
    </row>
    <row r="8806" spans="7:8">
      <c r="G8806" s="25"/>
      <c r="H8806" s="25"/>
    </row>
    <row r="8807" spans="7:8">
      <c r="G8807" s="25"/>
      <c r="H8807" s="25"/>
    </row>
    <row r="8808" spans="7:8">
      <c r="G8808" s="25"/>
      <c r="H8808" s="25"/>
    </row>
    <row r="8809" spans="7:8">
      <c r="G8809" s="25"/>
      <c r="H8809" s="25"/>
    </row>
    <row r="8810" spans="7:8">
      <c r="G8810" s="25"/>
      <c r="H8810" s="25"/>
    </row>
    <row r="8811" spans="7:8">
      <c r="G8811" s="25"/>
      <c r="H8811" s="25"/>
    </row>
    <row r="8812" spans="7:8">
      <c r="G8812" s="25"/>
      <c r="H8812" s="25"/>
    </row>
    <row r="8813" spans="7:8">
      <c r="G8813" s="25"/>
      <c r="H8813" s="25"/>
    </row>
    <row r="8814" spans="7:8">
      <c r="G8814" s="25"/>
      <c r="H8814" s="25"/>
    </row>
    <row r="8815" spans="7:8">
      <c r="G8815" s="25"/>
      <c r="H8815" s="25"/>
    </row>
    <row r="8816" spans="7:8" ht="15.75" thickBot="1">
      <c r="G8816" s="25"/>
      <c r="H8816" s="25"/>
    </row>
    <row r="8817" spans="1:10" s="302" customFormat="1" ht="15.75" thickTop="1">
      <c r="A8817" s="1047" t="s">
        <v>2791</v>
      </c>
      <c r="B8817" s="1049" t="s">
        <v>4126</v>
      </c>
      <c r="C8817" s="1049" t="s">
        <v>854</v>
      </c>
      <c r="D8817" s="1040" t="s">
        <v>4127</v>
      </c>
      <c r="E8817" s="1082"/>
      <c r="F8817" s="1082"/>
      <c r="G8817" s="1040" t="s">
        <v>904</v>
      </c>
      <c r="H8817" s="1082"/>
      <c r="I8817" s="1083"/>
    </row>
    <row r="8818" spans="1:10" s="302" customFormat="1" ht="64.5" thickBot="1">
      <c r="A8818" s="1080"/>
      <c r="B8818" s="1081"/>
      <c r="C8818" s="1081"/>
      <c r="D8818" s="285" t="s">
        <v>4128</v>
      </c>
      <c r="E8818" s="285" t="s">
        <v>5506</v>
      </c>
      <c r="F8818" s="285" t="s">
        <v>5507</v>
      </c>
      <c r="G8818" s="286" t="s">
        <v>4129</v>
      </c>
      <c r="H8818" s="285" t="s">
        <v>4184</v>
      </c>
      <c r="I8818" s="287" t="s">
        <v>4185</v>
      </c>
    </row>
    <row r="8819" spans="1:10" ht="15.75" thickTop="1">
      <c r="G8819" s="25"/>
      <c r="H8819" s="25"/>
    </row>
    <row r="8820" spans="1:10">
      <c r="G8820" s="25"/>
      <c r="H8820" s="25"/>
    </row>
    <row r="8821" spans="1:10">
      <c r="G8821" s="25"/>
      <c r="H8821" s="25"/>
    </row>
    <row r="8822" spans="1:10">
      <c r="G8822" s="25"/>
      <c r="H8822" s="25"/>
    </row>
    <row r="8823" spans="1:10">
      <c r="G8823" s="25"/>
      <c r="H8823" s="25"/>
    </row>
    <row r="8824" spans="1:10">
      <c r="G8824" s="25"/>
      <c r="H8824" s="25"/>
    </row>
    <row r="8825" spans="1:10">
      <c r="G8825" s="25"/>
      <c r="H8825" s="25"/>
    </row>
    <row r="8826" spans="1:10">
      <c r="G8826" s="25"/>
      <c r="H8826" s="25"/>
    </row>
    <row r="8827" spans="1:10">
      <c r="G8827" s="25"/>
      <c r="H8827" s="25"/>
    </row>
    <row r="8828" spans="1:10">
      <c r="G8828" s="25"/>
      <c r="H8828" s="25"/>
    </row>
    <row r="8829" spans="1:10" ht="30">
      <c r="I8829" s="303" t="s">
        <v>4130</v>
      </c>
      <c r="J8829" s="303" t="s">
        <v>4131</v>
      </c>
    </row>
    <row r="8830" spans="1:10">
      <c r="J8830" s="23">
        <f>SUM(G8830:I8830)</f>
        <v>0</v>
      </c>
    </row>
    <row r="8831" spans="1:10">
      <c r="J8831" s="302">
        <f>SUM(G8831:I8831)</f>
        <v>0</v>
      </c>
    </row>
    <row r="8832" spans="1:10">
      <c r="J8832" s="302">
        <f>SUM(G8832:I8832)</f>
        <v>0</v>
      </c>
    </row>
    <row r="8833" spans="1:10">
      <c r="J8833" s="302">
        <f>SUM(G8833:I8833)</f>
        <v>0</v>
      </c>
    </row>
    <row r="8834" spans="1:10">
      <c r="J8834" s="302">
        <f>SUM(G8834:I8834)</f>
        <v>0</v>
      </c>
    </row>
    <row r="8836" spans="1:10">
      <c r="G8836" s="302"/>
      <c r="H8836" s="302"/>
      <c r="I8836" s="302"/>
    </row>
    <row r="8837" spans="1:10">
      <c r="J8837" s="302">
        <f>SUM(G8837:I8837)</f>
        <v>0</v>
      </c>
    </row>
    <row r="8838" spans="1:10">
      <c r="J8838" s="302">
        <f>SUM(G8838:I8838)</f>
        <v>0</v>
      </c>
    </row>
    <row r="8839" spans="1:10">
      <c r="G8839" s="302"/>
      <c r="H8839" s="302"/>
      <c r="I8839" s="302"/>
    </row>
    <row r="8844" spans="1:10">
      <c r="A8844" s="80" t="s">
        <v>1839</v>
      </c>
      <c r="B8844" s="81" t="s">
        <v>903</v>
      </c>
      <c r="C8844" s="1073" t="s">
        <v>4127</v>
      </c>
      <c r="D8844" s="1074"/>
      <c r="E8844" s="1075"/>
      <c r="F8844" s="81" t="s">
        <v>1684</v>
      </c>
      <c r="G8844" s="1073" t="s">
        <v>4132</v>
      </c>
      <c r="H8844" s="1074"/>
      <c r="I8844" s="1075"/>
      <c r="J8844" s="83"/>
    </row>
    <row r="8845" spans="1:10">
      <c r="A8845" s="84" t="s">
        <v>1620</v>
      </c>
      <c r="B8845" s="82"/>
      <c r="C8845" s="81" t="s">
        <v>1188</v>
      </c>
      <c r="D8845" s="81" t="s">
        <v>4133</v>
      </c>
      <c r="E8845" s="81" t="s">
        <v>4133</v>
      </c>
      <c r="F8845" s="1076" t="s">
        <v>4209</v>
      </c>
      <c r="G8845" s="1078" t="s">
        <v>4134</v>
      </c>
      <c r="H8845" s="1078" t="s">
        <v>4182</v>
      </c>
      <c r="I8845" s="80" t="s">
        <v>4135</v>
      </c>
      <c r="J8845" s="85" t="s">
        <v>4136</v>
      </c>
    </row>
    <row r="8846" spans="1:10">
      <c r="A8846" s="86" t="s">
        <v>387</v>
      </c>
      <c r="B8846" s="87"/>
      <c r="C8846" s="86">
        <v>2014</v>
      </c>
      <c r="D8846" s="86">
        <v>2015</v>
      </c>
      <c r="E8846" s="86">
        <v>2016</v>
      </c>
      <c r="F8846" s="1077"/>
      <c r="G8846" s="1079"/>
      <c r="H8846" s="1079"/>
      <c r="I8846" s="86" t="s">
        <v>4183</v>
      </c>
      <c r="J8846" s="87"/>
    </row>
    <row r="8847" spans="1:10">
      <c r="H8847" s="25"/>
    </row>
    <row r="8848" spans="1:10">
      <c r="F8848" s="25">
        <f>SUM(C8848:E8848)</f>
        <v>0</v>
      </c>
      <c r="H8848" s="25"/>
    </row>
    <row r="8849" spans="6:8">
      <c r="F8849" s="25">
        <f t="shared" ref="F8849:F8870" si="5">SUM(C8849:E8849)</f>
        <v>0</v>
      </c>
      <c r="H8849" s="25"/>
    </row>
    <row r="8850" spans="6:8">
      <c r="F8850" s="25">
        <f t="shared" si="5"/>
        <v>0</v>
      </c>
      <c r="H8850" s="25"/>
    </row>
    <row r="8851" spans="6:8">
      <c r="F8851" s="25">
        <f t="shared" si="5"/>
        <v>0</v>
      </c>
      <c r="H8851" s="25"/>
    </row>
    <row r="8852" spans="6:8">
      <c r="F8852" s="25">
        <f t="shared" si="5"/>
        <v>0</v>
      </c>
      <c r="H8852" s="25"/>
    </row>
    <row r="8853" spans="6:8">
      <c r="F8853" s="25">
        <f t="shared" si="5"/>
        <v>0</v>
      </c>
      <c r="H8853" s="25"/>
    </row>
    <row r="8854" spans="6:8">
      <c r="F8854" s="25">
        <f t="shared" si="5"/>
        <v>0</v>
      </c>
      <c r="H8854" s="25"/>
    </row>
    <row r="8855" spans="6:8">
      <c r="F8855" s="25">
        <f t="shared" si="5"/>
        <v>0</v>
      </c>
      <c r="H8855" s="25"/>
    </row>
    <row r="8856" spans="6:8">
      <c r="F8856" s="25">
        <f t="shared" si="5"/>
        <v>0</v>
      </c>
      <c r="H8856" s="25"/>
    </row>
    <row r="8857" spans="6:8">
      <c r="F8857" s="25">
        <f t="shared" si="5"/>
        <v>0</v>
      </c>
      <c r="H8857" s="25"/>
    </row>
    <row r="8858" spans="6:8">
      <c r="F8858" s="25">
        <f t="shared" si="5"/>
        <v>0</v>
      </c>
      <c r="H8858" s="25"/>
    </row>
    <row r="8859" spans="6:8">
      <c r="F8859" s="25">
        <f t="shared" si="5"/>
        <v>0</v>
      </c>
      <c r="H8859" s="25"/>
    </row>
    <row r="8860" spans="6:8">
      <c r="F8860" s="25">
        <f t="shared" si="5"/>
        <v>0</v>
      </c>
      <c r="H8860" s="25"/>
    </row>
    <row r="8861" spans="6:8">
      <c r="F8861" s="25">
        <f t="shared" si="5"/>
        <v>0</v>
      </c>
      <c r="H8861" s="25"/>
    </row>
    <row r="8862" spans="6:8">
      <c r="F8862" s="25">
        <f t="shared" si="5"/>
        <v>0</v>
      </c>
      <c r="H8862" s="25"/>
    </row>
    <row r="8863" spans="6:8">
      <c r="F8863" s="25">
        <f t="shared" si="5"/>
        <v>0</v>
      </c>
      <c r="H8863" s="25"/>
    </row>
    <row r="8864" spans="6:8">
      <c r="F8864" s="25">
        <f t="shared" si="5"/>
        <v>0</v>
      </c>
      <c r="H8864" s="25"/>
    </row>
    <row r="8865" spans="1:9">
      <c r="F8865" s="25">
        <f t="shared" si="5"/>
        <v>0</v>
      </c>
      <c r="H8865" s="25"/>
    </row>
    <row r="8866" spans="1:9">
      <c r="F8866" s="25">
        <f t="shared" si="5"/>
        <v>0</v>
      </c>
      <c r="H8866" s="25"/>
    </row>
    <row r="8867" spans="1:9">
      <c r="F8867" s="25">
        <f t="shared" si="5"/>
        <v>0</v>
      </c>
      <c r="H8867" s="25"/>
    </row>
    <row r="8868" spans="1:9">
      <c r="F8868" s="25">
        <f t="shared" si="5"/>
        <v>0</v>
      </c>
      <c r="H8868" s="25"/>
    </row>
    <row r="8869" spans="1:9">
      <c r="F8869" s="25">
        <f t="shared" si="5"/>
        <v>0</v>
      </c>
      <c r="H8869" s="25"/>
    </row>
    <row r="8870" spans="1:9">
      <c r="F8870" s="25">
        <f t="shared" si="5"/>
        <v>0</v>
      </c>
      <c r="H8870" s="25"/>
    </row>
    <row r="8871" spans="1:9">
      <c r="H8871" s="25"/>
    </row>
    <row r="8872" spans="1:9">
      <c r="H8872" s="25"/>
    </row>
    <row r="8873" spans="1:9">
      <c r="H8873" s="25"/>
    </row>
    <row r="8877" spans="1:9" ht="15.75" thickBot="1"/>
    <row r="8878" spans="1:9" s="302" customFormat="1" ht="15.75" thickTop="1">
      <c r="A8878" s="1047" t="s">
        <v>2791</v>
      </c>
      <c r="B8878" s="1049" t="s">
        <v>4126</v>
      </c>
      <c r="C8878" s="1049" t="s">
        <v>854</v>
      </c>
      <c r="D8878" s="1040" t="s">
        <v>4127</v>
      </c>
      <c r="E8878" s="1082"/>
      <c r="F8878" s="1082"/>
      <c r="G8878" s="1040" t="s">
        <v>904</v>
      </c>
      <c r="H8878" s="1082"/>
      <c r="I8878" s="1083"/>
    </row>
    <row r="8879" spans="1:9" s="302" customFormat="1" ht="64.5" thickBot="1">
      <c r="A8879" s="1080"/>
      <c r="B8879" s="1081"/>
      <c r="C8879" s="1081"/>
      <c r="D8879" s="285" t="s">
        <v>4128</v>
      </c>
      <c r="E8879" s="285" t="s">
        <v>5506</v>
      </c>
      <c r="F8879" s="285" t="s">
        <v>5507</v>
      </c>
      <c r="G8879" s="286" t="s">
        <v>4129</v>
      </c>
      <c r="H8879" s="285" t="s">
        <v>4184</v>
      </c>
      <c r="I8879" s="287" t="s">
        <v>4185</v>
      </c>
    </row>
    <row r="8880" spans="1:9" ht="15.75" thickTop="1">
      <c r="G8880" s="25"/>
      <c r="H8880" s="25"/>
    </row>
    <row r="8881" spans="7:8">
      <c r="G8881" s="25"/>
      <c r="H8881" s="25"/>
    </row>
    <row r="8882" spans="7:8">
      <c r="G8882" s="25"/>
      <c r="H8882" s="25"/>
    </row>
    <row r="8883" spans="7:8">
      <c r="G8883" s="25"/>
      <c r="H8883" s="25"/>
    </row>
    <row r="8884" spans="7:8">
      <c r="G8884" s="25"/>
      <c r="H8884" s="25"/>
    </row>
    <row r="8885" spans="7:8">
      <c r="G8885" s="25"/>
      <c r="H8885" s="25"/>
    </row>
    <row r="8886" spans="7:8">
      <c r="G8886" s="25"/>
      <c r="H8886" s="25"/>
    </row>
    <row r="8887" spans="7:8">
      <c r="G8887" s="25"/>
      <c r="H8887" s="25"/>
    </row>
    <row r="8888" spans="7:8">
      <c r="G8888" s="25"/>
      <c r="H8888" s="25"/>
    </row>
    <row r="8889" spans="7:8">
      <c r="G8889" s="25"/>
      <c r="H8889" s="25"/>
    </row>
    <row r="8890" spans="7:8">
      <c r="G8890" s="25"/>
      <c r="H8890" s="25"/>
    </row>
    <row r="8891" spans="7:8">
      <c r="G8891" s="25"/>
      <c r="H8891" s="25"/>
    </row>
    <row r="8892" spans="7:8">
      <c r="G8892" s="25"/>
      <c r="H8892" s="25"/>
    </row>
    <row r="8893" spans="7:8">
      <c r="G8893" s="25"/>
      <c r="H8893" s="25"/>
    </row>
    <row r="8894" spans="7:8">
      <c r="G8894" s="25"/>
      <c r="H8894" s="25"/>
    </row>
    <row r="8895" spans="7:8">
      <c r="G8895" s="25"/>
      <c r="H8895" s="25"/>
    </row>
    <row r="8896" spans="7:8">
      <c r="G8896" s="25"/>
      <c r="H8896" s="25"/>
    </row>
    <row r="8897" spans="7:8">
      <c r="G8897" s="25"/>
      <c r="H8897" s="25"/>
    </row>
    <row r="8898" spans="7:8">
      <c r="G8898" s="25"/>
      <c r="H8898" s="25"/>
    </row>
    <row r="8899" spans="7:8">
      <c r="G8899" s="25"/>
      <c r="H8899" s="25"/>
    </row>
    <row r="8900" spans="7:8">
      <c r="G8900" s="25"/>
      <c r="H8900" s="25"/>
    </row>
    <row r="8901" spans="7:8">
      <c r="G8901" s="25"/>
      <c r="H8901" s="25"/>
    </row>
    <row r="8902" spans="7:8">
      <c r="G8902" s="25"/>
      <c r="H8902" s="25"/>
    </row>
    <row r="8903" spans="7:8">
      <c r="G8903" s="25"/>
      <c r="H8903" s="25"/>
    </row>
    <row r="8904" spans="7:8">
      <c r="G8904" s="25"/>
      <c r="H8904" s="25"/>
    </row>
    <row r="8905" spans="7:8">
      <c r="G8905" s="25"/>
      <c r="H8905" s="25"/>
    </row>
    <row r="8906" spans="7:8">
      <c r="G8906" s="25"/>
      <c r="H8906" s="25"/>
    </row>
    <row r="8907" spans="7:8">
      <c r="G8907" s="25"/>
      <c r="H8907" s="25"/>
    </row>
    <row r="8908" spans="7:8">
      <c r="G8908" s="25"/>
      <c r="H8908" s="25"/>
    </row>
    <row r="8909" spans="7:8">
      <c r="G8909" s="25"/>
      <c r="H8909" s="25"/>
    </row>
    <row r="8910" spans="7:8">
      <c r="G8910" s="25"/>
      <c r="H8910" s="25"/>
    </row>
    <row r="8911" spans="7:8">
      <c r="G8911" s="25"/>
      <c r="H8911" s="25"/>
    </row>
    <row r="8912" spans="7:8">
      <c r="G8912" s="25"/>
      <c r="H8912" s="25"/>
    </row>
    <row r="8913" spans="1:9">
      <c r="G8913" s="25"/>
      <c r="H8913" s="25"/>
    </row>
    <row r="8914" spans="1:9">
      <c r="G8914" s="25"/>
      <c r="H8914" s="25"/>
    </row>
    <row r="8915" spans="1:9">
      <c r="G8915" s="25"/>
      <c r="H8915" s="25"/>
    </row>
    <row r="8916" spans="1:9">
      <c r="G8916" s="25"/>
      <c r="H8916" s="25"/>
    </row>
    <row r="8917" spans="1:9" ht="15.75" thickBot="1">
      <c r="G8917" s="25"/>
      <c r="H8917" s="25"/>
    </row>
    <row r="8918" spans="1:9" ht="15.75" thickTop="1">
      <c r="A8918" s="1047" t="s">
        <v>2791</v>
      </c>
      <c r="B8918" s="1049" t="s">
        <v>4126</v>
      </c>
      <c r="C8918" s="1049" t="s">
        <v>854</v>
      </c>
      <c r="D8918" s="1040" t="s">
        <v>4127</v>
      </c>
      <c r="E8918" s="1082"/>
      <c r="F8918" s="1082"/>
      <c r="G8918" s="1040" t="s">
        <v>904</v>
      </c>
      <c r="H8918" s="1082"/>
      <c r="I8918" s="1083"/>
    </row>
    <row r="8919" spans="1:9" s="302" customFormat="1" ht="64.5" thickBot="1">
      <c r="A8919" s="1080"/>
      <c r="B8919" s="1081"/>
      <c r="C8919" s="1081"/>
      <c r="D8919" s="285" t="s">
        <v>4128</v>
      </c>
      <c r="E8919" s="285" t="s">
        <v>5506</v>
      </c>
      <c r="F8919" s="285" t="s">
        <v>5507</v>
      </c>
      <c r="G8919" s="286" t="s">
        <v>4129</v>
      </c>
      <c r="H8919" s="285" t="s">
        <v>4184</v>
      </c>
      <c r="I8919" s="287" t="s">
        <v>4185</v>
      </c>
    </row>
    <row r="8920" spans="1:9" ht="15.75" thickTop="1">
      <c r="G8920" s="25"/>
      <c r="H8920" s="25"/>
    </row>
    <row r="8921" spans="1:9">
      <c r="G8921" s="25"/>
      <c r="H8921" s="25"/>
    </row>
    <row r="8922" spans="1:9">
      <c r="G8922" s="25"/>
      <c r="H8922" s="25"/>
    </row>
    <row r="8923" spans="1:9">
      <c r="G8923" s="25"/>
      <c r="H8923" s="25"/>
    </row>
    <row r="8924" spans="1:9">
      <c r="G8924" s="25"/>
      <c r="H8924" s="25"/>
    </row>
    <row r="8925" spans="1:9">
      <c r="G8925" s="25"/>
      <c r="H8925" s="25"/>
    </row>
    <row r="8926" spans="1:9">
      <c r="G8926" s="25"/>
      <c r="H8926" s="25"/>
    </row>
    <row r="8927" spans="1:9">
      <c r="G8927" s="25"/>
      <c r="H8927" s="25"/>
    </row>
    <row r="8928" spans="1:9">
      <c r="G8928" s="25"/>
      <c r="H8928" s="25"/>
    </row>
    <row r="8929" spans="7:10">
      <c r="G8929" s="25"/>
      <c r="H8929" s="25"/>
    </row>
    <row r="8930" spans="7:10">
      <c r="G8930" s="25"/>
      <c r="H8930" s="25"/>
    </row>
    <row r="8931" spans="7:10">
      <c r="G8931" s="25"/>
      <c r="H8931" s="25"/>
    </row>
    <row r="8932" spans="7:10">
      <c r="G8932" s="25"/>
      <c r="H8932" s="25"/>
    </row>
    <row r="8933" spans="7:10">
      <c r="G8933" s="25"/>
      <c r="H8933" s="25"/>
    </row>
    <row r="8934" spans="7:10">
      <c r="G8934" s="25"/>
      <c r="H8934" s="25"/>
    </row>
    <row r="8935" spans="7:10">
      <c r="G8935" s="25"/>
      <c r="H8935" s="25"/>
    </row>
    <row r="8936" spans="7:10">
      <c r="G8936" s="25"/>
      <c r="H8936" s="25"/>
    </row>
    <row r="8937" spans="7:10">
      <c r="G8937" s="25"/>
      <c r="H8937" s="25"/>
    </row>
    <row r="8938" spans="7:10">
      <c r="G8938" s="25"/>
      <c r="H8938" s="25"/>
    </row>
    <row r="8939" spans="7:10">
      <c r="G8939" s="25"/>
      <c r="H8939" s="25"/>
    </row>
    <row r="8940" spans="7:10">
      <c r="G8940" s="25"/>
      <c r="H8940" s="25"/>
    </row>
    <row r="8941" spans="7:10">
      <c r="G8941" s="25"/>
      <c r="H8941" s="25"/>
    </row>
    <row r="8942" spans="7:10" ht="30">
      <c r="I8942" s="303" t="s">
        <v>4130</v>
      </c>
      <c r="J8942" s="303" t="s">
        <v>4131</v>
      </c>
    </row>
    <row r="8943" spans="7:10">
      <c r="J8943" s="23">
        <f>SUM(G8943:I8943)</f>
        <v>0</v>
      </c>
    </row>
    <row r="8944" spans="7:10">
      <c r="J8944" s="302">
        <f>SUM(G8944:I8944)</f>
        <v>0</v>
      </c>
    </row>
    <row r="8945" spans="1:10">
      <c r="J8945" s="302">
        <f>SUM(G8945:I8945)</f>
        <v>0</v>
      </c>
    </row>
    <row r="8946" spans="1:10">
      <c r="J8946" s="302">
        <f>SUM(G8946:I8946)</f>
        <v>0</v>
      </c>
    </row>
    <row r="8947" spans="1:10">
      <c r="J8947" s="302">
        <f>SUM(G8947:I8947)</f>
        <v>0</v>
      </c>
    </row>
    <row r="8949" spans="1:10">
      <c r="G8949" s="302"/>
      <c r="H8949" s="302"/>
      <c r="I8949" s="302"/>
    </row>
    <row r="8951" spans="1:10">
      <c r="J8951" s="302">
        <f>SUM(G8951:I8951)</f>
        <v>0</v>
      </c>
    </row>
    <row r="8952" spans="1:10">
      <c r="J8952" s="302">
        <f>SUM(G8952:I8952)</f>
        <v>0</v>
      </c>
    </row>
    <row r="8954" spans="1:10">
      <c r="G8954" s="302"/>
      <c r="H8954" s="302"/>
      <c r="I8954" s="302"/>
    </row>
    <row r="8960" spans="1:10">
      <c r="A8960" s="80" t="s">
        <v>1839</v>
      </c>
      <c r="B8960" s="81" t="s">
        <v>903</v>
      </c>
      <c r="C8960" s="1073" t="s">
        <v>4127</v>
      </c>
      <c r="D8960" s="1074"/>
      <c r="E8960" s="1075"/>
      <c r="F8960" s="81" t="s">
        <v>1684</v>
      </c>
      <c r="G8960" s="1073" t="s">
        <v>4132</v>
      </c>
      <c r="H8960" s="1074"/>
      <c r="I8960" s="1075"/>
      <c r="J8960" s="83"/>
    </row>
    <row r="8961" spans="1:10">
      <c r="A8961" s="84" t="s">
        <v>1620</v>
      </c>
      <c r="B8961" s="82"/>
      <c r="C8961" s="81" t="s">
        <v>1188</v>
      </c>
      <c r="D8961" s="81" t="s">
        <v>4133</v>
      </c>
      <c r="E8961" s="81" t="s">
        <v>4133</v>
      </c>
      <c r="F8961" s="1076" t="s">
        <v>4209</v>
      </c>
      <c r="G8961" s="1078" t="s">
        <v>4134</v>
      </c>
      <c r="H8961" s="1078" t="s">
        <v>4182</v>
      </c>
      <c r="I8961" s="80" t="s">
        <v>4135</v>
      </c>
      <c r="J8961" s="85" t="s">
        <v>4136</v>
      </c>
    </row>
    <row r="8962" spans="1:10">
      <c r="A8962" s="86" t="s">
        <v>387</v>
      </c>
      <c r="B8962" s="87"/>
      <c r="C8962" s="86">
        <v>2014</v>
      </c>
      <c r="D8962" s="86">
        <v>2015</v>
      </c>
      <c r="E8962" s="86">
        <v>2016</v>
      </c>
      <c r="F8962" s="1077"/>
      <c r="G8962" s="1079"/>
      <c r="H8962" s="1079"/>
      <c r="I8962" s="86" t="s">
        <v>4183</v>
      </c>
      <c r="J8962" s="87"/>
    </row>
    <row r="8963" spans="1:10">
      <c r="H8963" s="25"/>
    </row>
    <row r="8964" spans="1:10">
      <c r="F8964" s="25">
        <f>SUM(C8964:E8964)</f>
        <v>0</v>
      </c>
      <c r="H8964" s="25"/>
    </row>
    <row r="8965" spans="1:10">
      <c r="F8965" s="25">
        <f t="shared" ref="F8965:F8983" si="6">SUM(C8965:E8965)</f>
        <v>0</v>
      </c>
      <c r="H8965" s="25"/>
    </row>
    <row r="8966" spans="1:10">
      <c r="F8966" s="25">
        <f t="shared" si="6"/>
        <v>0</v>
      </c>
      <c r="H8966" s="25"/>
    </row>
    <row r="8967" spans="1:10">
      <c r="F8967" s="25">
        <f t="shared" si="6"/>
        <v>0</v>
      </c>
      <c r="H8967" s="25"/>
    </row>
    <row r="8968" spans="1:10">
      <c r="F8968" s="25">
        <f t="shared" si="6"/>
        <v>0</v>
      </c>
      <c r="H8968" s="25"/>
    </row>
    <row r="8969" spans="1:10">
      <c r="F8969" s="25">
        <f t="shared" si="6"/>
        <v>0</v>
      </c>
      <c r="H8969" s="25"/>
    </row>
    <row r="8970" spans="1:10">
      <c r="F8970" s="25">
        <f t="shared" si="6"/>
        <v>0</v>
      </c>
      <c r="H8970" s="25"/>
    </row>
    <row r="8971" spans="1:10">
      <c r="F8971" s="25">
        <f t="shared" si="6"/>
        <v>0</v>
      </c>
      <c r="H8971" s="25"/>
    </row>
    <row r="8972" spans="1:10">
      <c r="F8972" s="25">
        <f t="shared" si="6"/>
        <v>0</v>
      </c>
      <c r="H8972" s="25"/>
    </row>
    <row r="8973" spans="1:10">
      <c r="F8973" s="25">
        <f t="shared" si="6"/>
        <v>0</v>
      </c>
      <c r="H8973" s="25"/>
    </row>
    <row r="8974" spans="1:10">
      <c r="F8974" s="25">
        <f t="shared" si="6"/>
        <v>0</v>
      </c>
      <c r="H8974" s="25"/>
    </row>
    <row r="8975" spans="1:10">
      <c r="F8975" s="25">
        <f t="shared" si="6"/>
        <v>0</v>
      </c>
      <c r="H8975" s="25"/>
    </row>
    <row r="8976" spans="1:10">
      <c r="F8976" s="25">
        <f t="shared" si="6"/>
        <v>0</v>
      </c>
      <c r="H8976" s="25"/>
    </row>
    <row r="8977" spans="1:9">
      <c r="F8977" s="25">
        <f t="shared" si="6"/>
        <v>0</v>
      </c>
      <c r="H8977" s="25"/>
    </row>
    <row r="8978" spans="1:9">
      <c r="F8978" s="25">
        <f t="shared" si="6"/>
        <v>0</v>
      </c>
      <c r="H8978" s="25"/>
    </row>
    <row r="8979" spans="1:9">
      <c r="F8979" s="25">
        <f t="shared" si="6"/>
        <v>0</v>
      </c>
      <c r="H8979" s="25"/>
    </row>
    <row r="8980" spans="1:9">
      <c r="F8980" s="25">
        <f t="shared" si="6"/>
        <v>0</v>
      </c>
      <c r="H8980" s="25"/>
    </row>
    <row r="8981" spans="1:9">
      <c r="F8981" s="25">
        <f t="shared" si="6"/>
        <v>0</v>
      </c>
      <c r="H8981" s="25"/>
    </row>
    <row r="8982" spans="1:9">
      <c r="F8982" s="25">
        <f t="shared" si="6"/>
        <v>0</v>
      </c>
      <c r="H8982" s="25"/>
    </row>
    <row r="8983" spans="1:9">
      <c r="F8983" s="25">
        <f t="shared" si="6"/>
        <v>0</v>
      </c>
      <c r="H8983" s="25"/>
    </row>
    <row r="8984" spans="1:9">
      <c r="H8984" s="25"/>
    </row>
    <row r="8985" spans="1:9">
      <c r="H8985" s="25"/>
    </row>
    <row r="8989" spans="1:9" ht="15.75" thickBot="1"/>
    <row r="8990" spans="1:9" s="302" customFormat="1" ht="15.75" thickTop="1">
      <c r="A8990" s="1047" t="s">
        <v>2791</v>
      </c>
      <c r="B8990" s="1049" t="s">
        <v>4126</v>
      </c>
      <c r="C8990" s="1049" t="s">
        <v>854</v>
      </c>
      <c r="D8990" s="1040" t="s">
        <v>4127</v>
      </c>
      <c r="E8990" s="1082"/>
      <c r="F8990" s="1082"/>
      <c r="G8990" s="1040" t="s">
        <v>904</v>
      </c>
      <c r="H8990" s="1082"/>
      <c r="I8990" s="1083"/>
    </row>
    <row r="8991" spans="1:9" s="302" customFormat="1" ht="64.5" thickBot="1">
      <c r="A8991" s="1080"/>
      <c r="B8991" s="1081"/>
      <c r="C8991" s="1081"/>
      <c r="D8991" s="285" t="s">
        <v>4128</v>
      </c>
      <c r="E8991" s="285" t="s">
        <v>5506</v>
      </c>
      <c r="F8991" s="285" t="s">
        <v>5507</v>
      </c>
      <c r="G8991" s="286" t="s">
        <v>4129</v>
      </c>
      <c r="H8991" s="285" t="s">
        <v>4184</v>
      </c>
      <c r="I8991" s="287" t="s">
        <v>4185</v>
      </c>
    </row>
    <row r="8992" spans="1:9" ht="15.75" thickTop="1">
      <c r="G8992" s="25"/>
      <c r="H8992" s="25"/>
    </row>
    <row r="8993" spans="7:8">
      <c r="G8993" s="25"/>
      <c r="H8993" s="25"/>
    </row>
    <row r="8994" spans="7:8">
      <c r="G8994" s="25"/>
      <c r="H8994" s="25"/>
    </row>
    <row r="8995" spans="7:8">
      <c r="G8995" s="25"/>
      <c r="H8995" s="25"/>
    </row>
    <row r="8996" spans="7:8">
      <c r="G8996" s="25"/>
      <c r="H8996" s="25"/>
    </row>
    <row r="8997" spans="7:8">
      <c r="G8997" s="25"/>
      <c r="H8997" s="25"/>
    </row>
    <row r="8998" spans="7:8">
      <c r="G8998" s="25"/>
      <c r="H8998" s="25"/>
    </row>
    <row r="8999" spans="7:8">
      <c r="G8999" s="25"/>
      <c r="H8999" s="25"/>
    </row>
    <row r="9000" spans="7:8">
      <c r="G9000" s="25"/>
      <c r="H9000" s="25"/>
    </row>
    <row r="9001" spans="7:8">
      <c r="G9001" s="25"/>
      <c r="H9001" s="25"/>
    </row>
    <row r="9002" spans="7:8">
      <c r="G9002" s="25"/>
      <c r="H9002" s="25"/>
    </row>
    <row r="9003" spans="7:8">
      <c r="G9003" s="25"/>
      <c r="H9003" s="25"/>
    </row>
    <row r="9004" spans="7:8">
      <c r="G9004" s="25"/>
      <c r="H9004" s="25"/>
    </row>
    <row r="9005" spans="7:8">
      <c r="G9005" s="25"/>
      <c r="H9005" s="25"/>
    </row>
    <row r="9006" spans="7:8">
      <c r="G9006" s="25"/>
      <c r="H9006" s="25"/>
    </row>
    <row r="9007" spans="7:8">
      <c r="G9007" s="25"/>
      <c r="H9007" s="25"/>
    </row>
    <row r="9008" spans="7:8">
      <c r="G9008" s="25"/>
      <c r="H9008" s="25"/>
    </row>
    <row r="9009" spans="7:8">
      <c r="G9009" s="25"/>
      <c r="H9009" s="25"/>
    </row>
    <row r="9010" spans="7:8">
      <c r="G9010" s="25"/>
      <c r="H9010" s="25"/>
    </row>
    <row r="9011" spans="7:8">
      <c r="G9011" s="25"/>
      <c r="H9011" s="25"/>
    </row>
    <row r="9012" spans="7:8">
      <c r="G9012" s="25"/>
      <c r="H9012" s="25"/>
    </row>
    <row r="9013" spans="7:8">
      <c r="G9013" s="25"/>
      <c r="H9013" s="25"/>
    </row>
    <row r="9014" spans="7:8">
      <c r="G9014" s="25"/>
      <c r="H9014" s="25"/>
    </row>
    <row r="9015" spans="7:8">
      <c r="G9015" s="25"/>
      <c r="H9015" s="25"/>
    </row>
    <row r="9016" spans="7:8">
      <c r="G9016" s="25"/>
      <c r="H9016" s="25"/>
    </row>
    <row r="9017" spans="7:8">
      <c r="G9017" s="25"/>
      <c r="H9017" s="25"/>
    </row>
    <row r="9018" spans="7:8">
      <c r="G9018" s="25"/>
      <c r="H9018" s="25"/>
    </row>
    <row r="9019" spans="7:8">
      <c r="G9019" s="25"/>
      <c r="H9019" s="25"/>
    </row>
    <row r="9020" spans="7:8">
      <c r="G9020" s="25"/>
      <c r="H9020" s="25"/>
    </row>
    <row r="9021" spans="7:8">
      <c r="G9021" s="25"/>
      <c r="H9021" s="25"/>
    </row>
    <row r="9022" spans="7:8">
      <c r="G9022" s="25"/>
      <c r="H9022" s="25"/>
    </row>
    <row r="9023" spans="7:8">
      <c r="G9023" s="25"/>
      <c r="H9023" s="25"/>
    </row>
    <row r="9024" spans="7:8">
      <c r="G9024" s="25"/>
      <c r="H9024" s="25"/>
    </row>
    <row r="9025" spans="7:10">
      <c r="G9025" s="25"/>
      <c r="H9025" s="25"/>
    </row>
    <row r="9026" spans="7:10">
      <c r="G9026" s="25"/>
      <c r="H9026" s="25"/>
    </row>
    <row r="9027" spans="7:10">
      <c r="G9027" s="25"/>
      <c r="H9027" s="25"/>
    </row>
    <row r="9028" spans="7:10" ht="30">
      <c r="I9028" s="303" t="s">
        <v>4130</v>
      </c>
      <c r="J9028" s="303" t="s">
        <v>4131</v>
      </c>
    </row>
    <row r="9029" spans="7:10">
      <c r="J9029" s="23">
        <f>SUM(G9029:I9029)</f>
        <v>0</v>
      </c>
    </row>
    <row r="9030" spans="7:10">
      <c r="J9030" s="302">
        <f t="shared" ref="J9030:J9037" si="7">SUM(G9030:I9030)</f>
        <v>0</v>
      </c>
    </row>
    <row r="9031" spans="7:10">
      <c r="J9031" s="302">
        <f t="shared" si="7"/>
        <v>0</v>
      </c>
    </row>
    <row r="9032" spans="7:10">
      <c r="J9032" s="302">
        <f t="shared" si="7"/>
        <v>0</v>
      </c>
    </row>
    <row r="9033" spans="7:10">
      <c r="J9033" s="302">
        <f t="shared" si="7"/>
        <v>0</v>
      </c>
    </row>
    <row r="9034" spans="7:10">
      <c r="J9034" s="302">
        <f t="shared" si="7"/>
        <v>0</v>
      </c>
    </row>
    <row r="9035" spans="7:10">
      <c r="J9035" s="302">
        <f t="shared" si="7"/>
        <v>0</v>
      </c>
    </row>
    <row r="9036" spans="7:10">
      <c r="J9036" s="302">
        <f t="shared" si="7"/>
        <v>0</v>
      </c>
    </row>
    <row r="9037" spans="7:10">
      <c r="J9037" s="302">
        <f t="shared" si="7"/>
        <v>0</v>
      </c>
    </row>
    <row r="9038" spans="7:10">
      <c r="G9038" s="302"/>
      <c r="H9038" s="302"/>
      <c r="I9038" s="302"/>
    </row>
    <row r="9040" spans="7:10">
      <c r="J9040" s="302">
        <f>SUM(G9040:I9040)</f>
        <v>0</v>
      </c>
    </row>
    <row r="9041" spans="1:10">
      <c r="J9041" s="302">
        <f>SUM(G9041:I9041)</f>
        <v>0</v>
      </c>
    </row>
    <row r="9042" spans="1:10">
      <c r="G9042" s="302"/>
      <c r="H9042" s="302"/>
      <c r="I9042" s="302"/>
    </row>
    <row r="9047" spans="1:10">
      <c r="A9047" s="80" t="s">
        <v>1839</v>
      </c>
      <c r="B9047" s="81" t="s">
        <v>903</v>
      </c>
      <c r="C9047" s="1073" t="s">
        <v>4127</v>
      </c>
      <c r="D9047" s="1074"/>
      <c r="E9047" s="1075"/>
      <c r="F9047" s="81" t="s">
        <v>1684</v>
      </c>
      <c r="G9047" s="1073" t="s">
        <v>4132</v>
      </c>
      <c r="H9047" s="1074"/>
      <c r="I9047" s="1075"/>
      <c r="J9047" s="83"/>
    </row>
    <row r="9048" spans="1:10">
      <c r="A9048" s="84" t="s">
        <v>1620</v>
      </c>
      <c r="B9048" s="82"/>
      <c r="C9048" s="81" t="s">
        <v>1188</v>
      </c>
      <c r="D9048" s="81" t="s">
        <v>4133</v>
      </c>
      <c r="E9048" s="81" t="s">
        <v>4133</v>
      </c>
      <c r="F9048" s="1076" t="s">
        <v>4209</v>
      </c>
      <c r="G9048" s="1078" t="s">
        <v>4134</v>
      </c>
      <c r="H9048" s="1078" t="s">
        <v>4182</v>
      </c>
      <c r="I9048" s="80" t="s">
        <v>4135</v>
      </c>
      <c r="J9048" s="85" t="s">
        <v>4136</v>
      </c>
    </row>
    <row r="9049" spans="1:10">
      <c r="A9049" s="86" t="s">
        <v>387</v>
      </c>
      <c r="B9049" s="87"/>
      <c r="C9049" s="86">
        <v>2014</v>
      </c>
      <c r="D9049" s="86">
        <v>2015</v>
      </c>
      <c r="E9049" s="86">
        <v>2016</v>
      </c>
      <c r="F9049" s="1077"/>
      <c r="G9049" s="1079"/>
      <c r="H9049" s="1079"/>
      <c r="I9049" s="86" t="s">
        <v>4183</v>
      </c>
      <c r="J9049" s="87"/>
    </row>
    <row r="9050" spans="1:10">
      <c r="H9050" s="25"/>
    </row>
    <row r="9051" spans="1:10">
      <c r="F9051" s="25">
        <f>SUM(C9051:E9051)</f>
        <v>0</v>
      </c>
      <c r="H9051" s="25"/>
    </row>
    <row r="9052" spans="1:10">
      <c r="F9052" s="25">
        <f t="shared" ref="F9052:F9065" si="8">SUM(C9052:E9052)</f>
        <v>0</v>
      </c>
      <c r="H9052" s="25"/>
    </row>
    <row r="9053" spans="1:10">
      <c r="F9053" s="25">
        <f t="shared" si="8"/>
        <v>0</v>
      </c>
      <c r="H9053" s="25"/>
    </row>
    <row r="9054" spans="1:10">
      <c r="F9054" s="25">
        <f t="shared" si="8"/>
        <v>0</v>
      </c>
      <c r="H9054" s="25"/>
    </row>
    <row r="9055" spans="1:10">
      <c r="F9055" s="25">
        <f t="shared" si="8"/>
        <v>0</v>
      </c>
      <c r="H9055" s="25"/>
    </row>
    <row r="9056" spans="1:10">
      <c r="F9056" s="25">
        <f t="shared" si="8"/>
        <v>0</v>
      </c>
      <c r="H9056" s="25"/>
    </row>
    <row r="9057" spans="1:9">
      <c r="F9057" s="25">
        <f t="shared" si="8"/>
        <v>0</v>
      </c>
      <c r="H9057" s="25"/>
    </row>
    <row r="9058" spans="1:9">
      <c r="F9058" s="25">
        <f t="shared" si="8"/>
        <v>0</v>
      </c>
      <c r="H9058" s="25"/>
    </row>
    <row r="9059" spans="1:9">
      <c r="F9059" s="25">
        <f t="shared" si="8"/>
        <v>0</v>
      </c>
      <c r="H9059" s="25"/>
    </row>
    <row r="9060" spans="1:9">
      <c r="F9060" s="25">
        <f t="shared" si="8"/>
        <v>0</v>
      </c>
      <c r="H9060" s="25"/>
    </row>
    <row r="9061" spans="1:9">
      <c r="F9061" s="25">
        <f t="shared" si="8"/>
        <v>0</v>
      </c>
      <c r="H9061" s="25"/>
    </row>
    <row r="9062" spans="1:9">
      <c r="F9062" s="25">
        <f t="shared" si="8"/>
        <v>0</v>
      </c>
      <c r="H9062" s="25"/>
    </row>
    <row r="9063" spans="1:9">
      <c r="F9063" s="25">
        <f t="shared" si="8"/>
        <v>0</v>
      </c>
      <c r="H9063" s="25"/>
    </row>
    <row r="9064" spans="1:9">
      <c r="F9064" s="25">
        <f t="shared" si="8"/>
        <v>0</v>
      </c>
      <c r="H9064" s="25"/>
    </row>
    <row r="9065" spans="1:9">
      <c r="F9065" s="25">
        <f t="shared" si="8"/>
        <v>0</v>
      </c>
      <c r="H9065" s="25"/>
    </row>
    <row r="9066" spans="1:9">
      <c r="H9066" s="25"/>
    </row>
    <row r="9070" spans="1:9" ht="15.75" thickBot="1"/>
    <row r="9071" spans="1:9" s="302" customFormat="1" ht="15.75" thickTop="1">
      <c r="A9071" s="1047" t="s">
        <v>2791</v>
      </c>
      <c r="B9071" s="1049" t="s">
        <v>4126</v>
      </c>
      <c r="C9071" s="1049" t="s">
        <v>854</v>
      </c>
      <c r="D9071" s="1040" t="s">
        <v>4127</v>
      </c>
      <c r="E9071" s="1082"/>
      <c r="F9071" s="1082"/>
      <c r="G9071" s="1040" t="s">
        <v>904</v>
      </c>
      <c r="H9071" s="1082"/>
      <c r="I9071" s="1083"/>
    </row>
    <row r="9072" spans="1:9" s="302" customFormat="1" ht="64.5" thickBot="1">
      <c r="A9072" s="1080"/>
      <c r="B9072" s="1081"/>
      <c r="C9072" s="1081"/>
      <c r="D9072" s="285" t="s">
        <v>4128</v>
      </c>
      <c r="E9072" s="285" t="s">
        <v>5506</v>
      </c>
      <c r="F9072" s="285" t="s">
        <v>5507</v>
      </c>
      <c r="G9072" s="286" t="s">
        <v>4129</v>
      </c>
      <c r="H9072" s="285" t="s">
        <v>4184</v>
      </c>
      <c r="I9072" s="287" t="s">
        <v>4185</v>
      </c>
    </row>
    <row r="9073" spans="7:8" ht="15.75" thickTop="1">
      <c r="G9073" s="25"/>
      <c r="H9073" s="25"/>
    </row>
    <row r="9074" spans="7:8">
      <c r="G9074" s="25"/>
      <c r="H9074" s="25"/>
    </row>
    <row r="9075" spans="7:8">
      <c r="G9075" s="25"/>
      <c r="H9075" s="25"/>
    </row>
    <row r="9076" spans="7:8">
      <c r="G9076" s="25"/>
      <c r="H9076" s="25"/>
    </row>
    <row r="9077" spans="7:8">
      <c r="G9077" s="25"/>
      <c r="H9077" s="25"/>
    </row>
    <row r="9078" spans="7:8">
      <c r="G9078" s="25"/>
      <c r="H9078" s="25"/>
    </row>
    <row r="9079" spans="7:8">
      <c r="G9079" s="25"/>
      <c r="H9079" s="25"/>
    </row>
    <row r="9080" spans="7:8">
      <c r="G9080" s="25"/>
      <c r="H9080" s="25"/>
    </row>
    <row r="9081" spans="7:8">
      <c r="G9081" s="25"/>
      <c r="H9081" s="25"/>
    </row>
    <row r="9082" spans="7:8">
      <c r="G9082" s="25"/>
      <c r="H9082" s="25"/>
    </row>
    <row r="9083" spans="7:8">
      <c r="G9083" s="25"/>
      <c r="H9083" s="25"/>
    </row>
    <row r="9084" spans="7:8">
      <c r="G9084" s="25"/>
      <c r="H9084" s="25"/>
    </row>
    <row r="9085" spans="7:8">
      <c r="G9085" s="25"/>
      <c r="H9085" s="25"/>
    </row>
    <row r="9086" spans="7:8">
      <c r="G9086" s="25"/>
      <c r="H9086" s="25"/>
    </row>
    <row r="9087" spans="7:8">
      <c r="G9087" s="25"/>
      <c r="H9087" s="25"/>
    </row>
    <row r="9088" spans="7:8">
      <c r="G9088" s="25"/>
      <c r="H9088" s="25"/>
    </row>
    <row r="9089" spans="7:8">
      <c r="G9089" s="25"/>
      <c r="H9089" s="25"/>
    </row>
    <row r="9090" spans="7:8">
      <c r="G9090" s="25"/>
      <c r="H9090" s="25"/>
    </row>
    <row r="9091" spans="7:8">
      <c r="G9091" s="25"/>
      <c r="H9091" s="25"/>
    </row>
    <row r="9092" spans="7:8">
      <c r="G9092" s="25"/>
      <c r="H9092" s="25"/>
    </row>
    <row r="9093" spans="7:8">
      <c r="G9093" s="25"/>
      <c r="H9093" s="25"/>
    </row>
    <row r="9094" spans="7:8">
      <c r="G9094" s="25"/>
      <c r="H9094" s="25"/>
    </row>
    <row r="9095" spans="7:8">
      <c r="G9095" s="25"/>
      <c r="H9095" s="25"/>
    </row>
    <row r="9096" spans="7:8">
      <c r="G9096" s="25"/>
      <c r="H9096" s="25"/>
    </row>
    <row r="9097" spans="7:8">
      <c r="G9097" s="25"/>
      <c r="H9097" s="25"/>
    </row>
    <row r="9098" spans="7:8">
      <c r="G9098" s="25"/>
      <c r="H9098" s="25"/>
    </row>
    <row r="9099" spans="7:8">
      <c r="G9099" s="25"/>
      <c r="H9099" s="25"/>
    </row>
    <row r="9100" spans="7:8">
      <c r="G9100" s="25"/>
      <c r="H9100" s="25"/>
    </row>
    <row r="9101" spans="7:8">
      <c r="G9101" s="25"/>
      <c r="H9101" s="25"/>
    </row>
    <row r="9102" spans="7:8">
      <c r="G9102" s="25"/>
      <c r="H9102" s="25"/>
    </row>
    <row r="9103" spans="7:8">
      <c r="G9103" s="25"/>
      <c r="H9103" s="25"/>
    </row>
    <row r="9104" spans="7:8">
      <c r="G9104" s="25"/>
      <c r="H9104" s="25"/>
    </row>
    <row r="9105" spans="7:10">
      <c r="G9105" s="25"/>
      <c r="H9105" s="25"/>
    </row>
    <row r="9106" spans="7:10">
      <c r="G9106" s="25"/>
      <c r="H9106" s="25"/>
    </row>
    <row r="9107" spans="7:10">
      <c r="G9107" s="25"/>
      <c r="H9107" s="25"/>
    </row>
    <row r="9108" spans="7:10" ht="30">
      <c r="I9108" s="303" t="s">
        <v>4130</v>
      </c>
      <c r="J9108" s="303" t="s">
        <v>4131</v>
      </c>
    </row>
    <row r="9109" spans="7:10">
      <c r="J9109" s="23">
        <f>SUM(G9109:I9109)</f>
        <v>0</v>
      </c>
    </row>
    <row r="9110" spans="7:10">
      <c r="J9110" s="302">
        <f>SUM(G9110:I9110)</f>
        <v>0</v>
      </c>
    </row>
    <row r="9111" spans="7:10">
      <c r="J9111" s="302">
        <f>SUM(G9111:I9111)</f>
        <v>0</v>
      </c>
    </row>
    <row r="9112" spans="7:10">
      <c r="J9112" s="302">
        <f>SUM(G9112:I9112)</f>
        <v>0</v>
      </c>
    </row>
    <row r="9113" spans="7:10">
      <c r="J9113" s="302">
        <f>SUM(G9113:I9113)</f>
        <v>0</v>
      </c>
    </row>
    <row r="9114" spans="7:10">
      <c r="G9114" s="302"/>
      <c r="H9114" s="302"/>
      <c r="I9114" s="302"/>
    </row>
    <row r="9115" spans="7:10">
      <c r="J9115" s="302">
        <f>SUM(G9115:I9115)</f>
        <v>0</v>
      </c>
    </row>
    <row r="9116" spans="7:10">
      <c r="J9116" s="302">
        <f>SUM(G9116:I9116)</f>
        <v>0</v>
      </c>
    </row>
    <row r="9117" spans="7:10">
      <c r="G9117" s="302"/>
      <c r="H9117" s="302"/>
      <c r="I9117" s="302"/>
    </row>
    <row r="9122" spans="1:10">
      <c r="A9122" s="80" t="s">
        <v>1839</v>
      </c>
      <c r="B9122" s="81" t="s">
        <v>903</v>
      </c>
      <c r="C9122" s="1073" t="s">
        <v>4127</v>
      </c>
      <c r="D9122" s="1074"/>
      <c r="E9122" s="1075"/>
      <c r="F9122" s="81" t="s">
        <v>1684</v>
      </c>
      <c r="G9122" s="1073" t="s">
        <v>4132</v>
      </c>
      <c r="H9122" s="1074"/>
      <c r="I9122" s="1075"/>
      <c r="J9122" s="83"/>
    </row>
    <row r="9123" spans="1:10">
      <c r="A9123" s="84" t="s">
        <v>1620</v>
      </c>
      <c r="B9123" s="82"/>
      <c r="C9123" s="81" t="s">
        <v>1188</v>
      </c>
      <c r="D9123" s="81" t="s">
        <v>4133</v>
      </c>
      <c r="E9123" s="81" t="s">
        <v>4133</v>
      </c>
      <c r="F9123" s="1076" t="s">
        <v>4209</v>
      </c>
      <c r="G9123" s="1078" t="s">
        <v>4134</v>
      </c>
      <c r="H9123" s="1078" t="s">
        <v>4182</v>
      </c>
      <c r="I9123" s="80" t="s">
        <v>4135</v>
      </c>
      <c r="J9123" s="85" t="s">
        <v>4136</v>
      </c>
    </row>
    <row r="9124" spans="1:10">
      <c r="A9124" s="86" t="s">
        <v>387</v>
      </c>
      <c r="B9124" s="87"/>
      <c r="C9124" s="86">
        <v>2014</v>
      </c>
      <c r="D9124" s="86">
        <v>2015</v>
      </c>
      <c r="E9124" s="86">
        <v>2016</v>
      </c>
      <c r="F9124" s="1077"/>
      <c r="G9124" s="1079"/>
      <c r="H9124" s="1079"/>
      <c r="I9124" s="86" t="s">
        <v>4183</v>
      </c>
      <c r="J9124" s="87"/>
    </row>
    <row r="9125" spans="1:10">
      <c r="H9125" s="25"/>
    </row>
    <row r="9126" spans="1:10">
      <c r="F9126" s="25">
        <f>SUM(C9126:E9126)</f>
        <v>0</v>
      </c>
      <c r="H9126" s="25"/>
    </row>
    <row r="9127" spans="1:10">
      <c r="F9127" s="25">
        <f t="shared" ref="F9127:F9138" si="9">SUM(C9127:E9127)</f>
        <v>0</v>
      </c>
      <c r="H9127" s="25"/>
    </row>
    <row r="9128" spans="1:10">
      <c r="F9128" s="25">
        <f t="shared" si="9"/>
        <v>0</v>
      </c>
      <c r="H9128" s="25"/>
    </row>
    <row r="9129" spans="1:10">
      <c r="F9129" s="25">
        <f t="shared" si="9"/>
        <v>0</v>
      </c>
      <c r="H9129" s="25"/>
    </row>
    <row r="9130" spans="1:10">
      <c r="F9130" s="25">
        <f t="shared" si="9"/>
        <v>0</v>
      </c>
      <c r="H9130" s="25"/>
    </row>
    <row r="9131" spans="1:10">
      <c r="F9131" s="25">
        <f t="shared" si="9"/>
        <v>0</v>
      </c>
      <c r="H9131" s="25"/>
    </row>
    <row r="9132" spans="1:10">
      <c r="F9132" s="25">
        <f t="shared" si="9"/>
        <v>0</v>
      </c>
      <c r="H9132" s="25"/>
    </row>
    <row r="9133" spans="1:10">
      <c r="F9133" s="25">
        <f t="shared" si="9"/>
        <v>0</v>
      </c>
      <c r="H9133" s="25"/>
    </row>
    <row r="9134" spans="1:10">
      <c r="F9134" s="25">
        <f t="shared" si="9"/>
        <v>0</v>
      </c>
      <c r="H9134" s="25"/>
    </row>
    <row r="9135" spans="1:10">
      <c r="F9135" s="25">
        <f t="shared" si="9"/>
        <v>0</v>
      </c>
      <c r="H9135" s="25"/>
    </row>
    <row r="9136" spans="1:10">
      <c r="F9136" s="25">
        <f t="shared" si="9"/>
        <v>0</v>
      </c>
      <c r="H9136" s="25"/>
    </row>
    <row r="9137" spans="6:8">
      <c r="F9137" s="25">
        <f t="shared" si="9"/>
        <v>0</v>
      </c>
      <c r="H9137" s="25"/>
    </row>
    <row r="9138" spans="6:8">
      <c r="F9138" s="25">
        <f t="shared" si="9"/>
        <v>0</v>
      </c>
      <c r="H9138" s="25"/>
    </row>
    <row r="9139" spans="6:8">
      <c r="H9139" s="25"/>
    </row>
    <row r="9140" spans="6:8">
      <c r="H9140" s="25"/>
    </row>
  </sheetData>
  <mergeCells count="98">
    <mergeCell ref="C9122:E9122"/>
    <mergeCell ref="G9122:I9122"/>
    <mergeCell ref="F9123:F9124"/>
    <mergeCell ref="G9123:G9124"/>
    <mergeCell ref="H9123:H9124"/>
    <mergeCell ref="A9071:A9072"/>
    <mergeCell ref="B9071:B9072"/>
    <mergeCell ref="C9071:C9072"/>
    <mergeCell ref="D9071:F9071"/>
    <mergeCell ref="G9071:I9071"/>
    <mergeCell ref="C9047:E9047"/>
    <mergeCell ref="G9047:I9047"/>
    <mergeCell ref="F9048:F9049"/>
    <mergeCell ref="G9048:G9049"/>
    <mergeCell ref="H9048:H9049"/>
    <mergeCell ref="A8990:A8991"/>
    <mergeCell ref="B8990:B8991"/>
    <mergeCell ref="C8990:C8991"/>
    <mergeCell ref="D8990:F8990"/>
    <mergeCell ref="G8990:I8990"/>
    <mergeCell ref="C8960:E8960"/>
    <mergeCell ref="G8960:I8960"/>
    <mergeCell ref="F8961:F8962"/>
    <mergeCell ref="G8961:G8962"/>
    <mergeCell ref="H8961:H8962"/>
    <mergeCell ref="A8918:A8919"/>
    <mergeCell ref="B8918:B8919"/>
    <mergeCell ref="C8918:C8919"/>
    <mergeCell ref="D8918:F8918"/>
    <mergeCell ref="G8918:I8918"/>
    <mergeCell ref="A8878:A8879"/>
    <mergeCell ref="B8878:B8879"/>
    <mergeCell ref="C8878:C8879"/>
    <mergeCell ref="D8878:F8878"/>
    <mergeCell ref="G8878:I8878"/>
    <mergeCell ref="C8844:E8844"/>
    <mergeCell ref="G8844:I8844"/>
    <mergeCell ref="F8845:F8846"/>
    <mergeCell ref="G8845:G8846"/>
    <mergeCell ref="H8845:H8846"/>
    <mergeCell ref="A8817:A8818"/>
    <mergeCell ref="B8817:B8818"/>
    <mergeCell ref="C8817:C8818"/>
    <mergeCell ref="D8817:F8817"/>
    <mergeCell ref="G8817:I8817"/>
    <mergeCell ref="A8775:A8776"/>
    <mergeCell ref="B8775:B8776"/>
    <mergeCell ref="C8775:C8776"/>
    <mergeCell ref="D8775:F8775"/>
    <mergeCell ref="G8775:I8775"/>
    <mergeCell ref="A8735:A8736"/>
    <mergeCell ref="B8735:B8736"/>
    <mergeCell ref="C8735:C8736"/>
    <mergeCell ref="D8735:F8735"/>
    <mergeCell ref="G8735:I8735"/>
    <mergeCell ref="C8706:E8706"/>
    <mergeCell ref="G8706:I8706"/>
    <mergeCell ref="F8707:F8708"/>
    <mergeCell ref="G8707:G8708"/>
    <mergeCell ref="H8707:H8708"/>
    <mergeCell ref="A8648:A8649"/>
    <mergeCell ref="B8648:B8649"/>
    <mergeCell ref="C8648:C8649"/>
    <mergeCell ref="D8648:F8648"/>
    <mergeCell ref="G8648:I8648"/>
    <mergeCell ref="C8617:E8617"/>
    <mergeCell ref="G8617:I8617"/>
    <mergeCell ref="F8618:F8619"/>
    <mergeCell ref="G8618:G8619"/>
    <mergeCell ref="H8618:H8619"/>
    <mergeCell ref="A8581:A8582"/>
    <mergeCell ref="B8581:B8582"/>
    <mergeCell ref="C8581:C8582"/>
    <mergeCell ref="D8581:F8581"/>
    <mergeCell ref="G8581:I8581"/>
    <mergeCell ref="A8537:A8538"/>
    <mergeCell ref="B8537:B8538"/>
    <mergeCell ref="C8537:C8538"/>
    <mergeCell ref="D8537:F8537"/>
    <mergeCell ref="G8537:I8537"/>
    <mergeCell ref="A8498:A8499"/>
    <mergeCell ref="B8498:B8499"/>
    <mergeCell ref="C8498:C8499"/>
    <mergeCell ref="D8498:F8498"/>
    <mergeCell ref="G8498:I8498"/>
    <mergeCell ref="C8469:E8469"/>
    <mergeCell ref="G8469:I8469"/>
    <mergeCell ref="F8470:F8471"/>
    <mergeCell ref="G8470:G8471"/>
    <mergeCell ref="H8470:H8471"/>
    <mergeCell ref="A303:F303"/>
    <mergeCell ref="A305:F305"/>
    <mergeCell ref="A306:F306"/>
    <mergeCell ref="A7:F7"/>
    <mergeCell ref="A8:F8"/>
    <mergeCell ref="A17:F17"/>
    <mergeCell ref="A18:F18"/>
    <mergeCell ref="A302:F302"/>
  </mergeCells>
  <phoneticPr fontId="22" type="noConversion"/>
  <pageMargins left="0.86614173228346458" right="0.27559055118110237" top="0.31496062992125984" bottom="0.51181102362204722" header="0.31496062992125984" footer="0.19685039370078741"/>
  <pageSetup paperSize="9" firstPageNumber="272" orientation="portrait" useFirstPageNumber="1" r:id="rId1"/>
  <headerFooter alignWithMargins="0">
    <oddFooter>&amp;C&amp;P</oddFooter>
  </headerFooter>
  <rowBreaks count="15" manualBreakCount="15">
    <brk id="16" max="16383" man="1"/>
    <brk id="51" max="16383" man="1"/>
    <brk id="87" max="16383" man="1"/>
    <brk id="122" max="16383" man="1"/>
    <brk id="157" max="16383" man="1"/>
    <brk id="185" max="16383" man="1"/>
    <brk id="215" max="16383" man="1"/>
    <brk id="250" max="16383" man="1"/>
    <brk id="268" max="16383" man="1"/>
    <brk id="295" max="16383" man="1"/>
    <brk id="8580" max="16383" man="1"/>
    <brk id="8584" max="8" man="1"/>
    <brk id="8774" max="16383" man="1"/>
    <brk id="8816" max="16383" man="1"/>
    <brk id="8818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K2957"/>
  <sheetViews>
    <sheetView zoomScale="150" zoomScaleNormal="150" zoomScaleSheetLayoutView="100" workbookViewId="0"/>
  </sheetViews>
  <sheetFormatPr defaultColWidth="8.85546875" defaultRowHeight="0" customHeight="1" zeroHeight="1"/>
  <cols>
    <col min="1" max="1" width="5" style="60" customWidth="1"/>
    <col min="2" max="2" width="33.28515625" style="60" customWidth="1"/>
    <col min="3" max="3" width="14.7109375" style="60" customWidth="1"/>
    <col min="4" max="4" width="14.42578125" style="61" customWidth="1"/>
    <col min="5" max="5" width="14.140625" style="61" customWidth="1"/>
    <col min="6" max="6" width="14.42578125" style="61" customWidth="1"/>
    <col min="7" max="7" width="14.28515625" style="61" customWidth="1"/>
    <col min="8" max="8" width="14.7109375" style="60" bestFit="1" customWidth="1"/>
    <col min="9" max="9" width="14.42578125" style="60" customWidth="1"/>
    <col min="10" max="10" width="12.140625" style="60" customWidth="1"/>
    <col min="11" max="11" width="12.42578125" style="60" bestFit="1" customWidth="1"/>
    <col min="12" max="16384" width="8.85546875" style="60"/>
  </cols>
  <sheetData>
    <row r="1" spans="1:9" ht="12.75">
      <c r="C1" s="242"/>
      <c r="D1" s="9" t="s">
        <v>5434</v>
      </c>
      <c r="E1" s="9"/>
      <c r="H1" s="242"/>
    </row>
    <row r="2" spans="1:9" ht="12.75">
      <c r="A2" s="632"/>
      <c r="B2" s="633"/>
      <c r="C2" s="242"/>
      <c r="D2" s="9" t="s">
        <v>716</v>
      </c>
      <c r="E2" s="9"/>
      <c r="F2" s="632"/>
      <c r="G2" s="632"/>
      <c r="H2" s="242"/>
    </row>
    <row r="3" spans="1:9" ht="12.75">
      <c r="A3" s="632"/>
      <c r="B3" s="633"/>
      <c r="C3" s="243"/>
      <c r="D3" s="9" t="s">
        <v>960</v>
      </c>
      <c r="E3" s="9"/>
      <c r="F3" s="632"/>
      <c r="G3" s="632"/>
      <c r="H3" s="243"/>
    </row>
    <row r="4" spans="1:9" ht="12.75">
      <c r="A4" s="632"/>
      <c r="B4" s="632"/>
      <c r="C4" s="243"/>
      <c r="D4" s="244" t="s">
        <v>961</v>
      </c>
      <c r="E4" s="244"/>
      <c r="F4" s="632"/>
      <c r="G4" s="632"/>
      <c r="H4" s="243"/>
    </row>
    <row r="5" spans="1:9" ht="15">
      <c r="A5" s="634" t="s">
        <v>1839</v>
      </c>
      <c r="B5" s="635" t="s">
        <v>903</v>
      </c>
      <c r="C5" s="1037" t="s">
        <v>4127</v>
      </c>
      <c r="D5" s="1038"/>
      <c r="E5" s="1039"/>
      <c r="F5" s="635" t="s">
        <v>1684</v>
      </c>
      <c r="G5" s="1037" t="s">
        <v>4132</v>
      </c>
      <c r="H5" s="1038"/>
      <c r="I5" s="1039"/>
    </row>
    <row r="6" spans="1:9" ht="12.75">
      <c r="A6" s="636" t="s">
        <v>1620</v>
      </c>
      <c r="B6" s="637"/>
      <c r="C6" s="635" t="s">
        <v>1841</v>
      </c>
      <c r="D6" s="635" t="s">
        <v>4133</v>
      </c>
      <c r="E6" s="635" t="s">
        <v>4133</v>
      </c>
      <c r="F6" s="1056" t="s">
        <v>4200</v>
      </c>
      <c r="G6" s="1051" t="s">
        <v>4201</v>
      </c>
      <c r="H6" s="635" t="s">
        <v>1841</v>
      </c>
      <c r="I6" s="634" t="s">
        <v>4135</v>
      </c>
    </row>
    <row r="7" spans="1:9" ht="12.75" customHeight="1">
      <c r="A7" s="638" t="s">
        <v>387</v>
      </c>
      <c r="B7" s="639"/>
      <c r="C7" s="638">
        <v>2015</v>
      </c>
      <c r="D7" s="638">
        <v>2016</v>
      </c>
      <c r="E7" s="638">
        <v>2017</v>
      </c>
      <c r="F7" s="1057"/>
      <c r="G7" s="1052"/>
      <c r="H7" s="638">
        <v>2014</v>
      </c>
      <c r="I7" s="638" t="s">
        <v>4303</v>
      </c>
    </row>
    <row r="8" spans="1:9" ht="12.75">
      <c r="A8" s="640" t="s">
        <v>962</v>
      </c>
      <c r="B8" s="640" t="s">
        <v>1693</v>
      </c>
      <c r="C8" s="641">
        <v>40000000</v>
      </c>
      <c r="D8" s="641">
        <v>33529600</v>
      </c>
      <c r="E8" s="641">
        <v>32884800</v>
      </c>
      <c r="F8" s="641">
        <f>SUM(C8:E8)</f>
        <v>106414400</v>
      </c>
      <c r="G8" s="641">
        <v>15669809</v>
      </c>
      <c r="H8" s="641">
        <v>32884800</v>
      </c>
      <c r="I8" s="641"/>
    </row>
    <row r="9" spans="1:9" ht="12.75">
      <c r="A9" s="640"/>
      <c r="B9" s="640"/>
      <c r="C9" s="641"/>
      <c r="D9" s="641"/>
      <c r="E9" s="641"/>
      <c r="F9" s="641"/>
      <c r="G9" s="641" t="s">
        <v>1386</v>
      </c>
      <c r="H9" s="641"/>
      <c r="I9" s="641" t="s">
        <v>1386</v>
      </c>
    </row>
    <row r="10" spans="1:9" ht="12.75">
      <c r="A10" s="640">
        <v>2</v>
      </c>
      <c r="B10" s="640" t="s">
        <v>1695</v>
      </c>
      <c r="C10" s="641">
        <v>1500000</v>
      </c>
      <c r="D10" s="641">
        <v>2080000</v>
      </c>
      <c r="E10" s="641">
        <v>2040000</v>
      </c>
      <c r="F10" s="641">
        <f t="shared" ref="F10:F29" si="0">SUM(C10:E10)</f>
        <v>5620000</v>
      </c>
      <c r="G10" s="641">
        <v>739000</v>
      </c>
      <c r="H10" s="641">
        <v>2040000</v>
      </c>
      <c r="I10" s="641">
        <v>739000</v>
      </c>
    </row>
    <row r="11" spans="1:9" ht="12.75">
      <c r="A11" s="640">
        <f t="shared" ref="A11:A29" si="1">A10+1</f>
        <v>3</v>
      </c>
      <c r="B11" s="640" t="s">
        <v>1696</v>
      </c>
      <c r="C11" s="641">
        <v>0</v>
      </c>
      <c r="D11" s="641">
        <v>0</v>
      </c>
      <c r="E11" s="641">
        <v>0</v>
      </c>
      <c r="F11" s="641">
        <f t="shared" si="0"/>
        <v>0</v>
      </c>
      <c r="G11" s="641" t="s">
        <v>1386</v>
      </c>
      <c r="H11" s="641">
        <v>0</v>
      </c>
      <c r="I11" s="641" t="s">
        <v>1386</v>
      </c>
    </row>
    <row r="12" spans="1:9" ht="12.75">
      <c r="A12" s="640">
        <f t="shared" si="1"/>
        <v>4</v>
      </c>
      <c r="B12" s="640" t="s">
        <v>1701</v>
      </c>
      <c r="C12" s="641" t="s">
        <v>3007</v>
      </c>
      <c r="D12" s="641" t="s">
        <v>3007</v>
      </c>
      <c r="E12" s="641" t="s">
        <v>3007</v>
      </c>
      <c r="F12" s="641">
        <f t="shared" si="0"/>
        <v>0</v>
      </c>
      <c r="G12" s="641" t="s">
        <v>1386</v>
      </c>
      <c r="H12" s="641" t="s">
        <v>3007</v>
      </c>
      <c r="I12" s="641" t="s">
        <v>1386</v>
      </c>
    </row>
    <row r="13" spans="1:9" ht="12.75">
      <c r="A13" s="640">
        <f t="shared" si="1"/>
        <v>5</v>
      </c>
      <c r="B13" s="640" t="s">
        <v>1702</v>
      </c>
      <c r="C13" s="641">
        <v>500000</v>
      </c>
      <c r="D13" s="641">
        <v>312000</v>
      </c>
      <c r="E13" s="641">
        <v>306000</v>
      </c>
      <c r="F13" s="641">
        <f t="shared" si="0"/>
        <v>1118000</v>
      </c>
      <c r="G13" s="642">
        <v>34100</v>
      </c>
      <c r="H13" s="641">
        <v>306000</v>
      </c>
      <c r="I13" s="642">
        <v>34100</v>
      </c>
    </row>
    <row r="14" spans="1:9" ht="12.75">
      <c r="A14" s="640">
        <f t="shared" si="1"/>
        <v>6</v>
      </c>
      <c r="B14" s="640" t="s">
        <v>1544</v>
      </c>
      <c r="C14" s="641">
        <v>1000000</v>
      </c>
      <c r="D14" s="641">
        <v>1560000</v>
      </c>
      <c r="E14" s="641">
        <v>1530000</v>
      </c>
      <c r="F14" s="641">
        <f t="shared" si="0"/>
        <v>4090000</v>
      </c>
      <c r="G14" s="641">
        <v>142000</v>
      </c>
      <c r="H14" s="641">
        <v>1530000</v>
      </c>
      <c r="I14" s="641">
        <v>142000</v>
      </c>
    </row>
    <row r="15" spans="1:9" ht="12.75">
      <c r="A15" s="640">
        <f t="shared" si="1"/>
        <v>7</v>
      </c>
      <c r="B15" s="640" t="s">
        <v>897</v>
      </c>
      <c r="C15" s="641">
        <v>2000000</v>
      </c>
      <c r="D15" s="641">
        <v>3120000</v>
      </c>
      <c r="E15" s="641">
        <v>3060000</v>
      </c>
      <c r="F15" s="641">
        <f t="shared" si="0"/>
        <v>8180000</v>
      </c>
      <c r="G15" s="641">
        <v>1395800</v>
      </c>
      <c r="H15" s="641">
        <v>3060000</v>
      </c>
      <c r="I15" s="641">
        <v>1395800</v>
      </c>
    </row>
    <row r="16" spans="1:9" ht="12.75">
      <c r="A16" s="640">
        <f t="shared" si="1"/>
        <v>8</v>
      </c>
      <c r="B16" s="640" t="s">
        <v>1385</v>
      </c>
      <c r="C16" s="641" t="s">
        <v>3007</v>
      </c>
      <c r="D16" s="641" t="s">
        <v>3007</v>
      </c>
      <c r="E16" s="641" t="s">
        <v>3007</v>
      </c>
      <c r="F16" s="641">
        <f t="shared" si="0"/>
        <v>0</v>
      </c>
      <c r="G16" s="641" t="s">
        <v>1386</v>
      </c>
      <c r="H16" s="641" t="s">
        <v>3007</v>
      </c>
      <c r="I16" s="641" t="s">
        <v>1386</v>
      </c>
    </row>
    <row r="17" spans="1:9" ht="12.75">
      <c r="A17" s="640">
        <f t="shared" si="1"/>
        <v>9</v>
      </c>
      <c r="B17" s="640" t="s">
        <v>2061</v>
      </c>
      <c r="C17" s="641" t="s">
        <v>3007</v>
      </c>
      <c r="D17" s="641" t="s">
        <v>3007</v>
      </c>
      <c r="E17" s="641" t="s">
        <v>3007</v>
      </c>
      <c r="F17" s="641">
        <f t="shared" si="0"/>
        <v>0</v>
      </c>
      <c r="G17" s="641" t="s">
        <v>1386</v>
      </c>
      <c r="H17" s="641" t="s">
        <v>3007</v>
      </c>
      <c r="I17" s="641" t="s">
        <v>1386</v>
      </c>
    </row>
    <row r="18" spans="1:9" ht="12.75">
      <c r="A18" s="640">
        <f t="shared" si="1"/>
        <v>10</v>
      </c>
      <c r="B18" s="640" t="s">
        <v>1680</v>
      </c>
      <c r="C18" s="641">
        <v>300000</v>
      </c>
      <c r="D18" s="641">
        <v>208000</v>
      </c>
      <c r="E18" s="641">
        <v>204000</v>
      </c>
      <c r="F18" s="641">
        <f t="shared" si="0"/>
        <v>712000</v>
      </c>
      <c r="G18" s="642">
        <v>0</v>
      </c>
      <c r="H18" s="641">
        <v>204000</v>
      </c>
      <c r="I18" s="642">
        <v>0</v>
      </c>
    </row>
    <row r="19" spans="1:9" ht="12.75">
      <c r="A19" s="640">
        <f t="shared" si="1"/>
        <v>11</v>
      </c>
      <c r="B19" s="640" t="s">
        <v>1681</v>
      </c>
      <c r="C19" s="641">
        <v>100000</v>
      </c>
      <c r="D19" s="641">
        <v>104000</v>
      </c>
      <c r="E19" s="641">
        <v>102000</v>
      </c>
      <c r="F19" s="641">
        <f t="shared" si="0"/>
        <v>306000</v>
      </c>
      <c r="G19" s="642">
        <v>105000</v>
      </c>
      <c r="H19" s="641">
        <v>102000</v>
      </c>
      <c r="I19" s="642">
        <v>105000</v>
      </c>
    </row>
    <row r="20" spans="1:9" ht="12.75">
      <c r="A20" s="640">
        <f t="shared" si="1"/>
        <v>12</v>
      </c>
      <c r="B20" s="640" t="s">
        <v>1682</v>
      </c>
      <c r="C20" s="641">
        <v>3000000</v>
      </c>
      <c r="D20" s="641">
        <v>5720000</v>
      </c>
      <c r="E20" s="641">
        <v>5610000</v>
      </c>
      <c r="F20" s="641">
        <f t="shared" si="0"/>
        <v>14330000</v>
      </c>
      <c r="G20" s="641">
        <v>1307066.5</v>
      </c>
      <c r="H20" s="641">
        <v>5610000</v>
      </c>
      <c r="I20" s="641">
        <v>1307066.5</v>
      </c>
    </row>
    <row r="21" spans="1:9" ht="12.75">
      <c r="A21" s="640">
        <f t="shared" si="1"/>
        <v>13</v>
      </c>
      <c r="B21" s="640" t="s">
        <v>2249</v>
      </c>
      <c r="C21" s="641">
        <v>100000</v>
      </c>
      <c r="D21" s="641">
        <v>104000</v>
      </c>
      <c r="E21" s="641">
        <v>102000</v>
      </c>
      <c r="F21" s="641">
        <f t="shared" si="0"/>
        <v>306000</v>
      </c>
      <c r="G21" s="641">
        <v>0</v>
      </c>
      <c r="H21" s="641">
        <v>102000</v>
      </c>
      <c r="I21" s="641">
        <v>0</v>
      </c>
    </row>
    <row r="22" spans="1:9" ht="12.75">
      <c r="A22" s="640">
        <f t="shared" si="1"/>
        <v>14</v>
      </c>
      <c r="B22" s="640" t="s">
        <v>3018</v>
      </c>
      <c r="C22" s="641">
        <v>1000000</v>
      </c>
      <c r="D22" s="641">
        <v>936000</v>
      </c>
      <c r="E22" s="641">
        <v>918000</v>
      </c>
      <c r="F22" s="641">
        <f t="shared" si="0"/>
        <v>2854000</v>
      </c>
      <c r="G22" s="641">
        <v>0</v>
      </c>
      <c r="H22" s="641">
        <v>918000</v>
      </c>
      <c r="I22" s="641">
        <v>0</v>
      </c>
    </row>
    <row r="23" spans="1:9" ht="12.75">
      <c r="A23" s="640">
        <f t="shared" si="1"/>
        <v>15</v>
      </c>
      <c r="B23" s="640" t="s">
        <v>963</v>
      </c>
      <c r="C23" s="641" t="s">
        <v>3007</v>
      </c>
      <c r="D23" s="641">
        <v>208000</v>
      </c>
      <c r="E23" s="641">
        <v>204000</v>
      </c>
      <c r="F23" s="641">
        <f t="shared" si="0"/>
        <v>412000</v>
      </c>
      <c r="G23" s="641">
        <v>0</v>
      </c>
      <c r="H23" s="641">
        <v>204000</v>
      </c>
      <c r="I23" s="641">
        <v>0</v>
      </c>
    </row>
    <row r="24" spans="1:9" ht="12.75">
      <c r="A24" s="640">
        <f t="shared" si="1"/>
        <v>16</v>
      </c>
      <c r="B24" s="640" t="s">
        <v>964</v>
      </c>
      <c r="C24" s="641">
        <v>5000000</v>
      </c>
      <c r="D24" s="641">
        <v>5200000</v>
      </c>
      <c r="E24" s="641">
        <v>5100000</v>
      </c>
      <c r="F24" s="641">
        <f t="shared" si="0"/>
        <v>15300000</v>
      </c>
      <c r="G24" s="641">
        <v>140000</v>
      </c>
      <c r="H24" s="641">
        <v>5100000</v>
      </c>
      <c r="I24" s="641">
        <v>140000</v>
      </c>
    </row>
    <row r="25" spans="1:9" ht="12.75">
      <c r="A25" s="640">
        <f t="shared" si="1"/>
        <v>17</v>
      </c>
      <c r="B25" s="640" t="s">
        <v>808</v>
      </c>
      <c r="C25" s="641" t="s">
        <v>3007</v>
      </c>
      <c r="D25" s="641">
        <v>15600000</v>
      </c>
      <c r="E25" s="641">
        <v>15300000</v>
      </c>
      <c r="F25" s="641">
        <f t="shared" si="0"/>
        <v>30900000</v>
      </c>
      <c r="G25" s="641">
        <v>0</v>
      </c>
      <c r="H25" s="641">
        <v>15300000</v>
      </c>
      <c r="I25" s="641">
        <v>0</v>
      </c>
    </row>
    <row r="26" spans="1:9" ht="12.75">
      <c r="A26" s="640">
        <f t="shared" si="1"/>
        <v>18</v>
      </c>
      <c r="B26" s="640" t="s">
        <v>814</v>
      </c>
      <c r="C26" s="641">
        <v>5000000</v>
      </c>
      <c r="D26" s="641">
        <v>1040000</v>
      </c>
      <c r="E26" s="641">
        <v>1020000</v>
      </c>
      <c r="F26" s="641">
        <f t="shared" si="0"/>
        <v>7060000</v>
      </c>
      <c r="G26" s="641">
        <v>434000</v>
      </c>
      <c r="H26" s="641">
        <v>1020000</v>
      </c>
      <c r="I26" s="641">
        <v>434000</v>
      </c>
    </row>
    <row r="27" spans="1:9" ht="12.75">
      <c r="A27" s="640">
        <f t="shared" si="1"/>
        <v>19</v>
      </c>
      <c r="B27" s="640" t="s">
        <v>815</v>
      </c>
      <c r="C27" s="641">
        <v>1000000</v>
      </c>
      <c r="D27" s="641">
        <v>2080000</v>
      </c>
      <c r="E27" s="641">
        <v>2040000</v>
      </c>
      <c r="F27" s="641">
        <f t="shared" si="0"/>
        <v>5120000</v>
      </c>
      <c r="G27" s="641">
        <v>0</v>
      </c>
      <c r="H27" s="641">
        <v>2040000</v>
      </c>
      <c r="I27" s="641">
        <v>0</v>
      </c>
    </row>
    <row r="28" spans="1:9" ht="12.75">
      <c r="A28" s="640">
        <f t="shared" si="1"/>
        <v>20</v>
      </c>
      <c r="B28" s="640" t="s">
        <v>816</v>
      </c>
      <c r="C28" s="641" t="s">
        <v>3007</v>
      </c>
      <c r="D28" s="641">
        <v>3120000</v>
      </c>
      <c r="E28" s="641">
        <v>3060000</v>
      </c>
      <c r="F28" s="641">
        <f t="shared" si="0"/>
        <v>6180000</v>
      </c>
      <c r="G28" s="641">
        <v>1075200</v>
      </c>
      <c r="H28" s="641">
        <v>3060000</v>
      </c>
      <c r="I28" s="641">
        <v>1075200</v>
      </c>
    </row>
    <row r="29" spans="1:9" ht="12.75">
      <c r="A29" s="640">
        <f t="shared" si="1"/>
        <v>21</v>
      </c>
      <c r="B29" s="640" t="s">
        <v>817</v>
      </c>
      <c r="C29" s="641">
        <v>2000000</v>
      </c>
      <c r="D29" s="641">
        <v>2080000</v>
      </c>
      <c r="E29" s="641">
        <v>2040000</v>
      </c>
      <c r="F29" s="641">
        <f t="shared" si="0"/>
        <v>6120000</v>
      </c>
      <c r="G29" s="641">
        <v>0</v>
      </c>
      <c r="H29" s="641">
        <v>2040000</v>
      </c>
      <c r="I29" s="641">
        <v>0</v>
      </c>
    </row>
    <row r="30" spans="1:9" ht="12.75">
      <c r="A30" s="640"/>
      <c r="B30" s="640"/>
      <c r="C30" s="642"/>
      <c r="D30" s="642"/>
      <c r="E30" s="642"/>
      <c r="F30" s="642"/>
      <c r="G30" s="641">
        <v>0</v>
      </c>
      <c r="H30" s="642"/>
      <c r="I30" s="641">
        <v>0</v>
      </c>
    </row>
    <row r="31" spans="1:9" ht="12.75">
      <c r="A31" s="640" t="s">
        <v>818</v>
      </c>
      <c r="B31" s="643" t="s">
        <v>819</v>
      </c>
      <c r="C31" s="309">
        <f t="shared" ref="C31:I31" si="2">SUM(C9:C30)</f>
        <v>22500000</v>
      </c>
      <c r="D31" s="309">
        <f t="shared" si="2"/>
        <v>43472000</v>
      </c>
      <c r="E31" s="309">
        <f t="shared" si="2"/>
        <v>42636000</v>
      </c>
      <c r="F31" s="309">
        <f t="shared" si="2"/>
        <v>108608000</v>
      </c>
      <c r="G31" s="309">
        <f t="shared" si="2"/>
        <v>5372166.5</v>
      </c>
      <c r="H31" s="309">
        <f t="shared" si="2"/>
        <v>42636000</v>
      </c>
      <c r="I31" s="309">
        <f t="shared" si="2"/>
        <v>5372166.5</v>
      </c>
    </row>
    <row r="32" spans="1:9" ht="12.75">
      <c r="A32" s="640"/>
      <c r="B32" s="640"/>
      <c r="C32" s="641"/>
      <c r="D32" s="641"/>
      <c r="E32" s="641"/>
      <c r="F32" s="641"/>
      <c r="G32" s="641"/>
      <c r="H32" s="641"/>
      <c r="I32" s="641"/>
    </row>
    <row r="33" spans="1:10" ht="12.75">
      <c r="A33" s="644"/>
      <c r="B33" s="644" t="s">
        <v>1684</v>
      </c>
      <c r="C33" s="645">
        <v>62500000</v>
      </c>
      <c r="D33" s="645">
        <v>77001600</v>
      </c>
      <c r="E33" s="645">
        <v>75520800</v>
      </c>
      <c r="F33" s="645">
        <v>77001600</v>
      </c>
      <c r="G33" s="645">
        <f>+G31+G8</f>
        <v>21041975.5</v>
      </c>
      <c r="H33" s="645">
        <v>75520800</v>
      </c>
      <c r="I33" s="645">
        <v>5372167</v>
      </c>
    </row>
    <row r="34" spans="1:10" ht="12.75"/>
    <row r="35" spans="1:10" ht="12.75">
      <c r="C35" s="242"/>
      <c r="D35" s="9" t="s">
        <v>5434</v>
      </c>
      <c r="E35" s="9"/>
      <c r="H35" s="242"/>
    </row>
    <row r="36" spans="1:10" ht="12.75">
      <c r="A36" s="632"/>
      <c r="B36" s="633"/>
      <c r="C36" s="242"/>
      <c r="D36" s="9" t="s">
        <v>716</v>
      </c>
      <c r="E36" s="9"/>
      <c r="F36" s="632"/>
      <c r="G36" s="632"/>
      <c r="H36" s="242"/>
    </row>
    <row r="37" spans="1:10" ht="12.75">
      <c r="A37" s="632"/>
      <c r="B37" s="633"/>
      <c r="C37" s="243"/>
      <c r="D37" s="9" t="s">
        <v>820</v>
      </c>
      <c r="E37" s="9"/>
      <c r="F37" s="632"/>
      <c r="G37" s="632"/>
      <c r="H37" s="243"/>
    </row>
    <row r="38" spans="1:10" ht="12.75">
      <c r="A38" s="632"/>
      <c r="B38" s="632"/>
      <c r="C38" s="243"/>
      <c r="D38" s="244" t="s">
        <v>821</v>
      </c>
      <c r="E38" s="244"/>
      <c r="F38" s="632"/>
      <c r="G38" s="632"/>
      <c r="H38" s="243"/>
    </row>
    <row r="39" spans="1:10" ht="15">
      <c r="A39" s="634" t="s">
        <v>1839</v>
      </c>
      <c r="B39" s="635" t="s">
        <v>903</v>
      </c>
      <c r="C39" s="1037" t="s">
        <v>4127</v>
      </c>
      <c r="D39" s="1038"/>
      <c r="E39" s="1039"/>
      <c r="F39" s="635" t="s">
        <v>1684</v>
      </c>
      <c r="G39" s="1037" t="s">
        <v>4132</v>
      </c>
      <c r="H39" s="1038"/>
      <c r="I39" s="1039"/>
    </row>
    <row r="40" spans="1:10" ht="12.75">
      <c r="A40" s="636" t="s">
        <v>1620</v>
      </c>
      <c r="B40" s="637"/>
      <c r="C40" s="635" t="s">
        <v>1841</v>
      </c>
      <c r="D40" s="635" t="s">
        <v>4133</v>
      </c>
      <c r="E40" s="635" t="s">
        <v>4133</v>
      </c>
      <c r="F40" s="1056" t="s">
        <v>4200</v>
      </c>
      <c r="G40" s="1051" t="s">
        <v>4201</v>
      </c>
      <c r="H40" s="635" t="s">
        <v>1841</v>
      </c>
      <c r="I40" s="634" t="s">
        <v>4135</v>
      </c>
    </row>
    <row r="41" spans="1:10" ht="12.75" customHeight="1">
      <c r="A41" s="638" t="s">
        <v>387</v>
      </c>
      <c r="B41" s="639"/>
      <c r="C41" s="638">
        <v>2015</v>
      </c>
      <c r="D41" s="638">
        <v>2016</v>
      </c>
      <c r="E41" s="638">
        <v>2017</v>
      </c>
      <c r="F41" s="1057"/>
      <c r="G41" s="1052"/>
      <c r="H41" s="638">
        <v>2014</v>
      </c>
      <c r="I41" s="638" t="s">
        <v>4303</v>
      </c>
    </row>
    <row r="42" spans="1:10" ht="12.75">
      <c r="A42" s="646" t="s">
        <v>822</v>
      </c>
      <c r="B42" s="646" t="s">
        <v>1693</v>
      </c>
      <c r="C42" s="641">
        <v>86957287.450000003</v>
      </c>
      <c r="D42" s="641">
        <v>80038400</v>
      </c>
      <c r="E42" s="641">
        <v>80038400</v>
      </c>
      <c r="F42" s="647">
        <f>SUM(C42:E42)</f>
        <v>247034087.44999999</v>
      </c>
      <c r="G42" s="641">
        <v>40358074</v>
      </c>
      <c r="H42" s="641">
        <v>80038400</v>
      </c>
      <c r="I42" s="641" t="e">
        <f>#REF!</f>
        <v>#REF!</v>
      </c>
      <c r="J42" s="391"/>
    </row>
    <row r="43" spans="1:10" ht="12.75">
      <c r="A43" s="646"/>
      <c r="B43" s="646"/>
      <c r="C43" s="641"/>
      <c r="D43" s="641"/>
      <c r="E43" s="641"/>
      <c r="F43" s="647">
        <f t="shared" ref="F43:F62" si="3">SUM(C43:E43)</f>
        <v>0</v>
      </c>
      <c r="G43" s="641">
        <v>0</v>
      </c>
      <c r="H43" s="641"/>
      <c r="I43" s="641">
        <v>0</v>
      </c>
      <c r="J43" s="391"/>
    </row>
    <row r="44" spans="1:10" ht="12.75">
      <c r="A44" s="646">
        <v>2</v>
      </c>
      <c r="B44" s="646" t="s">
        <v>1695</v>
      </c>
      <c r="C44" s="641">
        <v>1000000</v>
      </c>
      <c r="D44" s="641">
        <v>1040000</v>
      </c>
      <c r="E44" s="641">
        <v>1040000</v>
      </c>
      <c r="F44" s="647">
        <f t="shared" si="3"/>
        <v>3080000</v>
      </c>
      <c r="G44" s="641">
        <v>0</v>
      </c>
      <c r="H44" s="641">
        <v>1060800</v>
      </c>
      <c r="I44" s="641">
        <v>668000</v>
      </c>
      <c r="J44" s="391"/>
    </row>
    <row r="45" spans="1:10" ht="12.75">
      <c r="A45" s="646">
        <f t="shared" ref="A45:A61" si="4">A44+1</f>
        <v>3</v>
      </c>
      <c r="B45" s="646" t="s">
        <v>1696</v>
      </c>
      <c r="C45" s="641">
        <v>0</v>
      </c>
      <c r="D45" s="641">
        <v>0</v>
      </c>
      <c r="E45" s="641">
        <v>0</v>
      </c>
      <c r="F45" s="647">
        <f t="shared" si="3"/>
        <v>0</v>
      </c>
      <c r="G45" s="641">
        <v>0</v>
      </c>
      <c r="H45" s="641">
        <v>0</v>
      </c>
      <c r="I45" s="641">
        <v>0</v>
      </c>
      <c r="J45" s="391"/>
    </row>
    <row r="46" spans="1:10" ht="12.75">
      <c r="A46" s="646">
        <f t="shared" si="4"/>
        <v>4</v>
      </c>
      <c r="B46" s="646" t="s">
        <v>1701</v>
      </c>
      <c r="C46" s="641">
        <v>0</v>
      </c>
      <c r="D46" s="641">
        <v>0</v>
      </c>
      <c r="E46" s="641">
        <v>0</v>
      </c>
      <c r="F46" s="647">
        <f t="shared" si="3"/>
        <v>0</v>
      </c>
      <c r="G46" s="642">
        <v>0</v>
      </c>
      <c r="H46" s="641">
        <v>0</v>
      </c>
      <c r="I46" s="642">
        <v>0</v>
      </c>
      <c r="J46" s="391"/>
    </row>
    <row r="47" spans="1:10" ht="12.75">
      <c r="A47" s="646">
        <f t="shared" si="4"/>
        <v>5</v>
      </c>
      <c r="B47" s="646" t="s">
        <v>1702</v>
      </c>
      <c r="C47" s="641">
        <v>1000000</v>
      </c>
      <c r="D47" s="641">
        <v>936000</v>
      </c>
      <c r="E47" s="641">
        <v>936000</v>
      </c>
      <c r="F47" s="647">
        <f t="shared" si="3"/>
        <v>2872000</v>
      </c>
      <c r="G47" s="641">
        <v>10587.5</v>
      </c>
      <c r="H47" s="641">
        <v>954720</v>
      </c>
      <c r="I47" s="641">
        <v>4800</v>
      </c>
      <c r="J47" s="391"/>
    </row>
    <row r="48" spans="1:10" ht="12.75">
      <c r="A48" s="646">
        <f t="shared" si="4"/>
        <v>6</v>
      </c>
      <c r="B48" s="646" t="s">
        <v>1544</v>
      </c>
      <c r="C48" s="641">
        <v>1500000</v>
      </c>
      <c r="D48" s="641">
        <v>1560000</v>
      </c>
      <c r="E48" s="641">
        <v>1560000</v>
      </c>
      <c r="F48" s="647">
        <f t="shared" si="3"/>
        <v>4620000</v>
      </c>
      <c r="G48" s="641">
        <v>108540</v>
      </c>
      <c r="H48" s="641">
        <v>1591200</v>
      </c>
      <c r="I48" s="641">
        <v>93400</v>
      </c>
      <c r="J48" s="391"/>
    </row>
    <row r="49" spans="1:10" ht="12.75">
      <c r="A49" s="646">
        <f t="shared" si="4"/>
        <v>7</v>
      </c>
      <c r="B49" s="646" t="s">
        <v>897</v>
      </c>
      <c r="C49" s="641">
        <v>5000000</v>
      </c>
      <c r="D49" s="641">
        <v>1040000</v>
      </c>
      <c r="E49" s="641">
        <v>1040000</v>
      </c>
      <c r="F49" s="647">
        <f t="shared" si="3"/>
        <v>7080000</v>
      </c>
      <c r="G49" s="642">
        <v>106000</v>
      </c>
      <c r="H49" s="641">
        <v>1060800</v>
      </c>
      <c r="I49" s="642">
        <v>982000</v>
      </c>
      <c r="J49" s="391"/>
    </row>
    <row r="50" spans="1:10" ht="12.75">
      <c r="A50" s="646">
        <f t="shared" si="4"/>
        <v>8</v>
      </c>
      <c r="B50" s="646" t="s">
        <v>1385</v>
      </c>
      <c r="C50" s="641" t="s">
        <v>1386</v>
      </c>
      <c r="D50" s="641" t="s">
        <v>1386</v>
      </c>
      <c r="E50" s="641" t="s">
        <v>1386</v>
      </c>
      <c r="F50" s="647">
        <f t="shared" si="3"/>
        <v>0</v>
      </c>
      <c r="G50" s="642" t="s">
        <v>1386</v>
      </c>
      <c r="H50" s="641" t="s">
        <v>1386</v>
      </c>
      <c r="I50" s="642" t="s">
        <v>1386</v>
      </c>
      <c r="J50" s="391"/>
    </row>
    <row r="51" spans="1:10" ht="12.75">
      <c r="A51" s="646">
        <f t="shared" si="4"/>
        <v>9</v>
      </c>
      <c r="B51" s="646" t="s">
        <v>2061</v>
      </c>
      <c r="C51" s="641" t="s">
        <v>1386</v>
      </c>
      <c r="D51" s="641" t="s">
        <v>1386</v>
      </c>
      <c r="E51" s="641" t="s">
        <v>1386</v>
      </c>
      <c r="F51" s="647">
        <f t="shared" si="3"/>
        <v>0</v>
      </c>
      <c r="G51" s="641" t="s">
        <v>1386</v>
      </c>
      <c r="H51" s="641" t="s">
        <v>1386</v>
      </c>
      <c r="I51" s="641" t="s">
        <v>1386</v>
      </c>
      <c r="J51" s="391"/>
    </row>
    <row r="52" spans="1:10" ht="12.75">
      <c r="A52" s="646">
        <f t="shared" si="4"/>
        <v>10</v>
      </c>
      <c r="B52" s="646" t="s">
        <v>972</v>
      </c>
      <c r="C52" s="641">
        <v>1000000</v>
      </c>
      <c r="D52" s="641">
        <v>1040000</v>
      </c>
      <c r="E52" s="641">
        <v>1040000</v>
      </c>
      <c r="F52" s="647">
        <f t="shared" si="3"/>
        <v>3080000</v>
      </c>
      <c r="G52" s="641">
        <v>0</v>
      </c>
      <c r="H52" s="641">
        <v>1060800</v>
      </c>
      <c r="I52" s="641">
        <v>0</v>
      </c>
      <c r="J52" s="391"/>
    </row>
    <row r="53" spans="1:10" ht="12.75">
      <c r="A53" s="646">
        <f t="shared" si="4"/>
        <v>11</v>
      </c>
      <c r="B53" s="646" t="s">
        <v>973</v>
      </c>
      <c r="C53" s="641">
        <v>100000</v>
      </c>
      <c r="D53" s="641">
        <v>104000</v>
      </c>
      <c r="E53" s="641">
        <v>104000</v>
      </c>
      <c r="F53" s="647">
        <f t="shared" si="3"/>
        <v>308000</v>
      </c>
      <c r="G53" s="642">
        <v>11500</v>
      </c>
      <c r="H53" s="641">
        <v>106080</v>
      </c>
      <c r="I53" s="642">
        <v>6000</v>
      </c>
      <c r="J53" s="391"/>
    </row>
    <row r="54" spans="1:10" ht="12.75">
      <c r="A54" s="646">
        <f t="shared" si="4"/>
        <v>12</v>
      </c>
      <c r="B54" s="646" t="s">
        <v>974</v>
      </c>
      <c r="C54" s="641">
        <v>1000000</v>
      </c>
      <c r="D54" s="641">
        <v>2080000</v>
      </c>
      <c r="E54" s="641">
        <v>2080000</v>
      </c>
      <c r="F54" s="647">
        <f t="shared" si="3"/>
        <v>5160000</v>
      </c>
      <c r="G54" s="648">
        <v>1546950</v>
      </c>
      <c r="H54" s="641">
        <v>2121600</v>
      </c>
      <c r="I54" s="648">
        <v>945447</v>
      </c>
      <c r="J54" s="391"/>
    </row>
    <row r="55" spans="1:10" ht="12.75">
      <c r="A55" s="646">
        <f t="shared" si="4"/>
        <v>13</v>
      </c>
      <c r="B55" s="646" t="s">
        <v>2249</v>
      </c>
      <c r="C55" s="641">
        <v>1000000</v>
      </c>
      <c r="D55" s="641">
        <v>104000</v>
      </c>
      <c r="E55" s="641">
        <v>104000</v>
      </c>
      <c r="F55" s="647">
        <f t="shared" si="3"/>
        <v>1208000</v>
      </c>
      <c r="G55" s="642">
        <v>0</v>
      </c>
      <c r="H55" s="641">
        <v>106080</v>
      </c>
      <c r="I55" s="642">
        <v>0</v>
      </c>
      <c r="J55" s="391"/>
    </row>
    <row r="56" spans="1:10" ht="12.75">
      <c r="A56" s="646">
        <f t="shared" si="4"/>
        <v>14</v>
      </c>
      <c r="B56" s="646" t="s">
        <v>975</v>
      </c>
      <c r="C56" s="641">
        <v>500000</v>
      </c>
      <c r="D56" s="641">
        <v>1040000</v>
      </c>
      <c r="E56" s="641">
        <v>1040000</v>
      </c>
      <c r="F56" s="647">
        <f t="shared" si="3"/>
        <v>2580000</v>
      </c>
      <c r="G56" s="641">
        <v>0</v>
      </c>
      <c r="H56" s="641">
        <v>1060800</v>
      </c>
      <c r="I56" s="641">
        <v>0</v>
      </c>
      <c r="J56" s="391"/>
    </row>
    <row r="57" spans="1:10" ht="12.75">
      <c r="A57" s="646">
        <f t="shared" si="4"/>
        <v>15</v>
      </c>
      <c r="B57" s="646" t="s">
        <v>976</v>
      </c>
      <c r="C57" s="641">
        <v>100000</v>
      </c>
      <c r="D57" s="641" t="s">
        <v>1386</v>
      </c>
      <c r="E57" s="641" t="s">
        <v>1386</v>
      </c>
      <c r="F57" s="647">
        <f t="shared" si="3"/>
        <v>100000</v>
      </c>
      <c r="G57" s="642" t="s">
        <v>1386</v>
      </c>
      <c r="H57" s="641" t="s">
        <v>1386</v>
      </c>
      <c r="I57" s="642" t="s">
        <v>1386</v>
      </c>
      <c r="J57" s="391"/>
    </row>
    <row r="58" spans="1:10" ht="12.75">
      <c r="A58" s="646">
        <f t="shared" si="4"/>
        <v>16</v>
      </c>
      <c r="B58" s="646" t="s">
        <v>1614</v>
      </c>
      <c r="C58" s="649" t="s">
        <v>3995</v>
      </c>
      <c r="D58" s="649" t="s">
        <v>3995</v>
      </c>
      <c r="E58" s="649" t="s">
        <v>3995</v>
      </c>
      <c r="F58" s="647">
        <f t="shared" si="3"/>
        <v>0</v>
      </c>
      <c r="G58" s="650" t="s">
        <v>1386</v>
      </c>
      <c r="H58" s="649" t="s">
        <v>3995</v>
      </c>
      <c r="I58" s="650" t="s">
        <v>1386</v>
      </c>
      <c r="J58" s="391"/>
    </row>
    <row r="59" spans="1:10" ht="12.75">
      <c r="A59" s="646">
        <f t="shared" si="4"/>
        <v>17</v>
      </c>
      <c r="B59" s="646" t="s">
        <v>1615</v>
      </c>
      <c r="C59" s="641">
        <v>500000</v>
      </c>
      <c r="D59" s="641">
        <v>1248000</v>
      </c>
      <c r="E59" s="641">
        <v>1248000</v>
      </c>
      <c r="F59" s="647">
        <f t="shared" si="3"/>
        <v>2996000</v>
      </c>
      <c r="G59" s="650">
        <v>198700</v>
      </c>
      <c r="H59" s="641">
        <f>1272960+50000-5840</f>
        <v>1317120</v>
      </c>
      <c r="I59" s="650">
        <v>62200</v>
      </c>
      <c r="J59" s="391"/>
    </row>
    <row r="60" spans="1:10" ht="12.75">
      <c r="A60" s="646">
        <f t="shared" si="4"/>
        <v>18</v>
      </c>
      <c r="B60" s="646" t="s">
        <v>1616</v>
      </c>
      <c r="C60" s="641">
        <v>800000</v>
      </c>
      <c r="D60" s="641">
        <v>1248000</v>
      </c>
      <c r="E60" s="641">
        <v>1248000</v>
      </c>
      <c r="F60" s="647">
        <f t="shared" si="3"/>
        <v>3296000</v>
      </c>
      <c r="G60" s="642">
        <v>351262.5</v>
      </c>
      <c r="H60" s="641">
        <v>1000000</v>
      </c>
      <c r="I60" s="642">
        <v>156000</v>
      </c>
      <c r="J60" s="391"/>
    </row>
    <row r="61" spans="1:10" ht="12.75">
      <c r="A61" s="646">
        <f t="shared" si="4"/>
        <v>19</v>
      </c>
      <c r="B61" s="646" t="s">
        <v>4150</v>
      </c>
      <c r="C61" s="641">
        <v>1000000</v>
      </c>
      <c r="D61" s="641">
        <v>3000000</v>
      </c>
      <c r="E61" s="641">
        <v>3000000</v>
      </c>
      <c r="F61" s="647"/>
      <c r="G61" s="642"/>
      <c r="H61" s="641">
        <v>2000000</v>
      </c>
      <c r="I61" s="642"/>
      <c r="J61" s="391"/>
    </row>
    <row r="62" spans="1:10" ht="12.75">
      <c r="A62" s="646"/>
      <c r="B62" s="646"/>
      <c r="C62" s="641"/>
      <c r="D62" s="641"/>
      <c r="E62" s="641"/>
      <c r="F62" s="647">
        <f t="shared" si="3"/>
        <v>0</v>
      </c>
      <c r="G62" s="642"/>
      <c r="H62" s="641"/>
      <c r="I62" s="642">
        <v>0</v>
      </c>
      <c r="J62" s="391"/>
    </row>
    <row r="63" spans="1:10" ht="12.75">
      <c r="A63" s="646" t="s">
        <v>977</v>
      </c>
      <c r="B63" s="651" t="s">
        <v>819</v>
      </c>
      <c r="C63" s="652">
        <f>SUM(C44:C62)</f>
        <v>14500000</v>
      </c>
      <c r="D63" s="652">
        <f>SUM(D44:D61)</f>
        <v>14440000</v>
      </c>
      <c r="E63" s="652">
        <f>SUM(E44:E60)</f>
        <v>11440000</v>
      </c>
      <c r="F63" s="652">
        <f>SUM(F44:F60)</f>
        <v>36380000</v>
      </c>
      <c r="G63" s="652">
        <f>SUM(G44:G60)</f>
        <v>2333540</v>
      </c>
      <c r="H63" s="652">
        <f>SUM(H44:H60)</f>
        <v>11440000</v>
      </c>
      <c r="I63" s="652">
        <f>SUM(I44:I60)</f>
        <v>2917847</v>
      </c>
      <c r="J63" s="391"/>
    </row>
    <row r="64" spans="1:10" ht="12.75">
      <c r="A64" s="646"/>
      <c r="B64" s="646"/>
      <c r="C64" s="641"/>
      <c r="D64" s="641"/>
      <c r="E64" s="641"/>
      <c r="F64" s="647"/>
      <c r="G64" s="641"/>
      <c r="H64" s="641"/>
      <c r="I64" s="642">
        <v>0</v>
      </c>
      <c r="J64" s="391"/>
    </row>
    <row r="65" spans="1:10" ht="12.75">
      <c r="A65" s="653"/>
      <c r="B65" s="653" t="s">
        <v>1684</v>
      </c>
      <c r="C65" s="645">
        <f>+C63+C42</f>
        <v>101457287.45</v>
      </c>
      <c r="D65" s="645">
        <f t="shared" ref="D65:I65" si="5">+D63+D42</f>
        <v>94478400</v>
      </c>
      <c r="E65" s="645">
        <f t="shared" si="5"/>
        <v>91478400</v>
      </c>
      <c r="F65" s="645">
        <f t="shared" si="5"/>
        <v>283414087.44999999</v>
      </c>
      <c r="G65" s="645">
        <f t="shared" si="5"/>
        <v>42691614</v>
      </c>
      <c r="H65" s="645">
        <f>+H63+H42</f>
        <v>91478400</v>
      </c>
      <c r="I65" s="645" t="e">
        <f t="shared" si="5"/>
        <v>#REF!</v>
      </c>
      <c r="J65" s="391"/>
    </row>
    <row r="66" spans="1:10" ht="12.75" customHeight="1">
      <c r="A66" s="391"/>
      <c r="B66" s="391"/>
      <c r="C66" s="647"/>
      <c r="D66" s="647"/>
      <c r="E66" s="647"/>
      <c r="F66" s="647"/>
      <c r="G66" s="647"/>
      <c r="H66" s="647"/>
      <c r="I66" s="642"/>
      <c r="J66" s="391"/>
    </row>
    <row r="67" spans="1:10" ht="12.75">
      <c r="A67" s="391"/>
      <c r="B67" s="391"/>
      <c r="D67" s="308" t="s">
        <v>5434</v>
      </c>
      <c r="E67" s="647"/>
      <c r="F67" s="647"/>
      <c r="G67" s="60"/>
      <c r="I67" s="654"/>
      <c r="J67" s="391"/>
    </row>
    <row r="68" spans="1:10" ht="12.75">
      <c r="A68" s="655"/>
      <c r="B68" s="633"/>
      <c r="D68" s="308" t="s">
        <v>716</v>
      </c>
      <c r="E68" s="655"/>
      <c r="F68" s="647"/>
      <c r="G68" s="60"/>
      <c r="I68" s="654"/>
      <c r="J68" s="391"/>
    </row>
    <row r="69" spans="1:10" ht="12.75">
      <c r="A69" s="655"/>
      <c r="B69" s="633"/>
      <c r="D69" s="308" t="s">
        <v>3214</v>
      </c>
      <c r="E69" s="655"/>
      <c r="F69" s="647"/>
      <c r="G69" s="60"/>
      <c r="I69" s="391"/>
      <c r="J69" s="391"/>
    </row>
    <row r="70" spans="1:10" ht="12.75">
      <c r="A70" s="655"/>
      <c r="B70" s="655"/>
      <c r="D70" s="307" t="s">
        <v>3215</v>
      </c>
      <c r="E70" s="655"/>
      <c r="F70" s="647"/>
      <c r="G70" s="60"/>
      <c r="I70" s="391"/>
      <c r="J70" s="391"/>
    </row>
    <row r="71" spans="1:10" ht="15">
      <c r="A71" s="634" t="s">
        <v>1839</v>
      </c>
      <c r="B71" s="635" t="s">
        <v>903</v>
      </c>
      <c r="C71" s="1037" t="s">
        <v>4127</v>
      </c>
      <c r="D71" s="1038"/>
      <c r="E71" s="1039"/>
      <c r="F71" s="635" t="s">
        <v>1684</v>
      </c>
      <c r="G71" s="1037" t="s">
        <v>4132</v>
      </c>
      <c r="H71" s="1038"/>
      <c r="I71" s="1039"/>
      <c r="J71" s="391"/>
    </row>
    <row r="72" spans="1:10" ht="12.75">
      <c r="A72" s="636" t="s">
        <v>1620</v>
      </c>
      <c r="B72" s="637"/>
      <c r="C72" s="635" t="s">
        <v>1841</v>
      </c>
      <c r="D72" s="635" t="s">
        <v>4133</v>
      </c>
      <c r="E72" s="635" t="s">
        <v>4133</v>
      </c>
      <c r="F72" s="1056" t="s">
        <v>4200</v>
      </c>
      <c r="G72" s="1051" t="s">
        <v>4201</v>
      </c>
      <c r="H72" s="635" t="s">
        <v>1841</v>
      </c>
      <c r="I72" s="634" t="s">
        <v>4135</v>
      </c>
      <c r="J72" s="391"/>
    </row>
    <row r="73" spans="1:10" ht="12.75" customHeight="1">
      <c r="A73" s="638" t="s">
        <v>387</v>
      </c>
      <c r="B73" s="639"/>
      <c r="C73" s="638">
        <v>2015</v>
      </c>
      <c r="D73" s="638">
        <v>2016</v>
      </c>
      <c r="E73" s="638">
        <v>2017</v>
      </c>
      <c r="F73" s="1057"/>
      <c r="G73" s="1052"/>
      <c r="H73" s="638">
        <v>2014</v>
      </c>
      <c r="I73" s="638" t="s">
        <v>4303</v>
      </c>
      <c r="J73" s="391"/>
    </row>
    <row r="74" spans="1:10" ht="12.75">
      <c r="A74" s="646" t="s">
        <v>3216</v>
      </c>
      <c r="B74" s="646" t="s">
        <v>1693</v>
      </c>
      <c r="C74" s="641">
        <v>364975683.94999999</v>
      </c>
      <c r="D74" s="641">
        <v>426400000</v>
      </c>
      <c r="E74" s="641">
        <v>426400000</v>
      </c>
      <c r="F74" s="647">
        <f>SUM(C74:E74)</f>
        <v>1217775683.95</v>
      </c>
      <c r="G74" s="641">
        <v>261203671</v>
      </c>
      <c r="H74" s="641">
        <v>356507219</v>
      </c>
      <c r="I74" s="641" t="e">
        <f>#REF!</f>
        <v>#REF!</v>
      </c>
      <c r="J74" s="391"/>
    </row>
    <row r="75" spans="1:10" ht="12.75">
      <c r="A75" s="646"/>
      <c r="B75" s="646"/>
      <c r="C75" s="641"/>
      <c r="D75" s="641"/>
      <c r="E75" s="641"/>
      <c r="F75" s="647"/>
      <c r="G75" s="641"/>
      <c r="H75" s="641"/>
      <c r="I75" s="641"/>
      <c r="J75" s="391"/>
    </row>
    <row r="76" spans="1:10" ht="12.75">
      <c r="A76" s="646">
        <v>2</v>
      </c>
      <c r="B76" s="646" t="s">
        <v>1695</v>
      </c>
      <c r="C76" s="641">
        <v>2000000</v>
      </c>
      <c r="D76" s="641">
        <v>2600000</v>
      </c>
      <c r="E76" s="641">
        <v>2600000</v>
      </c>
      <c r="F76" s="647">
        <f t="shared" ref="F76:F100" si="6">SUM(C76:E76)</f>
        <v>7200000</v>
      </c>
      <c r="G76" s="641">
        <v>2000000</v>
      </c>
      <c r="H76" s="641">
        <v>530400</v>
      </c>
      <c r="I76" s="641">
        <v>600000</v>
      </c>
      <c r="J76" s="391"/>
    </row>
    <row r="77" spans="1:10" ht="12.75">
      <c r="A77" s="646">
        <f t="shared" ref="A77:A101" si="7">A76+1</f>
        <v>3</v>
      </c>
      <c r="B77" s="646" t="s">
        <v>1696</v>
      </c>
      <c r="C77" s="641" t="s">
        <v>1386</v>
      </c>
      <c r="D77" s="641">
        <v>520000</v>
      </c>
      <c r="E77" s="641">
        <v>520000</v>
      </c>
      <c r="F77" s="647">
        <f t="shared" si="6"/>
        <v>1040000</v>
      </c>
      <c r="G77" s="642">
        <v>360000</v>
      </c>
      <c r="H77" s="641" t="s">
        <v>1386</v>
      </c>
      <c r="I77" s="641" t="s">
        <v>1386</v>
      </c>
      <c r="J77" s="391"/>
    </row>
    <row r="78" spans="1:10" ht="12.75">
      <c r="A78" s="646">
        <f t="shared" si="7"/>
        <v>4</v>
      </c>
      <c r="B78" s="646" t="s">
        <v>1701</v>
      </c>
      <c r="C78" s="641" t="s">
        <v>1386</v>
      </c>
      <c r="D78" s="641" t="s">
        <v>1386</v>
      </c>
      <c r="E78" s="641" t="s">
        <v>1386</v>
      </c>
      <c r="F78" s="647">
        <f t="shared" si="6"/>
        <v>0</v>
      </c>
      <c r="G78" s="642">
        <v>0</v>
      </c>
      <c r="H78" s="641">
        <v>2121600</v>
      </c>
      <c r="I78" s="642" t="s">
        <v>1386</v>
      </c>
      <c r="J78" s="391"/>
    </row>
    <row r="79" spans="1:10" ht="12.75">
      <c r="A79" s="646">
        <f t="shared" si="7"/>
        <v>5</v>
      </c>
      <c r="B79" s="646" t="s">
        <v>1702</v>
      </c>
      <c r="C79" s="641">
        <v>1000000</v>
      </c>
      <c r="D79" s="641">
        <v>2080000</v>
      </c>
      <c r="E79" s="641">
        <v>2080000</v>
      </c>
      <c r="F79" s="647">
        <f t="shared" si="6"/>
        <v>5160000</v>
      </c>
      <c r="G79" s="641">
        <v>1500000</v>
      </c>
      <c r="H79" s="641">
        <v>530400</v>
      </c>
      <c r="I79" s="641">
        <v>1080000</v>
      </c>
      <c r="J79" s="391"/>
    </row>
    <row r="80" spans="1:10" ht="12.75">
      <c r="A80" s="646">
        <f t="shared" si="7"/>
        <v>6</v>
      </c>
      <c r="B80" s="646" t="s">
        <v>1544</v>
      </c>
      <c r="C80" s="641">
        <v>1000000</v>
      </c>
      <c r="D80" s="641">
        <v>520000</v>
      </c>
      <c r="E80" s="641">
        <v>520000</v>
      </c>
      <c r="F80" s="647">
        <f t="shared" si="6"/>
        <v>2040000</v>
      </c>
      <c r="G80" s="641">
        <v>374000</v>
      </c>
      <c r="H80" s="641">
        <v>2652000</v>
      </c>
      <c r="I80" s="641">
        <v>200000</v>
      </c>
      <c r="J80" s="391"/>
    </row>
    <row r="81" spans="1:10" ht="12.75">
      <c r="A81" s="646">
        <f t="shared" si="7"/>
        <v>7</v>
      </c>
      <c r="B81" s="646" t="s">
        <v>897</v>
      </c>
      <c r="C81" s="641">
        <v>1000000</v>
      </c>
      <c r="D81" s="641">
        <v>2600000</v>
      </c>
      <c r="E81" s="641">
        <v>2600000</v>
      </c>
      <c r="F81" s="647">
        <f t="shared" si="6"/>
        <v>6200000</v>
      </c>
      <c r="G81" s="641">
        <v>2574000</v>
      </c>
      <c r="H81" s="641" t="s">
        <v>1386</v>
      </c>
      <c r="I81" s="641">
        <v>1200000</v>
      </c>
      <c r="J81" s="391"/>
    </row>
    <row r="82" spans="1:10" ht="12.75">
      <c r="A82" s="646">
        <f t="shared" si="7"/>
        <v>8</v>
      </c>
      <c r="B82" s="646" t="s">
        <v>1385</v>
      </c>
      <c r="C82" s="641" t="s">
        <v>1386</v>
      </c>
      <c r="D82" s="641" t="s">
        <v>1386</v>
      </c>
      <c r="E82" s="641" t="s">
        <v>1386</v>
      </c>
      <c r="F82" s="647">
        <f t="shared" si="6"/>
        <v>0</v>
      </c>
      <c r="G82" s="641">
        <v>0</v>
      </c>
      <c r="H82" s="641" t="s">
        <v>1386</v>
      </c>
      <c r="I82" s="641" t="s">
        <v>1386</v>
      </c>
      <c r="J82" s="391"/>
    </row>
    <row r="83" spans="1:10" ht="12.75">
      <c r="A83" s="646">
        <f t="shared" si="7"/>
        <v>9</v>
      </c>
      <c r="B83" s="646" t="s">
        <v>2061</v>
      </c>
      <c r="C83" s="641" t="s">
        <v>1386</v>
      </c>
      <c r="D83" s="641" t="s">
        <v>1386</v>
      </c>
      <c r="E83" s="641" t="s">
        <v>1386</v>
      </c>
      <c r="F83" s="647">
        <f t="shared" si="6"/>
        <v>0</v>
      </c>
      <c r="G83" s="641">
        <v>0</v>
      </c>
      <c r="H83" s="641">
        <v>2121600</v>
      </c>
      <c r="I83" s="641" t="s">
        <v>1386</v>
      </c>
      <c r="J83" s="391"/>
    </row>
    <row r="84" spans="1:10" ht="12.75">
      <c r="A84" s="646">
        <f t="shared" si="7"/>
        <v>10</v>
      </c>
      <c r="B84" s="646" t="s">
        <v>972</v>
      </c>
      <c r="C84" s="641">
        <v>500000</v>
      </c>
      <c r="D84" s="641">
        <v>2080000</v>
      </c>
      <c r="E84" s="641">
        <v>2080000</v>
      </c>
      <c r="F84" s="647">
        <f t="shared" si="6"/>
        <v>4660000</v>
      </c>
      <c r="G84" s="642">
        <v>1850000</v>
      </c>
      <c r="H84" s="641">
        <v>530400</v>
      </c>
      <c r="I84" s="642">
        <v>1100000</v>
      </c>
      <c r="J84" s="391"/>
    </row>
    <row r="85" spans="1:10" ht="12.75">
      <c r="A85" s="646">
        <f t="shared" si="7"/>
        <v>11</v>
      </c>
      <c r="B85" s="646" t="s">
        <v>973</v>
      </c>
      <c r="C85" s="641">
        <v>100000</v>
      </c>
      <c r="D85" s="641">
        <v>520000</v>
      </c>
      <c r="E85" s="641">
        <v>520000</v>
      </c>
      <c r="F85" s="647">
        <f t="shared" si="6"/>
        <v>1140000</v>
      </c>
      <c r="G85" s="641">
        <v>400000</v>
      </c>
      <c r="H85" s="641">
        <v>3182400</v>
      </c>
      <c r="I85" s="641">
        <v>150000</v>
      </c>
      <c r="J85" s="391"/>
    </row>
    <row r="86" spans="1:10" ht="12.75">
      <c r="A86" s="646">
        <f t="shared" si="7"/>
        <v>12</v>
      </c>
      <c r="B86" s="646" t="s">
        <v>974</v>
      </c>
      <c r="C86" s="641">
        <v>4000000</v>
      </c>
      <c r="D86" s="641">
        <v>3120000</v>
      </c>
      <c r="E86" s="641">
        <v>3120000</v>
      </c>
      <c r="F86" s="647">
        <f t="shared" si="6"/>
        <v>10240000</v>
      </c>
      <c r="G86" s="641">
        <v>2500000</v>
      </c>
      <c r="H86" s="641">
        <v>106080</v>
      </c>
      <c r="I86" s="641">
        <v>1500000</v>
      </c>
      <c r="J86" s="391"/>
    </row>
    <row r="87" spans="1:10" ht="12.75">
      <c r="A87" s="646">
        <f t="shared" si="7"/>
        <v>13</v>
      </c>
      <c r="B87" s="646" t="s">
        <v>2249</v>
      </c>
      <c r="C87" s="641">
        <v>100000</v>
      </c>
      <c r="D87" s="641">
        <v>104000</v>
      </c>
      <c r="E87" s="641">
        <v>104000</v>
      </c>
      <c r="F87" s="647">
        <f t="shared" si="6"/>
        <v>308000</v>
      </c>
      <c r="G87" s="641">
        <v>80000</v>
      </c>
      <c r="H87" s="641">
        <v>848640</v>
      </c>
      <c r="I87" s="641">
        <v>56000</v>
      </c>
      <c r="J87" s="391"/>
    </row>
    <row r="88" spans="1:10" ht="12.75">
      <c r="A88" s="646">
        <f>A87+1</f>
        <v>14</v>
      </c>
      <c r="B88" s="646" t="s">
        <v>1717</v>
      </c>
      <c r="C88" s="641">
        <v>400000</v>
      </c>
      <c r="D88" s="641">
        <v>832000</v>
      </c>
      <c r="E88" s="641">
        <v>832000</v>
      </c>
      <c r="F88" s="647">
        <f t="shared" si="6"/>
        <v>2064000</v>
      </c>
      <c r="G88" s="641">
        <v>900000</v>
      </c>
      <c r="H88" s="641" t="s">
        <v>3995</v>
      </c>
      <c r="I88" s="641">
        <v>418000</v>
      </c>
      <c r="J88" s="391"/>
    </row>
    <row r="89" spans="1:10" ht="12.75">
      <c r="A89" s="646">
        <f t="shared" si="7"/>
        <v>15</v>
      </c>
      <c r="B89" s="646" t="s">
        <v>3217</v>
      </c>
      <c r="C89" s="649" t="s">
        <v>3995</v>
      </c>
      <c r="D89" s="649" t="s">
        <v>3995</v>
      </c>
      <c r="E89" s="649" t="s">
        <v>3995</v>
      </c>
      <c r="F89" s="647">
        <f t="shared" si="6"/>
        <v>0</v>
      </c>
      <c r="G89" s="641">
        <v>200000</v>
      </c>
      <c r="H89" s="649" t="s">
        <v>3995</v>
      </c>
      <c r="I89" s="641" t="s">
        <v>1386</v>
      </c>
      <c r="J89" s="391"/>
    </row>
    <row r="90" spans="1:10" ht="12.75">
      <c r="A90" s="646">
        <f t="shared" si="7"/>
        <v>16</v>
      </c>
      <c r="B90" s="646" t="s">
        <v>3218</v>
      </c>
      <c r="C90" s="656" t="s">
        <v>4300</v>
      </c>
      <c r="D90" s="649" t="s">
        <v>3995</v>
      </c>
      <c r="E90" s="649" t="s">
        <v>3995</v>
      </c>
      <c r="F90" s="647">
        <f t="shared" si="6"/>
        <v>0</v>
      </c>
      <c r="G90" s="641">
        <v>80000</v>
      </c>
      <c r="H90" s="649" t="s">
        <v>3995</v>
      </c>
      <c r="I90" s="641" t="s">
        <v>1386</v>
      </c>
      <c r="J90" s="391"/>
    </row>
    <row r="91" spans="1:10" ht="12.75">
      <c r="A91" s="646">
        <f t="shared" si="7"/>
        <v>17</v>
      </c>
      <c r="B91" s="646" t="s">
        <v>3219</v>
      </c>
      <c r="C91" s="649" t="s">
        <v>3995</v>
      </c>
      <c r="D91" s="649" t="s">
        <v>3995</v>
      </c>
      <c r="E91" s="649" t="s">
        <v>3995</v>
      </c>
      <c r="F91" s="647">
        <f t="shared" si="6"/>
        <v>0</v>
      </c>
      <c r="G91" s="641">
        <v>106000</v>
      </c>
      <c r="H91" s="649">
        <v>742560</v>
      </c>
      <c r="I91" s="641" t="s">
        <v>1386</v>
      </c>
      <c r="J91" s="391"/>
    </row>
    <row r="92" spans="1:10" ht="12.75">
      <c r="A92" s="646">
        <f t="shared" si="7"/>
        <v>18</v>
      </c>
      <c r="B92" s="646" t="s">
        <v>3220</v>
      </c>
      <c r="C92" s="649" t="s">
        <v>3995</v>
      </c>
      <c r="D92" s="641">
        <v>728000</v>
      </c>
      <c r="E92" s="641">
        <v>728000</v>
      </c>
      <c r="F92" s="647">
        <f t="shared" si="6"/>
        <v>1456000</v>
      </c>
      <c r="G92" s="641">
        <v>700000</v>
      </c>
      <c r="H92" s="641" t="s">
        <v>1386</v>
      </c>
      <c r="I92" s="641">
        <v>250000</v>
      </c>
      <c r="J92" s="391"/>
    </row>
    <row r="93" spans="1:10" ht="12.75">
      <c r="A93" s="646">
        <f t="shared" si="7"/>
        <v>19</v>
      </c>
      <c r="B93" s="646" t="s">
        <v>3221</v>
      </c>
      <c r="C93" s="641" t="s">
        <v>1386</v>
      </c>
      <c r="D93" s="641" t="s">
        <v>1386</v>
      </c>
      <c r="E93" s="641" t="s">
        <v>1386</v>
      </c>
      <c r="F93" s="647">
        <f t="shared" si="6"/>
        <v>0</v>
      </c>
      <c r="G93" s="641">
        <v>0</v>
      </c>
      <c r="H93" s="641">
        <v>212160</v>
      </c>
      <c r="I93" s="641" t="s">
        <v>1386</v>
      </c>
      <c r="J93" s="391"/>
    </row>
    <row r="94" spans="1:10" ht="12.75">
      <c r="A94" s="646">
        <f t="shared" si="7"/>
        <v>20</v>
      </c>
      <c r="B94" s="646" t="s">
        <v>809</v>
      </c>
      <c r="C94" s="641" t="s">
        <v>1386</v>
      </c>
      <c r="D94" s="641">
        <v>208000</v>
      </c>
      <c r="E94" s="641">
        <v>208000</v>
      </c>
      <c r="F94" s="647">
        <f t="shared" si="6"/>
        <v>416000</v>
      </c>
      <c r="G94" s="641">
        <v>150000</v>
      </c>
      <c r="H94" s="641">
        <v>212160</v>
      </c>
      <c r="I94" s="641" t="s">
        <v>1386</v>
      </c>
      <c r="J94" s="391"/>
    </row>
    <row r="95" spans="1:10" ht="12.75">
      <c r="A95" s="646">
        <f t="shared" si="7"/>
        <v>21</v>
      </c>
      <c r="B95" s="646" t="s">
        <v>810</v>
      </c>
      <c r="C95" s="641" t="s">
        <v>1386</v>
      </c>
      <c r="D95" s="641">
        <v>208000</v>
      </c>
      <c r="E95" s="641">
        <v>208000</v>
      </c>
      <c r="F95" s="647">
        <f t="shared" si="6"/>
        <v>416000</v>
      </c>
      <c r="G95" s="641">
        <v>280000</v>
      </c>
      <c r="H95" s="641" t="s">
        <v>1386</v>
      </c>
      <c r="I95" s="641" t="s">
        <v>1386</v>
      </c>
      <c r="J95" s="391"/>
    </row>
    <row r="96" spans="1:10" ht="12.75">
      <c r="A96" s="646">
        <f t="shared" si="7"/>
        <v>22</v>
      </c>
      <c r="B96" s="646" t="s">
        <v>811</v>
      </c>
      <c r="C96" s="641" t="s">
        <v>1386</v>
      </c>
      <c r="D96" s="641" t="s">
        <v>1386</v>
      </c>
      <c r="E96" s="641" t="s">
        <v>1386</v>
      </c>
      <c r="F96" s="647">
        <f t="shared" si="6"/>
        <v>0</v>
      </c>
      <c r="G96" s="641">
        <v>0</v>
      </c>
      <c r="H96" s="641" t="s">
        <v>1386</v>
      </c>
      <c r="I96" s="641" t="s">
        <v>1386</v>
      </c>
      <c r="J96" s="391"/>
    </row>
    <row r="97" spans="1:11" ht="12.75">
      <c r="A97" s="646">
        <f t="shared" si="7"/>
        <v>23</v>
      </c>
      <c r="B97" s="646" t="s">
        <v>812</v>
      </c>
      <c r="C97" s="641">
        <v>100000</v>
      </c>
      <c r="D97" s="641" t="s">
        <v>1386</v>
      </c>
      <c r="E97" s="641" t="s">
        <v>1386</v>
      </c>
      <c r="F97" s="647">
        <f t="shared" si="6"/>
        <v>100000</v>
      </c>
      <c r="G97" s="641">
        <v>0</v>
      </c>
      <c r="H97" s="641">
        <v>530400</v>
      </c>
      <c r="I97" s="641">
        <v>150000</v>
      </c>
      <c r="J97" s="391"/>
    </row>
    <row r="98" spans="1:11" ht="12.75">
      <c r="A98" s="646">
        <f t="shared" si="7"/>
        <v>24</v>
      </c>
      <c r="B98" s="646" t="s">
        <v>3222</v>
      </c>
      <c r="C98" s="641">
        <v>5000000</v>
      </c>
      <c r="D98" s="641">
        <v>520000</v>
      </c>
      <c r="E98" s="641">
        <v>520000</v>
      </c>
      <c r="F98" s="647">
        <f t="shared" si="6"/>
        <v>6040000</v>
      </c>
      <c r="G98" s="641">
        <v>1200000</v>
      </c>
      <c r="H98" s="641">
        <v>106080</v>
      </c>
      <c r="I98" s="641">
        <v>2000000</v>
      </c>
      <c r="J98" s="391"/>
    </row>
    <row r="99" spans="1:11" ht="12.75">
      <c r="A99" s="646">
        <f t="shared" si="7"/>
        <v>25</v>
      </c>
      <c r="B99" s="646" t="s">
        <v>3223</v>
      </c>
      <c r="C99" s="641" t="s">
        <v>1386</v>
      </c>
      <c r="D99" s="641">
        <v>104000</v>
      </c>
      <c r="E99" s="641">
        <v>104000</v>
      </c>
      <c r="F99" s="647">
        <f t="shared" si="6"/>
        <v>208000</v>
      </c>
      <c r="G99" s="641">
        <v>120000</v>
      </c>
      <c r="H99" s="641">
        <v>106080</v>
      </c>
      <c r="I99" s="641">
        <v>0</v>
      </c>
      <c r="J99" s="391"/>
    </row>
    <row r="100" spans="1:11" ht="12.75">
      <c r="A100" s="646">
        <f t="shared" si="7"/>
        <v>26</v>
      </c>
      <c r="B100" s="646" t="s">
        <v>813</v>
      </c>
      <c r="C100" s="641" t="s">
        <v>1386</v>
      </c>
      <c r="D100" s="641">
        <v>104000</v>
      </c>
      <c r="E100" s="641">
        <v>104000</v>
      </c>
      <c r="F100" s="647">
        <f t="shared" si="6"/>
        <v>208000</v>
      </c>
      <c r="G100" s="641">
        <v>150000</v>
      </c>
      <c r="H100" s="641">
        <v>2315040</v>
      </c>
      <c r="I100" s="641">
        <v>0</v>
      </c>
      <c r="J100" s="391"/>
    </row>
    <row r="101" spans="1:11" ht="12.75">
      <c r="A101" s="646">
        <f t="shared" si="7"/>
        <v>27</v>
      </c>
      <c r="B101" s="646" t="s">
        <v>4210</v>
      </c>
      <c r="C101" s="641">
        <v>300000</v>
      </c>
      <c r="D101" s="641">
        <v>0</v>
      </c>
      <c r="E101" s="641">
        <v>0</v>
      </c>
      <c r="F101" s="647">
        <f>SUM(C101:E101)</f>
        <v>300000</v>
      </c>
      <c r="G101" s="641">
        <v>0</v>
      </c>
      <c r="H101" s="641">
        <v>0</v>
      </c>
      <c r="I101" s="641">
        <v>0</v>
      </c>
      <c r="J101" s="391"/>
    </row>
    <row r="102" spans="1:11" ht="12.75">
      <c r="A102" s="646"/>
      <c r="B102" s="646"/>
      <c r="C102" s="641"/>
      <c r="D102" s="641"/>
      <c r="E102" s="641"/>
      <c r="F102" s="647"/>
      <c r="G102" s="642"/>
      <c r="H102" s="641"/>
      <c r="I102" s="642"/>
      <c r="J102" s="391"/>
    </row>
    <row r="103" spans="1:11" ht="12.75">
      <c r="A103" s="646" t="s">
        <v>3224</v>
      </c>
      <c r="B103" s="651" t="s">
        <v>819</v>
      </c>
      <c r="C103" s="652">
        <f t="shared" ref="C103:I103" si="8">SUM(C76:C102)</f>
        <v>15500000</v>
      </c>
      <c r="D103" s="652">
        <f t="shared" si="8"/>
        <v>16848000</v>
      </c>
      <c r="E103" s="652">
        <f t="shared" si="8"/>
        <v>16848000</v>
      </c>
      <c r="F103" s="652">
        <f t="shared" si="8"/>
        <v>49196000</v>
      </c>
      <c r="G103" s="652">
        <f t="shared" si="8"/>
        <v>15524000</v>
      </c>
      <c r="H103" s="652">
        <f>SUM(H76:H102)</f>
        <v>16848000</v>
      </c>
      <c r="I103" s="652">
        <f t="shared" si="8"/>
        <v>8704000</v>
      </c>
      <c r="J103" s="391"/>
      <c r="K103" s="657">
        <f>16848000-H103</f>
        <v>0</v>
      </c>
    </row>
    <row r="104" spans="1:11" ht="12.75">
      <c r="A104" s="646"/>
      <c r="B104" s="646"/>
      <c r="C104" s="641"/>
      <c r="D104" s="641"/>
      <c r="E104" s="641"/>
      <c r="F104" s="647"/>
      <c r="G104" s="641"/>
      <c r="H104" s="641"/>
      <c r="I104" s="641"/>
      <c r="J104" s="391"/>
    </row>
    <row r="105" spans="1:11" ht="12.75">
      <c r="A105" s="653"/>
      <c r="B105" s="653" t="s">
        <v>1684</v>
      </c>
      <c r="C105" s="645">
        <f t="shared" ref="C105:I105" si="9">+C103+C74</f>
        <v>380475683.94999999</v>
      </c>
      <c r="D105" s="645">
        <f t="shared" si="9"/>
        <v>443248000</v>
      </c>
      <c r="E105" s="645">
        <f t="shared" si="9"/>
        <v>443248000</v>
      </c>
      <c r="F105" s="645">
        <f t="shared" si="9"/>
        <v>1266971683.95</v>
      </c>
      <c r="G105" s="645">
        <f t="shared" si="9"/>
        <v>276727671</v>
      </c>
      <c r="H105" s="645">
        <f>+H103+H74</f>
        <v>373355219</v>
      </c>
      <c r="I105" s="645" t="e">
        <f t="shared" si="9"/>
        <v>#REF!</v>
      </c>
      <c r="J105" s="391"/>
    </row>
    <row r="106" spans="1:11" ht="12.75" customHeight="1">
      <c r="A106" s="391"/>
      <c r="B106" s="391"/>
      <c r="C106" s="647"/>
      <c r="D106" s="308" t="s">
        <v>5434</v>
      </c>
      <c r="E106" s="647"/>
      <c r="F106" s="647"/>
      <c r="H106" s="647"/>
      <c r="I106" s="391"/>
      <c r="J106" s="391"/>
    </row>
    <row r="107" spans="1:11" ht="12.75" customHeight="1">
      <c r="A107" s="655"/>
      <c r="B107" s="633"/>
      <c r="C107" s="655"/>
      <c r="D107" s="308" t="s">
        <v>716</v>
      </c>
      <c r="E107" s="655"/>
      <c r="F107" s="647"/>
      <c r="H107" s="655"/>
      <c r="I107" s="391"/>
      <c r="J107" s="391"/>
    </row>
    <row r="108" spans="1:11" ht="12.75" customHeight="1">
      <c r="A108" s="655"/>
      <c r="B108" s="633"/>
      <c r="C108" s="655"/>
      <c r="D108" s="308" t="s">
        <v>2630</v>
      </c>
      <c r="E108" s="655"/>
      <c r="F108" s="647"/>
      <c r="H108" s="655"/>
      <c r="I108" s="391"/>
      <c r="J108" s="391"/>
    </row>
    <row r="109" spans="1:11" ht="12.75" customHeight="1">
      <c r="A109" s="655"/>
      <c r="B109" s="655"/>
      <c r="C109" s="655"/>
      <c r="D109" s="307" t="s">
        <v>3225</v>
      </c>
      <c r="E109" s="655"/>
      <c r="F109" s="647"/>
      <c r="H109" s="655"/>
      <c r="I109" s="391"/>
      <c r="J109" s="391"/>
    </row>
    <row r="110" spans="1:11" ht="12.75" customHeight="1">
      <c r="A110" s="634" t="s">
        <v>1839</v>
      </c>
      <c r="B110" s="635" t="s">
        <v>903</v>
      </c>
      <c r="C110" s="1037" t="s">
        <v>4127</v>
      </c>
      <c r="D110" s="1038"/>
      <c r="E110" s="1039"/>
      <c r="F110" s="635" t="s">
        <v>1684</v>
      </c>
      <c r="G110" s="1037" t="s">
        <v>4132</v>
      </c>
      <c r="H110" s="1038"/>
      <c r="I110" s="1039"/>
      <c r="J110" s="391"/>
    </row>
    <row r="111" spans="1:11" ht="12.75" customHeight="1">
      <c r="A111" s="636" t="s">
        <v>1620</v>
      </c>
      <c r="B111" s="637"/>
      <c r="C111" s="635" t="s">
        <v>1841</v>
      </c>
      <c r="D111" s="635" t="s">
        <v>4133</v>
      </c>
      <c r="E111" s="635" t="s">
        <v>4133</v>
      </c>
      <c r="F111" s="1056" t="s">
        <v>4200</v>
      </c>
      <c r="G111" s="1051" t="s">
        <v>4201</v>
      </c>
      <c r="H111" s="635" t="s">
        <v>1841</v>
      </c>
      <c r="I111" s="634" t="s">
        <v>4135</v>
      </c>
      <c r="J111" s="391"/>
    </row>
    <row r="112" spans="1:11" ht="12.75" customHeight="1">
      <c r="A112" s="638" t="s">
        <v>387</v>
      </c>
      <c r="B112" s="639"/>
      <c r="C112" s="638">
        <v>2015</v>
      </c>
      <c r="D112" s="638">
        <v>2016</v>
      </c>
      <c r="E112" s="638">
        <v>2017</v>
      </c>
      <c r="F112" s="1057"/>
      <c r="G112" s="1052"/>
      <c r="H112" s="638">
        <v>2014</v>
      </c>
      <c r="I112" s="638" t="s">
        <v>4303</v>
      </c>
      <c r="J112" s="391"/>
    </row>
    <row r="113" spans="1:10" ht="12.75" customHeight="1">
      <c r="A113" s="646" t="s">
        <v>3226</v>
      </c>
      <c r="B113" s="646" t="s">
        <v>1693</v>
      </c>
      <c r="C113" s="641">
        <v>3359600</v>
      </c>
      <c r="D113" s="641">
        <v>17305600</v>
      </c>
      <c r="E113" s="641">
        <v>17305600</v>
      </c>
      <c r="F113" s="647">
        <f>SUM(C113:E113)</f>
        <v>37970800</v>
      </c>
      <c r="G113" s="641">
        <v>5878540</v>
      </c>
      <c r="H113" s="641">
        <v>3359600</v>
      </c>
      <c r="I113" s="641" t="e">
        <f>#REF!</f>
        <v>#REF!</v>
      </c>
      <c r="J113" s="391"/>
    </row>
    <row r="114" spans="1:10" ht="12.75" customHeight="1">
      <c r="A114" s="646"/>
      <c r="B114" s="646"/>
      <c r="C114" s="641"/>
      <c r="D114" s="641"/>
      <c r="E114" s="641"/>
      <c r="F114" s="647"/>
      <c r="G114" s="641"/>
      <c r="H114" s="641"/>
      <c r="I114" s="641"/>
      <c r="J114" s="391"/>
    </row>
    <row r="115" spans="1:10" ht="12.75" customHeight="1">
      <c r="A115" s="646">
        <v>2</v>
      </c>
      <c r="B115" s="646" t="s">
        <v>1695</v>
      </c>
      <c r="C115" s="641">
        <v>1000000</v>
      </c>
      <c r="D115" s="641">
        <v>1560000</v>
      </c>
      <c r="E115" s="641">
        <v>1560000</v>
      </c>
      <c r="F115" s="647">
        <f t="shared" ref="F115:F129" si="10">SUM(C115:E115)</f>
        <v>4120000</v>
      </c>
      <c r="G115" s="641">
        <v>235000</v>
      </c>
      <c r="H115" s="641">
        <v>1591200</v>
      </c>
      <c r="I115" s="641"/>
      <c r="J115" s="391"/>
    </row>
    <row r="116" spans="1:10" ht="12.75" customHeight="1">
      <c r="A116" s="646">
        <f t="shared" ref="A116:A128" si="11">A115+1</f>
        <v>3</v>
      </c>
      <c r="B116" s="646" t="s">
        <v>1696</v>
      </c>
      <c r="C116" s="641">
        <f>E116*1.02</f>
        <v>0</v>
      </c>
      <c r="D116" s="641">
        <v>0</v>
      </c>
      <c r="E116" s="641">
        <v>0</v>
      </c>
      <c r="F116" s="647">
        <f t="shared" si="10"/>
        <v>0</v>
      </c>
      <c r="G116" s="642" t="s">
        <v>1386</v>
      </c>
      <c r="H116" s="641">
        <v>0</v>
      </c>
      <c r="I116" s="642"/>
      <c r="J116" s="391"/>
    </row>
    <row r="117" spans="1:10" ht="12.75" customHeight="1">
      <c r="A117" s="646">
        <f t="shared" si="11"/>
        <v>4</v>
      </c>
      <c r="B117" s="646" t="s">
        <v>1701</v>
      </c>
      <c r="C117" s="641">
        <f>E117*1.02</f>
        <v>0</v>
      </c>
      <c r="D117" s="641">
        <v>0</v>
      </c>
      <c r="E117" s="641">
        <v>0</v>
      </c>
      <c r="F117" s="647">
        <f t="shared" si="10"/>
        <v>0</v>
      </c>
      <c r="G117" s="642" t="s">
        <v>1386</v>
      </c>
      <c r="H117" s="641">
        <v>0</v>
      </c>
      <c r="I117" s="642"/>
      <c r="J117" s="391"/>
    </row>
    <row r="118" spans="1:10" ht="12.75" customHeight="1">
      <c r="A118" s="646">
        <f t="shared" si="11"/>
        <v>5</v>
      </c>
      <c r="B118" s="646" t="s">
        <v>1702</v>
      </c>
      <c r="C118" s="641">
        <v>800000</v>
      </c>
      <c r="D118" s="641">
        <v>1560000</v>
      </c>
      <c r="E118" s="641">
        <v>1560000</v>
      </c>
      <c r="F118" s="647">
        <f t="shared" si="10"/>
        <v>3920000</v>
      </c>
      <c r="G118" s="641">
        <v>75000</v>
      </c>
      <c r="H118" s="641">
        <v>1591200</v>
      </c>
      <c r="I118" s="641"/>
      <c r="J118" s="391"/>
    </row>
    <row r="119" spans="1:10" ht="12.75" customHeight="1">
      <c r="A119" s="646">
        <f t="shared" si="11"/>
        <v>6</v>
      </c>
      <c r="B119" s="646" t="s">
        <v>1544</v>
      </c>
      <c r="C119" s="641">
        <v>700000</v>
      </c>
      <c r="D119" s="641">
        <v>520000</v>
      </c>
      <c r="E119" s="641">
        <v>520000</v>
      </c>
      <c r="F119" s="647">
        <f t="shared" si="10"/>
        <v>1740000</v>
      </c>
      <c r="G119" s="641">
        <v>0</v>
      </c>
      <c r="H119" s="641">
        <v>530400</v>
      </c>
      <c r="I119" s="641"/>
      <c r="J119" s="391"/>
    </row>
    <row r="120" spans="1:10" ht="12.75" customHeight="1">
      <c r="A120" s="646">
        <f t="shared" si="11"/>
        <v>7</v>
      </c>
      <c r="B120" s="646" t="s">
        <v>897</v>
      </c>
      <c r="C120" s="641">
        <v>500000</v>
      </c>
      <c r="D120" s="641">
        <v>2600000</v>
      </c>
      <c r="E120" s="641">
        <v>2600000</v>
      </c>
      <c r="F120" s="647">
        <f t="shared" si="10"/>
        <v>5700000</v>
      </c>
      <c r="G120" s="641">
        <v>0</v>
      </c>
      <c r="H120" s="641">
        <v>2652000</v>
      </c>
      <c r="I120" s="641"/>
      <c r="J120" s="391"/>
    </row>
    <row r="121" spans="1:10" ht="12.75" customHeight="1">
      <c r="A121" s="646">
        <f t="shared" si="11"/>
        <v>8</v>
      </c>
      <c r="B121" s="646" t="s">
        <v>1385</v>
      </c>
      <c r="C121" s="641">
        <v>0</v>
      </c>
      <c r="D121" s="641">
        <v>832000</v>
      </c>
      <c r="E121" s="641">
        <v>832000</v>
      </c>
      <c r="F121" s="647">
        <f t="shared" si="10"/>
        <v>1664000</v>
      </c>
      <c r="G121" s="642">
        <v>0</v>
      </c>
      <c r="H121" s="641">
        <v>0</v>
      </c>
      <c r="I121" s="642"/>
      <c r="J121" s="391"/>
    </row>
    <row r="122" spans="1:10" ht="12.75" customHeight="1">
      <c r="A122" s="646">
        <f t="shared" si="11"/>
        <v>9</v>
      </c>
      <c r="B122" s="646" t="s">
        <v>2061</v>
      </c>
      <c r="C122" s="641">
        <v>0</v>
      </c>
      <c r="D122" s="641">
        <v>728000</v>
      </c>
      <c r="E122" s="641">
        <v>728000</v>
      </c>
      <c r="F122" s="647">
        <f t="shared" si="10"/>
        <v>1456000</v>
      </c>
      <c r="G122" s="642">
        <v>0</v>
      </c>
      <c r="H122" s="641">
        <v>0</v>
      </c>
      <c r="I122" s="642"/>
      <c r="J122" s="391"/>
    </row>
    <row r="123" spans="1:10" ht="12.75" customHeight="1">
      <c r="A123" s="646">
        <f t="shared" si="11"/>
        <v>10</v>
      </c>
      <c r="B123" s="646" t="s">
        <v>972</v>
      </c>
      <c r="C123" s="641">
        <v>500000</v>
      </c>
      <c r="D123" s="641">
        <v>104000</v>
      </c>
      <c r="E123" s="641">
        <v>104000</v>
      </c>
      <c r="F123" s="647">
        <f t="shared" si="10"/>
        <v>708000</v>
      </c>
      <c r="G123" s="642">
        <v>0</v>
      </c>
      <c r="H123" s="641">
        <v>106080</v>
      </c>
      <c r="I123" s="642"/>
      <c r="J123" s="391"/>
    </row>
    <row r="124" spans="1:10" ht="12.75" customHeight="1">
      <c r="A124" s="646">
        <f t="shared" si="11"/>
        <v>11</v>
      </c>
      <c r="B124" s="646" t="s">
        <v>973</v>
      </c>
      <c r="C124" s="641">
        <v>100000</v>
      </c>
      <c r="D124" s="641">
        <v>2600000</v>
      </c>
      <c r="E124" s="641">
        <v>2600000</v>
      </c>
      <c r="F124" s="647">
        <f t="shared" si="10"/>
        <v>5300000</v>
      </c>
      <c r="G124" s="641">
        <v>100000</v>
      </c>
      <c r="H124" s="641">
        <v>106080</v>
      </c>
      <c r="I124" s="641"/>
      <c r="J124" s="391"/>
    </row>
    <row r="125" spans="1:10" ht="12.75" customHeight="1">
      <c r="A125" s="646">
        <f t="shared" si="11"/>
        <v>12</v>
      </c>
      <c r="B125" s="646" t="s">
        <v>974</v>
      </c>
      <c r="C125" s="641">
        <v>2000000</v>
      </c>
      <c r="D125" s="641">
        <v>2652000</v>
      </c>
      <c r="E125" s="641">
        <v>2652000</v>
      </c>
      <c r="F125" s="647">
        <f t="shared" si="10"/>
        <v>7304000</v>
      </c>
      <c r="G125" s="641">
        <v>235104</v>
      </c>
      <c r="H125" s="641">
        <v>2652000</v>
      </c>
      <c r="I125" s="641"/>
      <c r="J125" s="391"/>
    </row>
    <row r="126" spans="1:10" ht="12.75" customHeight="1">
      <c r="A126" s="646">
        <f t="shared" si="11"/>
        <v>13</v>
      </c>
      <c r="B126" s="646" t="s">
        <v>2249</v>
      </c>
      <c r="C126" s="641">
        <v>100000</v>
      </c>
      <c r="D126" s="641">
        <v>100000</v>
      </c>
      <c r="E126" s="641">
        <v>100000</v>
      </c>
      <c r="F126" s="647"/>
      <c r="G126" s="641"/>
      <c r="H126" s="641">
        <v>100000</v>
      </c>
      <c r="I126" s="641"/>
      <c r="J126" s="391"/>
    </row>
    <row r="127" spans="1:10" ht="12.75" customHeight="1">
      <c r="A127" s="646">
        <f t="shared" si="11"/>
        <v>14</v>
      </c>
      <c r="B127" s="646" t="s">
        <v>1717</v>
      </c>
      <c r="C127" s="641">
        <v>800000</v>
      </c>
      <c r="D127" s="641">
        <v>200000</v>
      </c>
      <c r="E127" s="641">
        <v>200000</v>
      </c>
      <c r="F127" s="647"/>
      <c r="G127" s="641"/>
      <c r="H127" s="641">
        <v>200000</v>
      </c>
      <c r="I127" s="641"/>
      <c r="J127" s="391"/>
    </row>
    <row r="128" spans="1:10" ht="12.75" customHeight="1">
      <c r="A128" s="646">
        <f t="shared" si="11"/>
        <v>15</v>
      </c>
      <c r="B128" s="646" t="s">
        <v>3291</v>
      </c>
      <c r="C128" s="641" t="s">
        <v>1386</v>
      </c>
      <c r="D128" s="641">
        <v>20000000</v>
      </c>
      <c r="E128" s="641">
        <v>20000000</v>
      </c>
      <c r="F128" s="647">
        <f t="shared" si="10"/>
        <v>40000000</v>
      </c>
      <c r="G128" s="641"/>
      <c r="H128" s="641">
        <v>23927040</v>
      </c>
      <c r="I128" s="641">
        <v>0</v>
      </c>
      <c r="J128" s="391"/>
    </row>
    <row r="129" spans="1:11" ht="12.75" customHeight="1">
      <c r="A129" s="646"/>
      <c r="B129" s="646"/>
      <c r="C129" s="642"/>
      <c r="D129" s="642"/>
      <c r="E129" s="642"/>
      <c r="F129" s="647">
        <f t="shared" si="10"/>
        <v>0</v>
      </c>
      <c r="G129" s="642"/>
      <c r="H129" s="642"/>
      <c r="I129" s="641">
        <v>0</v>
      </c>
      <c r="J129" s="391"/>
    </row>
    <row r="130" spans="1:11" ht="12.75" customHeight="1">
      <c r="A130" s="646" t="s">
        <v>3227</v>
      </c>
      <c r="B130" s="651" t="s">
        <v>819</v>
      </c>
      <c r="C130" s="652">
        <f t="shared" ref="C130:I130" si="12">SUM(C115:C129)</f>
        <v>6500000</v>
      </c>
      <c r="D130" s="652">
        <f t="shared" si="12"/>
        <v>33456000</v>
      </c>
      <c r="E130" s="652">
        <f t="shared" si="12"/>
        <v>33456000</v>
      </c>
      <c r="F130" s="652">
        <f t="shared" si="12"/>
        <v>71912000</v>
      </c>
      <c r="G130" s="652">
        <f t="shared" si="12"/>
        <v>645104</v>
      </c>
      <c r="H130" s="652">
        <f>SUM(H115:H129)</f>
        <v>33456000</v>
      </c>
      <c r="I130" s="652">
        <f t="shared" si="12"/>
        <v>0</v>
      </c>
      <c r="J130" s="391"/>
      <c r="K130" s="657">
        <f>33456000-H130</f>
        <v>0</v>
      </c>
    </row>
    <row r="131" spans="1:11" ht="12.75" customHeight="1">
      <c r="A131" s="646"/>
      <c r="B131" s="646"/>
      <c r="C131" s="641"/>
      <c r="D131" s="641"/>
      <c r="E131" s="641"/>
      <c r="F131" s="647"/>
      <c r="G131" s="641"/>
      <c r="H131" s="641"/>
      <c r="I131" s="652"/>
      <c r="J131" s="391"/>
    </row>
    <row r="132" spans="1:11" ht="12.75" customHeight="1">
      <c r="A132" s="653"/>
      <c r="B132" s="653" t="s">
        <v>1684</v>
      </c>
      <c r="C132" s="645">
        <f t="shared" ref="C132:I132" si="13">+C130+C113</f>
        <v>9859600</v>
      </c>
      <c r="D132" s="645">
        <f t="shared" si="13"/>
        <v>50761600</v>
      </c>
      <c r="E132" s="645">
        <f t="shared" si="13"/>
        <v>50761600</v>
      </c>
      <c r="F132" s="645">
        <f t="shared" si="13"/>
        <v>109882800</v>
      </c>
      <c r="G132" s="645">
        <f t="shared" si="13"/>
        <v>6523644</v>
      </c>
      <c r="H132" s="645">
        <f>+H130+H113</f>
        <v>36815600</v>
      </c>
      <c r="I132" s="645" t="e">
        <f t="shared" si="13"/>
        <v>#REF!</v>
      </c>
      <c r="J132" s="391"/>
    </row>
    <row r="133" spans="1:11" ht="12.75" customHeight="1">
      <c r="A133" s="391"/>
      <c r="B133" s="391"/>
      <c r="C133" s="647"/>
      <c r="D133" s="647"/>
      <c r="E133" s="647"/>
      <c r="F133" s="647"/>
      <c r="G133" s="647"/>
      <c r="H133" s="647"/>
      <c r="I133" s="391"/>
      <c r="J133" s="391"/>
    </row>
    <row r="134" spans="1:11" ht="12.75" customHeight="1">
      <c r="A134" s="391"/>
      <c r="B134" s="391"/>
      <c r="C134" s="647"/>
      <c r="D134" s="308" t="s">
        <v>5434</v>
      </c>
      <c r="E134" s="647"/>
      <c r="F134" s="647"/>
      <c r="H134" s="647"/>
      <c r="I134" s="391"/>
      <c r="J134" s="391"/>
    </row>
    <row r="135" spans="1:11" ht="12.75" customHeight="1">
      <c r="A135" s="655"/>
      <c r="B135" s="633"/>
      <c r="C135" s="655"/>
      <c r="D135" s="308" t="s">
        <v>716</v>
      </c>
      <c r="E135" s="655"/>
      <c r="F135" s="647"/>
      <c r="H135" s="655"/>
      <c r="I135" s="391"/>
      <c r="J135" s="391"/>
    </row>
    <row r="136" spans="1:11" ht="12.75" customHeight="1">
      <c r="A136" s="655"/>
      <c r="B136" s="633"/>
      <c r="C136" s="655"/>
      <c r="D136" s="308" t="s">
        <v>983</v>
      </c>
      <c r="E136" s="655"/>
      <c r="F136" s="647"/>
      <c r="H136" s="655"/>
      <c r="I136" s="391"/>
      <c r="J136" s="391"/>
    </row>
    <row r="137" spans="1:11" ht="12.75" customHeight="1">
      <c r="A137" s="655"/>
      <c r="B137" s="655"/>
      <c r="C137" s="655"/>
      <c r="D137" s="307" t="s">
        <v>3228</v>
      </c>
      <c r="E137" s="655"/>
      <c r="F137" s="647"/>
      <c r="H137" s="655"/>
      <c r="I137" s="391"/>
      <c r="J137" s="391"/>
    </row>
    <row r="138" spans="1:11" ht="12.75" customHeight="1">
      <c r="A138" s="634" t="s">
        <v>1839</v>
      </c>
      <c r="B138" s="635" t="s">
        <v>903</v>
      </c>
      <c r="C138" s="1037" t="s">
        <v>4127</v>
      </c>
      <c r="D138" s="1038"/>
      <c r="E138" s="1039"/>
      <c r="F138" s="635" t="s">
        <v>1684</v>
      </c>
      <c r="G138" s="1037" t="s">
        <v>4132</v>
      </c>
      <c r="H138" s="1038"/>
      <c r="I138" s="1039"/>
      <c r="J138" s="391"/>
    </row>
    <row r="139" spans="1:11" ht="12.75" customHeight="1">
      <c r="A139" s="636" t="s">
        <v>1620</v>
      </c>
      <c r="B139" s="637"/>
      <c r="C139" s="635" t="s">
        <v>1841</v>
      </c>
      <c r="D139" s="635" t="s">
        <v>4133</v>
      </c>
      <c r="E139" s="635" t="s">
        <v>4133</v>
      </c>
      <c r="F139" s="1056" t="s">
        <v>4200</v>
      </c>
      <c r="G139" s="1051" t="s">
        <v>4201</v>
      </c>
      <c r="H139" s="635" t="s">
        <v>1841</v>
      </c>
      <c r="I139" s="634" t="s">
        <v>4135</v>
      </c>
      <c r="J139" s="391"/>
    </row>
    <row r="140" spans="1:11" ht="12.75" customHeight="1">
      <c r="A140" s="638" t="s">
        <v>387</v>
      </c>
      <c r="B140" s="639"/>
      <c r="C140" s="638">
        <v>2015</v>
      </c>
      <c r="D140" s="638">
        <v>2016</v>
      </c>
      <c r="E140" s="638">
        <v>2017</v>
      </c>
      <c r="F140" s="1057"/>
      <c r="G140" s="1052"/>
      <c r="H140" s="638">
        <v>2014</v>
      </c>
      <c r="I140" s="638" t="s">
        <v>4303</v>
      </c>
      <c r="J140" s="391"/>
    </row>
    <row r="141" spans="1:11" ht="12.75" customHeight="1">
      <c r="A141" s="646" t="s">
        <v>3229</v>
      </c>
      <c r="B141" s="646" t="s">
        <v>1693</v>
      </c>
      <c r="C141" s="641">
        <v>7003525.7000000002</v>
      </c>
      <c r="D141" s="641">
        <v>7280000</v>
      </c>
      <c r="E141" s="641">
        <v>7280000</v>
      </c>
      <c r="F141" s="647">
        <f>SUM(C141:E141)</f>
        <v>21563525.699999999</v>
      </c>
      <c r="G141" s="641">
        <v>3042350</v>
      </c>
      <c r="H141" s="641">
        <v>7280000</v>
      </c>
      <c r="I141" s="641" t="e">
        <f>#REF!</f>
        <v>#REF!</v>
      </c>
      <c r="J141" s="391"/>
    </row>
    <row r="142" spans="1:11" ht="12.75" customHeight="1">
      <c r="A142" s="646"/>
      <c r="B142" s="646"/>
      <c r="C142" s="641"/>
      <c r="D142" s="641"/>
      <c r="E142" s="641"/>
      <c r="F142" s="647"/>
      <c r="G142" s="641"/>
      <c r="H142" s="641"/>
      <c r="I142" s="641"/>
      <c r="J142" s="391"/>
    </row>
    <row r="143" spans="1:11" ht="12.75" customHeight="1">
      <c r="A143" s="646">
        <v>2</v>
      </c>
      <c r="B143" s="646" t="s">
        <v>1695</v>
      </c>
      <c r="C143" s="641">
        <v>1500000</v>
      </c>
      <c r="D143" s="641">
        <v>1560000</v>
      </c>
      <c r="E143" s="641">
        <v>1560000</v>
      </c>
      <c r="F143" s="647">
        <f t="shared" ref="F143:F155" si="14">SUM(C143:E143)</f>
        <v>4620000</v>
      </c>
      <c r="G143" s="641">
        <v>1530000</v>
      </c>
      <c r="H143" s="641">
        <v>1591200</v>
      </c>
      <c r="I143" s="641"/>
      <c r="J143" s="391"/>
    </row>
    <row r="144" spans="1:11" ht="12.75" customHeight="1">
      <c r="A144" s="646">
        <f t="shared" ref="A144:A155" si="15">A143+1</f>
        <v>3</v>
      </c>
      <c r="B144" s="646" t="s">
        <v>1696</v>
      </c>
      <c r="C144" s="649" t="s">
        <v>3995</v>
      </c>
      <c r="D144" s="649" t="s">
        <v>3995</v>
      </c>
      <c r="E144" s="649" t="s">
        <v>3995</v>
      </c>
      <c r="F144" s="647">
        <f t="shared" si="14"/>
        <v>0</v>
      </c>
      <c r="G144" s="642" t="s">
        <v>1386</v>
      </c>
      <c r="H144" s="649" t="s">
        <v>3995</v>
      </c>
      <c r="I144" s="642"/>
      <c r="J144" s="391"/>
    </row>
    <row r="145" spans="1:11" ht="12.75" customHeight="1">
      <c r="A145" s="646">
        <f t="shared" si="15"/>
        <v>4</v>
      </c>
      <c r="B145" s="646" t="s">
        <v>1701</v>
      </c>
      <c r="C145" s="641" t="s">
        <v>1386</v>
      </c>
      <c r="D145" s="641" t="s">
        <v>1386</v>
      </c>
      <c r="E145" s="641" t="s">
        <v>1386</v>
      </c>
      <c r="F145" s="647">
        <f t="shared" si="14"/>
        <v>0</v>
      </c>
      <c r="G145" s="642" t="s">
        <v>1386</v>
      </c>
      <c r="H145" s="641" t="s">
        <v>1386</v>
      </c>
      <c r="I145" s="642"/>
      <c r="J145" s="391"/>
    </row>
    <row r="146" spans="1:11" ht="12.75" customHeight="1">
      <c r="A146" s="646">
        <f t="shared" si="15"/>
        <v>5</v>
      </c>
      <c r="B146" s="646" t="s">
        <v>1702</v>
      </c>
      <c r="C146" s="641">
        <v>300000</v>
      </c>
      <c r="D146" s="641">
        <v>728000</v>
      </c>
      <c r="E146" s="641">
        <v>728000</v>
      </c>
      <c r="F146" s="647">
        <f t="shared" si="14"/>
        <v>1756000</v>
      </c>
      <c r="G146" s="642">
        <v>249000</v>
      </c>
      <c r="H146" s="641">
        <v>742560</v>
      </c>
      <c r="I146" s="642"/>
      <c r="J146" s="391"/>
    </row>
    <row r="147" spans="1:11" ht="12.75" customHeight="1">
      <c r="A147" s="646">
        <f t="shared" si="15"/>
        <v>6</v>
      </c>
      <c r="B147" s="646" t="s">
        <v>1544</v>
      </c>
      <c r="C147" s="641">
        <v>400000</v>
      </c>
      <c r="D147" s="641">
        <v>832000</v>
      </c>
      <c r="E147" s="641">
        <v>832000</v>
      </c>
      <c r="F147" s="647">
        <f t="shared" si="14"/>
        <v>2064000</v>
      </c>
      <c r="G147" s="642">
        <v>105000</v>
      </c>
      <c r="H147" s="641">
        <v>848640</v>
      </c>
      <c r="I147" s="642"/>
      <c r="J147" s="391"/>
    </row>
    <row r="148" spans="1:11" ht="12.75" customHeight="1">
      <c r="A148" s="646">
        <f t="shared" si="15"/>
        <v>7</v>
      </c>
      <c r="B148" s="646" t="s">
        <v>897</v>
      </c>
      <c r="C148" s="641">
        <v>1000000</v>
      </c>
      <c r="D148" s="641">
        <v>1040000</v>
      </c>
      <c r="E148" s="641">
        <v>1040000</v>
      </c>
      <c r="F148" s="647">
        <f t="shared" si="14"/>
        <v>3080000</v>
      </c>
      <c r="G148" s="642">
        <v>200000</v>
      </c>
      <c r="H148" s="641">
        <v>1060800</v>
      </c>
      <c r="I148" s="642"/>
      <c r="J148" s="391"/>
    </row>
    <row r="149" spans="1:11" ht="12.75" customHeight="1">
      <c r="A149" s="646">
        <f t="shared" si="15"/>
        <v>8</v>
      </c>
      <c r="B149" s="646" t="s">
        <v>1385</v>
      </c>
      <c r="C149" s="641" t="s">
        <v>1386</v>
      </c>
      <c r="D149" s="641" t="s">
        <v>1386</v>
      </c>
      <c r="E149" s="641" t="s">
        <v>1386</v>
      </c>
      <c r="F149" s="647">
        <f t="shared" si="14"/>
        <v>0</v>
      </c>
      <c r="G149" s="642" t="s">
        <v>1386</v>
      </c>
      <c r="H149" s="641" t="s">
        <v>1386</v>
      </c>
      <c r="I149" s="642"/>
      <c r="J149" s="391"/>
    </row>
    <row r="150" spans="1:11" ht="12.75" customHeight="1">
      <c r="A150" s="646">
        <f t="shared" si="15"/>
        <v>9</v>
      </c>
      <c r="B150" s="646" t="s">
        <v>2061</v>
      </c>
      <c r="C150" s="641" t="s">
        <v>1386</v>
      </c>
      <c r="D150" s="641" t="s">
        <v>1386</v>
      </c>
      <c r="E150" s="641" t="s">
        <v>1386</v>
      </c>
      <c r="F150" s="647">
        <f t="shared" si="14"/>
        <v>0</v>
      </c>
      <c r="G150" s="642" t="s">
        <v>1386</v>
      </c>
      <c r="H150" s="641" t="s">
        <v>1386</v>
      </c>
      <c r="I150" s="642"/>
      <c r="J150" s="391"/>
    </row>
    <row r="151" spans="1:11" ht="12.75" customHeight="1">
      <c r="A151" s="646">
        <f t="shared" si="15"/>
        <v>10</v>
      </c>
      <c r="B151" s="646" t="s">
        <v>1680</v>
      </c>
      <c r="C151" s="641">
        <v>500000</v>
      </c>
      <c r="D151" s="641">
        <v>832000</v>
      </c>
      <c r="E151" s="641">
        <v>832000</v>
      </c>
      <c r="F151" s="647">
        <f t="shared" si="14"/>
        <v>2164000</v>
      </c>
      <c r="G151" s="642">
        <v>0</v>
      </c>
      <c r="H151" s="641">
        <v>848640</v>
      </c>
      <c r="I151" s="642"/>
      <c r="J151" s="391"/>
    </row>
    <row r="152" spans="1:11" ht="12.75" customHeight="1">
      <c r="A152" s="646">
        <f t="shared" si="15"/>
        <v>11</v>
      </c>
      <c r="B152" s="646" t="s">
        <v>1681</v>
      </c>
      <c r="C152" s="641">
        <v>100000</v>
      </c>
      <c r="D152" s="641">
        <v>104000</v>
      </c>
      <c r="E152" s="641">
        <v>104000</v>
      </c>
      <c r="F152" s="647">
        <f t="shared" si="14"/>
        <v>308000</v>
      </c>
      <c r="G152" s="642">
        <v>0</v>
      </c>
      <c r="H152" s="641">
        <v>106080</v>
      </c>
      <c r="I152" s="642"/>
      <c r="J152" s="391"/>
    </row>
    <row r="153" spans="1:11" ht="12.75" customHeight="1">
      <c r="A153" s="646">
        <f t="shared" si="15"/>
        <v>12</v>
      </c>
      <c r="B153" s="646" t="s">
        <v>1682</v>
      </c>
      <c r="C153" s="641">
        <v>1200000</v>
      </c>
      <c r="D153" s="641">
        <v>1040000</v>
      </c>
      <c r="E153" s="641">
        <v>1040000</v>
      </c>
      <c r="F153" s="647">
        <f t="shared" si="14"/>
        <v>3280000</v>
      </c>
      <c r="G153" s="642">
        <v>940270</v>
      </c>
      <c r="H153" s="641">
        <v>1060800</v>
      </c>
      <c r="I153" s="642"/>
      <c r="J153" s="391"/>
    </row>
    <row r="154" spans="1:11" ht="12.75" customHeight="1">
      <c r="A154" s="646">
        <f t="shared" si="15"/>
        <v>13</v>
      </c>
      <c r="B154" s="646" t="s">
        <v>2249</v>
      </c>
      <c r="C154" s="641">
        <v>100000</v>
      </c>
      <c r="D154" s="641">
        <v>104000</v>
      </c>
      <c r="E154" s="641">
        <v>104000</v>
      </c>
      <c r="F154" s="647">
        <f t="shared" si="14"/>
        <v>308000</v>
      </c>
      <c r="G154" s="642">
        <v>0</v>
      </c>
      <c r="H154" s="641">
        <v>106080</v>
      </c>
      <c r="I154" s="642"/>
      <c r="J154" s="391"/>
    </row>
    <row r="155" spans="1:11" ht="12.75" customHeight="1">
      <c r="A155" s="646">
        <f t="shared" si="15"/>
        <v>14</v>
      </c>
      <c r="B155" s="646" t="s">
        <v>1717</v>
      </c>
      <c r="C155" s="641">
        <v>1000000</v>
      </c>
      <c r="D155" s="641">
        <v>1040000</v>
      </c>
      <c r="E155" s="641">
        <v>1040000</v>
      </c>
      <c r="F155" s="647">
        <f t="shared" si="14"/>
        <v>3080000</v>
      </c>
      <c r="G155" s="642">
        <v>200000</v>
      </c>
      <c r="H155" s="641">
        <f>1060800-145600</f>
        <v>915200</v>
      </c>
      <c r="I155" s="642"/>
      <c r="J155" s="391"/>
    </row>
    <row r="156" spans="1:11" ht="12.75" customHeight="1">
      <c r="A156" s="646"/>
      <c r="B156" s="646"/>
      <c r="C156" s="642"/>
      <c r="D156" s="642"/>
      <c r="E156" s="642"/>
      <c r="F156" s="647"/>
      <c r="G156" s="642"/>
      <c r="H156" s="642"/>
      <c r="I156" s="642"/>
      <c r="J156" s="391"/>
    </row>
    <row r="157" spans="1:11" ht="12.75" customHeight="1">
      <c r="A157" s="646" t="s">
        <v>3230</v>
      </c>
      <c r="B157" s="651" t="s">
        <v>819</v>
      </c>
      <c r="C157" s="652">
        <f t="shared" ref="C157:I157" si="16">SUM(C143:C156)</f>
        <v>6100000</v>
      </c>
      <c r="D157" s="652">
        <f t="shared" si="16"/>
        <v>7280000</v>
      </c>
      <c r="E157" s="652">
        <f t="shared" si="16"/>
        <v>7280000</v>
      </c>
      <c r="F157" s="652">
        <f t="shared" si="16"/>
        <v>20660000</v>
      </c>
      <c r="G157" s="652">
        <f t="shared" si="16"/>
        <v>3224270</v>
      </c>
      <c r="H157" s="652">
        <f>SUM(H143:H156)</f>
        <v>7280000</v>
      </c>
      <c r="I157" s="652">
        <f t="shared" si="16"/>
        <v>0</v>
      </c>
      <c r="J157" s="391"/>
      <c r="K157" s="657">
        <f>7280000-H157</f>
        <v>0</v>
      </c>
    </row>
    <row r="158" spans="1:11" ht="12.75" customHeight="1">
      <c r="A158" s="646"/>
      <c r="B158" s="646"/>
      <c r="C158" s="641"/>
      <c r="D158" s="641"/>
      <c r="E158" s="641"/>
      <c r="F158" s="647"/>
      <c r="G158" s="641"/>
      <c r="H158" s="641"/>
      <c r="I158" s="641"/>
      <c r="J158" s="391"/>
    </row>
    <row r="159" spans="1:11" ht="12.75" customHeight="1">
      <c r="A159" s="653"/>
      <c r="B159" s="653" t="s">
        <v>1684</v>
      </c>
      <c r="C159" s="645">
        <f t="shared" ref="C159:I159" si="17">+C157+C141</f>
        <v>13103525.699999999</v>
      </c>
      <c r="D159" s="645">
        <f t="shared" si="17"/>
        <v>14560000</v>
      </c>
      <c r="E159" s="645">
        <f t="shared" si="17"/>
        <v>14560000</v>
      </c>
      <c r="F159" s="645">
        <f t="shared" si="17"/>
        <v>42223525.700000003</v>
      </c>
      <c r="G159" s="645">
        <f t="shared" si="17"/>
        <v>6266620</v>
      </c>
      <c r="H159" s="645">
        <f>+H157+H141</f>
        <v>14560000</v>
      </c>
      <c r="I159" s="645" t="e">
        <f t="shared" si="17"/>
        <v>#REF!</v>
      </c>
      <c r="J159" s="391"/>
    </row>
    <row r="160" spans="1:11" ht="12.75" customHeight="1">
      <c r="A160" s="391"/>
      <c r="B160" s="391"/>
      <c r="C160" s="647"/>
      <c r="D160" s="647"/>
      <c r="E160" s="647"/>
      <c r="F160" s="647"/>
      <c r="G160" s="647"/>
      <c r="H160" s="647"/>
      <c r="I160" s="391"/>
      <c r="J160" s="391"/>
    </row>
    <row r="161" spans="1:10" ht="12.75" customHeight="1">
      <c r="A161" s="391"/>
      <c r="B161" s="391"/>
      <c r="C161" s="647"/>
      <c r="D161" s="308" t="s">
        <v>5434</v>
      </c>
      <c r="E161" s="647"/>
      <c r="F161" s="647"/>
      <c r="H161" s="647"/>
      <c r="I161" s="391"/>
      <c r="J161" s="391"/>
    </row>
    <row r="162" spans="1:10" ht="12.75" customHeight="1">
      <c r="A162" s="655"/>
      <c r="B162" s="633"/>
      <c r="C162" s="655"/>
      <c r="D162" s="308" t="s">
        <v>716</v>
      </c>
      <c r="E162" s="655"/>
      <c r="F162" s="647"/>
      <c r="H162" s="655"/>
      <c r="I162" s="391"/>
      <c r="J162" s="391"/>
    </row>
    <row r="163" spans="1:10" ht="12.75" customHeight="1">
      <c r="A163" s="655"/>
      <c r="B163" s="633"/>
      <c r="C163" s="655"/>
      <c r="D163" s="308" t="s">
        <v>1283</v>
      </c>
      <c r="E163" s="655"/>
      <c r="F163" s="647"/>
      <c r="H163" s="655"/>
      <c r="I163" s="391"/>
      <c r="J163" s="391"/>
    </row>
    <row r="164" spans="1:10" ht="12.75" customHeight="1">
      <c r="A164" s="655"/>
      <c r="B164" s="655"/>
      <c r="C164" s="655"/>
      <c r="D164" s="307" t="s">
        <v>3231</v>
      </c>
      <c r="E164" s="655"/>
      <c r="F164" s="647"/>
      <c r="H164" s="655"/>
      <c r="I164" s="391"/>
      <c r="J164" s="391"/>
    </row>
    <row r="165" spans="1:10" ht="12.75" customHeight="1">
      <c r="A165" s="634" t="s">
        <v>1839</v>
      </c>
      <c r="B165" s="635" t="s">
        <v>903</v>
      </c>
      <c r="C165" s="1037" t="s">
        <v>4127</v>
      </c>
      <c r="D165" s="1038"/>
      <c r="E165" s="1039"/>
      <c r="F165" s="635" t="s">
        <v>1684</v>
      </c>
      <c r="G165" s="1037" t="s">
        <v>4132</v>
      </c>
      <c r="H165" s="1038"/>
      <c r="I165" s="1039"/>
      <c r="J165" s="391"/>
    </row>
    <row r="166" spans="1:10" ht="12.75" customHeight="1">
      <c r="A166" s="636" t="s">
        <v>1620</v>
      </c>
      <c r="B166" s="637"/>
      <c r="C166" s="635" t="s">
        <v>1841</v>
      </c>
      <c r="D166" s="635" t="s">
        <v>4133</v>
      </c>
      <c r="E166" s="635" t="s">
        <v>4133</v>
      </c>
      <c r="F166" s="1056" t="s">
        <v>4200</v>
      </c>
      <c r="G166" s="1051" t="s">
        <v>4201</v>
      </c>
      <c r="H166" s="635" t="s">
        <v>1841</v>
      </c>
      <c r="I166" s="634" t="s">
        <v>4135</v>
      </c>
      <c r="J166" s="391"/>
    </row>
    <row r="167" spans="1:10" ht="12.75" customHeight="1">
      <c r="A167" s="638" t="s">
        <v>387</v>
      </c>
      <c r="B167" s="639"/>
      <c r="C167" s="638">
        <v>2015</v>
      </c>
      <c r="D167" s="638">
        <v>2016</v>
      </c>
      <c r="E167" s="638">
        <v>2017</v>
      </c>
      <c r="F167" s="1057"/>
      <c r="G167" s="1052"/>
      <c r="H167" s="638">
        <v>2014</v>
      </c>
      <c r="I167" s="638" t="s">
        <v>4303</v>
      </c>
      <c r="J167" s="391"/>
    </row>
    <row r="168" spans="1:10" ht="12.75" customHeight="1">
      <c r="A168" s="646" t="s">
        <v>3232</v>
      </c>
      <c r="B168" s="646" t="s">
        <v>1693</v>
      </c>
      <c r="C168" s="641">
        <v>2800000000</v>
      </c>
      <c r="D168" s="641">
        <v>2920320000</v>
      </c>
      <c r="E168" s="641">
        <v>2920320000</v>
      </c>
      <c r="F168" s="647">
        <f>SUM(C168:E168)</f>
        <v>8640640000</v>
      </c>
      <c r="G168" s="658">
        <v>1796552489</v>
      </c>
      <c r="H168" s="641">
        <v>2000000000</v>
      </c>
      <c r="I168" s="659" t="e">
        <f>#REF!</f>
        <v>#REF!</v>
      </c>
      <c r="J168" s="391"/>
    </row>
    <row r="169" spans="1:10" ht="12.75" customHeight="1">
      <c r="A169" s="646"/>
      <c r="B169" s="646"/>
      <c r="C169" s="641"/>
      <c r="D169" s="641"/>
      <c r="E169" s="641"/>
      <c r="F169" s="647"/>
      <c r="G169" s="641"/>
      <c r="H169" s="641"/>
      <c r="I169" s="641"/>
      <c r="J169" s="391"/>
    </row>
    <row r="170" spans="1:10" ht="12.75" customHeight="1">
      <c r="A170" s="646">
        <v>2</v>
      </c>
      <c r="B170" s="646" t="s">
        <v>1695</v>
      </c>
      <c r="C170" s="641">
        <v>2000000</v>
      </c>
      <c r="D170" s="641">
        <v>2080000</v>
      </c>
      <c r="E170" s="641">
        <v>2080000</v>
      </c>
      <c r="F170" s="647">
        <f t="shared" ref="F170:F188" si="18">SUM(C170:E170)</f>
        <v>6160000</v>
      </c>
      <c r="G170" s="641">
        <v>986146</v>
      </c>
      <c r="H170" s="641">
        <v>2121600</v>
      </c>
      <c r="I170" s="641">
        <v>315250</v>
      </c>
      <c r="J170" s="391"/>
    </row>
    <row r="171" spans="1:10" ht="12.75" customHeight="1">
      <c r="A171" s="646">
        <f t="shared" ref="A171:A187" si="19">A170+1</f>
        <v>3</v>
      </c>
      <c r="B171" s="646" t="s">
        <v>1696</v>
      </c>
      <c r="C171" s="641">
        <v>100000</v>
      </c>
      <c r="D171" s="641">
        <v>104000</v>
      </c>
      <c r="E171" s="641">
        <v>104000</v>
      </c>
      <c r="F171" s="647">
        <f t="shared" si="18"/>
        <v>308000</v>
      </c>
      <c r="G171" s="642">
        <v>0</v>
      </c>
      <c r="H171" s="641">
        <v>106080</v>
      </c>
      <c r="I171" s="642">
        <v>0</v>
      </c>
      <c r="J171" s="391"/>
    </row>
    <row r="172" spans="1:10" ht="12.75" customHeight="1">
      <c r="A172" s="646">
        <f t="shared" si="19"/>
        <v>4</v>
      </c>
      <c r="B172" s="646" t="s">
        <v>1701</v>
      </c>
      <c r="C172" s="641" t="s">
        <v>1386</v>
      </c>
      <c r="D172" s="641" t="s">
        <v>1386</v>
      </c>
      <c r="E172" s="641" t="s">
        <v>1386</v>
      </c>
      <c r="F172" s="647">
        <f t="shared" si="18"/>
        <v>0</v>
      </c>
      <c r="G172" s="642">
        <v>0</v>
      </c>
      <c r="H172" s="641" t="s">
        <v>1386</v>
      </c>
      <c r="I172" s="642" t="s">
        <v>1386</v>
      </c>
      <c r="J172" s="391"/>
    </row>
    <row r="173" spans="1:10" ht="12.75" customHeight="1">
      <c r="A173" s="646">
        <f t="shared" si="19"/>
        <v>5</v>
      </c>
      <c r="B173" s="646" t="s">
        <v>1702</v>
      </c>
      <c r="C173" s="641">
        <v>1000000</v>
      </c>
      <c r="D173" s="641">
        <v>1040000</v>
      </c>
      <c r="E173" s="641">
        <v>1040000</v>
      </c>
      <c r="F173" s="647">
        <f t="shared" si="18"/>
        <v>3080000</v>
      </c>
      <c r="G173" s="642">
        <v>650350</v>
      </c>
      <c r="H173" s="641">
        <v>1060800</v>
      </c>
      <c r="I173" s="642">
        <v>83500</v>
      </c>
      <c r="J173" s="391"/>
    </row>
    <row r="174" spans="1:10" ht="12.75" customHeight="1">
      <c r="A174" s="646">
        <f t="shared" si="19"/>
        <v>6</v>
      </c>
      <c r="B174" s="646" t="s">
        <v>1544</v>
      </c>
      <c r="C174" s="641">
        <v>500000</v>
      </c>
      <c r="D174" s="641">
        <v>520000</v>
      </c>
      <c r="E174" s="641">
        <v>520000</v>
      </c>
      <c r="F174" s="647">
        <f t="shared" si="18"/>
        <v>1540000</v>
      </c>
      <c r="G174" s="642">
        <v>159500</v>
      </c>
      <c r="H174" s="641">
        <v>530400</v>
      </c>
      <c r="I174" s="642">
        <v>62000</v>
      </c>
      <c r="J174" s="391"/>
    </row>
    <row r="175" spans="1:10" ht="12.75" customHeight="1">
      <c r="A175" s="646">
        <f t="shared" si="19"/>
        <v>7</v>
      </c>
      <c r="B175" s="646" t="s">
        <v>897</v>
      </c>
      <c r="C175" s="641">
        <v>2500000</v>
      </c>
      <c r="D175" s="641">
        <v>2912000</v>
      </c>
      <c r="E175" s="641">
        <v>2912000</v>
      </c>
      <c r="F175" s="647">
        <f t="shared" si="18"/>
        <v>8324000</v>
      </c>
      <c r="G175" s="642">
        <v>885114</v>
      </c>
      <c r="H175" s="641">
        <v>2970240</v>
      </c>
      <c r="I175" s="642">
        <v>259000</v>
      </c>
      <c r="J175" s="391"/>
    </row>
    <row r="176" spans="1:10" ht="12.75" customHeight="1">
      <c r="A176" s="646">
        <f t="shared" si="19"/>
        <v>8</v>
      </c>
      <c r="B176" s="646" t="s">
        <v>1385</v>
      </c>
      <c r="C176" s="641" t="s">
        <v>1386</v>
      </c>
      <c r="D176" s="641" t="s">
        <v>1386</v>
      </c>
      <c r="E176" s="641" t="s">
        <v>1386</v>
      </c>
      <c r="F176" s="647">
        <f t="shared" si="18"/>
        <v>0</v>
      </c>
      <c r="G176" s="642">
        <v>0</v>
      </c>
      <c r="H176" s="641" t="s">
        <v>1386</v>
      </c>
      <c r="I176" s="642" t="s">
        <v>1386</v>
      </c>
      <c r="J176" s="391"/>
    </row>
    <row r="177" spans="1:11" ht="12.75" customHeight="1">
      <c r="A177" s="646">
        <f t="shared" si="19"/>
        <v>9</v>
      </c>
      <c r="B177" s="646" t="s">
        <v>2061</v>
      </c>
      <c r="C177" s="641" t="s">
        <v>1386</v>
      </c>
      <c r="D177" s="641" t="s">
        <v>1386</v>
      </c>
      <c r="E177" s="641" t="s">
        <v>1386</v>
      </c>
      <c r="F177" s="647">
        <f t="shared" si="18"/>
        <v>0</v>
      </c>
      <c r="G177" s="642">
        <v>0</v>
      </c>
      <c r="H177" s="641" t="s">
        <v>1386</v>
      </c>
      <c r="I177" s="642" t="s">
        <v>1386</v>
      </c>
      <c r="J177" s="391"/>
    </row>
    <row r="178" spans="1:11" ht="12.75" customHeight="1">
      <c r="A178" s="646">
        <f t="shared" si="19"/>
        <v>10</v>
      </c>
      <c r="B178" s="646" t="s">
        <v>1680</v>
      </c>
      <c r="C178" s="641">
        <v>1200000</v>
      </c>
      <c r="D178" s="641">
        <v>832000</v>
      </c>
      <c r="E178" s="641">
        <v>832000</v>
      </c>
      <c r="F178" s="647">
        <f t="shared" si="18"/>
        <v>2864000</v>
      </c>
      <c r="G178" s="642">
        <v>93000</v>
      </c>
      <c r="H178" s="641">
        <v>848640</v>
      </c>
      <c r="I178" s="642">
        <v>0</v>
      </c>
      <c r="J178" s="391"/>
    </row>
    <row r="179" spans="1:11" ht="12.75" customHeight="1">
      <c r="A179" s="646">
        <f t="shared" si="19"/>
        <v>11</v>
      </c>
      <c r="B179" s="646" t="s">
        <v>1681</v>
      </c>
      <c r="C179" s="641">
        <v>100000</v>
      </c>
      <c r="D179" s="641">
        <v>100000</v>
      </c>
      <c r="E179" s="641">
        <v>100000</v>
      </c>
      <c r="F179" s="647">
        <f t="shared" si="18"/>
        <v>300000</v>
      </c>
      <c r="G179" s="642">
        <v>250824</v>
      </c>
      <c r="H179" s="641">
        <v>106080</v>
      </c>
      <c r="I179" s="642">
        <v>366000</v>
      </c>
      <c r="J179" s="391"/>
    </row>
    <row r="180" spans="1:11" ht="12.75" customHeight="1">
      <c r="A180" s="646">
        <f t="shared" si="19"/>
        <v>12</v>
      </c>
      <c r="B180" s="646" t="s">
        <v>1682</v>
      </c>
      <c r="C180" s="641">
        <v>2000000</v>
      </c>
      <c r="D180" s="641">
        <v>2080000</v>
      </c>
      <c r="E180" s="641">
        <v>2080000</v>
      </c>
      <c r="F180" s="647">
        <f t="shared" si="18"/>
        <v>6160000</v>
      </c>
      <c r="G180" s="642">
        <v>1205404</v>
      </c>
      <c r="H180" s="641">
        <v>2121600</v>
      </c>
      <c r="I180" s="642">
        <v>1563784.1</v>
      </c>
      <c r="J180" s="391"/>
    </row>
    <row r="181" spans="1:11" ht="12.75" customHeight="1">
      <c r="A181" s="646">
        <f t="shared" si="19"/>
        <v>13</v>
      </c>
      <c r="B181" s="646" t="s">
        <v>2249</v>
      </c>
      <c r="C181" s="641">
        <v>100000</v>
      </c>
      <c r="D181" s="641">
        <v>100000</v>
      </c>
      <c r="E181" s="641">
        <v>100000</v>
      </c>
      <c r="F181" s="647">
        <f t="shared" si="18"/>
        <v>300000</v>
      </c>
      <c r="G181" s="642">
        <v>0</v>
      </c>
      <c r="H181" s="641">
        <v>106080</v>
      </c>
      <c r="I181" s="642">
        <v>0</v>
      </c>
      <c r="J181" s="391"/>
    </row>
    <row r="182" spans="1:11" ht="12.75" customHeight="1">
      <c r="A182" s="646">
        <f t="shared" si="19"/>
        <v>14</v>
      </c>
      <c r="B182" s="646" t="s">
        <v>649</v>
      </c>
      <c r="C182" s="641">
        <v>1000000</v>
      </c>
      <c r="D182" s="641">
        <v>700000</v>
      </c>
      <c r="E182" s="641">
        <v>700000</v>
      </c>
      <c r="F182" s="647">
        <f t="shared" si="18"/>
        <v>2400000</v>
      </c>
      <c r="G182" s="642">
        <v>95000</v>
      </c>
      <c r="H182" s="641">
        <v>742560</v>
      </c>
      <c r="I182" s="642">
        <v>199500</v>
      </c>
      <c r="J182" s="391"/>
    </row>
    <row r="183" spans="1:11" ht="12.75" customHeight="1">
      <c r="A183" s="646">
        <f t="shared" si="19"/>
        <v>15</v>
      </c>
      <c r="B183" s="646" t="s">
        <v>3561</v>
      </c>
      <c r="C183" s="641">
        <v>3000000</v>
      </c>
      <c r="D183" s="641">
        <v>3120000</v>
      </c>
      <c r="E183" s="641">
        <v>3120000</v>
      </c>
      <c r="F183" s="647">
        <f t="shared" si="18"/>
        <v>9240000</v>
      </c>
      <c r="G183" s="642">
        <v>0</v>
      </c>
      <c r="H183" s="641">
        <v>3182400</v>
      </c>
      <c r="I183" s="642">
        <v>0</v>
      </c>
      <c r="J183" s="391"/>
    </row>
    <row r="184" spans="1:11" ht="12.75" customHeight="1">
      <c r="A184" s="646">
        <f t="shared" si="19"/>
        <v>16</v>
      </c>
      <c r="B184" s="646" t="s">
        <v>3563</v>
      </c>
      <c r="C184" s="641">
        <v>16000000</v>
      </c>
      <c r="D184" s="641">
        <v>14560000</v>
      </c>
      <c r="E184" s="641">
        <v>14560000</v>
      </c>
      <c r="F184" s="647">
        <f t="shared" si="18"/>
        <v>45120000</v>
      </c>
      <c r="G184" s="642">
        <v>6840000</v>
      </c>
      <c r="H184" s="641">
        <v>14851200</v>
      </c>
      <c r="I184" s="642">
        <v>6600000</v>
      </c>
      <c r="J184" s="391"/>
    </row>
    <row r="185" spans="1:11" ht="12.75" customHeight="1">
      <c r="A185" s="646">
        <f t="shared" si="19"/>
        <v>17</v>
      </c>
      <c r="B185" s="646" t="s">
        <v>650</v>
      </c>
      <c r="C185" s="641">
        <v>35000000</v>
      </c>
      <c r="D185" s="641">
        <v>36400000</v>
      </c>
      <c r="E185" s="641">
        <v>36400000</v>
      </c>
      <c r="F185" s="647">
        <f t="shared" si="18"/>
        <v>107800000</v>
      </c>
      <c r="G185" s="642">
        <v>0</v>
      </c>
      <c r="H185" s="641">
        <v>37128000</v>
      </c>
      <c r="I185" s="642">
        <v>0</v>
      </c>
      <c r="J185" s="391"/>
    </row>
    <row r="186" spans="1:11" ht="12.75" customHeight="1">
      <c r="A186" s="646">
        <f t="shared" si="19"/>
        <v>18</v>
      </c>
      <c r="B186" s="646" t="s">
        <v>651</v>
      </c>
      <c r="C186" s="641">
        <v>5000000</v>
      </c>
      <c r="D186" s="641">
        <v>5200000</v>
      </c>
      <c r="E186" s="641">
        <v>5200000</v>
      </c>
      <c r="F186" s="647">
        <f t="shared" si="18"/>
        <v>15400000</v>
      </c>
      <c r="G186" s="642">
        <v>0</v>
      </c>
      <c r="H186" s="641">
        <v>5304000</v>
      </c>
      <c r="I186" s="642">
        <v>0</v>
      </c>
      <c r="J186" s="391"/>
    </row>
    <row r="187" spans="1:11" ht="12.75" customHeight="1">
      <c r="A187" s="646">
        <f t="shared" si="19"/>
        <v>19</v>
      </c>
      <c r="B187" s="646" t="s">
        <v>652</v>
      </c>
      <c r="C187" s="641">
        <v>10000000</v>
      </c>
      <c r="D187" s="641">
        <v>10400000</v>
      </c>
      <c r="E187" s="641">
        <v>10400000</v>
      </c>
      <c r="F187" s="647">
        <f t="shared" si="18"/>
        <v>30800000</v>
      </c>
      <c r="G187" s="642">
        <v>0</v>
      </c>
      <c r="H187" s="641">
        <f>10608000-1603680</f>
        <v>9004320</v>
      </c>
      <c r="I187" s="642">
        <v>0</v>
      </c>
      <c r="J187" s="391"/>
    </row>
    <row r="188" spans="1:11" ht="12.75" customHeight="1">
      <c r="A188" s="646"/>
      <c r="B188" s="646"/>
      <c r="C188" s="641">
        <f>E188*1.02</f>
        <v>0</v>
      </c>
      <c r="D188" s="641">
        <v>0</v>
      </c>
      <c r="E188" s="641">
        <v>0</v>
      </c>
      <c r="F188" s="647">
        <f t="shared" si="18"/>
        <v>0</v>
      </c>
      <c r="G188" s="642"/>
      <c r="H188" s="641">
        <v>0</v>
      </c>
      <c r="I188" s="642"/>
      <c r="J188" s="391"/>
    </row>
    <row r="189" spans="1:11" ht="12.75" customHeight="1">
      <c r="A189" s="646"/>
      <c r="B189" s="646"/>
      <c r="C189" s="641"/>
      <c r="D189" s="641"/>
      <c r="E189" s="641"/>
      <c r="F189" s="647"/>
      <c r="G189" s="642"/>
      <c r="H189" s="641"/>
      <c r="I189" s="642"/>
      <c r="J189" s="391"/>
    </row>
    <row r="190" spans="1:11" ht="12.75" customHeight="1">
      <c r="A190" s="646" t="s">
        <v>3564</v>
      </c>
      <c r="B190" s="651" t="s">
        <v>819</v>
      </c>
      <c r="C190" s="652">
        <f t="shared" ref="C190:I190" si="20">SUM(C170:C189)</f>
        <v>79500000</v>
      </c>
      <c r="D190" s="652">
        <f t="shared" si="20"/>
        <v>80148000</v>
      </c>
      <c r="E190" s="652">
        <f t="shared" si="20"/>
        <v>80148000</v>
      </c>
      <c r="F190" s="652">
        <f t="shared" si="20"/>
        <v>239796000</v>
      </c>
      <c r="G190" s="652">
        <f t="shared" si="20"/>
        <v>11165338</v>
      </c>
      <c r="H190" s="652">
        <f>SUM(H170:H189)</f>
        <v>80184000</v>
      </c>
      <c r="I190" s="652">
        <f t="shared" si="20"/>
        <v>9449034.0999999996</v>
      </c>
      <c r="J190" s="391"/>
      <c r="K190" s="657">
        <f>80184000-H190</f>
        <v>0</v>
      </c>
    </row>
    <row r="191" spans="1:11" ht="12.75" customHeight="1">
      <c r="A191" s="646"/>
      <c r="B191" s="646"/>
      <c r="C191" s="641"/>
      <c r="D191" s="641"/>
      <c r="E191" s="641"/>
      <c r="F191" s="647"/>
      <c r="G191" s="641"/>
      <c r="H191" s="641"/>
      <c r="I191" s="391"/>
      <c r="J191" s="391"/>
    </row>
    <row r="192" spans="1:11" ht="12.75" customHeight="1">
      <c r="A192" s="653"/>
      <c r="B192" s="653" t="s">
        <v>1684</v>
      </c>
      <c r="C192" s="645">
        <f t="shared" ref="C192:I192" si="21">+C190+C168</f>
        <v>2879500000</v>
      </c>
      <c r="D192" s="645">
        <f t="shared" si="21"/>
        <v>3000468000</v>
      </c>
      <c r="E192" s="645">
        <f t="shared" si="21"/>
        <v>3000468000</v>
      </c>
      <c r="F192" s="645">
        <f t="shared" si="21"/>
        <v>8880436000</v>
      </c>
      <c r="G192" s="660">
        <f t="shared" si="21"/>
        <v>1807717827</v>
      </c>
      <c r="H192" s="645">
        <f>+H190+H168</f>
        <v>2080184000</v>
      </c>
      <c r="I192" s="645" t="e">
        <f t="shared" si="21"/>
        <v>#REF!</v>
      </c>
      <c r="J192" s="391"/>
    </row>
    <row r="193" spans="1:10" ht="12.75" customHeight="1">
      <c r="A193" s="391"/>
      <c r="B193" s="391"/>
      <c r="C193" s="647"/>
      <c r="D193" s="647"/>
      <c r="E193" s="647"/>
      <c r="F193" s="647"/>
      <c r="G193" s="647"/>
      <c r="H193" s="647"/>
      <c r="I193" s="391"/>
      <c r="J193" s="391"/>
    </row>
    <row r="194" spans="1:10" ht="12.75" customHeight="1">
      <c r="A194" s="391"/>
      <c r="B194" s="391"/>
      <c r="C194" s="647"/>
      <c r="D194" s="647"/>
      <c r="E194" s="647"/>
      <c r="F194" s="647"/>
      <c r="G194" s="647"/>
      <c r="H194" s="647"/>
      <c r="I194" s="391"/>
      <c r="J194" s="391"/>
    </row>
    <row r="195" spans="1:10" ht="12.75">
      <c r="A195" s="391"/>
      <c r="B195" s="391"/>
      <c r="C195" s="647"/>
      <c r="D195" s="308" t="s">
        <v>5434</v>
      </c>
      <c r="E195" s="647"/>
      <c r="F195" s="647"/>
      <c r="H195" s="647"/>
      <c r="I195" s="391"/>
      <c r="J195" s="391"/>
    </row>
    <row r="196" spans="1:10" ht="12.75">
      <c r="A196" s="655"/>
      <c r="B196" s="633"/>
      <c r="C196" s="655"/>
      <c r="D196" s="308" t="s">
        <v>716</v>
      </c>
      <c r="E196" s="655"/>
      <c r="F196" s="647"/>
      <c r="H196" s="655"/>
      <c r="I196" s="391"/>
      <c r="J196" s="391"/>
    </row>
    <row r="197" spans="1:10" ht="12.75">
      <c r="A197" s="655"/>
      <c r="B197" s="633"/>
      <c r="C197" s="655"/>
      <c r="D197" s="308" t="s">
        <v>4052</v>
      </c>
      <c r="E197" s="655"/>
      <c r="F197" s="647"/>
      <c r="H197" s="655"/>
      <c r="I197" s="391"/>
      <c r="J197" s="391"/>
    </row>
    <row r="198" spans="1:10" ht="12.75">
      <c r="A198" s="655"/>
      <c r="B198" s="655"/>
      <c r="C198" s="655"/>
      <c r="D198" s="307" t="s">
        <v>3565</v>
      </c>
      <c r="E198" s="655"/>
      <c r="F198" s="647"/>
      <c r="H198" s="655"/>
      <c r="I198" s="391"/>
      <c r="J198" s="391"/>
    </row>
    <row r="199" spans="1:10" ht="15">
      <c r="A199" s="634" t="s">
        <v>1839</v>
      </c>
      <c r="B199" s="635" t="s">
        <v>903</v>
      </c>
      <c r="C199" s="1037" t="s">
        <v>4127</v>
      </c>
      <c r="D199" s="1038"/>
      <c r="E199" s="1039"/>
      <c r="F199" s="635" t="s">
        <v>1684</v>
      </c>
      <c r="G199" s="1037" t="s">
        <v>4132</v>
      </c>
      <c r="H199" s="1038"/>
      <c r="I199" s="1039"/>
      <c r="J199" s="391"/>
    </row>
    <row r="200" spans="1:10" ht="12.75">
      <c r="A200" s="636" t="s">
        <v>1620</v>
      </c>
      <c r="B200" s="637"/>
      <c r="C200" s="635" t="s">
        <v>1841</v>
      </c>
      <c r="D200" s="635" t="s">
        <v>4133</v>
      </c>
      <c r="E200" s="635" t="s">
        <v>4133</v>
      </c>
      <c r="F200" s="1056" t="s">
        <v>4200</v>
      </c>
      <c r="G200" s="1051" t="s">
        <v>4201</v>
      </c>
      <c r="H200" s="635" t="s">
        <v>1841</v>
      </c>
      <c r="I200" s="634" t="s">
        <v>4135</v>
      </c>
      <c r="J200" s="391"/>
    </row>
    <row r="201" spans="1:10" ht="12.75" customHeight="1">
      <c r="A201" s="638" t="s">
        <v>387</v>
      </c>
      <c r="B201" s="639"/>
      <c r="C201" s="638">
        <v>2015</v>
      </c>
      <c r="D201" s="638">
        <v>2016</v>
      </c>
      <c r="E201" s="638">
        <v>2017</v>
      </c>
      <c r="F201" s="1057"/>
      <c r="G201" s="1052"/>
      <c r="H201" s="638">
        <v>2014</v>
      </c>
      <c r="I201" s="638" t="s">
        <v>4303</v>
      </c>
      <c r="J201" s="391"/>
    </row>
    <row r="202" spans="1:10" ht="12.75">
      <c r="A202" s="646" t="s">
        <v>3566</v>
      </c>
      <c r="B202" s="646" t="s">
        <v>1693</v>
      </c>
      <c r="C202" s="641">
        <v>99118533.200000003</v>
      </c>
      <c r="D202" s="641">
        <v>81120000</v>
      </c>
      <c r="E202" s="641">
        <v>81120000</v>
      </c>
      <c r="F202" s="647">
        <f>SUM(C202:E202)</f>
        <v>261358533.19999999</v>
      </c>
      <c r="G202" s="641"/>
      <c r="H202" s="641">
        <v>81120000</v>
      </c>
      <c r="I202" s="641" t="e">
        <f>#REF!</f>
        <v>#REF!</v>
      </c>
      <c r="J202" s="391"/>
    </row>
    <row r="203" spans="1:10" ht="12.75">
      <c r="A203" s="646"/>
      <c r="B203" s="646"/>
      <c r="C203" s="641"/>
      <c r="D203" s="641"/>
      <c r="E203" s="641"/>
      <c r="F203" s="647"/>
      <c r="G203" s="641"/>
      <c r="H203" s="641"/>
      <c r="I203" s="641"/>
      <c r="J203" s="391"/>
    </row>
    <row r="204" spans="1:10" ht="12.75">
      <c r="A204" s="646">
        <v>2</v>
      </c>
      <c r="B204" s="646" t="s">
        <v>1695</v>
      </c>
      <c r="C204" s="641">
        <v>2500000</v>
      </c>
      <c r="D204" s="641">
        <v>2600000</v>
      </c>
      <c r="E204" s="641">
        <v>2600000</v>
      </c>
      <c r="F204" s="647">
        <f t="shared" ref="F204:F222" si="22">SUM(C204:E204)</f>
        <v>7700000</v>
      </c>
      <c r="G204" s="641"/>
      <c r="H204" s="641">
        <v>2652000</v>
      </c>
      <c r="I204" s="641">
        <v>321200</v>
      </c>
      <c r="J204" s="391"/>
    </row>
    <row r="205" spans="1:10" ht="12.75">
      <c r="A205" s="646">
        <f t="shared" ref="A205:A224" si="23">A204+1</f>
        <v>3</v>
      </c>
      <c r="B205" s="646" t="s">
        <v>1696</v>
      </c>
      <c r="C205" s="641">
        <v>500000</v>
      </c>
      <c r="D205" s="641">
        <v>520000</v>
      </c>
      <c r="E205" s="641">
        <v>520000</v>
      </c>
      <c r="F205" s="647">
        <f t="shared" si="22"/>
        <v>1540000</v>
      </c>
      <c r="G205" s="642"/>
      <c r="H205" s="641">
        <v>530400</v>
      </c>
      <c r="I205" s="641">
        <v>0</v>
      </c>
      <c r="J205" s="391"/>
    </row>
    <row r="206" spans="1:10" ht="12.75">
      <c r="A206" s="646">
        <f t="shared" si="23"/>
        <v>4</v>
      </c>
      <c r="B206" s="646" t="s">
        <v>1701</v>
      </c>
      <c r="C206" s="641" t="s">
        <v>1386</v>
      </c>
      <c r="D206" s="641" t="s">
        <v>1386</v>
      </c>
      <c r="E206" s="641" t="s">
        <v>1386</v>
      </c>
      <c r="F206" s="647">
        <f t="shared" si="22"/>
        <v>0</v>
      </c>
      <c r="G206" s="642"/>
      <c r="H206" s="641" t="s">
        <v>1386</v>
      </c>
      <c r="I206" s="641">
        <v>0</v>
      </c>
      <c r="J206" s="391"/>
    </row>
    <row r="207" spans="1:10" ht="12.75">
      <c r="A207" s="646">
        <f t="shared" si="23"/>
        <v>5</v>
      </c>
      <c r="B207" s="646" t="s">
        <v>1702</v>
      </c>
      <c r="C207" s="641">
        <v>1000000</v>
      </c>
      <c r="D207" s="641">
        <v>1040000</v>
      </c>
      <c r="E207" s="641">
        <v>1040000</v>
      </c>
      <c r="F207" s="647">
        <f t="shared" si="22"/>
        <v>3080000</v>
      </c>
      <c r="G207" s="642"/>
      <c r="H207" s="641">
        <v>1060800</v>
      </c>
      <c r="I207" s="641">
        <v>309000</v>
      </c>
      <c r="J207" s="391"/>
    </row>
    <row r="208" spans="1:10" ht="12.75">
      <c r="A208" s="646">
        <f t="shared" si="23"/>
        <v>6</v>
      </c>
      <c r="B208" s="646" t="s">
        <v>1544</v>
      </c>
      <c r="C208" s="641">
        <v>1000000</v>
      </c>
      <c r="D208" s="641">
        <v>1560000</v>
      </c>
      <c r="E208" s="641">
        <v>1560000</v>
      </c>
      <c r="F208" s="647">
        <f t="shared" si="22"/>
        <v>4120000</v>
      </c>
      <c r="G208" s="642"/>
      <c r="H208" s="641">
        <v>1591200</v>
      </c>
      <c r="I208" s="641">
        <v>456800</v>
      </c>
      <c r="J208" s="391"/>
    </row>
    <row r="209" spans="1:10" ht="12.75">
      <c r="A209" s="646">
        <f t="shared" si="23"/>
        <v>7</v>
      </c>
      <c r="B209" s="646" t="s">
        <v>897</v>
      </c>
      <c r="C209" s="641">
        <v>3000000</v>
      </c>
      <c r="D209" s="641">
        <v>3120000</v>
      </c>
      <c r="E209" s="641">
        <v>3120000</v>
      </c>
      <c r="F209" s="647">
        <f t="shared" si="22"/>
        <v>9240000</v>
      </c>
      <c r="G209" s="642"/>
      <c r="H209" s="641">
        <v>3182400</v>
      </c>
      <c r="I209" s="641">
        <v>2041140</v>
      </c>
      <c r="J209" s="391"/>
    </row>
    <row r="210" spans="1:10" ht="12.75">
      <c r="A210" s="646">
        <f t="shared" si="23"/>
        <v>8</v>
      </c>
      <c r="B210" s="646" t="s">
        <v>1385</v>
      </c>
      <c r="C210" s="641" t="s">
        <v>1386</v>
      </c>
      <c r="D210" s="641" t="s">
        <v>1386</v>
      </c>
      <c r="E210" s="641" t="s">
        <v>1386</v>
      </c>
      <c r="F210" s="647">
        <f t="shared" si="22"/>
        <v>0</v>
      </c>
      <c r="G210" s="642"/>
      <c r="H210" s="641" t="s">
        <v>1386</v>
      </c>
      <c r="I210" s="641">
        <v>0</v>
      </c>
      <c r="J210" s="391"/>
    </row>
    <row r="211" spans="1:10" ht="12.75">
      <c r="A211" s="646">
        <f t="shared" si="23"/>
        <v>9</v>
      </c>
      <c r="B211" s="646" t="s">
        <v>2061</v>
      </c>
      <c r="C211" s="641" t="s">
        <v>1386</v>
      </c>
      <c r="D211" s="641" t="s">
        <v>1386</v>
      </c>
      <c r="E211" s="641" t="s">
        <v>1386</v>
      </c>
      <c r="F211" s="647">
        <f t="shared" si="22"/>
        <v>0</v>
      </c>
      <c r="G211" s="642"/>
      <c r="H211" s="641" t="s">
        <v>1386</v>
      </c>
      <c r="I211" s="641">
        <v>0</v>
      </c>
      <c r="J211" s="391"/>
    </row>
    <row r="212" spans="1:10" ht="12.75">
      <c r="A212" s="646">
        <f t="shared" si="23"/>
        <v>10</v>
      </c>
      <c r="B212" s="646" t="s">
        <v>1680</v>
      </c>
      <c r="C212" s="641">
        <v>1000000</v>
      </c>
      <c r="D212" s="641">
        <v>1040000</v>
      </c>
      <c r="E212" s="641">
        <v>1040000</v>
      </c>
      <c r="F212" s="647">
        <f t="shared" si="22"/>
        <v>3080000</v>
      </c>
      <c r="G212" s="642"/>
      <c r="H212" s="641">
        <v>1060800</v>
      </c>
      <c r="I212" s="641">
        <v>245000</v>
      </c>
      <c r="J212" s="391"/>
    </row>
    <row r="213" spans="1:10" ht="12.75">
      <c r="A213" s="646">
        <f t="shared" si="23"/>
        <v>11</v>
      </c>
      <c r="B213" s="646" t="s">
        <v>1681</v>
      </c>
      <c r="C213" s="641">
        <v>100000</v>
      </c>
      <c r="D213" s="641">
        <v>104000</v>
      </c>
      <c r="E213" s="641">
        <v>104000</v>
      </c>
      <c r="F213" s="647">
        <f t="shared" si="22"/>
        <v>308000</v>
      </c>
      <c r="G213" s="642"/>
      <c r="H213" s="641">
        <v>106080</v>
      </c>
      <c r="I213" s="641">
        <v>0</v>
      </c>
      <c r="J213" s="391"/>
    </row>
    <row r="214" spans="1:10" ht="12.75">
      <c r="A214" s="646">
        <f t="shared" si="23"/>
        <v>12</v>
      </c>
      <c r="B214" s="646" t="s">
        <v>1682</v>
      </c>
      <c r="C214" s="641">
        <v>40000000</v>
      </c>
      <c r="D214" s="641">
        <v>26000000</v>
      </c>
      <c r="E214" s="641">
        <v>26000000</v>
      </c>
      <c r="F214" s="647">
        <f t="shared" si="22"/>
        <v>92000000</v>
      </c>
      <c r="G214" s="661"/>
      <c r="H214" s="641">
        <v>26520000</v>
      </c>
      <c r="I214" s="641">
        <v>18290541</v>
      </c>
      <c r="J214" s="391"/>
    </row>
    <row r="215" spans="1:10" ht="12.75">
      <c r="A215" s="646">
        <f t="shared" si="23"/>
        <v>13</v>
      </c>
      <c r="B215" s="646" t="s">
        <v>2249</v>
      </c>
      <c r="C215" s="641">
        <v>100000</v>
      </c>
      <c r="D215" s="641">
        <v>104000</v>
      </c>
      <c r="E215" s="641">
        <v>104000</v>
      </c>
      <c r="F215" s="647">
        <f t="shared" si="22"/>
        <v>308000</v>
      </c>
      <c r="G215" s="642"/>
      <c r="H215" s="641">
        <v>106080</v>
      </c>
      <c r="I215" s="641">
        <v>0</v>
      </c>
      <c r="J215" s="391"/>
    </row>
    <row r="216" spans="1:10" ht="12.75">
      <c r="A216" s="646">
        <f t="shared" si="23"/>
        <v>14</v>
      </c>
      <c r="B216" s="646" t="s">
        <v>3569</v>
      </c>
      <c r="C216" s="641">
        <v>1000000</v>
      </c>
      <c r="D216" s="641">
        <v>832000</v>
      </c>
      <c r="E216" s="641">
        <v>832000</v>
      </c>
      <c r="F216" s="647">
        <f t="shared" si="22"/>
        <v>2664000</v>
      </c>
      <c r="G216" s="642"/>
      <c r="H216" s="641">
        <v>848640</v>
      </c>
      <c r="I216" s="641">
        <v>590000</v>
      </c>
      <c r="J216" s="391"/>
    </row>
    <row r="217" spans="1:10" ht="12.75">
      <c r="A217" s="646">
        <f t="shared" si="23"/>
        <v>15</v>
      </c>
      <c r="B217" s="646" t="s">
        <v>3567</v>
      </c>
      <c r="C217" s="641">
        <v>70000000</v>
      </c>
      <c r="D217" s="641">
        <v>93600000</v>
      </c>
      <c r="E217" s="641">
        <v>93600000</v>
      </c>
      <c r="F217" s="647">
        <f t="shared" si="22"/>
        <v>257200000</v>
      </c>
      <c r="G217" s="642"/>
      <c r="H217" s="641">
        <v>94472000</v>
      </c>
      <c r="I217" s="641">
        <v>45586800</v>
      </c>
      <c r="J217" s="391"/>
    </row>
    <row r="218" spans="1:10" ht="12.75">
      <c r="A218" s="646">
        <f t="shared" si="23"/>
        <v>16</v>
      </c>
      <c r="B218" s="646" t="s">
        <v>3568</v>
      </c>
      <c r="C218" s="656" t="s">
        <v>1386</v>
      </c>
      <c r="D218" s="656" t="s">
        <v>1386</v>
      </c>
      <c r="E218" s="656" t="s">
        <v>1386</v>
      </c>
      <c r="F218" s="647">
        <f t="shared" si="22"/>
        <v>0</v>
      </c>
      <c r="G218" s="642"/>
      <c r="H218" s="641">
        <v>1000000</v>
      </c>
      <c r="I218" s="641">
        <v>0</v>
      </c>
      <c r="J218" s="391"/>
    </row>
    <row r="219" spans="1:10" ht="12.75">
      <c r="A219" s="646">
        <f t="shared" si="23"/>
        <v>17</v>
      </c>
      <c r="B219" s="646" t="s">
        <v>3570</v>
      </c>
      <c r="C219" s="641">
        <v>5000000</v>
      </c>
      <c r="D219" s="641">
        <v>6240000</v>
      </c>
      <c r="E219" s="641">
        <v>6240000</v>
      </c>
      <c r="F219" s="647">
        <f t="shared" si="22"/>
        <v>17480000</v>
      </c>
      <c r="G219" s="642"/>
      <c r="H219" s="641">
        <v>6364800</v>
      </c>
      <c r="I219" s="641">
        <v>6374600</v>
      </c>
      <c r="J219" s="391"/>
    </row>
    <row r="220" spans="1:10" ht="12.75">
      <c r="A220" s="646">
        <f t="shared" si="23"/>
        <v>18</v>
      </c>
      <c r="B220" s="646" t="s">
        <v>653</v>
      </c>
      <c r="C220" s="641">
        <v>3000000</v>
      </c>
      <c r="D220" s="641">
        <v>3120000</v>
      </c>
      <c r="E220" s="641">
        <v>3120000</v>
      </c>
      <c r="F220" s="647">
        <f t="shared" si="22"/>
        <v>9240000</v>
      </c>
      <c r="G220" s="642"/>
      <c r="H220" s="641">
        <v>3182400</v>
      </c>
      <c r="I220" s="641">
        <v>3328330</v>
      </c>
      <c r="J220" s="391"/>
    </row>
    <row r="221" spans="1:10" ht="12.75">
      <c r="A221" s="646">
        <f t="shared" si="23"/>
        <v>19</v>
      </c>
      <c r="B221" s="646" t="s">
        <v>353</v>
      </c>
      <c r="C221" s="641">
        <v>10000000</v>
      </c>
      <c r="D221" s="641">
        <v>10400000</v>
      </c>
      <c r="E221" s="641">
        <v>10400000</v>
      </c>
      <c r="F221" s="647">
        <f t="shared" si="22"/>
        <v>30800000</v>
      </c>
      <c r="G221" s="642"/>
      <c r="H221" s="641">
        <f>10608000-3057600</f>
        <v>7550400</v>
      </c>
      <c r="I221" s="641">
        <v>2779000</v>
      </c>
      <c r="J221" s="391"/>
    </row>
    <row r="222" spans="1:10" ht="12.75">
      <c r="A222" s="646">
        <f t="shared" si="23"/>
        <v>20</v>
      </c>
      <c r="B222" s="646" t="s">
        <v>3245</v>
      </c>
      <c r="C222" s="641">
        <v>5000000</v>
      </c>
      <c r="D222" s="641">
        <v>2600000</v>
      </c>
      <c r="E222" s="641">
        <v>2600000</v>
      </c>
      <c r="F222" s="647">
        <f t="shared" si="22"/>
        <v>10200000</v>
      </c>
      <c r="G222" s="642"/>
      <c r="H222" s="641">
        <v>2652000</v>
      </c>
      <c r="I222" s="641">
        <v>2789750</v>
      </c>
      <c r="J222" s="391"/>
    </row>
    <row r="223" spans="1:10" ht="12.75">
      <c r="A223" s="646">
        <f t="shared" si="23"/>
        <v>21</v>
      </c>
      <c r="B223" s="646" t="s">
        <v>4211</v>
      </c>
      <c r="C223" s="641" t="s">
        <v>1386</v>
      </c>
      <c r="D223" s="641"/>
      <c r="E223" s="641"/>
      <c r="F223" s="647"/>
      <c r="G223" s="642"/>
      <c r="H223" s="641"/>
      <c r="I223" s="641">
        <v>0</v>
      </c>
      <c r="J223" s="391"/>
    </row>
    <row r="224" spans="1:10" ht="12.75">
      <c r="A224" s="646">
        <f t="shared" si="23"/>
        <v>22</v>
      </c>
      <c r="B224" s="646" t="s">
        <v>4212</v>
      </c>
      <c r="C224" s="641">
        <v>5000000</v>
      </c>
      <c r="D224" s="641"/>
      <c r="E224" s="641"/>
      <c r="F224" s="647"/>
      <c r="G224" s="642"/>
      <c r="H224" s="641"/>
      <c r="I224" s="641">
        <v>0</v>
      </c>
      <c r="J224" s="391"/>
    </row>
    <row r="225" spans="1:11" ht="12.75">
      <c r="A225" s="646"/>
      <c r="B225" s="646"/>
      <c r="C225" s="641"/>
      <c r="D225" s="641"/>
      <c r="E225" s="641"/>
      <c r="F225" s="647"/>
      <c r="G225" s="641"/>
      <c r="H225" s="641"/>
      <c r="I225" s="641">
        <v>0</v>
      </c>
      <c r="J225" s="391"/>
    </row>
    <row r="226" spans="1:11" ht="12.75">
      <c r="A226" s="646" t="s">
        <v>354</v>
      </c>
      <c r="B226" s="651" t="s">
        <v>819</v>
      </c>
      <c r="C226" s="652">
        <f t="shared" ref="C226:I226" si="24">SUM(C204:C225)</f>
        <v>148200000</v>
      </c>
      <c r="D226" s="652">
        <f t="shared" si="24"/>
        <v>152880000</v>
      </c>
      <c r="E226" s="652">
        <f t="shared" si="24"/>
        <v>152880000</v>
      </c>
      <c r="F226" s="652">
        <f t="shared" si="24"/>
        <v>448960000</v>
      </c>
      <c r="G226" s="652">
        <f t="shared" si="24"/>
        <v>0</v>
      </c>
      <c r="H226" s="652">
        <f t="shared" si="24"/>
        <v>152880000</v>
      </c>
      <c r="I226" s="652">
        <f t="shared" si="24"/>
        <v>83112161</v>
      </c>
      <c r="J226" s="391"/>
      <c r="K226" s="657">
        <f>152880000-H226</f>
        <v>0</v>
      </c>
    </row>
    <row r="227" spans="1:11" ht="12.75">
      <c r="A227" s="646"/>
      <c r="B227" s="646"/>
      <c r="C227" s="641"/>
      <c r="D227" s="641"/>
      <c r="E227" s="641"/>
      <c r="F227" s="647"/>
      <c r="G227" s="641"/>
      <c r="H227" s="641"/>
      <c r="I227" s="641"/>
      <c r="J227" s="391"/>
    </row>
    <row r="228" spans="1:11" ht="12.75">
      <c r="A228" s="653"/>
      <c r="B228" s="653" t="s">
        <v>1684</v>
      </c>
      <c r="C228" s="645">
        <f t="shared" ref="C228:I228" si="25">+C226+C202</f>
        <v>247318533.19999999</v>
      </c>
      <c r="D228" s="645">
        <f t="shared" si="25"/>
        <v>234000000</v>
      </c>
      <c r="E228" s="645">
        <f t="shared" si="25"/>
        <v>234000000</v>
      </c>
      <c r="F228" s="645">
        <f t="shared" si="25"/>
        <v>710318533.20000005</v>
      </c>
      <c r="G228" s="645">
        <f t="shared" si="25"/>
        <v>0</v>
      </c>
      <c r="H228" s="645">
        <f t="shared" si="25"/>
        <v>234000000</v>
      </c>
      <c r="I228" s="645" t="e">
        <f t="shared" si="25"/>
        <v>#REF!</v>
      </c>
      <c r="J228" s="391"/>
    </row>
    <row r="229" spans="1:11" ht="12.75">
      <c r="A229" s="391"/>
      <c r="B229" s="391"/>
      <c r="C229" s="647"/>
      <c r="D229" s="647"/>
      <c r="E229" s="647"/>
      <c r="F229" s="647"/>
      <c r="G229" s="647"/>
      <c r="H229" s="647"/>
      <c r="I229" s="391"/>
      <c r="J229" s="391"/>
    </row>
    <row r="230" spans="1:11" ht="12.75">
      <c r="A230" s="391"/>
      <c r="B230" s="391"/>
      <c r="C230" s="647"/>
      <c r="D230" s="308" t="s">
        <v>5434</v>
      </c>
      <c r="E230" s="647"/>
      <c r="F230" s="647"/>
      <c r="H230" s="647"/>
      <c r="I230" s="391"/>
      <c r="J230" s="391"/>
    </row>
    <row r="231" spans="1:11" ht="12.75">
      <c r="A231" s="655"/>
      <c r="B231" s="633"/>
      <c r="C231" s="655"/>
      <c r="D231" s="308" t="s">
        <v>716</v>
      </c>
      <c r="E231" s="655"/>
      <c r="F231" s="647"/>
      <c r="H231" s="655"/>
      <c r="I231" s="391"/>
      <c r="J231" s="391"/>
    </row>
    <row r="232" spans="1:11" ht="12.75">
      <c r="A232" s="655"/>
      <c r="B232" s="633"/>
      <c r="C232" s="655"/>
      <c r="D232" s="308" t="s">
        <v>1284</v>
      </c>
      <c r="E232" s="655"/>
      <c r="F232" s="647"/>
      <c r="H232" s="655"/>
      <c r="I232" s="391"/>
      <c r="J232" s="391"/>
    </row>
    <row r="233" spans="1:11" ht="12.75">
      <c r="A233" s="655"/>
      <c r="B233" s="655"/>
      <c r="C233" s="655"/>
      <c r="D233" s="307" t="s">
        <v>355</v>
      </c>
      <c r="E233" s="655"/>
      <c r="F233" s="647"/>
      <c r="H233" s="655"/>
      <c r="I233" s="391"/>
      <c r="J233" s="391"/>
    </row>
    <row r="234" spans="1:11" ht="15">
      <c r="A234" s="634" t="s">
        <v>1839</v>
      </c>
      <c r="B234" s="635" t="s">
        <v>903</v>
      </c>
      <c r="C234" s="1037" t="s">
        <v>4127</v>
      </c>
      <c r="D234" s="1038"/>
      <c r="E234" s="1039"/>
      <c r="F234" s="635" t="s">
        <v>1684</v>
      </c>
      <c r="G234" s="1037" t="s">
        <v>4132</v>
      </c>
      <c r="H234" s="1038"/>
      <c r="I234" s="1039"/>
      <c r="J234" s="391"/>
    </row>
    <row r="235" spans="1:11" ht="12.75">
      <c r="A235" s="636" t="s">
        <v>1620</v>
      </c>
      <c r="B235" s="637"/>
      <c r="C235" s="635" t="s">
        <v>1841</v>
      </c>
      <c r="D235" s="635" t="s">
        <v>4133</v>
      </c>
      <c r="E235" s="635" t="s">
        <v>4133</v>
      </c>
      <c r="F235" s="1056" t="s">
        <v>4200</v>
      </c>
      <c r="G235" s="1051" t="s">
        <v>4201</v>
      </c>
      <c r="H235" s="635" t="s">
        <v>1841</v>
      </c>
      <c r="I235" s="634" t="s">
        <v>4135</v>
      </c>
      <c r="J235" s="391"/>
    </row>
    <row r="236" spans="1:11" ht="12.75" customHeight="1">
      <c r="A236" s="638" t="s">
        <v>387</v>
      </c>
      <c r="B236" s="639"/>
      <c r="C236" s="638">
        <v>2015</v>
      </c>
      <c r="D236" s="638">
        <v>2016</v>
      </c>
      <c r="E236" s="638">
        <v>2017</v>
      </c>
      <c r="F236" s="1057"/>
      <c r="G236" s="1052"/>
      <c r="H236" s="638">
        <v>2014</v>
      </c>
      <c r="I236" s="638" t="s">
        <v>4303</v>
      </c>
      <c r="J236" s="391"/>
    </row>
    <row r="237" spans="1:11" ht="12.75">
      <c r="A237" s="646" t="s">
        <v>356</v>
      </c>
      <c r="B237" s="646" t="s">
        <v>1693</v>
      </c>
      <c r="C237" s="641">
        <v>157993618.90000001</v>
      </c>
      <c r="D237" s="641">
        <v>140608000</v>
      </c>
      <c r="E237" s="641">
        <v>140608000</v>
      </c>
      <c r="F237" s="647">
        <f>SUM(C237:E237)</f>
        <v>439209618.89999998</v>
      </c>
      <c r="G237" s="641">
        <v>93585336</v>
      </c>
      <c r="H237" s="641">
        <v>120872052</v>
      </c>
      <c r="I237" s="641" t="e">
        <f>#REF!</f>
        <v>#REF!</v>
      </c>
      <c r="J237" s="391"/>
    </row>
    <row r="238" spans="1:11" ht="12.75">
      <c r="A238" s="646"/>
      <c r="B238" s="646"/>
      <c r="C238" s="662"/>
      <c r="D238" s="662"/>
      <c r="E238" s="662"/>
      <c r="F238" s="647"/>
      <c r="G238" s="641"/>
      <c r="H238" s="662"/>
      <c r="I238" s="641">
        <v>0</v>
      </c>
      <c r="J238" s="391"/>
    </row>
    <row r="239" spans="1:11" ht="12.75">
      <c r="A239" s="646">
        <v>2</v>
      </c>
      <c r="B239" s="646" t="s">
        <v>1695</v>
      </c>
      <c r="C239" s="641">
        <v>1200000</v>
      </c>
      <c r="D239" s="641">
        <v>1040000</v>
      </c>
      <c r="E239" s="641">
        <v>1040000</v>
      </c>
      <c r="F239" s="647">
        <f t="shared" ref="F239:F257" si="26">SUM(C239:E239)</f>
        <v>3280000</v>
      </c>
      <c r="G239" s="641">
        <v>100000</v>
      </c>
      <c r="H239" s="641">
        <v>1060800</v>
      </c>
      <c r="I239" s="641">
        <v>160000</v>
      </c>
      <c r="J239" s="391"/>
    </row>
    <row r="240" spans="1:11" ht="12.75">
      <c r="A240" s="646">
        <f t="shared" ref="A240:A257" si="27">A239+1</f>
        <v>3</v>
      </c>
      <c r="B240" s="646" t="s">
        <v>1696</v>
      </c>
      <c r="C240" s="641">
        <v>200000</v>
      </c>
      <c r="D240" s="641">
        <v>104000</v>
      </c>
      <c r="E240" s="641">
        <v>104000</v>
      </c>
      <c r="F240" s="647">
        <f t="shared" si="26"/>
        <v>408000</v>
      </c>
      <c r="G240" s="641">
        <v>80020</v>
      </c>
      <c r="H240" s="641">
        <v>106080</v>
      </c>
      <c r="I240" s="641">
        <v>70000</v>
      </c>
      <c r="J240" s="391"/>
    </row>
    <row r="241" spans="1:10" ht="12.75">
      <c r="A241" s="646">
        <v>4</v>
      </c>
      <c r="B241" s="646" t="s">
        <v>1701</v>
      </c>
      <c r="C241" s="642" t="s">
        <v>1386</v>
      </c>
      <c r="D241" s="642" t="s">
        <v>1386</v>
      </c>
      <c r="E241" s="642" t="s">
        <v>1386</v>
      </c>
      <c r="F241" s="647">
        <f t="shared" si="26"/>
        <v>0</v>
      </c>
      <c r="G241" s="641">
        <v>0</v>
      </c>
      <c r="H241" s="642" t="s">
        <v>1386</v>
      </c>
      <c r="I241" s="641">
        <v>0</v>
      </c>
      <c r="J241" s="391"/>
    </row>
    <row r="242" spans="1:10" ht="12.75">
      <c r="A242" s="646">
        <v>5</v>
      </c>
      <c r="B242" s="646" t="s">
        <v>1702</v>
      </c>
      <c r="C242" s="641">
        <v>1000000</v>
      </c>
      <c r="D242" s="641">
        <v>832000</v>
      </c>
      <c r="E242" s="641">
        <v>832000</v>
      </c>
      <c r="F242" s="647">
        <f t="shared" si="26"/>
        <v>2664000</v>
      </c>
      <c r="G242" s="641">
        <v>490238</v>
      </c>
      <c r="H242" s="641">
        <v>848640</v>
      </c>
      <c r="I242" s="641">
        <v>98000</v>
      </c>
      <c r="J242" s="391"/>
    </row>
    <row r="243" spans="1:10" ht="12.75">
      <c r="A243" s="646">
        <f t="shared" si="27"/>
        <v>6</v>
      </c>
      <c r="B243" s="646" t="s">
        <v>1544</v>
      </c>
      <c r="C243" s="641">
        <v>1200000</v>
      </c>
      <c r="D243" s="641">
        <v>1040000</v>
      </c>
      <c r="E243" s="641">
        <v>1040000</v>
      </c>
      <c r="F243" s="647">
        <f t="shared" si="26"/>
        <v>3280000</v>
      </c>
      <c r="G243" s="641">
        <v>308400</v>
      </c>
      <c r="H243" s="641">
        <v>1060800</v>
      </c>
      <c r="I243" s="641">
        <v>350000</v>
      </c>
      <c r="J243" s="391"/>
    </row>
    <row r="244" spans="1:10" ht="12.75">
      <c r="A244" s="646">
        <f t="shared" si="27"/>
        <v>7</v>
      </c>
      <c r="B244" s="646" t="s">
        <v>897</v>
      </c>
      <c r="C244" s="641">
        <v>1000000</v>
      </c>
      <c r="D244" s="641">
        <v>728000</v>
      </c>
      <c r="E244" s="641">
        <v>728000</v>
      </c>
      <c r="F244" s="647">
        <f t="shared" si="26"/>
        <v>2456000</v>
      </c>
      <c r="G244" s="641">
        <v>475000</v>
      </c>
      <c r="H244" s="641">
        <v>742560</v>
      </c>
      <c r="I244" s="641">
        <v>400000</v>
      </c>
      <c r="J244" s="391"/>
    </row>
    <row r="245" spans="1:10" ht="12.75">
      <c r="A245" s="646">
        <f t="shared" si="27"/>
        <v>8</v>
      </c>
      <c r="B245" s="646" t="s">
        <v>1385</v>
      </c>
      <c r="C245" s="642" t="s">
        <v>1386</v>
      </c>
      <c r="D245" s="642" t="s">
        <v>1386</v>
      </c>
      <c r="E245" s="642" t="s">
        <v>1386</v>
      </c>
      <c r="F245" s="647">
        <f t="shared" si="26"/>
        <v>0</v>
      </c>
      <c r="G245" s="641">
        <v>0</v>
      </c>
      <c r="H245" s="642" t="s">
        <v>1386</v>
      </c>
      <c r="I245" s="641" t="s">
        <v>1386</v>
      </c>
      <c r="J245" s="391"/>
    </row>
    <row r="246" spans="1:10" ht="12.75">
      <c r="A246" s="646">
        <f t="shared" si="27"/>
        <v>9</v>
      </c>
      <c r="B246" s="646" t="s">
        <v>2061</v>
      </c>
      <c r="C246" s="642" t="s">
        <v>1386</v>
      </c>
      <c r="D246" s="642" t="s">
        <v>1386</v>
      </c>
      <c r="E246" s="642" t="s">
        <v>1386</v>
      </c>
      <c r="F246" s="647">
        <f t="shared" si="26"/>
        <v>0</v>
      </c>
      <c r="G246" s="641">
        <v>0</v>
      </c>
      <c r="H246" s="642" t="s">
        <v>1386</v>
      </c>
      <c r="I246" s="641" t="s">
        <v>1386</v>
      </c>
      <c r="J246" s="391"/>
    </row>
    <row r="247" spans="1:10" ht="12.75">
      <c r="A247" s="646">
        <f t="shared" si="27"/>
        <v>10</v>
      </c>
      <c r="B247" s="646" t="s">
        <v>522</v>
      </c>
      <c r="C247" s="641">
        <v>700000</v>
      </c>
      <c r="D247" s="641">
        <v>1040000</v>
      </c>
      <c r="E247" s="641">
        <v>1040000</v>
      </c>
      <c r="F247" s="647">
        <f t="shared" si="26"/>
        <v>2780000</v>
      </c>
      <c r="G247" s="641">
        <v>168000</v>
      </c>
      <c r="H247" s="641">
        <v>1060800</v>
      </c>
      <c r="I247" s="641">
        <v>155000</v>
      </c>
      <c r="J247" s="391"/>
    </row>
    <row r="248" spans="1:10" ht="12.75">
      <c r="A248" s="646">
        <f t="shared" si="27"/>
        <v>11</v>
      </c>
      <c r="B248" s="646" t="s">
        <v>1681</v>
      </c>
      <c r="C248" s="641">
        <v>500000</v>
      </c>
      <c r="D248" s="641">
        <v>104000</v>
      </c>
      <c r="E248" s="641">
        <v>104000</v>
      </c>
      <c r="F248" s="647">
        <f t="shared" si="26"/>
        <v>708000</v>
      </c>
      <c r="G248" s="641">
        <v>95000</v>
      </c>
      <c r="H248" s="641">
        <v>106080</v>
      </c>
      <c r="I248" s="641">
        <v>100000</v>
      </c>
      <c r="J248" s="391"/>
    </row>
    <row r="249" spans="1:10" ht="12.75">
      <c r="A249" s="646">
        <f t="shared" si="27"/>
        <v>12</v>
      </c>
      <c r="B249" s="646" t="s">
        <v>1682</v>
      </c>
      <c r="C249" s="641">
        <v>6000000</v>
      </c>
      <c r="D249" s="641">
        <v>5200000</v>
      </c>
      <c r="E249" s="641">
        <v>5200000</v>
      </c>
      <c r="F249" s="647">
        <f t="shared" si="26"/>
        <v>16400000</v>
      </c>
      <c r="G249" s="641">
        <v>2089487</v>
      </c>
      <c r="H249" s="641">
        <v>5304000</v>
      </c>
      <c r="I249" s="641">
        <v>700000</v>
      </c>
      <c r="J249" s="391"/>
    </row>
    <row r="250" spans="1:10" ht="12.75">
      <c r="A250" s="646">
        <f t="shared" si="27"/>
        <v>13</v>
      </c>
      <c r="B250" s="646" t="s">
        <v>2249</v>
      </c>
      <c r="C250" s="641">
        <v>100000</v>
      </c>
      <c r="D250" s="641">
        <v>104000</v>
      </c>
      <c r="E250" s="641">
        <v>104000</v>
      </c>
      <c r="F250" s="647">
        <f t="shared" si="26"/>
        <v>308000</v>
      </c>
      <c r="G250" s="641">
        <v>0</v>
      </c>
      <c r="H250" s="641">
        <v>106080</v>
      </c>
      <c r="I250" s="641">
        <v>0</v>
      </c>
      <c r="J250" s="391"/>
    </row>
    <row r="251" spans="1:10" ht="12.75">
      <c r="A251" s="646">
        <f t="shared" si="27"/>
        <v>14</v>
      </c>
      <c r="B251" s="646" t="s">
        <v>3018</v>
      </c>
      <c r="C251" s="641">
        <v>800000</v>
      </c>
      <c r="D251" s="641">
        <v>832000</v>
      </c>
      <c r="E251" s="641">
        <v>832000</v>
      </c>
      <c r="F251" s="647">
        <f t="shared" si="26"/>
        <v>2464000</v>
      </c>
      <c r="G251" s="641">
        <v>211000</v>
      </c>
      <c r="H251" s="641">
        <v>848640</v>
      </c>
      <c r="I251" s="641">
        <v>150000</v>
      </c>
      <c r="J251" s="391"/>
    </row>
    <row r="252" spans="1:10" ht="12.75">
      <c r="A252" s="646">
        <f t="shared" si="27"/>
        <v>15</v>
      </c>
      <c r="B252" s="646" t="s">
        <v>523</v>
      </c>
      <c r="C252" s="641">
        <v>500000</v>
      </c>
      <c r="D252" s="641">
        <v>728000</v>
      </c>
      <c r="E252" s="641">
        <v>728000</v>
      </c>
      <c r="F252" s="647">
        <f t="shared" si="26"/>
        <v>1956000</v>
      </c>
      <c r="G252" s="641">
        <v>0</v>
      </c>
      <c r="H252" s="641">
        <v>742560</v>
      </c>
      <c r="I252" s="641">
        <v>0</v>
      </c>
      <c r="J252" s="391"/>
    </row>
    <row r="253" spans="1:10" ht="12.75">
      <c r="A253" s="646">
        <f t="shared" si="27"/>
        <v>16</v>
      </c>
      <c r="B253" s="646" t="s">
        <v>524</v>
      </c>
      <c r="C253" s="641">
        <v>4000000</v>
      </c>
      <c r="D253" s="641">
        <v>4160000</v>
      </c>
      <c r="E253" s="641">
        <v>4160000</v>
      </c>
      <c r="F253" s="647">
        <f t="shared" si="26"/>
        <v>12320000</v>
      </c>
      <c r="G253" s="641">
        <v>0</v>
      </c>
      <c r="H253" s="641">
        <v>4243200</v>
      </c>
      <c r="I253" s="641">
        <v>300000</v>
      </c>
      <c r="J253" s="391"/>
    </row>
    <row r="254" spans="1:10" ht="12.75">
      <c r="A254" s="646">
        <f t="shared" si="27"/>
        <v>17</v>
      </c>
      <c r="B254" s="646" t="s">
        <v>525</v>
      </c>
      <c r="C254" s="641">
        <v>500000</v>
      </c>
      <c r="D254" s="641">
        <v>832000</v>
      </c>
      <c r="E254" s="641">
        <v>832000</v>
      </c>
      <c r="F254" s="647">
        <f t="shared" si="26"/>
        <v>2164000</v>
      </c>
      <c r="G254" s="641">
        <v>0</v>
      </c>
      <c r="H254" s="641">
        <v>848640</v>
      </c>
      <c r="I254" s="641">
        <v>0</v>
      </c>
      <c r="J254" s="391"/>
    </row>
    <row r="255" spans="1:10" ht="12.75">
      <c r="A255" s="646">
        <f t="shared" si="27"/>
        <v>18</v>
      </c>
      <c r="B255" s="646" t="s">
        <v>526</v>
      </c>
      <c r="C255" s="641">
        <v>300000</v>
      </c>
      <c r="D255" s="641">
        <v>520000</v>
      </c>
      <c r="E255" s="641">
        <v>520000</v>
      </c>
      <c r="F255" s="647">
        <f t="shared" si="26"/>
        <v>1340000</v>
      </c>
      <c r="G255" s="641">
        <v>0</v>
      </c>
      <c r="H255" s="641">
        <v>530400</v>
      </c>
      <c r="I255" s="641">
        <v>200000</v>
      </c>
      <c r="J255" s="391"/>
    </row>
    <row r="256" spans="1:10" ht="12.75">
      <c r="A256" s="646">
        <f t="shared" si="27"/>
        <v>19</v>
      </c>
      <c r="B256" s="646" t="s">
        <v>527</v>
      </c>
      <c r="C256" s="641">
        <v>2000000</v>
      </c>
      <c r="D256" s="641">
        <v>2080000</v>
      </c>
      <c r="E256" s="641">
        <v>2080000</v>
      </c>
      <c r="F256" s="647">
        <f t="shared" si="26"/>
        <v>6160000</v>
      </c>
      <c r="G256" s="641">
        <v>145000</v>
      </c>
      <c r="H256" s="641">
        <f>2121600-407680</f>
        <v>1713920</v>
      </c>
      <c r="I256" s="641">
        <v>100000</v>
      </c>
      <c r="J256" s="391"/>
    </row>
    <row r="257" spans="1:11" ht="12.75">
      <c r="A257" s="646">
        <f t="shared" si="27"/>
        <v>20</v>
      </c>
      <c r="B257" s="646" t="s">
        <v>528</v>
      </c>
      <c r="C257" s="641">
        <v>1000000</v>
      </c>
      <c r="D257" s="641">
        <v>1040000</v>
      </c>
      <c r="E257" s="641">
        <v>1040000</v>
      </c>
      <c r="F257" s="647">
        <f t="shared" si="26"/>
        <v>3080000</v>
      </c>
      <c r="G257" s="641">
        <v>50000</v>
      </c>
      <c r="H257" s="641">
        <v>1060800</v>
      </c>
      <c r="I257" s="641">
        <v>37000</v>
      </c>
      <c r="J257" s="391"/>
    </row>
    <row r="258" spans="1:11" ht="12.75">
      <c r="A258" s="646"/>
      <c r="B258" s="646"/>
      <c r="C258" s="641"/>
      <c r="D258" s="641"/>
      <c r="E258" s="641"/>
      <c r="F258" s="647"/>
      <c r="G258" s="641"/>
      <c r="H258" s="641"/>
      <c r="I258" s="641">
        <v>0</v>
      </c>
      <c r="J258" s="391"/>
    </row>
    <row r="259" spans="1:11" ht="12.75">
      <c r="A259" s="646" t="s">
        <v>529</v>
      </c>
      <c r="B259" s="651" t="s">
        <v>819</v>
      </c>
      <c r="C259" s="652">
        <f t="shared" ref="C259:I259" si="28">SUM(C239:C258)</f>
        <v>21000000</v>
      </c>
      <c r="D259" s="652">
        <f t="shared" si="28"/>
        <v>20384000</v>
      </c>
      <c r="E259" s="652">
        <f t="shared" si="28"/>
        <v>20384000</v>
      </c>
      <c r="F259" s="652">
        <f t="shared" si="28"/>
        <v>61768000</v>
      </c>
      <c r="G259" s="652">
        <f t="shared" si="28"/>
        <v>4212145</v>
      </c>
      <c r="H259" s="652">
        <f>SUM(H239:H258)</f>
        <v>20384000</v>
      </c>
      <c r="I259" s="652">
        <f t="shared" si="28"/>
        <v>2820000</v>
      </c>
      <c r="J259" s="391"/>
      <c r="K259" s="657">
        <f>20384000-H259</f>
        <v>0</v>
      </c>
    </row>
    <row r="260" spans="1:11" ht="12.75">
      <c r="A260" s="646"/>
      <c r="B260" s="646"/>
      <c r="C260" s="641"/>
      <c r="D260" s="641"/>
      <c r="E260" s="641"/>
      <c r="F260" s="647"/>
      <c r="G260" s="641"/>
      <c r="H260" s="641"/>
      <c r="I260" s="391"/>
      <c r="J260" s="391"/>
    </row>
    <row r="261" spans="1:11" ht="12.75">
      <c r="A261" s="653"/>
      <c r="B261" s="653" t="s">
        <v>1684</v>
      </c>
      <c r="C261" s="645">
        <f t="shared" ref="C261:I261" si="29">+C259+C237</f>
        <v>178993618.90000001</v>
      </c>
      <c r="D261" s="645">
        <f t="shared" si="29"/>
        <v>160992000</v>
      </c>
      <c r="E261" s="645">
        <f t="shared" si="29"/>
        <v>160992000</v>
      </c>
      <c r="F261" s="645">
        <f t="shared" si="29"/>
        <v>500977618.89999998</v>
      </c>
      <c r="G261" s="645">
        <f t="shared" si="29"/>
        <v>97797481</v>
      </c>
      <c r="H261" s="645">
        <f>+H259+H237</f>
        <v>141256052</v>
      </c>
      <c r="I261" s="645" t="e">
        <f t="shared" si="29"/>
        <v>#REF!</v>
      </c>
      <c r="J261" s="391"/>
    </row>
    <row r="262" spans="1:11" ht="12.75" customHeight="1">
      <c r="A262" s="391"/>
      <c r="B262" s="391"/>
      <c r="C262" s="647"/>
      <c r="D262" s="647"/>
      <c r="E262" s="647"/>
      <c r="F262" s="647"/>
      <c r="G262" s="647"/>
      <c r="H262" s="647"/>
      <c r="I262" s="391"/>
      <c r="J262" s="391"/>
    </row>
    <row r="263" spans="1:11" ht="12.75">
      <c r="A263" s="391"/>
      <c r="B263" s="391"/>
      <c r="C263" s="647"/>
      <c r="D263" s="308" t="s">
        <v>5434</v>
      </c>
      <c r="E263" s="647"/>
      <c r="F263" s="647"/>
      <c r="H263" s="647"/>
      <c r="I263" s="391"/>
      <c r="J263" s="391"/>
    </row>
    <row r="264" spans="1:11" ht="12.75">
      <c r="A264" s="655"/>
      <c r="B264" s="633"/>
      <c r="C264" s="655"/>
      <c r="D264" s="308" t="s">
        <v>716</v>
      </c>
      <c r="E264" s="655"/>
      <c r="F264" s="647"/>
      <c r="H264" s="655"/>
      <c r="I264" s="391"/>
      <c r="J264" s="391"/>
    </row>
    <row r="265" spans="1:11" ht="12.75">
      <c r="A265" s="655"/>
      <c r="B265" s="633"/>
      <c r="C265" s="655"/>
      <c r="D265" s="308" t="s">
        <v>1124</v>
      </c>
      <c r="E265" s="655"/>
      <c r="F265" s="647"/>
      <c r="H265" s="655"/>
      <c r="I265" s="391"/>
      <c r="J265" s="391"/>
    </row>
    <row r="266" spans="1:11" ht="12.75">
      <c r="A266" s="655"/>
      <c r="B266" s="655"/>
      <c r="C266" s="655"/>
      <c r="D266" s="307" t="s">
        <v>530</v>
      </c>
      <c r="E266" s="655"/>
      <c r="F266" s="647"/>
      <c r="H266" s="655"/>
      <c r="I266" s="391"/>
      <c r="J266" s="391"/>
    </row>
    <row r="267" spans="1:11" ht="15">
      <c r="A267" s="634" t="s">
        <v>1839</v>
      </c>
      <c r="B267" s="635" t="s">
        <v>903</v>
      </c>
      <c r="C267" s="1037" t="s">
        <v>4127</v>
      </c>
      <c r="D267" s="1038"/>
      <c r="E267" s="1039"/>
      <c r="F267" s="635" t="s">
        <v>1684</v>
      </c>
      <c r="G267" s="1037" t="s">
        <v>4132</v>
      </c>
      <c r="H267" s="1038"/>
      <c r="I267" s="1039"/>
      <c r="J267" s="391"/>
    </row>
    <row r="268" spans="1:11" ht="12.75">
      <c r="A268" s="636" t="s">
        <v>1620</v>
      </c>
      <c r="B268" s="637"/>
      <c r="C268" s="635" t="s">
        <v>1841</v>
      </c>
      <c r="D268" s="635" t="s">
        <v>4133</v>
      </c>
      <c r="E268" s="635" t="s">
        <v>4133</v>
      </c>
      <c r="F268" s="1056" t="s">
        <v>4200</v>
      </c>
      <c r="G268" s="1051" t="s">
        <v>4201</v>
      </c>
      <c r="H268" s="635" t="s">
        <v>1841</v>
      </c>
      <c r="I268" s="634" t="s">
        <v>4135</v>
      </c>
      <c r="J268" s="391"/>
    </row>
    <row r="269" spans="1:11" ht="12.75" customHeight="1">
      <c r="A269" s="638" t="s">
        <v>387</v>
      </c>
      <c r="B269" s="639"/>
      <c r="C269" s="638">
        <v>2015</v>
      </c>
      <c r="D269" s="638">
        <v>2016</v>
      </c>
      <c r="E269" s="638">
        <v>2017</v>
      </c>
      <c r="F269" s="1057"/>
      <c r="G269" s="1052"/>
      <c r="H269" s="638">
        <v>2014</v>
      </c>
      <c r="I269" s="638" t="s">
        <v>4303</v>
      </c>
      <c r="J269" s="391"/>
    </row>
    <row r="270" spans="1:11" ht="12.75">
      <c r="A270" s="646" t="s">
        <v>531</v>
      </c>
      <c r="B270" s="646" t="s">
        <v>1693</v>
      </c>
      <c r="C270" s="641">
        <v>107000000</v>
      </c>
      <c r="D270" s="641">
        <v>95680000</v>
      </c>
      <c r="E270" s="641">
        <v>95680000</v>
      </c>
      <c r="F270" s="647">
        <f>SUM(C270:E270)</f>
        <v>298360000</v>
      </c>
      <c r="G270" s="641">
        <v>46566476</v>
      </c>
      <c r="H270" s="641">
        <v>104842802</v>
      </c>
      <c r="I270" s="641" t="e">
        <f>#REF!</f>
        <v>#REF!</v>
      </c>
      <c r="J270" s="391"/>
    </row>
    <row r="271" spans="1:11" ht="12.75">
      <c r="A271" s="646"/>
      <c r="B271" s="646"/>
      <c r="C271" s="641"/>
      <c r="D271" s="641"/>
      <c r="E271" s="641"/>
      <c r="F271" s="647"/>
      <c r="G271" s="641"/>
      <c r="H271" s="641"/>
      <c r="I271" s="641"/>
      <c r="J271" s="391"/>
    </row>
    <row r="272" spans="1:11" ht="12.75">
      <c r="A272" s="646">
        <v>2</v>
      </c>
      <c r="B272" s="646" t="s">
        <v>1695</v>
      </c>
      <c r="C272" s="641">
        <v>5000000</v>
      </c>
      <c r="D272" s="641">
        <v>5200000</v>
      </c>
      <c r="E272" s="641">
        <v>5200000</v>
      </c>
      <c r="F272" s="647">
        <f t="shared" ref="F272:F286" si="30">SUM(C272:E272)</f>
        <v>15400000</v>
      </c>
      <c r="G272" s="641">
        <v>0</v>
      </c>
      <c r="H272" s="641">
        <v>5304000</v>
      </c>
      <c r="I272" s="641">
        <v>0</v>
      </c>
      <c r="J272" s="391"/>
    </row>
    <row r="273" spans="1:11" ht="12.75">
      <c r="A273" s="646">
        <f t="shared" ref="A273:A284" si="31">A272+1</f>
        <v>3</v>
      </c>
      <c r="B273" s="646" t="s">
        <v>1696</v>
      </c>
      <c r="C273" s="641">
        <v>100000</v>
      </c>
      <c r="D273" s="641">
        <v>104000</v>
      </c>
      <c r="E273" s="641">
        <v>104000</v>
      </c>
      <c r="F273" s="647">
        <f t="shared" si="30"/>
        <v>308000</v>
      </c>
      <c r="G273" s="642">
        <v>0</v>
      </c>
      <c r="H273" s="641">
        <v>106080</v>
      </c>
      <c r="I273" s="642">
        <v>0</v>
      </c>
      <c r="J273" s="391"/>
    </row>
    <row r="274" spans="1:11" ht="12.75">
      <c r="A274" s="646">
        <f t="shared" si="31"/>
        <v>4</v>
      </c>
      <c r="B274" s="646" t="s">
        <v>1701</v>
      </c>
      <c r="C274" s="642" t="s">
        <v>1386</v>
      </c>
      <c r="D274" s="642" t="s">
        <v>1386</v>
      </c>
      <c r="E274" s="642" t="s">
        <v>1386</v>
      </c>
      <c r="F274" s="647">
        <f t="shared" si="30"/>
        <v>0</v>
      </c>
      <c r="G274" s="642" t="s">
        <v>1386</v>
      </c>
      <c r="H274" s="642" t="s">
        <v>1386</v>
      </c>
      <c r="I274" s="642" t="s">
        <v>1386</v>
      </c>
      <c r="J274" s="391"/>
    </row>
    <row r="275" spans="1:11" ht="12.75">
      <c r="A275" s="646">
        <f t="shared" si="31"/>
        <v>5</v>
      </c>
      <c r="B275" s="646" t="s">
        <v>1702</v>
      </c>
      <c r="C275" s="641">
        <v>2000000</v>
      </c>
      <c r="D275" s="641">
        <v>2080000</v>
      </c>
      <c r="E275" s="641">
        <v>2080000</v>
      </c>
      <c r="F275" s="647">
        <f t="shared" si="30"/>
        <v>6160000</v>
      </c>
      <c r="G275" s="641">
        <v>0</v>
      </c>
      <c r="H275" s="641">
        <v>2121600</v>
      </c>
      <c r="I275" s="641">
        <v>0</v>
      </c>
      <c r="J275" s="391"/>
    </row>
    <row r="276" spans="1:11" ht="12.75">
      <c r="A276" s="646">
        <f t="shared" si="31"/>
        <v>6</v>
      </c>
      <c r="B276" s="646" t="s">
        <v>1544</v>
      </c>
      <c r="C276" s="641">
        <v>1500000</v>
      </c>
      <c r="D276" s="641">
        <v>1560000</v>
      </c>
      <c r="E276" s="641">
        <v>1560000</v>
      </c>
      <c r="F276" s="647">
        <f t="shared" si="30"/>
        <v>4620000</v>
      </c>
      <c r="G276" s="641">
        <v>0</v>
      </c>
      <c r="H276" s="641">
        <v>1591200</v>
      </c>
      <c r="I276" s="641">
        <v>0</v>
      </c>
      <c r="J276" s="391"/>
    </row>
    <row r="277" spans="1:11" ht="12.75">
      <c r="A277" s="646">
        <f t="shared" si="31"/>
        <v>7</v>
      </c>
      <c r="B277" s="646" t="s">
        <v>897</v>
      </c>
      <c r="C277" s="641">
        <v>2000000</v>
      </c>
      <c r="D277" s="641">
        <v>2080000</v>
      </c>
      <c r="E277" s="641">
        <v>2080000</v>
      </c>
      <c r="F277" s="647">
        <f t="shared" si="30"/>
        <v>6160000</v>
      </c>
      <c r="G277" s="641">
        <v>0</v>
      </c>
      <c r="H277" s="641">
        <v>2121600</v>
      </c>
      <c r="I277" s="641">
        <v>0</v>
      </c>
      <c r="J277" s="391"/>
    </row>
    <row r="278" spans="1:11" ht="12.75">
      <c r="A278" s="646">
        <f t="shared" si="31"/>
        <v>8</v>
      </c>
      <c r="B278" s="646" t="s">
        <v>1385</v>
      </c>
      <c r="C278" s="642" t="s">
        <v>1386</v>
      </c>
      <c r="D278" s="642" t="s">
        <v>1386</v>
      </c>
      <c r="E278" s="642" t="s">
        <v>1386</v>
      </c>
      <c r="F278" s="647">
        <f t="shared" si="30"/>
        <v>0</v>
      </c>
      <c r="G278" s="642" t="s">
        <v>1386</v>
      </c>
      <c r="H278" s="642" t="s">
        <v>1386</v>
      </c>
      <c r="I278" s="642" t="s">
        <v>1386</v>
      </c>
      <c r="J278" s="391"/>
    </row>
    <row r="279" spans="1:11" ht="12.75">
      <c r="A279" s="646">
        <f t="shared" si="31"/>
        <v>9</v>
      </c>
      <c r="B279" s="646" t="s">
        <v>2061</v>
      </c>
      <c r="C279" s="642" t="s">
        <v>1386</v>
      </c>
      <c r="D279" s="642" t="s">
        <v>1386</v>
      </c>
      <c r="E279" s="642" t="s">
        <v>1386</v>
      </c>
      <c r="F279" s="647">
        <f t="shared" si="30"/>
        <v>0</v>
      </c>
      <c r="G279" s="642" t="s">
        <v>1386</v>
      </c>
      <c r="H279" s="642" t="s">
        <v>1386</v>
      </c>
      <c r="I279" s="642" t="s">
        <v>1386</v>
      </c>
      <c r="J279" s="391"/>
    </row>
    <row r="280" spans="1:11" ht="12.75">
      <c r="A280" s="646">
        <f t="shared" si="31"/>
        <v>10</v>
      </c>
      <c r="B280" s="646" t="s">
        <v>522</v>
      </c>
      <c r="C280" s="641">
        <v>800000</v>
      </c>
      <c r="D280" s="641">
        <v>832000</v>
      </c>
      <c r="E280" s="641">
        <v>832000</v>
      </c>
      <c r="F280" s="647">
        <f t="shared" si="30"/>
        <v>2464000</v>
      </c>
      <c r="G280" s="642">
        <v>0</v>
      </c>
      <c r="H280" s="641">
        <v>848640</v>
      </c>
      <c r="I280" s="642">
        <v>0</v>
      </c>
      <c r="J280" s="391"/>
    </row>
    <row r="281" spans="1:11" ht="12.75">
      <c r="A281" s="646">
        <f t="shared" si="31"/>
        <v>11</v>
      </c>
      <c r="B281" s="646" t="s">
        <v>1681</v>
      </c>
      <c r="C281" s="641">
        <v>100000</v>
      </c>
      <c r="D281" s="641">
        <v>100000</v>
      </c>
      <c r="E281" s="641">
        <v>100000</v>
      </c>
      <c r="F281" s="647">
        <f t="shared" si="30"/>
        <v>300000</v>
      </c>
      <c r="G281" s="641">
        <v>0</v>
      </c>
      <c r="H281" s="641">
        <v>106080</v>
      </c>
      <c r="I281" s="641">
        <v>0</v>
      </c>
      <c r="J281" s="391"/>
    </row>
    <row r="282" spans="1:11" ht="12.75">
      <c r="A282" s="646">
        <f t="shared" si="31"/>
        <v>12</v>
      </c>
      <c r="B282" s="646" t="s">
        <v>1682</v>
      </c>
      <c r="C282" s="641">
        <v>9000000</v>
      </c>
      <c r="D282" s="641">
        <v>8840000</v>
      </c>
      <c r="E282" s="641">
        <v>8840000</v>
      </c>
      <c r="F282" s="647">
        <f t="shared" si="30"/>
        <v>26680000</v>
      </c>
      <c r="G282" s="641">
        <v>0</v>
      </c>
      <c r="H282" s="641">
        <v>9016800</v>
      </c>
      <c r="I282" s="641">
        <v>0</v>
      </c>
      <c r="J282" s="391"/>
    </row>
    <row r="283" spans="1:11" ht="12.75">
      <c r="A283" s="646">
        <f t="shared" si="31"/>
        <v>13</v>
      </c>
      <c r="B283" s="646" t="s">
        <v>2249</v>
      </c>
      <c r="C283" s="641">
        <v>100000</v>
      </c>
      <c r="D283" s="641">
        <v>100000</v>
      </c>
      <c r="E283" s="641">
        <v>100000</v>
      </c>
      <c r="F283" s="647">
        <f t="shared" si="30"/>
        <v>300000</v>
      </c>
      <c r="G283" s="641">
        <v>0</v>
      </c>
      <c r="H283" s="641">
        <v>106080</v>
      </c>
      <c r="I283" s="641">
        <v>0</v>
      </c>
      <c r="J283" s="391"/>
    </row>
    <row r="284" spans="1:11" ht="12.75">
      <c r="A284" s="646">
        <f t="shared" si="31"/>
        <v>14</v>
      </c>
      <c r="B284" s="646" t="s">
        <v>1336</v>
      </c>
      <c r="C284" s="641">
        <v>2500000</v>
      </c>
      <c r="D284" s="641">
        <v>2600000</v>
      </c>
      <c r="E284" s="641">
        <v>2600000</v>
      </c>
      <c r="F284" s="647">
        <f t="shared" si="30"/>
        <v>7700000</v>
      </c>
      <c r="G284" s="642">
        <v>0</v>
      </c>
      <c r="H284" s="641">
        <f>2652000-470080</f>
        <v>2181920</v>
      </c>
      <c r="I284" s="642">
        <v>0</v>
      </c>
      <c r="J284" s="391"/>
    </row>
    <row r="285" spans="1:11" ht="12.75">
      <c r="A285" s="646"/>
      <c r="B285" s="646"/>
      <c r="C285" s="641"/>
      <c r="D285" s="641"/>
      <c r="E285" s="641"/>
      <c r="F285" s="647">
        <f t="shared" si="30"/>
        <v>0</v>
      </c>
      <c r="G285" s="642">
        <v>0</v>
      </c>
      <c r="H285" s="641"/>
      <c r="I285" s="642">
        <v>0</v>
      </c>
      <c r="J285" s="391"/>
    </row>
    <row r="286" spans="1:11" ht="12.75">
      <c r="A286" s="646"/>
      <c r="B286" s="646"/>
      <c r="C286" s="642"/>
      <c r="D286" s="642"/>
      <c r="E286" s="642"/>
      <c r="F286" s="647">
        <f t="shared" si="30"/>
        <v>0</v>
      </c>
      <c r="G286" s="642">
        <v>0</v>
      </c>
      <c r="H286" s="642"/>
      <c r="I286" s="642">
        <v>0</v>
      </c>
      <c r="J286" s="391"/>
    </row>
    <row r="287" spans="1:11" ht="12.75">
      <c r="A287" s="646" t="s">
        <v>532</v>
      </c>
      <c r="B287" s="651" t="s">
        <v>819</v>
      </c>
      <c r="C287" s="652">
        <f>SUM(C272:C286)</f>
        <v>23100000</v>
      </c>
      <c r="D287" s="652">
        <f>SUM(D272:D286)</f>
        <v>23496000</v>
      </c>
      <c r="E287" s="652">
        <f>SUM(E272:E286)</f>
        <v>23496000</v>
      </c>
      <c r="F287" s="652">
        <f>SUM(F272:F286)</f>
        <v>70092000</v>
      </c>
      <c r="G287" s="642">
        <v>0</v>
      </c>
      <c r="H287" s="652">
        <f>SUM(H272:H286)</f>
        <v>23504000</v>
      </c>
      <c r="I287" s="642">
        <v>0</v>
      </c>
      <c r="J287" s="391"/>
      <c r="K287" s="657">
        <f>23504000-H287</f>
        <v>0</v>
      </c>
    </row>
    <row r="288" spans="1:11" ht="12.75">
      <c r="A288" s="646"/>
      <c r="B288" s="646"/>
      <c r="C288" s="641"/>
      <c r="D288" s="641"/>
      <c r="E288" s="641"/>
      <c r="F288" s="647"/>
      <c r="G288" s="642">
        <v>0</v>
      </c>
      <c r="H288" s="641"/>
      <c r="I288" s="642">
        <v>0</v>
      </c>
      <c r="J288" s="391"/>
    </row>
    <row r="289" spans="1:10" ht="12.75">
      <c r="A289" s="653"/>
      <c r="B289" s="653" t="s">
        <v>1684</v>
      </c>
      <c r="C289" s="645">
        <f t="shared" ref="C289:I289" si="32">+C287+C270</f>
        <v>130100000</v>
      </c>
      <c r="D289" s="645">
        <f t="shared" si="32"/>
        <v>119176000</v>
      </c>
      <c r="E289" s="645">
        <f t="shared" si="32"/>
        <v>119176000</v>
      </c>
      <c r="F289" s="645">
        <f t="shared" si="32"/>
        <v>368452000</v>
      </c>
      <c r="G289" s="645">
        <f t="shared" si="32"/>
        <v>46566476</v>
      </c>
      <c r="H289" s="645">
        <f>+H287+H270</f>
        <v>128346802</v>
      </c>
      <c r="I289" s="645" t="e">
        <f t="shared" si="32"/>
        <v>#REF!</v>
      </c>
      <c r="J289" s="391"/>
    </row>
    <row r="290" spans="1:10" ht="12.75" customHeight="1">
      <c r="A290" s="391"/>
      <c r="B290" s="391"/>
      <c r="C290" s="647"/>
      <c r="D290" s="647"/>
      <c r="E290" s="647"/>
      <c r="F290" s="647"/>
      <c r="G290" s="647"/>
      <c r="H290" s="647"/>
      <c r="I290" s="391"/>
      <c r="J290" s="391"/>
    </row>
    <row r="291" spans="1:10" ht="12.75" customHeight="1">
      <c r="A291" s="391"/>
      <c r="B291" s="391"/>
      <c r="C291" s="647"/>
      <c r="D291" s="308" t="s">
        <v>5434</v>
      </c>
      <c r="E291" s="647"/>
      <c r="F291" s="647"/>
      <c r="H291" s="647"/>
      <c r="I291" s="391"/>
      <c r="J291" s="391"/>
    </row>
    <row r="292" spans="1:10" ht="12.75" customHeight="1">
      <c r="A292" s="655"/>
      <c r="B292" s="633"/>
      <c r="C292" s="655"/>
      <c r="D292" s="308" t="s">
        <v>716</v>
      </c>
      <c r="E292" s="655"/>
      <c r="F292" s="647"/>
      <c r="H292" s="655"/>
      <c r="I292" s="391"/>
      <c r="J292" s="391"/>
    </row>
    <row r="293" spans="1:10" ht="12.75" customHeight="1">
      <c r="A293" s="655"/>
      <c r="B293" s="633"/>
      <c r="C293" s="655"/>
      <c r="D293" s="308" t="s">
        <v>2940</v>
      </c>
      <c r="E293" s="655"/>
      <c r="F293" s="647"/>
      <c r="H293" s="655"/>
      <c r="I293" s="391"/>
      <c r="J293" s="391"/>
    </row>
    <row r="294" spans="1:10" ht="12.75" customHeight="1">
      <c r="A294" s="655"/>
      <c r="B294" s="655"/>
      <c r="C294" s="655"/>
      <c r="D294" s="307" t="s">
        <v>533</v>
      </c>
      <c r="E294" s="655"/>
      <c r="F294" s="647"/>
      <c r="H294" s="655"/>
      <c r="I294" s="391"/>
      <c r="J294" s="391"/>
    </row>
    <row r="295" spans="1:10" ht="12.75" customHeight="1">
      <c r="A295" s="634" t="s">
        <v>1839</v>
      </c>
      <c r="B295" s="635" t="s">
        <v>903</v>
      </c>
      <c r="C295" s="1037" t="s">
        <v>4127</v>
      </c>
      <c r="D295" s="1038"/>
      <c r="E295" s="1039"/>
      <c r="F295" s="635" t="s">
        <v>1684</v>
      </c>
      <c r="G295" s="1037" t="s">
        <v>4132</v>
      </c>
      <c r="H295" s="1038"/>
      <c r="I295" s="1039"/>
      <c r="J295" s="391"/>
    </row>
    <row r="296" spans="1:10" ht="12.75" customHeight="1">
      <c r="A296" s="636" t="s">
        <v>1620</v>
      </c>
      <c r="B296" s="637"/>
      <c r="C296" s="635" t="s">
        <v>1841</v>
      </c>
      <c r="D296" s="635" t="s">
        <v>4133</v>
      </c>
      <c r="E296" s="635" t="s">
        <v>4133</v>
      </c>
      <c r="F296" s="1056" t="s">
        <v>4200</v>
      </c>
      <c r="G296" s="1051" t="s">
        <v>4201</v>
      </c>
      <c r="H296" s="635" t="s">
        <v>1841</v>
      </c>
      <c r="I296" s="634" t="s">
        <v>4135</v>
      </c>
      <c r="J296" s="391"/>
    </row>
    <row r="297" spans="1:10" ht="12.75" customHeight="1">
      <c r="A297" s="638" t="s">
        <v>387</v>
      </c>
      <c r="B297" s="639"/>
      <c r="C297" s="638">
        <v>2015</v>
      </c>
      <c r="D297" s="638">
        <v>2016</v>
      </c>
      <c r="E297" s="638">
        <v>2017</v>
      </c>
      <c r="F297" s="1057"/>
      <c r="G297" s="1052"/>
      <c r="H297" s="638">
        <v>2014</v>
      </c>
      <c r="I297" s="638" t="s">
        <v>4303</v>
      </c>
      <c r="J297" s="391"/>
    </row>
    <row r="298" spans="1:10" ht="12.75" customHeight="1">
      <c r="A298" s="646" t="s">
        <v>534</v>
      </c>
      <c r="B298" s="646" t="s">
        <v>1693</v>
      </c>
      <c r="C298" s="641">
        <v>85851300.150000006</v>
      </c>
      <c r="D298" s="641">
        <v>103833599.99999999</v>
      </c>
      <c r="E298" s="641">
        <v>103833599.99999999</v>
      </c>
      <c r="F298" s="647">
        <f>SUM(C298:E298)</f>
        <v>293518500.14999998</v>
      </c>
      <c r="G298" s="641">
        <v>53438570</v>
      </c>
      <c r="H298" s="641">
        <f>8799073*12</f>
        <v>105588876</v>
      </c>
      <c r="I298" s="641" t="e">
        <f>#REF!</f>
        <v>#REF!</v>
      </c>
      <c r="J298" s="391"/>
    </row>
    <row r="299" spans="1:10" ht="12.75" customHeight="1">
      <c r="A299" s="646"/>
      <c r="B299" s="646"/>
      <c r="C299" s="641"/>
      <c r="D299" s="641"/>
      <c r="E299" s="641"/>
      <c r="F299" s="647"/>
      <c r="G299" s="641"/>
      <c r="H299" s="641"/>
      <c r="I299" s="641"/>
      <c r="J299" s="391"/>
    </row>
    <row r="300" spans="1:10" ht="12.75" customHeight="1">
      <c r="A300" s="646">
        <v>2</v>
      </c>
      <c r="B300" s="646" t="s">
        <v>1695</v>
      </c>
      <c r="C300" s="641">
        <v>1000000</v>
      </c>
      <c r="D300" s="641">
        <v>832000</v>
      </c>
      <c r="E300" s="641">
        <v>832000</v>
      </c>
      <c r="F300" s="647">
        <f t="shared" ref="F300:F315" si="33">SUM(C300:E300)</f>
        <v>2664000</v>
      </c>
      <c r="G300" s="641">
        <v>135000</v>
      </c>
      <c r="H300" s="641">
        <v>848640</v>
      </c>
      <c r="I300" s="641">
        <v>520000</v>
      </c>
      <c r="J300" s="391"/>
    </row>
    <row r="301" spans="1:10" ht="12.75" customHeight="1">
      <c r="A301" s="646">
        <f t="shared" ref="A301:A315" si="34">A300+1</f>
        <v>3</v>
      </c>
      <c r="B301" s="646" t="s">
        <v>1696</v>
      </c>
      <c r="C301" s="641">
        <v>50000</v>
      </c>
      <c r="D301" s="641">
        <v>52000</v>
      </c>
      <c r="E301" s="641">
        <v>52000</v>
      </c>
      <c r="F301" s="647">
        <f t="shared" si="33"/>
        <v>154000</v>
      </c>
      <c r="G301" s="642">
        <v>0</v>
      </c>
      <c r="H301" s="641">
        <v>53040</v>
      </c>
      <c r="I301" s="642">
        <v>0</v>
      </c>
      <c r="J301" s="391"/>
    </row>
    <row r="302" spans="1:10" ht="12.75" customHeight="1">
      <c r="A302" s="646">
        <f t="shared" si="34"/>
        <v>4</v>
      </c>
      <c r="B302" s="646" t="s">
        <v>1701</v>
      </c>
      <c r="C302" s="641" t="s">
        <v>1386</v>
      </c>
      <c r="D302" s="641" t="s">
        <v>1386</v>
      </c>
      <c r="E302" s="641" t="s">
        <v>1386</v>
      </c>
      <c r="F302" s="647">
        <f t="shared" si="33"/>
        <v>0</v>
      </c>
      <c r="G302" s="642">
        <v>0</v>
      </c>
      <c r="H302" s="641" t="s">
        <v>1386</v>
      </c>
      <c r="I302" s="642" t="s">
        <v>1386</v>
      </c>
      <c r="J302" s="391"/>
    </row>
    <row r="303" spans="1:10" ht="12.75" customHeight="1">
      <c r="A303" s="646">
        <f t="shared" si="34"/>
        <v>5</v>
      </c>
      <c r="B303" s="646" t="s">
        <v>1702</v>
      </c>
      <c r="C303" s="641">
        <v>100000</v>
      </c>
      <c r="D303" s="641">
        <v>832000</v>
      </c>
      <c r="E303" s="641">
        <v>832000</v>
      </c>
      <c r="F303" s="647">
        <f t="shared" si="33"/>
        <v>1764000</v>
      </c>
      <c r="G303" s="641">
        <v>174800</v>
      </c>
      <c r="H303" s="641">
        <v>848640</v>
      </c>
      <c r="I303" s="641">
        <v>350000</v>
      </c>
      <c r="J303" s="391"/>
    </row>
    <row r="304" spans="1:10" ht="12.75" customHeight="1">
      <c r="A304" s="646">
        <f t="shared" si="34"/>
        <v>6</v>
      </c>
      <c r="B304" s="646" t="s">
        <v>1544</v>
      </c>
      <c r="C304" s="641">
        <v>800000</v>
      </c>
      <c r="D304" s="641">
        <v>416000</v>
      </c>
      <c r="E304" s="641">
        <v>416000</v>
      </c>
      <c r="F304" s="647">
        <f t="shared" si="33"/>
        <v>1632000</v>
      </c>
      <c r="G304" s="641">
        <v>0</v>
      </c>
      <c r="H304" s="641">
        <v>424320</v>
      </c>
      <c r="I304" s="641">
        <v>30000</v>
      </c>
      <c r="J304" s="391"/>
    </row>
    <row r="305" spans="1:11" ht="12.75" customHeight="1">
      <c r="A305" s="646">
        <f t="shared" si="34"/>
        <v>7</v>
      </c>
      <c r="B305" s="646" t="s">
        <v>897</v>
      </c>
      <c r="C305" s="641">
        <v>500000</v>
      </c>
      <c r="D305" s="641">
        <v>1560000</v>
      </c>
      <c r="E305" s="641">
        <v>1560000</v>
      </c>
      <c r="F305" s="647">
        <f t="shared" si="33"/>
        <v>3620000</v>
      </c>
      <c r="G305" s="641">
        <v>92000</v>
      </c>
      <c r="H305" s="641">
        <v>1591200</v>
      </c>
      <c r="I305" s="641">
        <v>140000</v>
      </c>
      <c r="J305" s="391"/>
    </row>
    <row r="306" spans="1:11" ht="12.75" customHeight="1">
      <c r="A306" s="646">
        <f t="shared" si="34"/>
        <v>8</v>
      </c>
      <c r="B306" s="646" t="s">
        <v>1385</v>
      </c>
      <c r="C306" s="641" t="s">
        <v>1386</v>
      </c>
      <c r="D306" s="641" t="s">
        <v>1386</v>
      </c>
      <c r="E306" s="641" t="s">
        <v>1386</v>
      </c>
      <c r="F306" s="647">
        <f t="shared" si="33"/>
        <v>0</v>
      </c>
      <c r="G306" s="642">
        <v>0</v>
      </c>
      <c r="H306" s="641" t="s">
        <v>1386</v>
      </c>
      <c r="I306" s="642" t="s">
        <v>1386</v>
      </c>
      <c r="J306" s="391"/>
    </row>
    <row r="307" spans="1:11" ht="12.75" customHeight="1">
      <c r="A307" s="646">
        <f t="shared" si="34"/>
        <v>9</v>
      </c>
      <c r="B307" s="646" t="s">
        <v>2061</v>
      </c>
      <c r="C307" s="641" t="s">
        <v>1386</v>
      </c>
      <c r="D307" s="641" t="s">
        <v>1386</v>
      </c>
      <c r="E307" s="641" t="s">
        <v>1386</v>
      </c>
      <c r="F307" s="647">
        <f t="shared" si="33"/>
        <v>0</v>
      </c>
      <c r="G307" s="642">
        <v>0</v>
      </c>
      <c r="H307" s="641" t="s">
        <v>1386</v>
      </c>
      <c r="I307" s="642" t="s">
        <v>1386</v>
      </c>
      <c r="J307" s="391"/>
    </row>
    <row r="308" spans="1:11" ht="12.75" customHeight="1">
      <c r="A308" s="646">
        <f t="shared" si="34"/>
        <v>10</v>
      </c>
      <c r="B308" s="646" t="s">
        <v>1680</v>
      </c>
      <c r="C308" s="641">
        <v>700000</v>
      </c>
      <c r="D308" s="641">
        <v>728000</v>
      </c>
      <c r="E308" s="641">
        <v>728000</v>
      </c>
      <c r="F308" s="647">
        <f t="shared" si="33"/>
        <v>2156000</v>
      </c>
      <c r="G308" s="642">
        <v>21000</v>
      </c>
      <c r="H308" s="641">
        <v>742560</v>
      </c>
      <c r="I308" s="642">
        <v>50000</v>
      </c>
      <c r="J308" s="391"/>
    </row>
    <row r="309" spans="1:11" ht="12.75" customHeight="1">
      <c r="A309" s="646">
        <f t="shared" si="34"/>
        <v>11</v>
      </c>
      <c r="B309" s="646" t="s">
        <v>1681</v>
      </c>
      <c r="C309" s="641">
        <v>100000</v>
      </c>
      <c r="D309" s="641">
        <v>100000</v>
      </c>
      <c r="E309" s="641">
        <v>100000</v>
      </c>
      <c r="F309" s="647">
        <f t="shared" si="33"/>
        <v>300000</v>
      </c>
      <c r="G309" s="641">
        <v>0</v>
      </c>
      <c r="H309" s="641">
        <v>106080</v>
      </c>
      <c r="I309" s="641">
        <v>1010036</v>
      </c>
      <c r="J309" s="391"/>
    </row>
    <row r="310" spans="1:11" ht="12.75" customHeight="1">
      <c r="A310" s="646">
        <f t="shared" si="34"/>
        <v>12</v>
      </c>
      <c r="B310" s="646" t="s">
        <v>1682</v>
      </c>
      <c r="C310" s="641">
        <v>3000000</v>
      </c>
      <c r="D310" s="641">
        <v>1040000</v>
      </c>
      <c r="E310" s="641">
        <v>1040000</v>
      </c>
      <c r="F310" s="647">
        <f t="shared" si="33"/>
        <v>5080000</v>
      </c>
      <c r="G310" s="641">
        <v>120837.5</v>
      </c>
      <c r="H310" s="641">
        <f>1060800-167440</f>
        <v>893360</v>
      </c>
      <c r="I310" s="641">
        <v>0</v>
      </c>
      <c r="J310" s="391"/>
    </row>
    <row r="311" spans="1:11" ht="12.75" customHeight="1">
      <c r="A311" s="646">
        <f t="shared" si="34"/>
        <v>13</v>
      </c>
      <c r="B311" s="646" t="s">
        <v>2249</v>
      </c>
      <c r="C311" s="641" t="s">
        <v>1386</v>
      </c>
      <c r="D311" s="641" t="s">
        <v>1386</v>
      </c>
      <c r="E311" s="641" t="s">
        <v>1386</v>
      </c>
      <c r="F311" s="647">
        <f t="shared" si="33"/>
        <v>0</v>
      </c>
      <c r="G311" s="641">
        <v>0</v>
      </c>
      <c r="H311" s="641" t="s">
        <v>1386</v>
      </c>
      <c r="I311" s="641">
        <v>0</v>
      </c>
      <c r="J311" s="391"/>
    </row>
    <row r="312" spans="1:11" ht="12.75" customHeight="1">
      <c r="A312" s="646">
        <f t="shared" si="34"/>
        <v>14</v>
      </c>
      <c r="B312" s="646" t="s">
        <v>1683</v>
      </c>
      <c r="C312" s="641">
        <v>500000</v>
      </c>
      <c r="D312" s="641">
        <v>832000</v>
      </c>
      <c r="E312" s="641">
        <v>832000</v>
      </c>
      <c r="F312" s="647">
        <f t="shared" si="33"/>
        <v>2164000</v>
      </c>
      <c r="G312" s="641">
        <v>0</v>
      </c>
      <c r="H312" s="641">
        <v>848640</v>
      </c>
      <c r="I312" s="641">
        <v>0</v>
      </c>
      <c r="J312" s="391"/>
    </row>
    <row r="313" spans="1:11" ht="12.75" customHeight="1">
      <c r="A313" s="646">
        <f t="shared" si="34"/>
        <v>15</v>
      </c>
      <c r="B313" s="646" t="s">
        <v>654</v>
      </c>
      <c r="C313" s="641">
        <v>200000</v>
      </c>
      <c r="D313" s="641">
        <v>832000</v>
      </c>
      <c r="E313" s="641">
        <v>832000</v>
      </c>
      <c r="F313" s="647">
        <f t="shared" si="33"/>
        <v>1864000</v>
      </c>
      <c r="G313" s="641">
        <v>0</v>
      </c>
      <c r="H313" s="641">
        <v>848640</v>
      </c>
      <c r="I313" s="641">
        <v>0</v>
      </c>
      <c r="J313" s="391"/>
    </row>
    <row r="314" spans="1:11" ht="12.75" customHeight="1">
      <c r="A314" s="646">
        <f t="shared" si="34"/>
        <v>16</v>
      </c>
      <c r="B314" s="646" t="s">
        <v>655</v>
      </c>
      <c r="C314" s="641">
        <v>350000</v>
      </c>
      <c r="D314" s="641">
        <v>624000</v>
      </c>
      <c r="E314" s="641">
        <v>624000</v>
      </c>
      <c r="F314" s="647">
        <f t="shared" si="33"/>
        <v>1598000</v>
      </c>
      <c r="G314" s="641">
        <v>0</v>
      </c>
      <c r="H314" s="641">
        <v>636480</v>
      </c>
      <c r="I314" s="641">
        <v>0</v>
      </c>
      <c r="J314" s="391"/>
    </row>
    <row r="315" spans="1:11" ht="12.75" customHeight="1">
      <c r="A315" s="646">
        <f t="shared" si="34"/>
        <v>17</v>
      </c>
      <c r="B315" s="646" t="s">
        <v>823</v>
      </c>
      <c r="C315" s="641">
        <v>200000</v>
      </c>
      <c r="D315" s="641">
        <v>520000</v>
      </c>
      <c r="E315" s="641">
        <v>520000</v>
      </c>
      <c r="F315" s="647">
        <f t="shared" si="33"/>
        <v>1240000</v>
      </c>
      <c r="G315" s="641">
        <v>0</v>
      </c>
      <c r="H315" s="641">
        <v>530400</v>
      </c>
      <c r="I315" s="641">
        <v>0</v>
      </c>
      <c r="J315" s="391"/>
    </row>
    <row r="316" spans="1:11" ht="12.75" customHeight="1">
      <c r="A316" s="646"/>
      <c r="B316" s="646"/>
      <c r="C316" s="641"/>
      <c r="D316" s="641"/>
      <c r="E316" s="641"/>
      <c r="F316" s="647"/>
      <c r="G316" s="642"/>
      <c r="H316" s="641"/>
      <c r="I316" s="642"/>
      <c r="J316" s="391"/>
    </row>
    <row r="317" spans="1:11" ht="12.75" customHeight="1">
      <c r="A317" s="646" t="s">
        <v>3350</v>
      </c>
      <c r="B317" s="651" t="s">
        <v>819</v>
      </c>
      <c r="C317" s="652">
        <f t="shared" ref="C317:I317" si="35">SUM(C300:C315)</f>
        <v>7500000</v>
      </c>
      <c r="D317" s="652">
        <f t="shared" si="35"/>
        <v>8368000</v>
      </c>
      <c r="E317" s="652">
        <f t="shared" si="35"/>
        <v>8368000</v>
      </c>
      <c r="F317" s="652">
        <f t="shared" si="35"/>
        <v>24236000</v>
      </c>
      <c r="G317" s="652">
        <f t="shared" si="35"/>
        <v>543637.5</v>
      </c>
      <c r="H317" s="652">
        <f>SUM(H300:H315)</f>
        <v>8372000</v>
      </c>
      <c r="I317" s="652">
        <f t="shared" si="35"/>
        <v>2100036</v>
      </c>
      <c r="J317" s="391"/>
      <c r="K317" s="657">
        <f>8372000-H317</f>
        <v>0</v>
      </c>
    </row>
    <row r="318" spans="1:11" ht="12.75" customHeight="1">
      <c r="A318" s="646"/>
      <c r="B318" s="646"/>
      <c r="C318" s="641"/>
      <c r="D318" s="641"/>
      <c r="E318" s="641"/>
      <c r="F318" s="647"/>
      <c r="G318" s="641"/>
      <c r="H318" s="641"/>
      <c r="I318" s="391"/>
      <c r="J318" s="391"/>
    </row>
    <row r="319" spans="1:11" ht="12.75" customHeight="1">
      <c r="A319" s="653"/>
      <c r="B319" s="653" t="s">
        <v>1684</v>
      </c>
      <c r="C319" s="645">
        <f t="shared" ref="C319:I319" si="36">+C317+C298</f>
        <v>93351300.150000006</v>
      </c>
      <c r="D319" s="645">
        <f t="shared" si="36"/>
        <v>112201599.99999999</v>
      </c>
      <c r="E319" s="645">
        <f t="shared" si="36"/>
        <v>112201599.99999999</v>
      </c>
      <c r="F319" s="645">
        <f t="shared" si="36"/>
        <v>317754500.14999998</v>
      </c>
      <c r="G319" s="645">
        <f t="shared" si="36"/>
        <v>53982207.5</v>
      </c>
      <c r="H319" s="645">
        <f>+H317+H298</f>
        <v>113960876</v>
      </c>
      <c r="I319" s="645" t="e">
        <f t="shared" si="36"/>
        <v>#REF!</v>
      </c>
      <c r="J319" s="391"/>
    </row>
    <row r="320" spans="1:11" ht="12.75" customHeight="1">
      <c r="A320" s="391"/>
      <c r="B320" s="391"/>
      <c r="C320" s="647"/>
      <c r="D320" s="647"/>
      <c r="E320" s="647"/>
      <c r="F320" s="647"/>
      <c r="G320" s="647"/>
      <c r="H320" s="647"/>
      <c r="I320" s="391"/>
      <c r="J320" s="391"/>
    </row>
    <row r="321" spans="1:10" ht="12.75" customHeight="1">
      <c r="A321" s="391"/>
      <c r="B321" s="391"/>
      <c r="C321" s="647"/>
      <c r="D321" s="308" t="s">
        <v>5434</v>
      </c>
      <c r="E321" s="647"/>
      <c r="F321" s="647"/>
      <c r="H321" s="647"/>
      <c r="I321" s="391"/>
      <c r="J321" s="391"/>
    </row>
    <row r="322" spans="1:10" ht="12.75" customHeight="1">
      <c r="A322" s="655"/>
      <c r="B322" s="633"/>
      <c r="C322" s="655"/>
      <c r="D322" s="308" t="s">
        <v>716</v>
      </c>
      <c r="E322" s="655"/>
      <c r="F322" s="647"/>
      <c r="H322" s="655"/>
      <c r="I322" s="391"/>
      <c r="J322" s="391"/>
    </row>
    <row r="323" spans="1:10" ht="12.75" customHeight="1">
      <c r="A323" s="655"/>
      <c r="B323" s="633"/>
      <c r="C323" s="655"/>
      <c r="D323" s="308" t="s">
        <v>3865</v>
      </c>
      <c r="E323" s="655"/>
      <c r="F323" s="647"/>
      <c r="H323" s="655"/>
      <c r="I323" s="391"/>
      <c r="J323" s="391"/>
    </row>
    <row r="324" spans="1:10" ht="12.75" customHeight="1">
      <c r="A324" s="655"/>
      <c r="B324" s="655"/>
      <c r="C324" s="655"/>
      <c r="D324" s="307" t="s">
        <v>3351</v>
      </c>
      <c r="E324" s="655"/>
      <c r="F324" s="647"/>
      <c r="H324" s="655"/>
      <c r="I324" s="391"/>
      <c r="J324" s="391"/>
    </row>
    <row r="325" spans="1:10" ht="12.75" customHeight="1">
      <c r="A325" s="634" t="s">
        <v>1839</v>
      </c>
      <c r="B325" s="635" t="s">
        <v>903</v>
      </c>
      <c r="C325" s="1037" t="s">
        <v>4127</v>
      </c>
      <c r="D325" s="1038"/>
      <c r="E325" s="1039"/>
      <c r="F325" s="635" t="s">
        <v>1684</v>
      </c>
      <c r="G325" s="1037" t="s">
        <v>4132</v>
      </c>
      <c r="H325" s="1038"/>
      <c r="I325" s="1039"/>
      <c r="J325" s="391"/>
    </row>
    <row r="326" spans="1:10" ht="12.75" customHeight="1">
      <c r="A326" s="636" t="s">
        <v>1620</v>
      </c>
      <c r="B326" s="637"/>
      <c r="C326" s="635" t="s">
        <v>1841</v>
      </c>
      <c r="D326" s="635" t="s">
        <v>4133</v>
      </c>
      <c r="E326" s="635" t="s">
        <v>4133</v>
      </c>
      <c r="F326" s="1056" t="s">
        <v>4200</v>
      </c>
      <c r="G326" s="1051" t="s">
        <v>4201</v>
      </c>
      <c r="H326" s="635" t="s">
        <v>1841</v>
      </c>
      <c r="I326" s="634" t="s">
        <v>4135</v>
      </c>
      <c r="J326" s="391"/>
    </row>
    <row r="327" spans="1:10" ht="12.75" customHeight="1">
      <c r="A327" s="638" t="s">
        <v>387</v>
      </c>
      <c r="B327" s="639"/>
      <c r="C327" s="638">
        <v>2015</v>
      </c>
      <c r="D327" s="638">
        <v>2016</v>
      </c>
      <c r="E327" s="638">
        <v>2017</v>
      </c>
      <c r="F327" s="1057"/>
      <c r="G327" s="1052"/>
      <c r="H327" s="638">
        <v>2014</v>
      </c>
      <c r="I327" s="638" t="s">
        <v>4303</v>
      </c>
      <c r="J327" s="391"/>
    </row>
    <row r="328" spans="1:10" ht="12.75" customHeight="1">
      <c r="A328" s="646" t="s">
        <v>3352</v>
      </c>
      <c r="B328" s="646" t="s">
        <v>1693</v>
      </c>
      <c r="C328" s="641">
        <v>10000000</v>
      </c>
      <c r="D328" s="641">
        <v>10400000</v>
      </c>
      <c r="E328" s="641">
        <v>10400000</v>
      </c>
      <c r="F328" s="647">
        <f>SUM(C328:E328)</f>
        <v>30800000</v>
      </c>
      <c r="G328" s="641">
        <v>5622534</v>
      </c>
      <c r="H328" s="641">
        <v>10400000</v>
      </c>
      <c r="I328" s="641" t="e">
        <f>#REF!</f>
        <v>#REF!</v>
      </c>
      <c r="J328" s="391"/>
    </row>
    <row r="329" spans="1:10" ht="12.75" customHeight="1">
      <c r="A329" s="646"/>
      <c r="B329" s="646"/>
      <c r="C329" s="641"/>
      <c r="D329" s="641"/>
      <c r="E329" s="641"/>
      <c r="F329" s="647"/>
      <c r="G329" s="641"/>
      <c r="H329" s="641"/>
      <c r="I329" s="641"/>
      <c r="J329" s="391"/>
    </row>
    <row r="330" spans="1:10" ht="12.75" customHeight="1">
      <c r="A330" s="646">
        <v>2</v>
      </c>
      <c r="B330" s="646" t="s">
        <v>1695</v>
      </c>
      <c r="C330" s="641">
        <v>200000</v>
      </c>
      <c r="D330" s="641">
        <v>832000</v>
      </c>
      <c r="E330" s="641">
        <v>832000</v>
      </c>
      <c r="F330" s="647">
        <f t="shared" ref="F330:F342" si="37">SUM(C330:E330)</f>
        <v>1864000</v>
      </c>
      <c r="G330" s="641">
        <v>300000</v>
      </c>
      <c r="H330" s="641">
        <v>848640</v>
      </c>
      <c r="I330" s="641">
        <v>121000</v>
      </c>
      <c r="J330" s="391"/>
    </row>
    <row r="331" spans="1:10" ht="12.75" customHeight="1">
      <c r="A331" s="646">
        <f t="shared" ref="A331:A342" si="38">A330+1</f>
        <v>3</v>
      </c>
      <c r="B331" s="646" t="s">
        <v>1696</v>
      </c>
      <c r="C331" s="642">
        <v>100000</v>
      </c>
      <c r="D331" s="641">
        <v>104000</v>
      </c>
      <c r="E331" s="641">
        <v>104000</v>
      </c>
      <c r="F331" s="647">
        <f t="shared" si="37"/>
        <v>308000</v>
      </c>
      <c r="G331" s="642">
        <v>0</v>
      </c>
      <c r="H331" s="641">
        <v>106080</v>
      </c>
      <c r="I331" s="642">
        <v>0</v>
      </c>
      <c r="J331" s="391"/>
    </row>
    <row r="332" spans="1:10" ht="12.75" customHeight="1">
      <c r="A332" s="646">
        <f t="shared" si="38"/>
        <v>4</v>
      </c>
      <c r="B332" s="646" t="s">
        <v>1701</v>
      </c>
      <c r="C332" s="642" t="s">
        <v>1386</v>
      </c>
      <c r="D332" s="642" t="s">
        <v>1386</v>
      </c>
      <c r="E332" s="642" t="s">
        <v>1386</v>
      </c>
      <c r="F332" s="647">
        <f t="shared" si="37"/>
        <v>0</v>
      </c>
      <c r="G332" s="642">
        <v>0</v>
      </c>
      <c r="H332" s="642" t="s">
        <v>1386</v>
      </c>
      <c r="I332" s="642" t="s">
        <v>1386</v>
      </c>
      <c r="J332" s="391"/>
    </row>
    <row r="333" spans="1:10" ht="12.75" customHeight="1">
      <c r="A333" s="646">
        <f t="shared" si="38"/>
        <v>5</v>
      </c>
      <c r="B333" s="646" t="s">
        <v>1702</v>
      </c>
      <c r="C333" s="641">
        <v>1000000</v>
      </c>
      <c r="D333" s="641">
        <v>312000</v>
      </c>
      <c r="E333" s="641">
        <v>312000</v>
      </c>
      <c r="F333" s="647">
        <f t="shared" si="37"/>
        <v>1624000</v>
      </c>
      <c r="G333" s="642">
        <v>250000</v>
      </c>
      <c r="H333" s="641">
        <v>318240</v>
      </c>
      <c r="I333" s="642">
        <v>318000</v>
      </c>
      <c r="J333" s="391"/>
    </row>
    <row r="334" spans="1:10" ht="12.75" customHeight="1">
      <c r="A334" s="646">
        <f t="shared" si="38"/>
        <v>6</v>
      </c>
      <c r="B334" s="646" t="s">
        <v>1544</v>
      </c>
      <c r="C334" s="641">
        <v>1000000</v>
      </c>
      <c r="D334" s="641">
        <v>520000</v>
      </c>
      <c r="E334" s="641">
        <v>520000</v>
      </c>
      <c r="F334" s="647">
        <f t="shared" si="37"/>
        <v>2040000</v>
      </c>
      <c r="G334" s="642">
        <v>450000</v>
      </c>
      <c r="H334" s="641">
        <v>530400</v>
      </c>
      <c r="I334" s="642">
        <v>440000</v>
      </c>
      <c r="J334" s="391"/>
    </row>
    <row r="335" spans="1:10" ht="12.75" customHeight="1">
      <c r="A335" s="646">
        <f t="shared" si="38"/>
        <v>7</v>
      </c>
      <c r="B335" s="646" t="s">
        <v>897</v>
      </c>
      <c r="C335" s="641">
        <v>400000</v>
      </c>
      <c r="D335" s="641">
        <v>832000</v>
      </c>
      <c r="E335" s="641">
        <v>832000</v>
      </c>
      <c r="F335" s="647">
        <f t="shared" si="37"/>
        <v>2064000</v>
      </c>
      <c r="G335" s="642">
        <v>445000</v>
      </c>
      <c r="H335" s="641">
        <v>848640</v>
      </c>
      <c r="I335" s="642">
        <v>330000</v>
      </c>
      <c r="J335" s="391"/>
    </row>
    <row r="336" spans="1:10" ht="12.75" customHeight="1">
      <c r="A336" s="646">
        <f t="shared" si="38"/>
        <v>8</v>
      </c>
      <c r="B336" s="646" t="s">
        <v>1385</v>
      </c>
      <c r="C336" s="642" t="s">
        <v>1386</v>
      </c>
      <c r="D336" s="642" t="s">
        <v>1386</v>
      </c>
      <c r="E336" s="642" t="s">
        <v>1386</v>
      </c>
      <c r="F336" s="647">
        <f t="shared" si="37"/>
        <v>0</v>
      </c>
      <c r="G336" s="642">
        <v>0</v>
      </c>
      <c r="H336" s="642" t="s">
        <v>1386</v>
      </c>
      <c r="I336" s="642" t="s">
        <v>1386</v>
      </c>
      <c r="J336" s="391"/>
    </row>
    <row r="337" spans="1:11" ht="12.75" customHeight="1">
      <c r="A337" s="646">
        <f t="shared" si="38"/>
        <v>9</v>
      </c>
      <c r="B337" s="646" t="s">
        <v>2061</v>
      </c>
      <c r="C337" s="642" t="s">
        <v>1386</v>
      </c>
      <c r="D337" s="642" t="s">
        <v>1386</v>
      </c>
      <c r="E337" s="642" t="s">
        <v>1386</v>
      </c>
      <c r="F337" s="647">
        <f t="shared" si="37"/>
        <v>0</v>
      </c>
      <c r="G337" s="642">
        <v>0</v>
      </c>
      <c r="H337" s="642" t="s">
        <v>1386</v>
      </c>
      <c r="I337" s="642" t="s">
        <v>1386</v>
      </c>
      <c r="J337" s="391"/>
    </row>
    <row r="338" spans="1:11" ht="12.75" customHeight="1">
      <c r="A338" s="646">
        <f t="shared" si="38"/>
        <v>10</v>
      </c>
      <c r="B338" s="646" t="s">
        <v>1680</v>
      </c>
      <c r="C338" s="641">
        <v>100000</v>
      </c>
      <c r="D338" s="641">
        <v>728000</v>
      </c>
      <c r="E338" s="641">
        <v>728000</v>
      </c>
      <c r="F338" s="647">
        <f t="shared" si="37"/>
        <v>1556000</v>
      </c>
      <c r="G338" s="642">
        <v>90000</v>
      </c>
      <c r="H338" s="641">
        <v>742560</v>
      </c>
      <c r="I338" s="642">
        <v>85000</v>
      </c>
      <c r="J338" s="391"/>
    </row>
    <row r="339" spans="1:11" ht="12.75" customHeight="1">
      <c r="A339" s="646">
        <f t="shared" si="38"/>
        <v>11</v>
      </c>
      <c r="B339" s="646" t="s">
        <v>1681</v>
      </c>
      <c r="C339" s="641">
        <v>100000</v>
      </c>
      <c r="D339" s="641">
        <v>104000</v>
      </c>
      <c r="E339" s="641">
        <v>104000</v>
      </c>
      <c r="F339" s="647">
        <f t="shared" si="37"/>
        <v>308000</v>
      </c>
      <c r="G339" s="642">
        <v>80000</v>
      </c>
      <c r="H339" s="641">
        <v>106080</v>
      </c>
      <c r="I339" s="642">
        <v>0</v>
      </c>
      <c r="J339" s="391"/>
    </row>
    <row r="340" spans="1:11" ht="12.75" customHeight="1">
      <c r="A340" s="646">
        <f t="shared" si="38"/>
        <v>12</v>
      </c>
      <c r="B340" s="646" t="s">
        <v>1682</v>
      </c>
      <c r="C340" s="641">
        <v>2000000</v>
      </c>
      <c r="D340" s="641">
        <v>1040000</v>
      </c>
      <c r="E340" s="641">
        <v>1040000</v>
      </c>
      <c r="F340" s="647">
        <f t="shared" si="37"/>
        <v>4080000</v>
      </c>
      <c r="G340" s="642">
        <v>715000</v>
      </c>
      <c r="H340" s="641">
        <f>1060800-106080</f>
        <v>954720</v>
      </c>
      <c r="I340" s="642">
        <v>668000</v>
      </c>
      <c r="J340" s="391"/>
    </row>
    <row r="341" spans="1:11" ht="12.75" customHeight="1">
      <c r="A341" s="646">
        <f t="shared" si="38"/>
        <v>13</v>
      </c>
      <c r="B341" s="646" t="s">
        <v>2249</v>
      </c>
      <c r="C341" s="641">
        <v>100000</v>
      </c>
      <c r="D341" s="641">
        <v>104000</v>
      </c>
      <c r="E341" s="641">
        <v>104000</v>
      </c>
      <c r="F341" s="647">
        <f t="shared" si="37"/>
        <v>308000</v>
      </c>
      <c r="G341" s="642">
        <v>0</v>
      </c>
      <c r="H341" s="641">
        <v>106080</v>
      </c>
      <c r="I341" s="642">
        <v>0</v>
      </c>
      <c r="J341" s="391"/>
    </row>
    <row r="342" spans="1:11" ht="12.75" customHeight="1">
      <c r="A342" s="646">
        <f t="shared" si="38"/>
        <v>14</v>
      </c>
      <c r="B342" s="646" t="s">
        <v>1717</v>
      </c>
      <c r="C342" s="641">
        <v>500000</v>
      </c>
      <c r="D342" s="641">
        <v>728000</v>
      </c>
      <c r="E342" s="641">
        <v>728000</v>
      </c>
      <c r="F342" s="647">
        <f t="shared" si="37"/>
        <v>1956000</v>
      </c>
      <c r="G342" s="642">
        <v>70000</v>
      </c>
      <c r="H342" s="641">
        <v>742560</v>
      </c>
      <c r="I342" s="642">
        <v>0</v>
      </c>
      <c r="J342" s="391"/>
    </row>
    <row r="343" spans="1:11" ht="12.75" customHeight="1">
      <c r="A343" s="646"/>
      <c r="B343" s="646"/>
      <c r="C343" s="642"/>
      <c r="D343" s="642"/>
      <c r="E343" s="642"/>
      <c r="F343" s="647"/>
      <c r="G343" s="642"/>
      <c r="H343" s="642"/>
      <c r="I343" s="391"/>
      <c r="J343" s="391"/>
    </row>
    <row r="344" spans="1:11" ht="12.75" customHeight="1">
      <c r="A344" s="646" t="s">
        <v>3353</v>
      </c>
      <c r="B344" s="651" t="s">
        <v>819</v>
      </c>
      <c r="C344" s="652">
        <f t="shared" ref="C344:I344" si="39">SUM(C330:C343)</f>
        <v>5500000</v>
      </c>
      <c r="D344" s="652">
        <f t="shared" si="39"/>
        <v>5304000</v>
      </c>
      <c r="E344" s="652">
        <f t="shared" si="39"/>
        <v>5304000</v>
      </c>
      <c r="F344" s="652">
        <f t="shared" si="39"/>
        <v>16108000</v>
      </c>
      <c r="G344" s="652">
        <f t="shared" si="39"/>
        <v>2400000</v>
      </c>
      <c r="H344" s="652">
        <f>SUM(H330:H343)</f>
        <v>5304000</v>
      </c>
      <c r="I344" s="652">
        <f t="shared" si="39"/>
        <v>1962000</v>
      </c>
      <c r="J344" s="391"/>
      <c r="K344" s="657">
        <f>5304000-H344</f>
        <v>0</v>
      </c>
    </row>
    <row r="345" spans="1:11" ht="12.75" customHeight="1">
      <c r="A345" s="646"/>
      <c r="B345" s="646"/>
      <c r="C345" s="641"/>
      <c r="D345" s="641"/>
      <c r="E345" s="641"/>
      <c r="F345" s="647"/>
      <c r="G345" s="641"/>
      <c r="H345" s="641"/>
      <c r="I345" s="391"/>
      <c r="J345" s="391"/>
    </row>
    <row r="346" spans="1:11" ht="12.75" customHeight="1">
      <c r="A346" s="653"/>
      <c r="B346" s="653" t="s">
        <v>1684</v>
      </c>
      <c r="C346" s="645">
        <f t="shared" ref="C346:I346" si="40">+C344+C328</f>
        <v>15500000</v>
      </c>
      <c r="D346" s="645">
        <f t="shared" si="40"/>
        <v>15704000</v>
      </c>
      <c r="E346" s="645">
        <f t="shared" si="40"/>
        <v>15704000</v>
      </c>
      <c r="F346" s="645">
        <f t="shared" si="40"/>
        <v>46908000</v>
      </c>
      <c r="G346" s="645">
        <f t="shared" si="40"/>
        <v>8022534</v>
      </c>
      <c r="H346" s="645">
        <f>+H344+H328</f>
        <v>15704000</v>
      </c>
      <c r="I346" s="645" t="e">
        <f t="shared" si="40"/>
        <v>#REF!</v>
      </c>
      <c r="J346" s="391"/>
    </row>
    <row r="347" spans="1:11" ht="12.75" customHeight="1">
      <c r="A347" s="391"/>
      <c r="B347" s="391"/>
      <c r="C347" s="647"/>
      <c r="D347" s="647"/>
      <c r="E347" s="647"/>
      <c r="F347" s="647"/>
      <c r="G347" s="647"/>
      <c r="H347" s="647"/>
      <c r="I347" s="391"/>
      <c r="J347" s="391"/>
    </row>
    <row r="348" spans="1:11" ht="12.75" customHeight="1">
      <c r="A348" s="391"/>
      <c r="B348" s="391"/>
      <c r="C348" s="647"/>
      <c r="D348" s="308" t="s">
        <v>5434</v>
      </c>
      <c r="E348" s="647"/>
      <c r="F348" s="647"/>
      <c r="H348" s="647"/>
      <c r="I348" s="391"/>
      <c r="J348" s="391"/>
    </row>
    <row r="349" spans="1:11" ht="12.75" customHeight="1">
      <c r="A349" s="655"/>
      <c r="B349" s="633"/>
      <c r="C349" s="655"/>
      <c r="D349" s="308" t="s">
        <v>716</v>
      </c>
      <c r="E349" s="655"/>
      <c r="F349" s="647"/>
      <c r="H349" s="655"/>
      <c r="I349" s="391"/>
      <c r="J349" s="391"/>
    </row>
    <row r="350" spans="1:11" ht="12.75" customHeight="1">
      <c r="A350" s="655"/>
      <c r="B350" s="633"/>
      <c r="C350" s="655"/>
      <c r="D350" s="308" t="s">
        <v>4206</v>
      </c>
      <c r="E350" s="655"/>
      <c r="F350" s="647"/>
      <c r="H350" s="655"/>
      <c r="I350" s="391"/>
      <c r="J350" s="391"/>
    </row>
    <row r="351" spans="1:11" ht="12.75" customHeight="1">
      <c r="A351" s="655"/>
      <c r="B351" s="655"/>
      <c r="C351" s="655"/>
      <c r="D351" s="307" t="s">
        <v>3354</v>
      </c>
      <c r="E351" s="655"/>
      <c r="F351" s="647"/>
      <c r="H351" s="655"/>
      <c r="I351" s="391"/>
      <c r="J351" s="391"/>
    </row>
    <row r="352" spans="1:11" ht="12.75" customHeight="1">
      <c r="A352" s="634" t="s">
        <v>1839</v>
      </c>
      <c r="B352" s="635" t="s">
        <v>903</v>
      </c>
      <c r="C352" s="1037" t="s">
        <v>4127</v>
      </c>
      <c r="D352" s="1038"/>
      <c r="E352" s="1039"/>
      <c r="F352" s="635" t="s">
        <v>1684</v>
      </c>
      <c r="G352" s="1037" t="s">
        <v>4132</v>
      </c>
      <c r="H352" s="1038"/>
      <c r="I352" s="1039"/>
      <c r="J352" s="391"/>
    </row>
    <row r="353" spans="1:10" ht="12.75" customHeight="1">
      <c r="A353" s="636" t="s">
        <v>1620</v>
      </c>
      <c r="B353" s="637"/>
      <c r="C353" s="635" t="s">
        <v>1841</v>
      </c>
      <c r="D353" s="635" t="s">
        <v>4133</v>
      </c>
      <c r="E353" s="635" t="s">
        <v>4133</v>
      </c>
      <c r="F353" s="1056" t="s">
        <v>4200</v>
      </c>
      <c r="G353" s="1051" t="s">
        <v>4201</v>
      </c>
      <c r="H353" s="635" t="s">
        <v>1841</v>
      </c>
      <c r="I353" s="634" t="s">
        <v>4135</v>
      </c>
      <c r="J353" s="391"/>
    </row>
    <row r="354" spans="1:10" ht="12.75" customHeight="1">
      <c r="A354" s="638" t="s">
        <v>387</v>
      </c>
      <c r="B354" s="639"/>
      <c r="C354" s="638">
        <v>2015</v>
      </c>
      <c r="D354" s="638">
        <v>2016</v>
      </c>
      <c r="E354" s="638">
        <v>2017</v>
      </c>
      <c r="F354" s="1057"/>
      <c r="G354" s="1052"/>
      <c r="H354" s="638">
        <v>2014</v>
      </c>
      <c r="I354" s="638" t="s">
        <v>4303</v>
      </c>
      <c r="J354" s="391"/>
    </row>
    <row r="355" spans="1:10" ht="12.75" customHeight="1">
      <c r="A355" s="646" t="s">
        <v>3355</v>
      </c>
      <c r="B355" s="646" t="s">
        <v>1693</v>
      </c>
      <c r="C355" s="641">
        <f>E355*1.02</f>
        <v>0</v>
      </c>
      <c r="D355" s="641">
        <v>0</v>
      </c>
      <c r="E355" s="641">
        <v>0</v>
      </c>
      <c r="F355" s="647">
        <f>SUM(C355:E355)</f>
        <v>0</v>
      </c>
      <c r="G355" s="641"/>
      <c r="H355" s="641">
        <v>0</v>
      </c>
      <c r="I355" s="641" t="e">
        <f>#REF!</f>
        <v>#REF!</v>
      </c>
      <c r="J355" s="391"/>
    </row>
    <row r="356" spans="1:10" ht="12.75" customHeight="1">
      <c r="A356" s="646"/>
      <c r="B356" s="646"/>
      <c r="C356" s="641"/>
      <c r="D356" s="641"/>
      <c r="E356" s="641"/>
      <c r="F356" s="647"/>
      <c r="G356" s="641"/>
      <c r="H356" s="641"/>
      <c r="I356" s="641">
        <v>0</v>
      </c>
      <c r="J356" s="391"/>
    </row>
    <row r="357" spans="1:10" ht="12.75" customHeight="1">
      <c r="A357" s="646">
        <v>2</v>
      </c>
      <c r="B357" s="646" t="s">
        <v>1695</v>
      </c>
      <c r="C357" s="641">
        <v>800000</v>
      </c>
      <c r="D357" s="641">
        <v>1248000</v>
      </c>
      <c r="E357" s="641">
        <v>1248000</v>
      </c>
      <c r="F357" s="647">
        <f t="shared" ref="F357:F370" si="41">SUM(C357:E357)</f>
        <v>3296000</v>
      </c>
      <c r="G357" s="641">
        <v>665387</v>
      </c>
      <c r="H357" s="641">
        <v>1272960</v>
      </c>
      <c r="I357" s="641">
        <v>0</v>
      </c>
      <c r="J357" s="391"/>
    </row>
    <row r="358" spans="1:10" ht="12.75" customHeight="1">
      <c r="A358" s="646">
        <f t="shared" ref="A358:A372" si="42">A357+1</f>
        <v>3</v>
      </c>
      <c r="B358" s="646" t="s">
        <v>1696</v>
      </c>
      <c r="C358" s="641" t="s">
        <v>1386</v>
      </c>
      <c r="D358" s="641" t="s">
        <v>1386</v>
      </c>
      <c r="E358" s="641" t="s">
        <v>1386</v>
      </c>
      <c r="F358" s="647">
        <f t="shared" si="41"/>
        <v>0</v>
      </c>
      <c r="G358" s="641">
        <v>36200</v>
      </c>
      <c r="H358" s="641" t="s">
        <v>1386</v>
      </c>
      <c r="I358" s="641" t="s">
        <v>1386</v>
      </c>
      <c r="J358" s="391"/>
    </row>
    <row r="359" spans="1:10" ht="12.75" customHeight="1">
      <c r="A359" s="646">
        <f t="shared" si="42"/>
        <v>4</v>
      </c>
      <c r="B359" s="646" t="s">
        <v>1701</v>
      </c>
      <c r="C359" s="641" t="s">
        <v>1386</v>
      </c>
      <c r="D359" s="641">
        <v>312000</v>
      </c>
      <c r="E359" s="641">
        <v>312000</v>
      </c>
      <c r="F359" s="647">
        <f t="shared" si="41"/>
        <v>624000</v>
      </c>
      <c r="G359" s="641"/>
      <c r="H359" s="641">
        <v>318240</v>
      </c>
      <c r="I359" s="641" t="s">
        <v>1386</v>
      </c>
      <c r="J359" s="391"/>
    </row>
    <row r="360" spans="1:10" ht="12.75" customHeight="1">
      <c r="A360" s="646">
        <f t="shared" si="42"/>
        <v>5</v>
      </c>
      <c r="B360" s="646" t="s">
        <v>1702</v>
      </c>
      <c r="C360" s="641">
        <v>300000</v>
      </c>
      <c r="D360" s="641">
        <v>832000</v>
      </c>
      <c r="E360" s="641">
        <v>832000</v>
      </c>
      <c r="F360" s="647">
        <f t="shared" si="41"/>
        <v>1964000</v>
      </c>
      <c r="G360" s="642">
        <v>449100</v>
      </c>
      <c r="H360" s="641">
        <v>848640</v>
      </c>
      <c r="I360" s="642">
        <v>45200</v>
      </c>
      <c r="J360" s="391"/>
    </row>
    <row r="361" spans="1:10" ht="12.75" customHeight="1">
      <c r="A361" s="646">
        <f t="shared" si="42"/>
        <v>6</v>
      </c>
      <c r="B361" s="646" t="s">
        <v>1544</v>
      </c>
      <c r="C361" s="641">
        <v>200000</v>
      </c>
      <c r="D361" s="641">
        <v>728000</v>
      </c>
      <c r="E361" s="641">
        <v>728000</v>
      </c>
      <c r="F361" s="647">
        <f t="shared" si="41"/>
        <v>1656000</v>
      </c>
      <c r="G361" s="641">
        <v>458550</v>
      </c>
      <c r="H361" s="641">
        <v>742560</v>
      </c>
      <c r="I361" s="641">
        <v>16000</v>
      </c>
      <c r="J361" s="391"/>
    </row>
    <row r="362" spans="1:10" ht="12.75" customHeight="1">
      <c r="A362" s="646">
        <f t="shared" si="42"/>
        <v>7</v>
      </c>
      <c r="B362" s="646" t="s">
        <v>897</v>
      </c>
      <c r="C362" s="641">
        <v>400000</v>
      </c>
      <c r="D362" s="641">
        <v>3120000</v>
      </c>
      <c r="E362" s="641">
        <v>3120000</v>
      </c>
      <c r="F362" s="647">
        <f t="shared" si="41"/>
        <v>6640000</v>
      </c>
      <c r="G362" s="641">
        <v>1009220</v>
      </c>
      <c r="H362" s="641">
        <v>3182400</v>
      </c>
      <c r="I362" s="641">
        <v>46727</v>
      </c>
      <c r="J362" s="391"/>
    </row>
    <row r="363" spans="1:10" ht="12.75" customHeight="1">
      <c r="A363" s="646">
        <f t="shared" si="42"/>
        <v>8</v>
      </c>
      <c r="B363" s="646" t="s">
        <v>1385</v>
      </c>
      <c r="C363" s="641" t="s">
        <v>1386</v>
      </c>
      <c r="D363" s="641" t="s">
        <v>1386</v>
      </c>
      <c r="E363" s="641" t="s">
        <v>1386</v>
      </c>
      <c r="F363" s="647">
        <f t="shared" si="41"/>
        <v>0</v>
      </c>
      <c r="G363" s="641"/>
      <c r="H363" s="641" t="s">
        <v>1386</v>
      </c>
      <c r="I363" s="641" t="s">
        <v>1386</v>
      </c>
      <c r="J363" s="391"/>
    </row>
    <row r="364" spans="1:10" ht="12.75" customHeight="1">
      <c r="A364" s="646">
        <f t="shared" si="42"/>
        <v>9</v>
      </c>
      <c r="B364" s="646" t="s">
        <v>3153</v>
      </c>
      <c r="C364" s="641" t="s">
        <v>1386</v>
      </c>
      <c r="D364" s="641" t="s">
        <v>1386</v>
      </c>
      <c r="E364" s="641" t="s">
        <v>1386</v>
      </c>
      <c r="F364" s="647">
        <f t="shared" si="41"/>
        <v>0</v>
      </c>
      <c r="G364" s="642"/>
      <c r="H364" s="641" t="s">
        <v>1386</v>
      </c>
      <c r="I364" s="642" t="s">
        <v>1386</v>
      </c>
      <c r="J364" s="391"/>
    </row>
    <row r="365" spans="1:10" ht="12.75" customHeight="1">
      <c r="A365" s="646">
        <f t="shared" si="42"/>
        <v>10</v>
      </c>
      <c r="B365" s="646" t="s">
        <v>1680</v>
      </c>
      <c r="C365" s="641">
        <v>500000</v>
      </c>
      <c r="D365" s="641">
        <v>728000</v>
      </c>
      <c r="E365" s="641">
        <v>728000</v>
      </c>
      <c r="F365" s="647">
        <f t="shared" si="41"/>
        <v>1956000</v>
      </c>
      <c r="G365" s="642">
        <v>565000</v>
      </c>
      <c r="H365" s="641">
        <v>500000</v>
      </c>
      <c r="I365" s="642">
        <v>0</v>
      </c>
      <c r="J365" s="391"/>
    </row>
    <row r="366" spans="1:10" ht="12.75" customHeight="1">
      <c r="A366" s="646">
        <f t="shared" si="42"/>
        <v>11</v>
      </c>
      <c r="B366" s="646" t="s">
        <v>1681</v>
      </c>
      <c r="C366" s="641">
        <v>100000</v>
      </c>
      <c r="D366" s="641">
        <v>104000</v>
      </c>
      <c r="E366" s="641">
        <v>104000</v>
      </c>
      <c r="F366" s="647">
        <f t="shared" si="41"/>
        <v>308000</v>
      </c>
      <c r="G366" s="641">
        <v>58100</v>
      </c>
      <c r="H366" s="641">
        <v>1000000</v>
      </c>
      <c r="I366" s="641">
        <v>0</v>
      </c>
      <c r="J366" s="391"/>
    </row>
    <row r="367" spans="1:10" ht="12.75" customHeight="1">
      <c r="A367" s="646">
        <f t="shared" si="42"/>
        <v>12</v>
      </c>
      <c r="B367" s="646" t="s">
        <v>1682</v>
      </c>
      <c r="C367" s="641">
        <v>2500000</v>
      </c>
      <c r="D367" s="641">
        <v>12480000</v>
      </c>
      <c r="E367" s="641">
        <v>12480000</v>
      </c>
      <c r="F367" s="647">
        <f t="shared" si="41"/>
        <v>27460000</v>
      </c>
      <c r="G367" s="648">
        <v>4957336.25</v>
      </c>
      <c r="H367" s="641">
        <v>12063200</v>
      </c>
      <c r="I367" s="648">
        <v>45000</v>
      </c>
      <c r="J367" s="391"/>
    </row>
    <row r="368" spans="1:10" ht="12.75" customHeight="1">
      <c r="A368" s="646">
        <f t="shared" si="42"/>
        <v>13</v>
      </c>
      <c r="B368" s="646" t="s">
        <v>2249</v>
      </c>
      <c r="C368" s="641">
        <v>100000</v>
      </c>
      <c r="D368" s="641">
        <v>104000</v>
      </c>
      <c r="E368" s="641">
        <v>104000</v>
      </c>
      <c r="F368" s="647">
        <f t="shared" si="41"/>
        <v>308000</v>
      </c>
      <c r="G368" s="641"/>
      <c r="H368" s="641">
        <v>100000</v>
      </c>
      <c r="I368" s="641">
        <v>0</v>
      </c>
      <c r="J368" s="391"/>
    </row>
    <row r="369" spans="1:10" ht="12.75" customHeight="1">
      <c r="A369" s="646">
        <f t="shared" si="42"/>
        <v>14</v>
      </c>
      <c r="B369" s="646" t="s">
        <v>1683</v>
      </c>
      <c r="C369" s="641">
        <v>300000</v>
      </c>
      <c r="D369" s="641">
        <v>832000</v>
      </c>
      <c r="E369" s="641">
        <v>832000</v>
      </c>
      <c r="F369" s="647">
        <f t="shared" si="41"/>
        <v>1964000</v>
      </c>
      <c r="G369" s="642">
        <v>15000</v>
      </c>
      <c r="H369" s="641">
        <v>500000</v>
      </c>
      <c r="I369" s="642">
        <v>0</v>
      </c>
      <c r="J369" s="391"/>
    </row>
    <row r="370" spans="1:10" ht="12.75" customHeight="1">
      <c r="A370" s="646">
        <f t="shared" si="42"/>
        <v>15</v>
      </c>
      <c r="B370" s="646" t="s">
        <v>31</v>
      </c>
      <c r="C370" s="641">
        <v>500000</v>
      </c>
      <c r="D370" s="641">
        <v>1040000</v>
      </c>
      <c r="E370" s="641">
        <v>1040000</v>
      </c>
      <c r="F370" s="647">
        <f t="shared" si="41"/>
        <v>2580000</v>
      </c>
      <c r="G370" s="642">
        <v>347400000</v>
      </c>
      <c r="H370" s="641">
        <v>1000000</v>
      </c>
      <c r="I370" s="642">
        <v>0</v>
      </c>
      <c r="J370" s="391"/>
    </row>
    <row r="371" spans="1:10" ht="12.75" customHeight="1">
      <c r="A371" s="646">
        <f t="shared" si="42"/>
        <v>16</v>
      </c>
      <c r="B371" s="646" t="s">
        <v>1591</v>
      </c>
      <c r="C371" s="641">
        <v>6100000</v>
      </c>
      <c r="D371" s="641">
        <v>6000000</v>
      </c>
      <c r="E371" s="641">
        <v>6000000</v>
      </c>
      <c r="F371" s="647"/>
      <c r="G371" s="642"/>
      <c r="H371" s="641">
        <v>6000000</v>
      </c>
      <c r="I371" s="642">
        <v>741150</v>
      </c>
      <c r="J371" s="391"/>
    </row>
    <row r="372" spans="1:10" ht="12.75" customHeight="1">
      <c r="A372" s="646">
        <f t="shared" si="42"/>
        <v>17</v>
      </c>
      <c r="B372" s="646" t="s">
        <v>4151</v>
      </c>
      <c r="C372" s="641">
        <v>3500000</v>
      </c>
      <c r="D372" s="641">
        <v>2500000</v>
      </c>
      <c r="E372" s="641">
        <v>2500000</v>
      </c>
      <c r="F372" s="647"/>
      <c r="G372" s="642"/>
      <c r="H372" s="641">
        <v>2500000</v>
      </c>
      <c r="I372" s="642">
        <v>401150</v>
      </c>
      <c r="J372" s="391"/>
    </row>
    <row r="373" spans="1:10" ht="12.75" customHeight="1">
      <c r="A373" s="646"/>
      <c r="B373" s="646"/>
      <c r="C373" s="642"/>
      <c r="D373" s="642"/>
      <c r="E373" s="642"/>
      <c r="F373" s="647"/>
      <c r="G373" s="642"/>
      <c r="H373" s="642"/>
      <c r="I373" s="642"/>
      <c r="J373" s="391"/>
    </row>
    <row r="374" spans="1:10" ht="12.75" customHeight="1">
      <c r="A374" s="646" t="s">
        <v>3356</v>
      </c>
      <c r="B374" s="651" t="s">
        <v>819</v>
      </c>
      <c r="C374" s="652">
        <f t="shared" ref="C374:I374" si="43">SUM(C357:C373)</f>
        <v>15300000</v>
      </c>
      <c r="D374" s="652">
        <f t="shared" si="43"/>
        <v>30028000</v>
      </c>
      <c r="E374" s="652">
        <f t="shared" si="43"/>
        <v>30028000</v>
      </c>
      <c r="F374" s="652">
        <f t="shared" si="43"/>
        <v>48756000</v>
      </c>
      <c r="G374" s="652">
        <f t="shared" si="43"/>
        <v>355613893.25</v>
      </c>
      <c r="H374" s="652">
        <f>SUM(H357:H373)</f>
        <v>30028000</v>
      </c>
      <c r="I374" s="652">
        <f t="shared" si="43"/>
        <v>1295227</v>
      </c>
      <c r="J374" s="391"/>
    </row>
    <row r="375" spans="1:10" ht="12.75" customHeight="1">
      <c r="A375" s="646"/>
      <c r="B375" s="646"/>
      <c r="C375" s="641"/>
      <c r="D375" s="641"/>
      <c r="E375" s="641"/>
      <c r="F375" s="647"/>
      <c r="G375" s="641"/>
      <c r="H375" s="641"/>
      <c r="I375" s="391"/>
      <c r="J375" s="391"/>
    </row>
    <row r="376" spans="1:10" ht="12.75" customHeight="1">
      <c r="A376" s="653"/>
      <c r="B376" s="653" t="s">
        <v>1684</v>
      </c>
      <c r="C376" s="645">
        <f t="shared" ref="C376:I376" si="44">+C374+C355</f>
        <v>15300000</v>
      </c>
      <c r="D376" s="645">
        <f t="shared" si="44"/>
        <v>30028000</v>
      </c>
      <c r="E376" s="645">
        <f t="shared" si="44"/>
        <v>30028000</v>
      </c>
      <c r="F376" s="645">
        <f t="shared" si="44"/>
        <v>48756000</v>
      </c>
      <c r="G376" s="645">
        <f t="shared" si="44"/>
        <v>355613893.25</v>
      </c>
      <c r="H376" s="645">
        <f>+H374+H355</f>
        <v>30028000</v>
      </c>
      <c r="I376" s="645" t="e">
        <f t="shared" si="44"/>
        <v>#REF!</v>
      </c>
      <c r="J376" s="391"/>
    </row>
    <row r="377" spans="1:10" ht="12.75" customHeight="1">
      <c r="A377" s="391"/>
      <c r="B377" s="391"/>
      <c r="C377" s="647"/>
      <c r="D377" s="647"/>
      <c r="E377" s="647"/>
      <c r="F377" s="647"/>
      <c r="G377" s="647"/>
      <c r="H377" s="647"/>
      <c r="I377" s="391"/>
      <c r="J377" s="391"/>
    </row>
    <row r="378" spans="1:10" ht="12.75">
      <c r="A378" s="391"/>
      <c r="B378" s="391"/>
      <c r="C378" s="647"/>
      <c r="D378" s="308" t="s">
        <v>5434</v>
      </c>
      <c r="E378" s="647"/>
      <c r="F378" s="647"/>
      <c r="H378" s="647"/>
      <c r="I378" s="391"/>
      <c r="J378" s="391"/>
    </row>
    <row r="379" spans="1:10" ht="12.75">
      <c r="A379" s="655"/>
      <c r="B379" s="663"/>
      <c r="C379" s="664"/>
      <c r="D379" s="308" t="s">
        <v>716</v>
      </c>
      <c r="E379" s="655"/>
      <c r="F379" s="647"/>
      <c r="H379" s="664"/>
      <c r="I379" s="391"/>
      <c r="J379" s="391"/>
    </row>
    <row r="380" spans="1:10" ht="12.75">
      <c r="A380" s="655"/>
      <c r="B380" s="633"/>
      <c r="C380" s="655"/>
      <c r="D380" s="308" t="s">
        <v>1666</v>
      </c>
      <c r="E380" s="655"/>
      <c r="F380" s="647"/>
      <c r="H380" s="655"/>
      <c r="I380" s="391"/>
      <c r="J380" s="391"/>
    </row>
    <row r="381" spans="1:10" ht="12.75">
      <c r="A381" s="655"/>
      <c r="B381" s="655"/>
      <c r="C381" s="655"/>
      <c r="D381" s="307" t="s">
        <v>3357</v>
      </c>
      <c r="E381" s="655"/>
      <c r="F381" s="647"/>
      <c r="H381" s="655"/>
      <c r="I381" s="391"/>
      <c r="J381" s="391"/>
    </row>
    <row r="382" spans="1:10" ht="15">
      <c r="A382" s="634" t="s">
        <v>1839</v>
      </c>
      <c r="B382" s="635" t="s">
        <v>903</v>
      </c>
      <c r="C382" s="1037" t="s">
        <v>4127</v>
      </c>
      <c r="D382" s="1038"/>
      <c r="E382" s="1039"/>
      <c r="F382" s="635" t="s">
        <v>1684</v>
      </c>
      <c r="G382" s="1037" t="s">
        <v>4132</v>
      </c>
      <c r="H382" s="1038"/>
      <c r="I382" s="1039"/>
      <c r="J382" s="391"/>
    </row>
    <row r="383" spans="1:10" ht="12.75">
      <c r="A383" s="636" t="s">
        <v>1620</v>
      </c>
      <c r="B383" s="637"/>
      <c r="C383" s="635" t="s">
        <v>1841</v>
      </c>
      <c r="D383" s="635" t="s">
        <v>4133</v>
      </c>
      <c r="E383" s="635" t="s">
        <v>4133</v>
      </c>
      <c r="F383" s="1056" t="s">
        <v>4200</v>
      </c>
      <c r="G383" s="1051" t="s">
        <v>4201</v>
      </c>
      <c r="H383" s="635" t="s">
        <v>1841</v>
      </c>
      <c r="I383" s="634" t="s">
        <v>4135</v>
      </c>
      <c r="J383" s="391"/>
    </row>
    <row r="384" spans="1:10" ht="12.75" customHeight="1">
      <c r="A384" s="638" t="s">
        <v>387</v>
      </c>
      <c r="B384" s="639"/>
      <c r="C384" s="638">
        <v>2015</v>
      </c>
      <c r="D384" s="638">
        <v>2016</v>
      </c>
      <c r="E384" s="638">
        <v>2017</v>
      </c>
      <c r="F384" s="1057"/>
      <c r="G384" s="1052"/>
      <c r="H384" s="638">
        <v>2014</v>
      </c>
      <c r="I384" s="638" t="s">
        <v>4303</v>
      </c>
      <c r="J384" s="391"/>
    </row>
    <row r="385" spans="1:10" ht="12.75">
      <c r="A385" s="646" t="s">
        <v>3358</v>
      </c>
      <c r="B385" s="646" t="s">
        <v>1693</v>
      </c>
      <c r="C385" s="641">
        <v>0</v>
      </c>
      <c r="D385" s="641">
        <v>0</v>
      </c>
      <c r="E385" s="641">
        <v>0</v>
      </c>
      <c r="F385" s="647">
        <f>SUM(C385:E385)</f>
        <v>0</v>
      </c>
      <c r="G385" s="641">
        <v>0</v>
      </c>
      <c r="H385" s="641">
        <v>0</v>
      </c>
      <c r="I385" s="641" t="e">
        <f>#REF!</f>
        <v>#REF!</v>
      </c>
      <c r="J385" s="391"/>
    </row>
    <row r="386" spans="1:10" ht="12.75">
      <c r="A386" s="646"/>
      <c r="B386" s="646"/>
      <c r="C386" s="641"/>
      <c r="D386" s="641"/>
      <c r="E386" s="641"/>
      <c r="F386" s="647"/>
      <c r="G386" s="641"/>
      <c r="H386" s="641"/>
      <c r="I386" s="641"/>
      <c r="J386" s="391"/>
    </row>
    <row r="387" spans="1:10" ht="12.75">
      <c r="A387" s="646">
        <v>2</v>
      </c>
      <c r="B387" s="646" t="s">
        <v>1695</v>
      </c>
      <c r="C387" s="641">
        <v>2000000</v>
      </c>
      <c r="D387" s="641">
        <v>1040000</v>
      </c>
      <c r="E387" s="641">
        <v>1040000</v>
      </c>
      <c r="F387" s="647">
        <f t="shared" ref="F387:F400" si="45">SUM(C387:E387)</f>
        <v>4080000</v>
      </c>
      <c r="G387" s="641">
        <v>0</v>
      </c>
      <c r="H387" s="641">
        <v>2000000</v>
      </c>
      <c r="I387" s="641">
        <v>560000</v>
      </c>
      <c r="J387" s="391"/>
    </row>
    <row r="388" spans="1:10" ht="12.75">
      <c r="A388" s="646">
        <f t="shared" ref="A388:A400" si="46">A387+1</f>
        <v>3</v>
      </c>
      <c r="B388" s="646" t="s">
        <v>1696</v>
      </c>
      <c r="C388" s="641">
        <v>400000</v>
      </c>
      <c r="D388" s="641">
        <v>104000</v>
      </c>
      <c r="E388" s="641">
        <v>104000</v>
      </c>
      <c r="F388" s="647">
        <f t="shared" si="45"/>
        <v>608000</v>
      </c>
      <c r="G388" s="641">
        <v>0</v>
      </c>
      <c r="H388" s="641">
        <v>400000</v>
      </c>
      <c r="I388" s="641">
        <v>0</v>
      </c>
      <c r="J388" s="391"/>
    </row>
    <row r="389" spans="1:10" ht="12.75">
      <c r="A389" s="646">
        <f t="shared" si="46"/>
        <v>4</v>
      </c>
      <c r="B389" s="646" t="s">
        <v>1701</v>
      </c>
      <c r="C389" s="641" t="s">
        <v>1386</v>
      </c>
      <c r="D389" s="641" t="s">
        <v>1386</v>
      </c>
      <c r="E389" s="641" t="s">
        <v>1386</v>
      </c>
      <c r="F389" s="647">
        <f t="shared" si="45"/>
        <v>0</v>
      </c>
      <c r="G389" s="641">
        <v>0</v>
      </c>
      <c r="H389" s="641" t="s">
        <v>1386</v>
      </c>
      <c r="I389" s="641" t="s">
        <v>1386</v>
      </c>
      <c r="J389" s="391"/>
    </row>
    <row r="390" spans="1:10" ht="12.75">
      <c r="A390" s="646">
        <f t="shared" si="46"/>
        <v>5</v>
      </c>
      <c r="B390" s="646" t="s">
        <v>1702</v>
      </c>
      <c r="C390" s="641">
        <v>300000</v>
      </c>
      <c r="D390" s="641">
        <v>832000</v>
      </c>
      <c r="E390" s="641">
        <v>832000</v>
      </c>
      <c r="F390" s="647">
        <f t="shared" si="45"/>
        <v>1964000</v>
      </c>
      <c r="G390" s="641">
        <v>47000</v>
      </c>
      <c r="H390" s="641">
        <v>800000</v>
      </c>
      <c r="I390" s="641">
        <v>221000</v>
      </c>
      <c r="J390" s="391"/>
    </row>
    <row r="391" spans="1:10" ht="12.75">
      <c r="A391" s="646">
        <f t="shared" si="46"/>
        <v>6</v>
      </c>
      <c r="B391" s="646" t="s">
        <v>1544</v>
      </c>
      <c r="C391" s="641">
        <v>700000</v>
      </c>
      <c r="D391" s="641">
        <v>728000</v>
      </c>
      <c r="E391" s="641">
        <v>728000</v>
      </c>
      <c r="F391" s="647">
        <f t="shared" si="45"/>
        <v>2156000</v>
      </c>
      <c r="G391" s="641">
        <v>0</v>
      </c>
      <c r="H391" s="641">
        <v>700000</v>
      </c>
      <c r="I391" s="641">
        <v>389750</v>
      </c>
      <c r="J391" s="391"/>
    </row>
    <row r="392" spans="1:10" ht="12.75">
      <c r="A392" s="646">
        <f t="shared" si="46"/>
        <v>7</v>
      </c>
      <c r="B392" s="646" t="s">
        <v>3359</v>
      </c>
      <c r="C392" s="641">
        <v>2000000</v>
      </c>
      <c r="D392" s="641">
        <v>1040000</v>
      </c>
      <c r="E392" s="641">
        <v>1040000</v>
      </c>
      <c r="F392" s="647">
        <f t="shared" si="45"/>
        <v>4080000</v>
      </c>
      <c r="G392" s="641">
        <v>199500</v>
      </c>
      <c r="H392" s="641">
        <v>3000000</v>
      </c>
      <c r="I392" s="641">
        <v>133800</v>
      </c>
      <c r="J392" s="391"/>
    </row>
    <row r="393" spans="1:10" ht="12.75">
      <c r="A393" s="646">
        <f t="shared" si="46"/>
        <v>8</v>
      </c>
      <c r="B393" s="646" t="s">
        <v>1385</v>
      </c>
      <c r="C393" s="641" t="s">
        <v>1386</v>
      </c>
      <c r="D393" s="641" t="s">
        <v>1386</v>
      </c>
      <c r="E393" s="641" t="s">
        <v>1386</v>
      </c>
      <c r="F393" s="647">
        <f t="shared" si="45"/>
        <v>0</v>
      </c>
      <c r="G393" s="641">
        <v>0</v>
      </c>
      <c r="H393" s="641" t="s">
        <v>1386</v>
      </c>
      <c r="I393" s="641" t="s">
        <v>1386</v>
      </c>
      <c r="J393" s="391"/>
    </row>
    <row r="394" spans="1:10" ht="12.75">
      <c r="A394" s="646">
        <f t="shared" si="46"/>
        <v>9</v>
      </c>
      <c r="B394" s="646" t="s">
        <v>2061</v>
      </c>
      <c r="C394" s="641" t="s">
        <v>1386</v>
      </c>
      <c r="D394" s="641" t="s">
        <v>1386</v>
      </c>
      <c r="E394" s="641" t="s">
        <v>1386</v>
      </c>
      <c r="F394" s="647">
        <f t="shared" si="45"/>
        <v>0</v>
      </c>
      <c r="G394" s="641">
        <v>0</v>
      </c>
      <c r="H394" s="641" t="s">
        <v>1386</v>
      </c>
      <c r="I394" s="641" t="s">
        <v>1386</v>
      </c>
      <c r="J394" s="391"/>
    </row>
    <row r="395" spans="1:10" ht="12.75">
      <c r="A395" s="646">
        <f t="shared" si="46"/>
        <v>10</v>
      </c>
      <c r="B395" s="646" t="s">
        <v>3360</v>
      </c>
      <c r="C395" s="641">
        <v>400000</v>
      </c>
      <c r="D395" s="641">
        <v>832000</v>
      </c>
      <c r="E395" s="641">
        <v>832000</v>
      </c>
      <c r="F395" s="647">
        <f t="shared" si="45"/>
        <v>2064000</v>
      </c>
      <c r="G395" s="641">
        <v>0</v>
      </c>
      <c r="H395" s="641">
        <v>200000</v>
      </c>
      <c r="I395" s="641">
        <v>55000</v>
      </c>
      <c r="J395" s="391"/>
    </row>
    <row r="396" spans="1:10" ht="12.75">
      <c r="A396" s="646">
        <f t="shared" si="46"/>
        <v>11</v>
      </c>
      <c r="B396" s="646" t="s">
        <v>764</v>
      </c>
      <c r="C396" s="641">
        <v>100000</v>
      </c>
      <c r="D396" s="641">
        <v>104000</v>
      </c>
      <c r="E396" s="641">
        <v>104000</v>
      </c>
      <c r="F396" s="647">
        <f t="shared" si="45"/>
        <v>308000</v>
      </c>
      <c r="G396" s="641">
        <v>24420</v>
      </c>
      <c r="H396" s="641">
        <v>100000</v>
      </c>
      <c r="I396" s="641">
        <v>1810</v>
      </c>
      <c r="J396" s="391"/>
    </row>
    <row r="397" spans="1:10" ht="12.75">
      <c r="A397" s="646">
        <f t="shared" si="46"/>
        <v>12</v>
      </c>
      <c r="B397" s="646" t="s">
        <v>1682</v>
      </c>
      <c r="C397" s="641">
        <v>7000000</v>
      </c>
      <c r="D397" s="641">
        <v>6240000</v>
      </c>
      <c r="E397" s="641">
        <v>6240000</v>
      </c>
      <c r="F397" s="647">
        <f t="shared" si="45"/>
        <v>19480000</v>
      </c>
      <c r="G397" s="641">
        <v>7223840.5599999996</v>
      </c>
      <c r="H397" s="641">
        <f>7000000-1316000</f>
        <v>5684000</v>
      </c>
      <c r="I397" s="641">
        <v>5559784</v>
      </c>
      <c r="J397" s="391"/>
    </row>
    <row r="398" spans="1:10" ht="12.75">
      <c r="A398" s="646">
        <f t="shared" si="46"/>
        <v>13</v>
      </c>
      <c r="B398" s="646" t="s">
        <v>2249</v>
      </c>
      <c r="C398" s="641">
        <v>100000</v>
      </c>
      <c r="D398" s="641">
        <v>104000</v>
      </c>
      <c r="E398" s="641">
        <v>104000</v>
      </c>
      <c r="F398" s="647">
        <f t="shared" si="45"/>
        <v>308000</v>
      </c>
      <c r="G398" s="642">
        <v>0</v>
      </c>
      <c r="H398" s="641">
        <v>100000</v>
      </c>
      <c r="I398" s="642">
        <v>0</v>
      </c>
      <c r="J398" s="391"/>
    </row>
    <row r="399" spans="1:10" ht="12.75">
      <c r="A399" s="646">
        <f t="shared" si="46"/>
        <v>14</v>
      </c>
      <c r="B399" s="646" t="s">
        <v>1717</v>
      </c>
      <c r="C399" s="641">
        <v>500000</v>
      </c>
      <c r="D399" s="641">
        <v>1560000</v>
      </c>
      <c r="E399" s="641">
        <v>1560000</v>
      </c>
      <c r="F399" s="647">
        <f t="shared" si="45"/>
        <v>3620000</v>
      </c>
      <c r="G399" s="641">
        <v>3000</v>
      </c>
      <c r="H399" s="641">
        <v>200000</v>
      </c>
      <c r="I399" s="641">
        <v>0</v>
      </c>
      <c r="J399" s="391"/>
    </row>
    <row r="400" spans="1:10" ht="12.75">
      <c r="A400" s="646">
        <f t="shared" si="46"/>
        <v>15</v>
      </c>
      <c r="B400" s="646" t="s">
        <v>824</v>
      </c>
      <c r="C400" s="641">
        <v>2000000</v>
      </c>
      <c r="D400" s="641">
        <v>2600000</v>
      </c>
      <c r="E400" s="641">
        <v>2600000</v>
      </c>
      <c r="F400" s="647">
        <f t="shared" si="45"/>
        <v>7200000</v>
      </c>
      <c r="G400" s="641">
        <v>119410</v>
      </c>
      <c r="H400" s="641">
        <v>2000000</v>
      </c>
      <c r="I400" s="641">
        <v>778020</v>
      </c>
      <c r="J400" s="391"/>
    </row>
    <row r="401" spans="1:11" ht="12.75">
      <c r="A401" s="646"/>
      <c r="B401" s="646"/>
      <c r="C401" s="641"/>
      <c r="D401" s="641"/>
      <c r="E401" s="641"/>
      <c r="F401" s="647"/>
      <c r="G401" s="642"/>
      <c r="H401" s="641"/>
      <c r="I401" s="391"/>
      <c r="J401" s="391"/>
    </row>
    <row r="402" spans="1:11" ht="12.75">
      <c r="A402" s="646" t="s">
        <v>3361</v>
      </c>
      <c r="B402" s="651" t="s">
        <v>819</v>
      </c>
      <c r="C402" s="652">
        <f t="shared" ref="C402:I402" si="47">SUM(C387:C401)</f>
        <v>15500000</v>
      </c>
      <c r="D402" s="652">
        <f t="shared" si="47"/>
        <v>15184000</v>
      </c>
      <c r="E402" s="652">
        <f t="shared" si="47"/>
        <v>15184000</v>
      </c>
      <c r="F402" s="652">
        <f t="shared" si="47"/>
        <v>45868000</v>
      </c>
      <c r="G402" s="652">
        <f t="shared" si="47"/>
        <v>7617170.5599999996</v>
      </c>
      <c r="H402" s="652">
        <f>SUM(H387:H401)</f>
        <v>15184000</v>
      </c>
      <c r="I402" s="652">
        <f t="shared" si="47"/>
        <v>7699164</v>
      </c>
      <c r="J402" s="391"/>
      <c r="K402" s="657">
        <f>15184000-H402</f>
        <v>0</v>
      </c>
    </row>
    <row r="403" spans="1:11" ht="12.75">
      <c r="A403" s="646"/>
      <c r="B403" s="646"/>
      <c r="C403" s="641"/>
      <c r="D403" s="641"/>
      <c r="E403" s="641"/>
      <c r="F403" s="647"/>
      <c r="G403" s="641"/>
      <c r="H403" s="641"/>
      <c r="I403" s="391"/>
      <c r="J403" s="391"/>
    </row>
    <row r="404" spans="1:11" ht="12.75">
      <c r="A404" s="653"/>
      <c r="B404" s="653" t="s">
        <v>1684</v>
      </c>
      <c r="C404" s="645">
        <f t="shared" ref="C404:I404" si="48">+C402+C385</f>
        <v>15500000</v>
      </c>
      <c r="D404" s="645">
        <f t="shared" si="48"/>
        <v>15184000</v>
      </c>
      <c r="E404" s="645">
        <f t="shared" si="48"/>
        <v>15184000</v>
      </c>
      <c r="F404" s="645">
        <f t="shared" si="48"/>
        <v>45868000</v>
      </c>
      <c r="G404" s="645">
        <f t="shared" si="48"/>
        <v>7617170.5599999996</v>
      </c>
      <c r="H404" s="645">
        <f>+H402+H385</f>
        <v>15184000</v>
      </c>
      <c r="I404" s="645" t="e">
        <f t="shared" si="48"/>
        <v>#REF!</v>
      </c>
      <c r="J404" s="391"/>
    </row>
    <row r="405" spans="1:11" ht="12.75">
      <c r="A405" s="391"/>
      <c r="B405" s="391"/>
      <c r="C405" s="647"/>
      <c r="D405" s="647"/>
      <c r="E405" s="647"/>
      <c r="F405" s="647"/>
      <c r="G405" s="647"/>
      <c r="H405" s="647"/>
      <c r="I405" s="391"/>
      <c r="J405" s="391"/>
    </row>
    <row r="406" spans="1:11" ht="12.75">
      <c r="A406" s="391"/>
      <c r="B406" s="391"/>
      <c r="C406" s="647"/>
      <c r="D406" s="647"/>
      <c r="E406" s="308" t="s">
        <v>5434</v>
      </c>
      <c r="F406" s="647"/>
      <c r="H406" s="647"/>
      <c r="I406" s="391"/>
      <c r="J406" s="391"/>
    </row>
    <row r="407" spans="1:11" ht="12.75">
      <c r="A407" s="655"/>
      <c r="B407" s="633"/>
      <c r="C407" s="655"/>
      <c r="D407" s="655"/>
      <c r="E407" s="308" t="s">
        <v>716</v>
      </c>
      <c r="F407" s="647"/>
      <c r="H407" s="655"/>
      <c r="I407" s="391"/>
      <c r="J407" s="391"/>
    </row>
    <row r="408" spans="1:11" ht="12.75">
      <c r="A408" s="655"/>
      <c r="B408" s="633"/>
      <c r="C408" s="655"/>
      <c r="D408" s="655"/>
      <c r="E408" s="308" t="s">
        <v>3362</v>
      </c>
      <c r="F408" s="647"/>
      <c r="H408" s="655"/>
      <c r="I408" s="391"/>
      <c r="J408" s="391"/>
    </row>
    <row r="409" spans="1:11" ht="12.75">
      <c r="A409" s="655"/>
      <c r="B409" s="655"/>
      <c r="C409" s="655"/>
      <c r="D409" s="655"/>
      <c r="E409" s="307" t="s">
        <v>3363</v>
      </c>
      <c r="F409" s="647"/>
      <c r="H409" s="655"/>
      <c r="I409" s="391"/>
      <c r="J409" s="391"/>
    </row>
    <row r="410" spans="1:11" ht="15">
      <c r="A410" s="634" t="s">
        <v>1839</v>
      </c>
      <c r="B410" s="635" t="s">
        <v>903</v>
      </c>
      <c r="C410" s="1037" t="s">
        <v>4127</v>
      </c>
      <c r="D410" s="1038"/>
      <c r="E410" s="1039"/>
      <c r="F410" s="635" t="s">
        <v>1684</v>
      </c>
      <c r="G410" s="1037" t="s">
        <v>4132</v>
      </c>
      <c r="H410" s="1038"/>
      <c r="I410" s="1039"/>
      <c r="J410" s="391"/>
    </row>
    <row r="411" spans="1:11" ht="12.75">
      <c r="A411" s="636" t="s">
        <v>1620</v>
      </c>
      <c r="B411" s="637"/>
      <c r="C411" s="635" t="s">
        <v>1841</v>
      </c>
      <c r="D411" s="635" t="s">
        <v>4133</v>
      </c>
      <c r="E411" s="635" t="s">
        <v>4133</v>
      </c>
      <c r="F411" s="1056" t="s">
        <v>4200</v>
      </c>
      <c r="G411" s="1051" t="s">
        <v>4201</v>
      </c>
      <c r="H411" s="635" t="s">
        <v>1841</v>
      </c>
      <c r="I411" s="634" t="s">
        <v>4135</v>
      </c>
      <c r="J411" s="391"/>
    </row>
    <row r="412" spans="1:11" ht="12.75" customHeight="1">
      <c r="A412" s="638" t="s">
        <v>387</v>
      </c>
      <c r="B412" s="639"/>
      <c r="C412" s="638">
        <v>2015</v>
      </c>
      <c r="D412" s="638">
        <v>2016</v>
      </c>
      <c r="E412" s="638">
        <v>2017</v>
      </c>
      <c r="F412" s="1057"/>
      <c r="G412" s="1052"/>
      <c r="H412" s="638">
        <v>2014</v>
      </c>
      <c r="I412" s="638" t="s">
        <v>4303</v>
      </c>
      <c r="J412" s="391"/>
    </row>
    <row r="413" spans="1:11" ht="12.75">
      <c r="A413" s="646" t="s">
        <v>3364</v>
      </c>
      <c r="B413" s="646" t="s">
        <v>1693</v>
      </c>
      <c r="C413" s="641">
        <v>147198673.55000001</v>
      </c>
      <c r="D413" s="641">
        <v>162240000</v>
      </c>
      <c r="E413" s="641">
        <v>162240000</v>
      </c>
      <c r="F413" s="647">
        <f>SUM(C413:E413)</f>
        <v>471678673.55000001</v>
      </c>
      <c r="G413" s="641">
        <v>99788060</v>
      </c>
      <c r="H413" s="641">
        <v>109527099</v>
      </c>
      <c r="I413" s="641" t="e">
        <f>#REF!</f>
        <v>#REF!</v>
      </c>
      <c r="J413" s="391"/>
    </row>
    <row r="414" spans="1:11" ht="12.75">
      <c r="A414" s="646"/>
      <c r="B414" s="646"/>
      <c r="C414" s="641"/>
      <c r="D414" s="641"/>
      <c r="E414" s="641"/>
      <c r="F414" s="647"/>
      <c r="G414" s="641"/>
      <c r="H414" s="641"/>
      <c r="I414" s="641"/>
      <c r="J414" s="391"/>
    </row>
    <row r="415" spans="1:11" ht="12.75">
      <c r="A415" s="646">
        <v>2</v>
      </c>
      <c r="B415" s="646" t="s">
        <v>1695</v>
      </c>
      <c r="C415" s="641">
        <v>2500000</v>
      </c>
      <c r="D415" s="641">
        <v>2080000</v>
      </c>
      <c r="E415" s="641">
        <v>2080000</v>
      </c>
      <c r="F415" s="647">
        <f t="shared" ref="F415:F432" si="49">SUM(C415:E415)</f>
        <v>6660000</v>
      </c>
      <c r="G415" s="641">
        <v>1350000</v>
      </c>
      <c r="H415" s="641">
        <v>2121600</v>
      </c>
      <c r="I415" s="641">
        <v>500000</v>
      </c>
      <c r="J415" s="391"/>
    </row>
    <row r="416" spans="1:11" ht="12.75">
      <c r="A416" s="646">
        <f t="shared" ref="A416:A432" si="50">A415+1</f>
        <v>3</v>
      </c>
      <c r="B416" s="646" t="s">
        <v>1696</v>
      </c>
      <c r="C416" s="641">
        <v>100000</v>
      </c>
      <c r="D416" s="641">
        <v>104000</v>
      </c>
      <c r="E416" s="641">
        <v>104000</v>
      </c>
      <c r="F416" s="647">
        <f t="shared" si="49"/>
        <v>308000</v>
      </c>
      <c r="G416" s="642">
        <v>0</v>
      </c>
      <c r="H416" s="641">
        <v>106080</v>
      </c>
      <c r="I416" s="642">
        <v>0</v>
      </c>
      <c r="J416" s="391"/>
    </row>
    <row r="417" spans="1:10" ht="12.75">
      <c r="A417" s="646">
        <f t="shared" si="50"/>
        <v>4</v>
      </c>
      <c r="B417" s="646" t="s">
        <v>1701</v>
      </c>
      <c r="C417" s="642" t="s">
        <v>1386</v>
      </c>
      <c r="D417" s="642" t="s">
        <v>1386</v>
      </c>
      <c r="E417" s="642" t="s">
        <v>1386</v>
      </c>
      <c r="F417" s="647">
        <f t="shared" si="49"/>
        <v>0</v>
      </c>
      <c r="G417" s="642">
        <v>0</v>
      </c>
      <c r="H417" s="642" t="s">
        <v>1386</v>
      </c>
      <c r="I417" s="642" t="s">
        <v>1386</v>
      </c>
      <c r="J417" s="391"/>
    </row>
    <row r="418" spans="1:10" ht="12.75">
      <c r="A418" s="646">
        <f t="shared" si="50"/>
        <v>5</v>
      </c>
      <c r="B418" s="646" t="s">
        <v>1702</v>
      </c>
      <c r="C418" s="641">
        <v>1000000</v>
      </c>
      <c r="D418" s="641">
        <v>1040000</v>
      </c>
      <c r="E418" s="641">
        <v>1040000</v>
      </c>
      <c r="F418" s="647">
        <f t="shared" si="49"/>
        <v>3080000</v>
      </c>
      <c r="G418" s="642">
        <v>359000</v>
      </c>
      <c r="H418" s="641">
        <v>1060800</v>
      </c>
      <c r="I418" s="642">
        <v>300000</v>
      </c>
      <c r="J418" s="391"/>
    </row>
    <row r="419" spans="1:10" ht="12.75">
      <c r="A419" s="646">
        <f t="shared" si="50"/>
        <v>6</v>
      </c>
      <c r="B419" s="646" t="s">
        <v>1544</v>
      </c>
      <c r="C419" s="641">
        <v>500000</v>
      </c>
      <c r="D419" s="641">
        <v>728000</v>
      </c>
      <c r="E419" s="641">
        <v>728000</v>
      </c>
      <c r="F419" s="647">
        <f t="shared" si="49"/>
        <v>1956000</v>
      </c>
      <c r="G419" s="642">
        <v>230000</v>
      </c>
      <c r="H419" s="641">
        <v>742560</v>
      </c>
      <c r="I419" s="642">
        <v>406000</v>
      </c>
      <c r="J419" s="391"/>
    </row>
    <row r="420" spans="1:10" ht="12.75">
      <c r="A420" s="646">
        <f t="shared" si="50"/>
        <v>7</v>
      </c>
      <c r="B420" s="646" t="s">
        <v>897</v>
      </c>
      <c r="C420" s="641">
        <v>2500000</v>
      </c>
      <c r="D420" s="641">
        <v>1040000</v>
      </c>
      <c r="E420" s="641">
        <v>1040000</v>
      </c>
      <c r="F420" s="647">
        <f t="shared" si="49"/>
        <v>4580000</v>
      </c>
      <c r="G420" s="642">
        <v>679500</v>
      </c>
      <c r="H420" s="641">
        <v>1060800</v>
      </c>
      <c r="I420" s="642">
        <v>900000</v>
      </c>
      <c r="J420" s="391"/>
    </row>
    <row r="421" spans="1:10" ht="12.75">
      <c r="A421" s="646">
        <f t="shared" si="50"/>
        <v>8</v>
      </c>
      <c r="B421" s="646" t="s">
        <v>1385</v>
      </c>
      <c r="C421" s="642" t="s">
        <v>1386</v>
      </c>
      <c r="D421" s="642" t="s">
        <v>1386</v>
      </c>
      <c r="E421" s="642" t="s">
        <v>1386</v>
      </c>
      <c r="F421" s="647">
        <f t="shared" si="49"/>
        <v>0</v>
      </c>
      <c r="G421" s="642">
        <v>0</v>
      </c>
      <c r="H421" s="642" t="s">
        <v>1386</v>
      </c>
      <c r="I421" s="642" t="s">
        <v>1386</v>
      </c>
      <c r="J421" s="391"/>
    </row>
    <row r="422" spans="1:10" ht="12.75">
      <c r="A422" s="646">
        <f t="shared" si="50"/>
        <v>9</v>
      </c>
      <c r="B422" s="646" t="s">
        <v>2061</v>
      </c>
      <c r="C422" s="642" t="s">
        <v>1386</v>
      </c>
      <c r="D422" s="642" t="s">
        <v>1386</v>
      </c>
      <c r="E422" s="642" t="s">
        <v>1386</v>
      </c>
      <c r="F422" s="647">
        <f t="shared" si="49"/>
        <v>0</v>
      </c>
      <c r="G422" s="642">
        <v>0</v>
      </c>
      <c r="H422" s="642" t="s">
        <v>1386</v>
      </c>
      <c r="I422" s="642" t="s">
        <v>1386</v>
      </c>
      <c r="J422" s="391"/>
    </row>
    <row r="423" spans="1:10" ht="12.75">
      <c r="A423" s="646">
        <f t="shared" si="50"/>
        <v>10</v>
      </c>
      <c r="B423" s="646" t="s">
        <v>1680</v>
      </c>
      <c r="C423" s="641">
        <v>1000000</v>
      </c>
      <c r="D423" s="641">
        <v>832000</v>
      </c>
      <c r="E423" s="641">
        <v>832000</v>
      </c>
      <c r="F423" s="647">
        <f t="shared" si="49"/>
        <v>2664000</v>
      </c>
      <c r="G423" s="642">
        <v>298000</v>
      </c>
      <c r="H423" s="641">
        <v>848640</v>
      </c>
      <c r="I423" s="642">
        <v>0</v>
      </c>
      <c r="J423" s="391"/>
    </row>
    <row r="424" spans="1:10" ht="12.75">
      <c r="A424" s="646">
        <f t="shared" si="50"/>
        <v>11</v>
      </c>
      <c r="B424" s="646" t="s">
        <v>1681</v>
      </c>
      <c r="C424" s="641">
        <v>100000</v>
      </c>
      <c r="D424" s="641">
        <v>104000</v>
      </c>
      <c r="E424" s="641">
        <v>104000</v>
      </c>
      <c r="F424" s="647">
        <f t="shared" si="49"/>
        <v>308000</v>
      </c>
      <c r="G424" s="642">
        <v>90000</v>
      </c>
      <c r="H424" s="641">
        <v>106080</v>
      </c>
      <c r="I424" s="642">
        <v>50000</v>
      </c>
      <c r="J424" s="391"/>
    </row>
    <row r="425" spans="1:10" ht="12.75">
      <c r="A425" s="646">
        <f t="shared" si="50"/>
        <v>12</v>
      </c>
      <c r="B425" s="646" t="s">
        <v>1682</v>
      </c>
      <c r="C425" s="641">
        <v>8000000</v>
      </c>
      <c r="D425" s="641">
        <v>7280000</v>
      </c>
      <c r="E425" s="641">
        <v>7280000</v>
      </c>
      <c r="F425" s="647">
        <f t="shared" si="49"/>
        <v>22560000</v>
      </c>
      <c r="G425" s="642">
        <v>5100000</v>
      </c>
      <c r="H425" s="641">
        <v>7425600</v>
      </c>
      <c r="I425" s="642">
        <v>3000000</v>
      </c>
      <c r="J425" s="391"/>
    </row>
    <row r="426" spans="1:10" ht="12.75">
      <c r="A426" s="646">
        <f t="shared" si="50"/>
        <v>13</v>
      </c>
      <c r="B426" s="646" t="s">
        <v>2249</v>
      </c>
      <c r="C426" s="641">
        <v>100000</v>
      </c>
      <c r="D426" s="641">
        <v>104000</v>
      </c>
      <c r="E426" s="641">
        <v>104000</v>
      </c>
      <c r="F426" s="647">
        <f t="shared" si="49"/>
        <v>308000</v>
      </c>
      <c r="G426" s="642">
        <v>0</v>
      </c>
      <c r="H426" s="641">
        <v>106080</v>
      </c>
      <c r="I426" s="642">
        <v>0</v>
      </c>
      <c r="J426" s="391"/>
    </row>
    <row r="427" spans="1:10" ht="12.75">
      <c r="A427" s="646">
        <f t="shared" si="50"/>
        <v>14</v>
      </c>
      <c r="B427" s="646" t="s">
        <v>825</v>
      </c>
      <c r="C427" s="641">
        <v>1000000</v>
      </c>
      <c r="D427" s="641">
        <v>1040000</v>
      </c>
      <c r="E427" s="641">
        <v>1040000</v>
      </c>
      <c r="F427" s="647">
        <f t="shared" si="49"/>
        <v>3080000</v>
      </c>
      <c r="G427" s="642">
        <v>343500</v>
      </c>
      <c r="H427" s="641">
        <v>1060800</v>
      </c>
      <c r="I427" s="642">
        <v>250000</v>
      </c>
      <c r="J427" s="391"/>
    </row>
    <row r="428" spans="1:10" ht="12.75">
      <c r="A428" s="646">
        <f t="shared" si="50"/>
        <v>15</v>
      </c>
      <c r="B428" s="646" t="s">
        <v>524</v>
      </c>
      <c r="C428" s="641">
        <v>3000000</v>
      </c>
      <c r="D428" s="641">
        <v>4160000</v>
      </c>
      <c r="E428" s="641">
        <v>4160000</v>
      </c>
      <c r="F428" s="647">
        <f t="shared" si="49"/>
        <v>11320000</v>
      </c>
      <c r="G428" s="642">
        <v>3000000</v>
      </c>
      <c r="H428" s="641">
        <v>4243200</v>
      </c>
      <c r="I428" s="642">
        <v>3000000</v>
      </c>
      <c r="J428" s="391"/>
    </row>
    <row r="429" spans="1:10" ht="12.75">
      <c r="A429" s="646">
        <f t="shared" si="50"/>
        <v>16</v>
      </c>
      <c r="B429" s="646" t="s">
        <v>826</v>
      </c>
      <c r="C429" s="641">
        <v>1000000</v>
      </c>
      <c r="D429" s="641">
        <v>3640000</v>
      </c>
      <c r="E429" s="641">
        <v>3640000</v>
      </c>
      <c r="F429" s="647">
        <f t="shared" si="49"/>
        <v>8280000</v>
      </c>
      <c r="G429" s="642">
        <v>2900000</v>
      </c>
      <c r="H429" s="641">
        <v>3712800</v>
      </c>
      <c r="I429" s="642">
        <v>1500000</v>
      </c>
      <c r="J429" s="391"/>
    </row>
    <row r="430" spans="1:10" ht="12.75">
      <c r="A430" s="646">
        <f t="shared" si="50"/>
        <v>17</v>
      </c>
      <c r="B430" s="646" t="s">
        <v>3222</v>
      </c>
      <c r="C430" s="641">
        <v>1000000</v>
      </c>
      <c r="D430" s="641">
        <v>5200000</v>
      </c>
      <c r="E430" s="641">
        <v>5200000</v>
      </c>
      <c r="F430" s="647">
        <f t="shared" si="49"/>
        <v>11400000</v>
      </c>
      <c r="G430" s="642">
        <v>2000000</v>
      </c>
      <c r="H430" s="641">
        <v>5304000</v>
      </c>
      <c r="I430" s="642">
        <v>1000000</v>
      </c>
      <c r="J430" s="391"/>
    </row>
    <row r="431" spans="1:10" ht="12.75">
      <c r="A431" s="646">
        <f t="shared" si="50"/>
        <v>18</v>
      </c>
      <c r="B431" s="646" t="s">
        <v>827</v>
      </c>
      <c r="C431" s="641">
        <v>2000000</v>
      </c>
      <c r="D431" s="641">
        <v>9360000</v>
      </c>
      <c r="E431" s="641">
        <v>9360000</v>
      </c>
      <c r="F431" s="647">
        <f t="shared" si="49"/>
        <v>20720000</v>
      </c>
      <c r="G431" s="642">
        <v>7100000</v>
      </c>
      <c r="H431" s="641">
        <f>9547200-745680</f>
        <v>8801520</v>
      </c>
      <c r="I431" s="642">
        <v>1500000</v>
      </c>
      <c r="J431" s="391"/>
    </row>
    <row r="432" spans="1:10" ht="12.75">
      <c r="A432" s="646">
        <f t="shared" si="50"/>
        <v>19</v>
      </c>
      <c r="B432" s="646" t="s">
        <v>528</v>
      </c>
      <c r="C432" s="641">
        <v>700000</v>
      </c>
      <c r="D432" s="641">
        <v>572000</v>
      </c>
      <c r="E432" s="641">
        <v>572000</v>
      </c>
      <c r="F432" s="647">
        <f t="shared" si="49"/>
        <v>1844000</v>
      </c>
      <c r="G432" s="642">
        <v>200000</v>
      </c>
      <c r="H432" s="641">
        <v>583440</v>
      </c>
      <c r="I432" s="642">
        <v>250000</v>
      </c>
      <c r="J432" s="391"/>
    </row>
    <row r="433" spans="1:11" ht="12.75">
      <c r="A433" s="646"/>
      <c r="B433" s="646"/>
      <c r="C433" s="641"/>
      <c r="D433" s="641"/>
      <c r="E433" s="641"/>
      <c r="F433" s="647"/>
      <c r="G433" s="641"/>
      <c r="H433" s="641"/>
      <c r="I433" s="641"/>
      <c r="J433" s="391"/>
    </row>
    <row r="434" spans="1:11" ht="12.75">
      <c r="A434" s="646"/>
      <c r="B434" s="646"/>
      <c r="C434" s="642"/>
      <c r="D434" s="642"/>
      <c r="E434" s="642"/>
      <c r="F434" s="647"/>
      <c r="G434" s="642"/>
      <c r="H434" s="642"/>
      <c r="I434" s="642"/>
      <c r="J434" s="391"/>
    </row>
    <row r="435" spans="1:11" ht="12.75">
      <c r="A435" s="646" t="s">
        <v>3365</v>
      </c>
      <c r="B435" s="651" t="s">
        <v>819</v>
      </c>
      <c r="C435" s="652">
        <f t="shared" ref="C435:I435" si="51">SUM(C415:C434)</f>
        <v>24500000</v>
      </c>
      <c r="D435" s="652">
        <f t="shared" si="51"/>
        <v>37284000</v>
      </c>
      <c r="E435" s="652">
        <f t="shared" si="51"/>
        <v>37284000</v>
      </c>
      <c r="F435" s="652">
        <f t="shared" si="51"/>
        <v>99068000</v>
      </c>
      <c r="G435" s="652">
        <f t="shared" si="51"/>
        <v>23650000</v>
      </c>
      <c r="H435" s="652">
        <f>SUM(H415:H434)</f>
        <v>37284000</v>
      </c>
      <c r="I435" s="652">
        <f t="shared" si="51"/>
        <v>12656000</v>
      </c>
      <c r="J435" s="391"/>
      <c r="K435" s="657">
        <f>37284000-H435</f>
        <v>0</v>
      </c>
    </row>
    <row r="436" spans="1:11" ht="12.75">
      <c r="A436" s="646"/>
      <c r="B436" s="646"/>
      <c r="C436" s="641"/>
      <c r="D436" s="641"/>
      <c r="E436" s="641"/>
      <c r="F436" s="641"/>
      <c r="G436" s="641"/>
      <c r="H436" s="641"/>
      <c r="I436" s="391"/>
      <c r="J436" s="391"/>
    </row>
    <row r="437" spans="1:11" ht="12.75">
      <c r="A437" s="653"/>
      <c r="B437" s="653" t="s">
        <v>1684</v>
      </c>
      <c r="C437" s="645">
        <f t="shared" ref="C437:I437" si="52">+C435+C413</f>
        <v>171698673.55000001</v>
      </c>
      <c r="D437" s="645">
        <f t="shared" si="52"/>
        <v>199524000</v>
      </c>
      <c r="E437" s="645">
        <f t="shared" si="52"/>
        <v>199524000</v>
      </c>
      <c r="F437" s="645">
        <f t="shared" si="52"/>
        <v>570746673.54999995</v>
      </c>
      <c r="G437" s="645">
        <f t="shared" si="52"/>
        <v>123438060</v>
      </c>
      <c r="H437" s="645">
        <f>+H435+H413</f>
        <v>146811099</v>
      </c>
      <c r="I437" s="645" t="e">
        <f t="shared" si="52"/>
        <v>#REF!</v>
      </c>
      <c r="J437" s="391"/>
    </row>
    <row r="438" spans="1:11" ht="12.75" customHeight="1">
      <c r="A438" s="391"/>
      <c r="B438" s="391"/>
      <c r="C438" s="647"/>
      <c r="D438" s="647"/>
      <c r="E438" s="647"/>
      <c r="F438" s="647"/>
      <c r="G438" s="647"/>
      <c r="H438" s="647"/>
      <c r="I438" s="391"/>
      <c r="J438" s="391"/>
    </row>
    <row r="439" spans="1:11" ht="12.75" customHeight="1">
      <c r="A439" s="391"/>
      <c r="B439" s="391"/>
      <c r="C439" s="647"/>
      <c r="D439" s="308" t="s">
        <v>5434</v>
      </c>
      <c r="E439" s="647"/>
      <c r="F439" s="647"/>
      <c r="H439" s="647"/>
      <c r="I439" s="391"/>
      <c r="J439" s="391"/>
    </row>
    <row r="440" spans="1:11" ht="12.75" customHeight="1">
      <c r="A440" s="655"/>
      <c r="B440" s="633"/>
      <c r="C440" s="655"/>
      <c r="D440" s="308" t="s">
        <v>716</v>
      </c>
      <c r="E440" s="655"/>
      <c r="F440" s="647"/>
      <c r="H440" s="655"/>
      <c r="I440" s="391"/>
      <c r="J440" s="391"/>
    </row>
    <row r="441" spans="1:11" ht="12.75" customHeight="1">
      <c r="A441" s="655"/>
      <c r="B441" s="633"/>
      <c r="C441" s="655"/>
      <c r="D441" s="308" t="s">
        <v>3366</v>
      </c>
      <c r="E441" s="655"/>
      <c r="F441" s="647"/>
      <c r="H441" s="655"/>
      <c r="I441" s="391"/>
      <c r="J441" s="391"/>
    </row>
    <row r="442" spans="1:11" ht="12.75" customHeight="1">
      <c r="A442" s="655"/>
      <c r="B442" s="655"/>
      <c r="C442" s="655"/>
      <c r="D442" s="307" t="s">
        <v>3367</v>
      </c>
      <c r="E442" s="655"/>
      <c r="F442" s="647"/>
      <c r="H442" s="655"/>
      <c r="I442" s="391"/>
      <c r="J442" s="391"/>
    </row>
    <row r="443" spans="1:11" ht="12.75" customHeight="1">
      <c r="A443" s="634" t="s">
        <v>1839</v>
      </c>
      <c r="B443" s="635" t="s">
        <v>903</v>
      </c>
      <c r="C443" s="1037" t="s">
        <v>4127</v>
      </c>
      <c r="D443" s="1038"/>
      <c r="E443" s="1039"/>
      <c r="F443" s="635" t="s">
        <v>1684</v>
      </c>
      <c r="G443" s="1037" t="s">
        <v>4132</v>
      </c>
      <c r="H443" s="1038"/>
      <c r="I443" s="1039"/>
      <c r="J443" s="391"/>
    </row>
    <row r="444" spans="1:11" ht="12.75" customHeight="1">
      <c r="A444" s="636" t="s">
        <v>1620</v>
      </c>
      <c r="B444" s="637"/>
      <c r="C444" s="635" t="s">
        <v>1841</v>
      </c>
      <c r="D444" s="635" t="s">
        <v>4133</v>
      </c>
      <c r="E444" s="635" t="s">
        <v>4133</v>
      </c>
      <c r="F444" s="1056" t="s">
        <v>4200</v>
      </c>
      <c r="G444" s="1051" t="s">
        <v>4201</v>
      </c>
      <c r="H444" s="635" t="s">
        <v>1841</v>
      </c>
      <c r="I444" s="634" t="s">
        <v>4135</v>
      </c>
      <c r="J444" s="391"/>
    </row>
    <row r="445" spans="1:11" ht="12.75" customHeight="1">
      <c r="A445" s="638" t="s">
        <v>387</v>
      </c>
      <c r="B445" s="639"/>
      <c r="C445" s="638">
        <v>2015</v>
      </c>
      <c r="D445" s="638">
        <v>2016</v>
      </c>
      <c r="E445" s="638">
        <v>2017</v>
      </c>
      <c r="F445" s="1057"/>
      <c r="G445" s="1052"/>
      <c r="H445" s="638">
        <v>2014</v>
      </c>
      <c r="I445" s="638" t="s">
        <v>4303</v>
      </c>
      <c r="J445" s="391"/>
    </row>
    <row r="446" spans="1:11" ht="12.75" customHeight="1">
      <c r="A446" s="646" t="s">
        <v>3368</v>
      </c>
      <c r="B446" s="646" t="s">
        <v>1693</v>
      </c>
      <c r="C446" s="641">
        <v>577324003.25</v>
      </c>
      <c r="D446" s="641">
        <v>540800000</v>
      </c>
      <c r="E446" s="641">
        <v>540800000</v>
      </c>
      <c r="F446" s="647">
        <f>SUM(C446:E446)</f>
        <v>1658924003.25</v>
      </c>
      <c r="G446" s="641">
        <v>321513352</v>
      </c>
      <c r="H446" s="641">
        <v>540800000</v>
      </c>
      <c r="I446" s="641" t="e">
        <f>#REF!</f>
        <v>#REF!</v>
      </c>
      <c r="J446" s="391"/>
    </row>
    <row r="447" spans="1:11" ht="12.75" customHeight="1">
      <c r="A447" s="646"/>
      <c r="B447" s="646"/>
      <c r="C447" s="641"/>
      <c r="D447" s="641"/>
      <c r="E447" s="641"/>
      <c r="F447" s="647"/>
      <c r="G447" s="641"/>
      <c r="H447" s="641"/>
      <c r="I447" s="641"/>
      <c r="J447" s="391"/>
    </row>
    <row r="448" spans="1:11" ht="12.75" customHeight="1">
      <c r="A448" s="646">
        <v>2</v>
      </c>
      <c r="B448" s="646" t="s">
        <v>1695</v>
      </c>
      <c r="C448" s="641">
        <v>1500000</v>
      </c>
      <c r="D448" s="641">
        <v>1560000</v>
      </c>
      <c r="E448" s="641">
        <v>1560000</v>
      </c>
      <c r="F448" s="647">
        <f t="shared" ref="F448:F466" si="53">SUM(C448:E448)</f>
        <v>4620000</v>
      </c>
      <c r="G448" s="641">
        <v>874500</v>
      </c>
      <c r="H448" s="641">
        <v>1591200</v>
      </c>
      <c r="I448" s="641">
        <v>110000</v>
      </c>
      <c r="J448" s="391"/>
    </row>
    <row r="449" spans="1:10" ht="12.75" customHeight="1">
      <c r="A449" s="646">
        <f t="shared" ref="A449:A466" si="54">A448+1</f>
        <v>3</v>
      </c>
      <c r="B449" s="646" t="s">
        <v>1696</v>
      </c>
      <c r="C449" s="641" t="s">
        <v>1386</v>
      </c>
      <c r="D449" s="641" t="s">
        <v>1386</v>
      </c>
      <c r="E449" s="641" t="s">
        <v>1386</v>
      </c>
      <c r="F449" s="647">
        <f t="shared" si="53"/>
        <v>0</v>
      </c>
      <c r="G449" s="642">
        <v>0</v>
      </c>
      <c r="H449" s="641" t="s">
        <v>1386</v>
      </c>
      <c r="I449" s="642" t="s">
        <v>1386</v>
      </c>
      <c r="J449" s="391"/>
    </row>
    <row r="450" spans="1:10" ht="12.75" customHeight="1">
      <c r="A450" s="646">
        <f t="shared" si="54"/>
        <v>4</v>
      </c>
      <c r="B450" s="646" t="s">
        <v>1701</v>
      </c>
      <c r="C450" s="641" t="s">
        <v>1386</v>
      </c>
      <c r="D450" s="641" t="s">
        <v>1386</v>
      </c>
      <c r="E450" s="641" t="s">
        <v>1386</v>
      </c>
      <c r="F450" s="647">
        <f t="shared" si="53"/>
        <v>0</v>
      </c>
      <c r="G450" s="642">
        <v>0</v>
      </c>
      <c r="H450" s="641" t="s">
        <v>1386</v>
      </c>
      <c r="I450" s="642" t="s">
        <v>1386</v>
      </c>
      <c r="J450" s="391"/>
    </row>
    <row r="451" spans="1:10" ht="12.75" customHeight="1">
      <c r="A451" s="646">
        <f t="shared" si="54"/>
        <v>5</v>
      </c>
      <c r="B451" s="646" t="s">
        <v>1702</v>
      </c>
      <c r="C451" s="641">
        <v>800000</v>
      </c>
      <c r="D451" s="641">
        <v>800000</v>
      </c>
      <c r="E451" s="641">
        <v>800000</v>
      </c>
      <c r="F451" s="647">
        <f t="shared" si="53"/>
        <v>2400000</v>
      </c>
      <c r="G451" s="641">
        <v>360520</v>
      </c>
      <c r="H451" s="641">
        <v>848640</v>
      </c>
      <c r="I451" s="641">
        <v>86190</v>
      </c>
      <c r="J451" s="391"/>
    </row>
    <row r="452" spans="1:10" ht="12.75" customHeight="1">
      <c r="A452" s="646">
        <f t="shared" si="54"/>
        <v>6</v>
      </c>
      <c r="B452" s="646" t="s">
        <v>1544</v>
      </c>
      <c r="C452" s="641">
        <v>500000</v>
      </c>
      <c r="D452" s="641">
        <v>500000</v>
      </c>
      <c r="E452" s="641">
        <v>500000</v>
      </c>
      <c r="F452" s="647">
        <f t="shared" si="53"/>
        <v>1500000</v>
      </c>
      <c r="G452" s="641">
        <v>281500</v>
      </c>
      <c r="H452" s="641">
        <v>530400</v>
      </c>
      <c r="I452" s="641">
        <v>154380</v>
      </c>
      <c r="J452" s="391"/>
    </row>
    <row r="453" spans="1:10" ht="12.75" customHeight="1">
      <c r="A453" s="646">
        <f t="shared" si="54"/>
        <v>7</v>
      </c>
      <c r="B453" s="646" t="s">
        <v>897</v>
      </c>
      <c r="C453" s="641">
        <v>800000</v>
      </c>
      <c r="D453" s="641">
        <v>800000</v>
      </c>
      <c r="E453" s="641">
        <v>800000</v>
      </c>
      <c r="F453" s="647">
        <f t="shared" si="53"/>
        <v>2400000</v>
      </c>
      <c r="G453" s="641">
        <v>699360</v>
      </c>
      <c r="H453" s="641">
        <v>848640</v>
      </c>
      <c r="I453" s="641">
        <v>318790</v>
      </c>
      <c r="J453" s="391"/>
    </row>
    <row r="454" spans="1:10" ht="12.75" customHeight="1">
      <c r="A454" s="646">
        <f t="shared" si="54"/>
        <v>8</v>
      </c>
      <c r="B454" s="646" t="s">
        <v>1385</v>
      </c>
      <c r="C454" s="641" t="s">
        <v>1386</v>
      </c>
      <c r="D454" s="641" t="s">
        <v>1386</v>
      </c>
      <c r="E454" s="641" t="s">
        <v>1386</v>
      </c>
      <c r="F454" s="647">
        <f t="shared" si="53"/>
        <v>0</v>
      </c>
      <c r="G454" s="642">
        <v>0</v>
      </c>
      <c r="H454" s="641" t="s">
        <v>1386</v>
      </c>
      <c r="I454" s="642" t="s">
        <v>1386</v>
      </c>
      <c r="J454" s="391"/>
    </row>
    <row r="455" spans="1:10" ht="12.75" customHeight="1">
      <c r="A455" s="646">
        <f t="shared" si="54"/>
        <v>9</v>
      </c>
      <c r="B455" s="646" t="s">
        <v>2061</v>
      </c>
      <c r="C455" s="641" t="s">
        <v>1386</v>
      </c>
      <c r="D455" s="641" t="s">
        <v>1386</v>
      </c>
      <c r="E455" s="641" t="s">
        <v>1386</v>
      </c>
      <c r="F455" s="647">
        <f t="shared" si="53"/>
        <v>0</v>
      </c>
      <c r="G455" s="642">
        <v>0</v>
      </c>
      <c r="H455" s="641" t="s">
        <v>1386</v>
      </c>
      <c r="I455" s="642" t="s">
        <v>1386</v>
      </c>
      <c r="J455" s="391"/>
    </row>
    <row r="456" spans="1:10" ht="12.75" customHeight="1">
      <c r="A456" s="646">
        <f t="shared" si="54"/>
        <v>10</v>
      </c>
      <c r="B456" s="646" t="s">
        <v>1680</v>
      </c>
      <c r="C456" s="641">
        <v>200000</v>
      </c>
      <c r="D456" s="641">
        <v>200000</v>
      </c>
      <c r="E456" s="641">
        <v>200000</v>
      </c>
      <c r="F456" s="647">
        <f t="shared" si="53"/>
        <v>600000</v>
      </c>
      <c r="G456" s="642">
        <v>225000</v>
      </c>
      <c r="H456" s="641">
        <v>212160</v>
      </c>
      <c r="I456" s="642">
        <v>10000</v>
      </c>
      <c r="J456" s="391"/>
    </row>
    <row r="457" spans="1:10" ht="12.75" customHeight="1">
      <c r="A457" s="646">
        <f t="shared" si="54"/>
        <v>11</v>
      </c>
      <c r="B457" s="646" t="s">
        <v>1681</v>
      </c>
      <c r="C457" s="641">
        <v>100000</v>
      </c>
      <c r="D457" s="641">
        <v>100000</v>
      </c>
      <c r="E457" s="641">
        <v>100000</v>
      </c>
      <c r="F457" s="647">
        <f t="shared" si="53"/>
        <v>300000</v>
      </c>
      <c r="G457" s="642">
        <v>278115.99</v>
      </c>
      <c r="H457" s="641">
        <v>106080</v>
      </c>
      <c r="I457" s="642">
        <v>142240</v>
      </c>
      <c r="J457" s="391"/>
    </row>
    <row r="458" spans="1:10" ht="12.75" customHeight="1">
      <c r="A458" s="646">
        <f t="shared" si="54"/>
        <v>12</v>
      </c>
      <c r="B458" s="646" t="s">
        <v>1682</v>
      </c>
      <c r="C458" s="641">
        <v>2000000</v>
      </c>
      <c r="D458" s="641">
        <v>2000000</v>
      </c>
      <c r="E458" s="641">
        <v>2000000</v>
      </c>
      <c r="F458" s="647">
        <f t="shared" si="53"/>
        <v>6000000</v>
      </c>
      <c r="G458" s="642">
        <v>1512028.01</v>
      </c>
      <c r="H458" s="641">
        <v>2121600</v>
      </c>
      <c r="I458" s="642">
        <v>1872500</v>
      </c>
      <c r="J458" s="391"/>
    </row>
    <row r="459" spans="1:10" ht="12.75" customHeight="1">
      <c r="A459" s="646">
        <f t="shared" si="54"/>
        <v>13</v>
      </c>
      <c r="B459" s="646" t="s">
        <v>2249</v>
      </c>
      <c r="C459" s="641">
        <v>100000</v>
      </c>
      <c r="D459" s="641">
        <v>100000</v>
      </c>
      <c r="E459" s="641">
        <v>100000</v>
      </c>
      <c r="F459" s="647">
        <f t="shared" si="53"/>
        <v>300000</v>
      </c>
      <c r="G459" s="642">
        <v>0</v>
      </c>
      <c r="H459" s="641">
        <v>100000</v>
      </c>
      <c r="I459" s="642">
        <v>0</v>
      </c>
      <c r="J459" s="391"/>
    </row>
    <row r="460" spans="1:10" ht="12.75" customHeight="1">
      <c r="A460" s="646">
        <f t="shared" si="54"/>
        <v>14</v>
      </c>
      <c r="B460" s="646" t="s">
        <v>3370</v>
      </c>
      <c r="C460" s="641">
        <v>800000</v>
      </c>
      <c r="D460" s="641">
        <v>800000</v>
      </c>
      <c r="E460" s="641">
        <v>800000</v>
      </c>
      <c r="F460" s="647">
        <f t="shared" si="53"/>
        <v>2400000</v>
      </c>
      <c r="G460" s="642">
        <v>281160</v>
      </c>
      <c r="H460" s="641">
        <v>848640</v>
      </c>
      <c r="I460" s="642">
        <v>0</v>
      </c>
      <c r="J460" s="391"/>
    </row>
    <row r="461" spans="1:10" ht="12.75" customHeight="1">
      <c r="A461" s="646">
        <f t="shared" si="54"/>
        <v>15</v>
      </c>
      <c r="B461" s="646" t="s">
        <v>25</v>
      </c>
      <c r="C461" s="641" t="s">
        <v>1386</v>
      </c>
      <c r="D461" s="641" t="s">
        <v>1386</v>
      </c>
      <c r="E461" s="641" t="s">
        <v>1386</v>
      </c>
      <c r="F461" s="647">
        <f t="shared" si="53"/>
        <v>0</v>
      </c>
      <c r="G461" s="642">
        <v>5619870</v>
      </c>
      <c r="H461" s="641" t="s">
        <v>1386</v>
      </c>
      <c r="I461" s="642">
        <v>0</v>
      </c>
      <c r="J461" s="391"/>
    </row>
    <row r="462" spans="1:10" ht="12.75" customHeight="1">
      <c r="A462" s="646">
        <f t="shared" si="54"/>
        <v>16</v>
      </c>
      <c r="B462" s="646" t="s">
        <v>3369</v>
      </c>
      <c r="C462" s="641">
        <v>40000000</v>
      </c>
      <c r="D462" s="641">
        <v>27000000</v>
      </c>
      <c r="E462" s="641">
        <v>27000000</v>
      </c>
      <c r="F462" s="647">
        <f t="shared" si="53"/>
        <v>94000000</v>
      </c>
      <c r="G462" s="642">
        <v>25118000</v>
      </c>
      <c r="H462" s="641">
        <f>27580800-846560</f>
        <v>26734240</v>
      </c>
      <c r="I462" s="642">
        <v>0</v>
      </c>
      <c r="J462" s="391"/>
    </row>
    <row r="463" spans="1:10" ht="12.75" customHeight="1">
      <c r="A463" s="646">
        <f t="shared" si="54"/>
        <v>17</v>
      </c>
      <c r="B463" s="646" t="s">
        <v>4051</v>
      </c>
      <c r="C463" s="641">
        <v>3500000</v>
      </c>
      <c r="D463" s="641">
        <v>3600000</v>
      </c>
      <c r="E463" s="641">
        <v>3600000</v>
      </c>
      <c r="F463" s="647">
        <f t="shared" si="53"/>
        <v>10700000</v>
      </c>
      <c r="G463" s="642">
        <v>2586500</v>
      </c>
      <c r="H463" s="641">
        <v>3712800</v>
      </c>
      <c r="I463" s="642">
        <v>0</v>
      </c>
      <c r="J463" s="391"/>
    </row>
    <row r="464" spans="1:10" ht="12.75" customHeight="1">
      <c r="A464" s="646">
        <f t="shared" si="54"/>
        <v>18</v>
      </c>
      <c r="B464" s="646" t="s">
        <v>828</v>
      </c>
      <c r="C464" s="641">
        <v>2000000</v>
      </c>
      <c r="D464" s="641">
        <v>2000000</v>
      </c>
      <c r="E464" s="641">
        <v>2000000</v>
      </c>
      <c r="F464" s="647">
        <f t="shared" si="53"/>
        <v>6000000</v>
      </c>
      <c r="G464" s="642">
        <v>0</v>
      </c>
      <c r="H464" s="641">
        <v>2121600</v>
      </c>
      <c r="I464" s="642">
        <v>0</v>
      </c>
      <c r="J464" s="391"/>
    </row>
    <row r="465" spans="1:11" ht="12.75" customHeight="1">
      <c r="A465" s="646">
        <f t="shared" si="54"/>
        <v>19</v>
      </c>
      <c r="B465" s="646" t="s">
        <v>664</v>
      </c>
      <c r="C465" s="641">
        <v>700000</v>
      </c>
      <c r="D465" s="641">
        <v>500000</v>
      </c>
      <c r="E465" s="641">
        <v>520000</v>
      </c>
      <c r="F465" s="647">
        <f t="shared" si="53"/>
        <v>1720000</v>
      </c>
      <c r="G465" s="642">
        <v>0</v>
      </c>
      <c r="H465" s="641">
        <v>530400</v>
      </c>
      <c r="I465" s="642">
        <v>0</v>
      </c>
      <c r="J465" s="391"/>
    </row>
    <row r="466" spans="1:11" ht="12.75" customHeight="1">
      <c r="A466" s="646">
        <f t="shared" si="54"/>
        <v>20</v>
      </c>
      <c r="B466" s="646" t="s">
        <v>665</v>
      </c>
      <c r="C466" s="641">
        <v>2000000</v>
      </c>
      <c r="D466" s="641">
        <v>2000000</v>
      </c>
      <c r="E466" s="641">
        <v>2000000</v>
      </c>
      <c r="F466" s="647">
        <f t="shared" si="53"/>
        <v>6000000</v>
      </c>
      <c r="G466" s="642">
        <v>1500000</v>
      </c>
      <c r="H466" s="641">
        <v>2121600</v>
      </c>
      <c r="I466" s="642">
        <v>0</v>
      </c>
      <c r="J466" s="391"/>
    </row>
    <row r="467" spans="1:11" ht="12.75" customHeight="1">
      <c r="A467" s="646"/>
      <c r="B467" s="646"/>
      <c r="C467" s="641"/>
      <c r="D467" s="641"/>
      <c r="E467" s="641"/>
      <c r="F467" s="647"/>
      <c r="G467" s="641"/>
      <c r="H467" s="641"/>
      <c r="I467" s="391"/>
      <c r="J467" s="391"/>
    </row>
    <row r="468" spans="1:11" ht="12.75" customHeight="1">
      <c r="A468" s="646" t="s">
        <v>3371</v>
      </c>
      <c r="B468" s="651" t="s">
        <v>819</v>
      </c>
      <c r="C468" s="652">
        <f t="shared" ref="C468:I468" si="55">SUM(C448:C467)</f>
        <v>55000000</v>
      </c>
      <c r="D468" s="652">
        <f t="shared" si="55"/>
        <v>41960000</v>
      </c>
      <c r="E468" s="652">
        <f t="shared" si="55"/>
        <v>41980000</v>
      </c>
      <c r="F468" s="652">
        <f t="shared" si="55"/>
        <v>138940000</v>
      </c>
      <c r="G468" s="652">
        <f t="shared" si="55"/>
        <v>39336554</v>
      </c>
      <c r="H468" s="652">
        <f>SUM(H448:H467)</f>
        <v>42428000</v>
      </c>
      <c r="I468" s="652">
        <f t="shared" si="55"/>
        <v>2694100</v>
      </c>
      <c r="J468" s="391"/>
      <c r="K468" s="657">
        <f>42428000-H468</f>
        <v>0</v>
      </c>
    </row>
    <row r="469" spans="1:11" ht="12.75" customHeight="1">
      <c r="A469" s="646"/>
      <c r="B469" s="646"/>
      <c r="C469" s="641"/>
      <c r="D469" s="641"/>
      <c r="E469" s="641"/>
      <c r="F469" s="641"/>
      <c r="G469" s="641"/>
      <c r="H469" s="641"/>
      <c r="I469" s="641"/>
      <c r="J469" s="391"/>
    </row>
    <row r="470" spans="1:11" ht="12.75" customHeight="1">
      <c r="A470" s="653"/>
      <c r="B470" s="653" t="s">
        <v>1684</v>
      </c>
      <c r="C470" s="645">
        <f t="shared" ref="C470:I470" si="56">C468+C446</f>
        <v>632324003.25</v>
      </c>
      <c r="D470" s="645">
        <f t="shared" si="56"/>
        <v>582760000</v>
      </c>
      <c r="E470" s="645">
        <f t="shared" si="56"/>
        <v>582780000</v>
      </c>
      <c r="F470" s="645">
        <f t="shared" si="56"/>
        <v>1797864003.25</v>
      </c>
      <c r="G470" s="645">
        <f t="shared" si="56"/>
        <v>360849906</v>
      </c>
      <c r="H470" s="645">
        <f>H468+H446</f>
        <v>583228000</v>
      </c>
      <c r="I470" s="645" t="e">
        <f t="shared" si="56"/>
        <v>#REF!</v>
      </c>
      <c r="J470" s="391"/>
    </row>
    <row r="471" spans="1:11" ht="12.75" customHeight="1">
      <c r="A471" s="391"/>
      <c r="B471" s="391"/>
      <c r="C471" s="647"/>
      <c r="D471" s="647"/>
      <c r="E471" s="647"/>
      <c r="F471" s="647"/>
      <c r="G471" s="647"/>
      <c r="H471" s="647"/>
      <c r="I471" s="391"/>
      <c r="J471" s="391"/>
    </row>
    <row r="472" spans="1:11" ht="12.75" customHeight="1">
      <c r="A472" s="391"/>
      <c r="B472" s="391"/>
      <c r="C472" s="647"/>
      <c r="D472" s="9" t="s">
        <v>5434</v>
      </c>
      <c r="E472" s="9"/>
      <c r="F472" s="647"/>
      <c r="H472" s="647"/>
      <c r="I472" s="391"/>
      <c r="J472" s="391"/>
    </row>
    <row r="473" spans="1:11" ht="12.75" customHeight="1">
      <c r="A473" s="655"/>
      <c r="B473" s="633"/>
      <c r="C473" s="655"/>
      <c r="D473" s="9" t="s">
        <v>716</v>
      </c>
      <c r="E473" s="9"/>
      <c r="F473" s="647"/>
      <c r="H473" s="655"/>
      <c r="I473" s="391"/>
      <c r="J473" s="391"/>
    </row>
    <row r="474" spans="1:11" ht="12.75" customHeight="1">
      <c r="A474" s="655"/>
      <c r="B474" s="633"/>
      <c r="C474" s="655"/>
      <c r="D474" s="1084" t="s">
        <v>5357</v>
      </c>
      <c r="E474" s="1084"/>
      <c r="F474" s="647"/>
      <c r="H474" s="655"/>
      <c r="I474" s="391"/>
      <c r="J474" s="391"/>
    </row>
    <row r="475" spans="1:11" ht="12.75" customHeight="1">
      <c r="A475" s="655"/>
      <c r="B475" s="655"/>
      <c r="C475" s="655"/>
      <c r="D475" s="244" t="s">
        <v>5358</v>
      </c>
      <c r="E475" s="244"/>
      <c r="F475" s="647"/>
      <c r="H475" s="655"/>
      <c r="I475" s="391"/>
      <c r="J475" s="391"/>
    </row>
    <row r="476" spans="1:11" ht="12.75" customHeight="1">
      <c r="A476" s="634" t="s">
        <v>1839</v>
      </c>
      <c r="B476" s="635" t="s">
        <v>903</v>
      </c>
      <c r="C476" s="1037" t="s">
        <v>4127</v>
      </c>
      <c r="D476" s="1038"/>
      <c r="E476" s="1039"/>
      <c r="F476" s="635" t="s">
        <v>1684</v>
      </c>
      <c r="G476" s="1037" t="s">
        <v>4132</v>
      </c>
      <c r="H476" s="1038"/>
      <c r="I476" s="1039"/>
      <c r="J476" s="391"/>
    </row>
    <row r="477" spans="1:11" ht="12.75" customHeight="1">
      <c r="A477" s="636" t="s">
        <v>1620</v>
      </c>
      <c r="B477" s="637"/>
      <c r="C477" s="635" t="s">
        <v>1841</v>
      </c>
      <c r="D477" s="635" t="s">
        <v>4133</v>
      </c>
      <c r="E477" s="635" t="s">
        <v>4133</v>
      </c>
      <c r="F477" s="1056" t="s">
        <v>4200</v>
      </c>
      <c r="G477" s="1051" t="s">
        <v>4201</v>
      </c>
      <c r="H477" s="635" t="s">
        <v>1841</v>
      </c>
      <c r="I477" s="634" t="s">
        <v>4135</v>
      </c>
      <c r="J477" s="391"/>
    </row>
    <row r="478" spans="1:11" ht="12.75" customHeight="1">
      <c r="A478" s="638" t="s">
        <v>387</v>
      </c>
      <c r="B478" s="639"/>
      <c r="C478" s="638">
        <v>2015</v>
      </c>
      <c r="D478" s="638">
        <v>2016</v>
      </c>
      <c r="E478" s="638">
        <v>2017</v>
      </c>
      <c r="F478" s="1057"/>
      <c r="G478" s="1052"/>
      <c r="H478" s="638">
        <v>2014</v>
      </c>
      <c r="I478" s="638" t="s">
        <v>4303</v>
      </c>
      <c r="J478" s="391"/>
    </row>
    <row r="479" spans="1:11" ht="12.75" customHeight="1">
      <c r="A479" s="646" t="s">
        <v>3573</v>
      </c>
      <c r="B479" s="646" t="s">
        <v>1693</v>
      </c>
      <c r="C479" s="641">
        <v>12273255.699999999</v>
      </c>
      <c r="D479" s="641">
        <v>5200000</v>
      </c>
      <c r="E479" s="641">
        <v>5200000</v>
      </c>
      <c r="F479" s="647">
        <f>SUM(C479:E479)</f>
        <v>22673255.699999999</v>
      </c>
      <c r="G479" s="641">
        <v>0</v>
      </c>
      <c r="H479" s="641">
        <v>15000000</v>
      </c>
      <c r="I479" s="641" t="e">
        <f>#REF!</f>
        <v>#REF!</v>
      </c>
      <c r="J479" s="391"/>
    </row>
    <row r="480" spans="1:11" ht="12.75" customHeight="1">
      <c r="A480" s="646"/>
      <c r="B480" s="646"/>
      <c r="C480" s="641"/>
      <c r="D480" s="641"/>
      <c r="E480" s="641"/>
      <c r="F480" s="647"/>
      <c r="G480" s="641"/>
      <c r="H480" s="641"/>
      <c r="I480" s="641"/>
      <c r="J480" s="391"/>
    </row>
    <row r="481" spans="1:10" ht="12.75" customHeight="1">
      <c r="A481" s="646">
        <v>2</v>
      </c>
      <c r="B481" s="646" t="s">
        <v>1695</v>
      </c>
      <c r="C481" s="641">
        <v>3000000</v>
      </c>
      <c r="D481" s="641">
        <v>3000000</v>
      </c>
      <c r="E481" s="641">
        <v>3000000</v>
      </c>
      <c r="F481" s="647">
        <f t="shared" ref="F481:F494" si="57">SUM(C481:E481)</f>
        <v>9000000</v>
      </c>
      <c r="G481" s="641">
        <v>1576860</v>
      </c>
      <c r="H481" s="641">
        <v>3000000</v>
      </c>
      <c r="I481" s="641">
        <v>419986</v>
      </c>
      <c r="J481" s="391"/>
    </row>
    <row r="482" spans="1:10" ht="12.75" customHeight="1">
      <c r="A482" s="646">
        <f t="shared" ref="A482:A494" si="58">A481+1</f>
        <v>3</v>
      </c>
      <c r="B482" s="646" t="s">
        <v>1696</v>
      </c>
      <c r="C482" s="641">
        <v>5000000</v>
      </c>
      <c r="D482" s="641" t="s">
        <v>1386</v>
      </c>
      <c r="E482" s="641" t="s">
        <v>1386</v>
      </c>
      <c r="F482" s="647">
        <f t="shared" si="57"/>
        <v>5000000</v>
      </c>
      <c r="G482" s="642"/>
      <c r="H482" s="641">
        <v>5000000</v>
      </c>
      <c r="I482" s="642"/>
      <c r="J482" s="391"/>
    </row>
    <row r="483" spans="1:10" ht="12.75" customHeight="1">
      <c r="A483" s="646">
        <f t="shared" si="58"/>
        <v>4</v>
      </c>
      <c r="B483" s="646" t="s">
        <v>1701</v>
      </c>
      <c r="C483" s="641" t="s">
        <v>1386</v>
      </c>
      <c r="D483" s="641">
        <v>2000000</v>
      </c>
      <c r="E483" s="641">
        <v>2000000</v>
      </c>
      <c r="F483" s="647">
        <f t="shared" si="57"/>
        <v>4000000</v>
      </c>
      <c r="G483" s="642"/>
      <c r="H483" s="641" t="s">
        <v>1386</v>
      </c>
      <c r="I483" s="642" t="s">
        <v>1386</v>
      </c>
      <c r="J483" s="391"/>
    </row>
    <row r="484" spans="1:10" ht="12.75" customHeight="1">
      <c r="A484" s="646">
        <f t="shared" si="58"/>
        <v>5</v>
      </c>
      <c r="B484" s="646" t="s">
        <v>1702</v>
      </c>
      <c r="C484" s="641">
        <v>200000</v>
      </c>
      <c r="D484" s="641">
        <v>200000</v>
      </c>
      <c r="E484" s="641">
        <v>200000</v>
      </c>
      <c r="F484" s="647">
        <f t="shared" si="57"/>
        <v>600000</v>
      </c>
      <c r="G484" s="641">
        <v>24000</v>
      </c>
      <c r="H484" s="641">
        <v>200000</v>
      </c>
      <c r="I484" s="641">
        <v>30000</v>
      </c>
      <c r="J484" s="391"/>
    </row>
    <row r="485" spans="1:10" ht="12.75" customHeight="1">
      <c r="A485" s="646">
        <f t="shared" si="58"/>
        <v>6</v>
      </c>
      <c r="B485" s="646" t="s">
        <v>1544</v>
      </c>
      <c r="C485" s="641">
        <v>300000</v>
      </c>
      <c r="D485" s="641">
        <v>300000</v>
      </c>
      <c r="E485" s="641">
        <v>300000</v>
      </c>
      <c r="F485" s="647">
        <f t="shared" si="57"/>
        <v>900000</v>
      </c>
      <c r="G485" s="641">
        <v>300000</v>
      </c>
      <c r="H485" s="641">
        <v>300000</v>
      </c>
      <c r="I485" s="641">
        <v>473800</v>
      </c>
      <c r="J485" s="391"/>
    </row>
    <row r="486" spans="1:10" ht="12.75" customHeight="1">
      <c r="A486" s="646">
        <f t="shared" si="58"/>
        <v>7</v>
      </c>
      <c r="B486" s="646" t="s">
        <v>897</v>
      </c>
      <c r="C486" s="641">
        <v>2000000</v>
      </c>
      <c r="D486" s="641">
        <v>2000000</v>
      </c>
      <c r="E486" s="641">
        <v>2000000</v>
      </c>
      <c r="F486" s="647">
        <f t="shared" si="57"/>
        <v>6000000</v>
      </c>
      <c r="G486" s="641">
        <v>1249700</v>
      </c>
      <c r="H486" s="641">
        <v>2000000</v>
      </c>
      <c r="I486" s="641">
        <v>575000</v>
      </c>
      <c r="J486" s="391"/>
    </row>
    <row r="487" spans="1:10" ht="12.75" customHeight="1">
      <c r="A487" s="646">
        <f t="shared" si="58"/>
        <v>8</v>
      </c>
      <c r="B487" s="646" t="s">
        <v>1385</v>
      </c>
      <c r="C487" s="641" t="s">
        <v>1386</v>
      </c>
      <c r="D487" s="641" t="s">
        <v>1386</v>
      </c>
      <c r="E487" s="641" t="s">
        <v>1386</v>
      </c>
      <c r="F487" s="647">
        <f t="shared" si="57"/>
        <v>0</v>
      </c>
      <c r="G487" s="642"/>
      <c r="H487" s="641" t="s">
        <v>1386</v>
      </c>
      <c r="I487" s="642" t="s">
        <v>1386</v>
      </c>
      <c r="J487" s="391"/>
    </row>
    <row r="488" spans="1:10" ht="12.75" customHeight="1">
      <c r="A488" s="646">
        <f t="shared" si="58"/>
        <v>9</v>
      </c>
      <c r="B488" s="646" t="s">
        <v>2061</v>
      </c>
      <c r="C488" s="641" t="s">
        <v>1386</v>
      </c>
      <c r="D488" s="641" t="s">
        <v>1386</v>
      </c>
      <c r="E488" s="641" t="s">
        <v>1386</v>
      </c>
      <c r="F488" s="647">
        <f t="shared" si="57"/>
        <v>0</v>
      </c>
      <c r="G488" s="642"/>
      <c r="H488" s="641" t="s">
        <v>1386</v>
      </c>
      <c r="I488" s="642" t="s">
        <v>1386</v>
      </c>
      <c r="J488" s="391"/>
    </row>
    <row r="489" spans="1:10" ht="12.75" customHeight="1">
      <c r="A489" s="646">
        <f t="shared" si="58"/>
        <v>10</v>
      </c>
      <c r="B489" s="646" t="s">
        <v>1680</v>
      </c>
      <c r="C489" s="641">
        <v>200000</v>
      </c>
      <c r="D489" s="641">
        <v>200000</v>
      </c>
      <c r="E489" s="641">
        <v>200000</v>
      </c>
      <c r="F489" s="647">
        <f t="shared" si="57"/>
        <v>600000</v>
      </c>
      <c r="G489" s="642"/>
      <c r="H489" s="641">
        <v>200000</v>
      </c>
      <c r="I489" s="642">
        <v>0</v>
      </c>
      <c r="J489" s="391"/>
    </row>
    <row r="490" spans="1:10" ht="12.75" customHeight="1">
      <c r="A490" s="646">
        <f t="shared" si="58"/>
        <v>11</v>
      </c>
      <c r="B490" s="646" t="s">
        <v>1681</v>
      </c>
      <c r="C490" s="641">
        <v>2000000</v>
      </c>
      <c r="D490" s="641">
        <v>100000</v>
      </c>
      <c r="E490" s="641">
        <v>100000</v>
      </c>
      <c r="F490" s="647">
        <f t="shared" si="57"/>
        <v>2200000</v>
      </c>
      <c r="G490" s="641">
        <v>3000000</v>
      </c>
      <c r="H490" s="641">
        <v>2000000</v>
      </c>
      <c r="I490" s="641">
        <v>828000</v>
      </c>
      <c r="J490" s="391"/>
    </row>
    <row r="491" spans="1:10" ht="12.75" customHeight="1">
      <c r="A491" s="646">
        <f t="shared" si="58"/>
        <v>12</v>
      </c>
      <c r="B491" s="646" t="s">
        <v>1682</v>
      </c>
      <c r="C491" s="642">
        <v>17000000</v>
      </c>
      <c r="D491" s="642">
        <v>10000000</v>
      </c>
      <c r="E491" s="642">
        <v>10000000</v>
      </c>
      <c r="F491" s="647">
        <f t="shared" si="57"/>
        <v>37000000</v>
      </c>
      <c r="G491" s="641">
        <v>12871100</v>
      </c>
      <c r="H491" s="642">
        <v>17000000</v>
      </c>
      <c r="I491" s="641">
        <v>11622909</v>
      </c>
      <c r="J491" s="391"/>
    </row>
    <row r="492" spans="1:10" ht="12.75" customHeight="1">
      <c r="A492" s="646">
        <f t="shared" si="58"/>
        <v>13</v>
      </c>
      <c r="B492" s="646" t="s">
        <v>2249</v>
      </c>
      <c r="C492" s="641">
        <v>100000</v>
      </c>
      <c r="D492" s="641">
        <v>100000</v>
      </c>
      <c r="E492" s="641">
        <v>100000</v>
      </c>
      <c r="F492" s="647">
        <f t="shared" si="57"/>
        <v>300000</v>
      </c>
      <c r="G492" s="642"/>
      <c r="H492" s="641" t="s">
        <v>1386</v>
      </c>
      <c r="I492" s="642">
        <v>0</v>
      </c>
      <c r="J492" s="391"/>
    </row>
    <row r="493" spans="1:10" ht="12.75" customHeight="1">
      <c r="A493" s="646">
        <f t="shared" si="58"/>
        <v>14</v>
      </c>
      <c r="B493" s="646" t="s">
        <v>3370</v>
      </c>
      <c r="C493" s="642">
        <v>700000</v>
      </c>
      <c r="D493" s="642">
        <v>500000</v>
      </c>
      <c r="E493" s="642">
        <v>500000</v>
      </c>
      <c r="F493" s="647">
        <f t="shared" si="57"/>
        <v>1700000</v>
      </c>
      <c r="G493" s="641"/>
      <c r="H493" s="642">
        <v>500000</v>
      </c>
      <c r="I493" s="641">
        <v>0</v>
      </c>
      <c r="J493" s="391"/>
    </row>
    <row r="494" spans="1:10" ht="12.75" customHeight="1">
      <c r="A494" s="646">
        <f t="shared" si="58"/>
        <v>15</v>
      </c>
      <c r="B494" s="646" t="s">
        <v>1613</v>
      </c>
      <c r="C494" s="642">
        <v>35000000</v>
      </c>
      <c r="D494" s="642">
        <v>23220000</v>
      </c>
      <c r="E494" s="642">
        <v>23220000</v>
      </c>
      <c r="F494" s="647">
        <f t="shared" si="57"/>
        <v>81440000</v>
      </c>
      <c r="G494" s="641">
        <v>28446340</v>
      </c>
      <c r="H494" s="642">
        <v>35800000</v>
      </c>
      <c r="I494" s="641">
        <f>16258865+812500</f>
        <v>17071365</v>
      </c>
      <c r="J494" s="391"/>
    </row>
    <row r="495" spans="1:10" ht="12.75" customHeight="1">
      <c r="A495" s="646"/>
      <c r="B495" s="646"/>
      <c r="C495" s="642"/>
      <c r="D495" s="642"/>
      <c r="E495" s="642"/>
      <c r="F495" s="647"/>
      <c r="G495" s="642"/>
      <c r="H495" s="642"/>
      <c r="I495" s="642"/>
      <c r="J495" s="391"/>
    </row>
    <row r="496" spans="1:10" ht="12.75" customHeight="1">
      <c r="A496" s="646" t="s">
        <v>3574</v>
      </c>
      <c r="B496" s="651" t="s">
        <v>819</v>
      </c>
      <c r="C496" s="652">
        <f t="shared" ref="C496:I496" si="59">SUM(C481:C495)</f>
        <v>65500000</v>
      </c>
      <c r="D496" s="652">
        <f t="shared" si="59"/>
        <v>41620000</v>
      </c>
      <c r="E496" s="652">
        <f t="shared" si="59"/>
        <v>41620000</v>
      </c>
      <c r="F496" s="652">
        <f t="shared" si="59"/>
        <v>148740000</v>
      </c>
      <c r="G496" s="652">
        <f t="shared" si="59"/>
        <v>47468000</v>
      </c>
      <c r="H496" s="652">
        <f>SUM(H481:H495)</f>
        <v>66000000</v>
      </c>
      <c r="I496" s="652">
        <f t="shared" si="59"/>
        <v>31021060</v>
      </c>
      <c r="J496" s="391"/>
    </row>
    <row r="497" spans="1:10" ht="12.75" customHeight="1">
      <c r="A497" s="646"/>
      <c r="B497" s="646"/>
      <c r="C497" s="641"/>
      <c r="D497" s="641"/>
      <c r="E497" s="641"/>
      <c r="F497" s="641"/>
      <c r="G497" s="641"/>
      <c r="H497" s="641"/>
      <c r="I497" s="641"/>
      <c r="J497" s="391"/>
    </row>
    <row r="498" spans="1:10" ht="12.75" customHeight="1">
      <c r="A498" s="653"/>
      <c r="B498" s="653" t="s">
        <v>1684</v>
      </c>
      <c r="C498" s="645">
        <f t="shared" ref="C498:H498" si="60">C496+C479</f>
        <v>77773255.700000003</v>
      </c>
      <c r="D498" s="645">
        <f t="shared" si="60"/>
        <v>46820000</v>
      </c>
      <c r="E498" s="645">
        <f t="shared" si="60"/>
        <v>46820000</v>
      </c>
      <c r="F498" s="645">
        <f t="shared" si="60"/>
        <v>171413255.69999999</v>
      </c>
      <c r="G498" s="645">
        <f t="shared" si="60"/>
        <v>47468000</v>
      </c>
      <c r="H498" s="645">
        <f t="shared" si="60"/>
        <v>81000000</v>
      </c>
      <c r="I498" s="645" t="e">
        <f>+I496+I479</f>
        <v>#REF!</v>
      </c>
      <c r="J498" s="391"/>
    </row>
    <row r="499" spans="1:10" ht="12.75" customHeight="1">
      <c r="A499" s="391"/>
      <c r="B499" s="391"/>
      <c r="C499" s="647"/>
      <c r="D499" s="647"/>
      <c r="E499" s="647"/>
      <c r="F499" s="647"/>
      <c r="G499" s="647"/>
      <c r="H499" s="647"/>
      <c r="I499" s="391"/>
      <c r="J499" s="391"/>
    </row>
    <row r="500" spans="1:10" ht="12.75" customHeight="1">
      <c r="A500" s="391"/>
      <c r="B500" s="391"/>
      <c r="C500" s="647"/>
      <c r="D500" s="9" t="s">
        <v>5434</v>
      </c>
      <c r="E500" s="9"/>
      <c r="F500" s="647"/>
      <c r="G500" s="647"/>
      <c r="H500" s="647"/>
      <c r="I500" s="391"/>
      <c r="J500" s="391"/>
    </row>
    <row r="501" spans="1:10" ht="12.75" customHeight="1">
      <c r="A501" s="391"/>
      <c r="B501" s="391"/>
      <c r="C501" s="647"/>
      <c r="D501" s="9" t="s">
        <v>716</v>
      </c>
      <c r="E501" s="9"/>
      <c r="F501" s="647"/>
      <c r="G501" s="647"/>
      <c r="H501" s="647"/>
      <c r="I501" s="391"/>
      <c r="J501" s="391"/>
    </row>
    <row r="502" spans="1:10" ht="12.75" customHeight="1">
      <c r="A502" s="391"/>
      <c r="B502" s="665"/>
      <c r="C502" s="647"/>
      <c r="D502" s="1084" t="s">
        <v>5359</v>
      </c>
      <c r="E502" s="1084"/>
      <c r="F502" s="647"/>
      <c r="G502" s="647"/>
      <c r="H502" s="647"/>
      <c r="I502" s="391"/>
      <c r="J502" s="391"/>
    </row>
    <row r="503" spans="1:10" ht="12.75" customHeight="1">
      <c r="A503" s="391"/>
      <c r="B503" s="391"/>
      <c r="C503" s="647"/>
      <c r="D503" s="244" t="s">
        <v>5360</v>
      </c>
      <c r="E503" s="244"/>
      <c r="F503" s="647"/>
      <c r="G503" s="647"/>
      <c r="H503" s="647"/>
      <c r="I503" s="391"/>
      <c r="J503" s="391"/>
    </row>
    <row r="504" spans="1:10" ht="12.75" customHeight="1">
      <c r="A504" s="634" t="s">
        <v>1839</v>
      </c>
      <c r="B504" s="635" t="s">
        <v>903</v>
      </c>
      <c r="C504" s="1037" t="s">
        <v>4127</v>
      </c>
      <c r="D504" s="1038"/>
      <c r="E504" s="1039"/>
      <c r="F504" s="635" t="s">
        <v>1684</v>
      </c>
      <c r="G504" s="1037" t="s">
        <v>4132</v>
      </c>
      <c r="H504" s="1038"/>
      <c r="I504" s="1039"/>
      <c r="J504" s="391"/>
    </row>
    <row r="505" spans="1:10" ht="12.75" customHeight="1">
      <c r="A505" s="636" t="s">
        <v>1620</v>
      </c>
      <c r="B505" s="637"/>
      <c r="C505" s="635" t="s">
        <v>1841</v>
      </c>
      <c r="D505" s="635" t="s">
        <v>4133</v>
      </c>
      <c r="E505" s="635" t="s">
        <v>4133</v>
      </c>
      <c r="F505" s="1056" t="s">
        <v>4200</v>
      </c>
      <c r="G505" s="1051" t="s">
        <v>4201</v>
      </c>
      <c r="H505" s="635" t="s">
        <v>1841</v>
      </c>
      <c r="I505" s="634" t="s">
        <v>4135</v>
      </c>
      <c r="J505" s="391"/>
    </row>
    <row r="506" spans="1:10" ht="12.75" customHeight="1">
      <c r="A506" s="638" t="s">
        <v>387</v>
      </c>
      <c r="B506" s="639"/>
      <c r="C506" s="638">
        <v>2015</v>
      </c>
      <c r="D506" s="638">
        <v>2016</v>
      </c>
      <c r="E506" s="638">
        <v>2017</v>
      </c>
      <c r="F506" s="1057"/>
      <c r="G506" s="1052"/>
      <c r="H506" s="638">
        <v>2014</v>
      </c>
      <c r="I506" s="638" t="s">
        <v>4303</v>
      </c>
      <c r="J506" s="391"/>
    </row>
    <row r="507" spans="1:10" ht="12.75" customHeight="1">
      <c r="A507" s="646" t="s">
        <v>3400</v>
      </c>
      <c r="B507" s="646" t="s">
        <v>1693</v>
      </c>
      <c r="C507" s="641">
        <v>0</v>
      </c>
      <c r="D507" s="641">
        <v>0</v>
      </c>
      <c r="E507" s="641">
        <v>0</v>
      </c>
      <c r="F507" s="641">
        <v>0</v>
      </c>
      <c r="G507" s="641">
        <v>0</v>
      </c>
      <c r="H507" s="641">
        <v>0</v>
      </c>
      <c r="I507" s="641" t="e">
        <f>#REF!</f>
        <v>#REF!</v>
      </c>
      <c r="J507" s="391"/>
    </row>
    <row r="508" spans="1:10" ht="12.75" customHeight="1">
      <c r="A508" s="646"/>
      <c r="B508" s="646"/>
      <c r="C508" s="641"/>
      <c r="D508" s="641"/>
      <c r="E508" s="641"/>
      <c r="F508" s="647"/>
      <c r="G508" s="641"/>
      <c r="H508" s="641"/>
      <c r="I508" s="641"/>
      <c r="J508" s="391"/>
    </row>
    <row r="509" spans="1:10" ht="12.75" customHeight="1">
      <c r="A509" s="646">
        <v>2</v>
      </c>
      <c r="B509" s="646" t="s">
        <v>1695</v>
      </c>
      <c r="C509" s="641">
        <v>3000000</v>
      </c>
      <c r="D509" s="641">
        <v>3120000</v>
      </c>
      <c r="E509" s="641">
        <v>3120000</v>
      </c>
      <c r="F509" s="647">
        <f t="shared" ref="F509:F521" si="61">SUM(C509:E509)</f>
        <v>9240000</v>
      </c>
      <c r="G509" s="641">
        <v>0</v>
      </c>
      <c r="H509" s="641">
        <v>3900000</v>
      </c>
      <c r="I509" s="641">
        <v>605000</v>
      </c>
      <c r="J509" s="391"/>
    </row>
    <row r="510" spans="1:10" ht="12.75" customHeight="1">
      <c r="A510" s="646">
        <f t="shared" ref="A510:A522" si="62">A509+1</f>
        <v>3</v>
      </c>
      <c r="B510" s="646" t="s">
        <v>1696</v>
      </c>
      <c r="C510" s="641">
        <v>500000</v>
      </c>
      <c r="D510" s="641">
        <v>520000</v>
      </c>
      <c r="E510" s="641">
        <v>520000</v>
      </c>
      <c r="F510" s="647">
        <f t="shared" si="61"/>
        <v>1540000</v>
      </c>
      <c r="G510" s="641">
        <v>0</v>
      </c>
      <c r="H510" s="641">
        <v>2000000</v>
      </c>
      <c r="I510" s="642">
        <v>698200</v>
      </c>
      <c r="J510" s="391"/>
    </row>
    <row r="511" spans="1:10" ht="12.75" customHeight="1">
      <c r="A511" s="646">
        <f t="shared" si="62"/>
        <v>4</v>
      </c>
      <c r="B511" s="646" t="s">
        <v>1701</v>
      </c>
      <c r="C511" s="641" t="s">
        <v>1386</v>
      </c>
      <c r="D511" s="641">
        <v>1040000</v>
      </c>
      <c r="E511" s="641">
        <v>1040000</v>
      </c>
      <c r="F511" s="647">
        <f t="shared" si="61"/>
        <v>2080000</v>
      </c>
      <c r="G511" s="641">
        <v>0</v>
      </c>
      <c r="H511" s="641" t="s">
        <v>1386</v>
      </c>
      <c r="I511" s="642">
        <v>0</v>
      </c>
      <c r="J511" s="391"/>
    </row>
    <row r="512" spans="1:10" ht="12.75" customHeight="1">
      <c r="A512" s="646">
        <f t="shared" si="62"/>
        <v>5</v>
      </c>
      <c r="B512" s="646" t="s">
        <v>1702</v>
      </c>
      <c r="C512" s="641">
        <v>100000</v>
      </c>
      <c r="D512" s="641">
        <v>1040000</v>
      </c>
      <c r="E512" s="641">
        <v>1040000</v>
      </c>
      <c r="F512" s="647">
        <f t="shared" si="61"/>
        <v>2180000</v>
      </c>
      <c r="G512" s="641">
        <v>36000</v>
      </c>
      <c r="H512" s="641">
        <v>100000</v>
      </c>
      <c r="I512" s="641">
        <v>55500</v>
      </c>
      <c r="J512" s="391"/>
    </row>
    <row r="513" spans="1:10" ht="12.75" customHeight="1">
      <c r="A513" s="646">
        <f t="shared" si="62"/>
        <v>6</v>
      </c>
      <c r="B513" s="646" t="s">
        <v>1544</v>
      </c>
      <c r="C513" s="641">
        <v>200000</v>
      </c>
      <c r="D513" s="641">
        <v>1040000</v>
      </c>
      <c r="E513" s="641">
        <v>1040000</v>
      </c>
      <c r="F513" s="647">
        <f t="shared" si="61"/>
        <v>2280000</v>
      </c>
      <c r="G513" s="641">
        <v>0</v>
      </c>
      <c r="H513" s="641">
        <v>500000</v>
      </c>
      <c r="I513" s="641">
        <v>0</v>
      </c>
      <c r="J513" s="391"/>
    </row>
    <row r="514" spans="1:10" ht="12.75" customHeight="1">
      <c r="A514" s="646">
        <f t="shared" si="62"/>
        <v>7</v>
      </c>
      <c r="B514" s="646" t="s">
        <v>897</v>
      </c>
      <c r="C514" s="641">
        <v>700000</v>
      </c>
      <c r="D514" s="641">
        <v>8320000</v>
      </c>
      <c r="E514" s="641">
        <v>8320000</v>
      </c>
      <c r="F514" s="647">
        <f t="shared" si="61"/>
        <v>17340000</v>
      </c>
      <c r="G514" s="641">
        <v>6950900</v>
      </c>
      <c r="H514" s="641">
        <v>1900000</v>
      </c>
      <c r="I514" s="641">
        <v>411105</v>
      </c>
      <c r="J514" s="391"/>
    </row>
    <row r="515" spans="1:10" ht="12.75" customHeight="1">
      <c r="A515" s="646">
        <f t="shared" si="62"/>
        <v>8</v>
      </c>
      <c r="B515" s="646" t="s">
        <v>1385</v>
      </c>
      <c r="C515" s="642" t="s">
        <v>1386</v>
      </c>
      <c r="D515" s="642" t="s">
        <v>1386</v>
      </c>
      <c r="E515" s="642" t="s">
        <v>1386</v>
      </c>
      <c r="F515" s="647">
        <f t="shared" si="61"/>
        <v>0</v>
      </c>
      <c r="G515" s="641">
        <v>0</v>
      </c>
      <c r="H515" s="642" t="s">
        <v>1386</v>
      </c>
      <c r="I515" s="642" t="s">
        <v>1386</v>
      </c>
      <c r="J515" s="391"/>
    </row>
    <row r="516" spans="1:10" ht="12.75" customHeight="1">
      <c r="A516" s="646">
        <f t="shared" si="62"/>
        <v>9</v>
      </c>
      <c r="B516" s="646" t="s">
        <v>2061</v>
      </c>
      <c r="C516" s="642" t="s">
        <v>1386</v>
      </c>
      <c r="D516" s="642" t="s">
        <v>1386</v>
      </c>
      <c r="E516" s="642" t="s">
        <v>1386</v>
      </c>
      <c r="F516" s="647">
        <f t="shared" si="61"/>
        <v>0</v>
      </c>
      <c r="G516" s="641">
        <v>0</v>
      </c>
      <c r="H516" s="642" t="s">
        <v>1386</v>
      </c>
      <c r="I516" s="642" t="s">
        <v>1386</v>
      </c>
      <c r="J516" s="391"/>
    </row>
    <row r="517" spans="1:10" ht="12.75" customHeight="1">
      <c r="A517" s="646">
        <f t="shared" si="62"/>
        <v>10</v>
      </c>
      <c r="B517" s="646" t="s">
        <v>1680</v>
      </c>
      <c r="C517" s="642">
        <v>300000</v>
      </c>
      <c r="D517" s="641">
        <v>832000</v>
      </c>
      <c r="E517" s="641">
        <v>832000</v>
      </c>
      <c r="F517" s="647">
        <f t="shared" si="61"/>
        <v>1964000</v>
      </c>
      <c r="G517" s="641">
        <v>0</v>
      </c>
      <c r="H517" s="642" t="s">
        <v>1386</v>
      </c>
      <c r="I517" s="642" t="s">
        <v>1386</v>
      </c>
      <c r="J517" s="391"/>
    </row>
    <row r="518" spans="1:10" ht="12.75" customHeight="1">
      <c r="A518" s="646">
        <f t="shared" si="62"/>
        <v>11</v>
      </c>
      <c r="B518" s="646" t="s">
        <v>1681</v>
      </c>
      <c r="C518" s="641">
        <v>1000000</v>
      </c>
      <c r="D518" s="641">
        <v>104000</v>
      </c>
      <c r="E518" s="641">
        <v>104000</v>
      </c>
      <c r="F518" s="647">
        <f t="shared" si="61"/>
        <v>1208000</v>
      </c>
      <c r="G518" s="641">
        <v>0</v>
      </c>
      <c r="H518" s="641">
        <v>5000000</v>
      </c>
      <c r="I518" s="641">
        <v>0</v>
      </c>
      <c r="J518" s="391"/>
    </row>
    <row r="519" spans="1:10" ht="12.75" customHeight="1">
      <c r="A519" s="646">
        <f t="shared" si="62"/>
        <v>12</v>
      </c>
      <c r="B519" s="646" t="s">
        <v>1682</v>
      </c>
      <c r="C519" s="641">
        <v>5000000</v>
      </c>
      <c r="D519" s="641">
        <v>2600000</v>
      </c>
      <c r="E519" s="641">
        <v>2600000</v>
      </c>
      <c r="F519" s="647">
        <f t="shared" si="61"/>
        <v>10200000</v>
      </c>
      <c r="G519" s="641">
        <v>980000</v>
      </c>
      <c r="H519" s="641" t="s">
        <v>1386</v>
      </c>
      <c r="I519" s="641">
        <v>608300</v>
      </c>
      <c r="J519" s="391"/>
    </row>
    <row r="520" spans="1:10" ht="12.75" customHeight="1">
      <c r="A520" s="646">
        <f t="shared" si="62"/>
        <v>13</v>
      </c>
      <c r="B520" s="646" t="s">
        <v>2249</v>
      </c>
      <c r="C520" s="641" t="s">
        <v>1386</v>
      </c>
      <c r="D520" s="641">
        <v>104000</v>
      </c>
      <c r="E520" s="641">
        <v>104000</v>
      </c>
      <c r="F520" s="647">
        <f t="shared" si="61"/>
        <v>208000</v>
      </c>
      <c r="G520" s="641">
        <v>0</v>
      </c>
      <c r="H520" s="641">
        <v>100000</v>
      </c>
      <c r="I520" s="642">
        <v>0</v>
      </c>
      <c r="J520" s="391"/>
    </row>
    <row r="521" spans="1:10" ht="12.75" customHeight="1">
      <c r="A521" s="646">
        <f t="shared" si="62"/>
        <v>14</v>
      </c>
      <c r="B521" s="646" t="s">
        <v>1717</v>
      </c>
      <c r="C521" s="641">
        <v>1200000</v>
      </c>
      <c r="D521" s="641">
        <v>728000</v>
      </c>
      <c r="E521" s="641">
        <v>728000</v>
      </c>
      <c r="F521" s="647">
        <f t="shared" si="61"/>
        <v>2656000</v>
      </c>
      <c r="G521" s="641">
        <v>0</v>
      </c>
      <c r="H521" s="641">
        <v>200000</v>
      </c>
      <c r="I521" s="641">
        <v>0</v>
      </c>
      <c r="J521" s="391"/>
    </row>
    <row r="522" spans="1:10" ht="12.75" customHeight="1">
      <c r="A522" s="646">
        <f t="shared" si="62"/>
        <v>15</v>
      </c>
      <c r="B522" s="646" t="s">
        <v>1613</v>
      </c>
      <c r="C522" s="642">
        <v>15000000</v>
      </c>
      <c r="D522" s="642">
        <v>14000000</v>
      </c>
      <c r="E522" s="642">
        <v>14000000</v>
      </c>
      <c r="F522" s="647">
        <f>SUM(C522:E522)</f>
        <v>43000000</v>
      </c>
      <c r="G522" s="641">
        <v>28446340</v>
      </c>
      <c r="H522" s="642">
        <v>10300000</v>
      </c>
      <c r="I522" s="641">
        <v>6001395</v>
      </c>
      <c r="J522" s="391"/>
    </row>
    <row r="523" spans="1:10" ht="12.75" customHeight="1">
      <c r="A523" s="646"/>
      <c r="B523" s="646"/>
      <c r="C523" s="642"/>
      <c r="D523" s="642"/>
      <c r="E523" s="642"/>
      <c r="F523" s="647"/>
      <c r="G523" s="642"/>
      <c r="H523" s="642"/>
      <c r="I523" s="391"/>
      <c r="J523" s="391"/>
    </row>
    <row r="524" spans="1:10" ht="12.75" customHeight="1">
      <c r="A524" s="646" t="s">
        <v>3401</v>
      </c>
      <c r="B524" s="651" t="s">
        <v>819</v>
      </c>
      <c r="C524" s="652">
        <f t="shared" ref="C524:I524" si="63">SUM(C509:C523)</f>
        <v>27000000</v>
      </c>
      <c r="D524" s="652">
        <f t="shared" si="63"/>
        <v>33448000</v>
      </c>
      <c r="E524" s="652">
        <f t="shared" si="63"/>
        <v>33448000</v>
      </c>
      <c r="F524" s="652">
        <f t="shared" si="63"/>
        <v>93896000</v>
      </c>
      <c r="G524" s="652">
        <f t="shared" si="63"/>
        <v>36413240</v>
      </c>
      <c r="H524" s="652">
        <f>SUM(H509:H523)</f>
        <v>24000000</v>
      </c>
      <c r="I524" s="652">
        <f t="shared" si="63"/>
        <v>8379500</v>
      </c>
      <c r="J524" s="391"/>
    </row>
    <row r="525" spans="1:10" ht="12.75" customHeight="1">
      <c r="A525" s="646"/>
      <c r="B525" s="646"/>
      <c r="C525" s="641"/>
      <c r="D525" s="641"/>
      <c r="E525" s="641"/>
      <c r="F525" s="641"/>
      <c r="G525" s="641"/>
      <c r="H525" s="641"/>
      <c r="I525" s="641"/>
      <c r="J525" s="391"/>
    </row>
    <row r="526" spans="1:10" ht="12.75" customHeight="1">
      <c r="A526" s="653"/>
      <c r="B526" s="653" t="s">
        <v>1684</v>
      </c>
      <c r="C526" s="645">
        <f t="shared" ref="C526:I526" si="64">+C524+C507</f>
        <v>27000000</v>
      </c>
      <c r="D526" s="645">
        <f t="shared" si="64"/>
        <v>33448000</v>
      </c>
      <c r="E526" s="645">
        <f t="shared" si="64"/>
        <v>33448000</v>
      </c>
      <c r="F526" s="645">
        <f t="shared" si="64"/>
        <v>93896000</v>
      </c>
      <c r="G526" s="645">
        <f t="shared" si="64"/>
        <v>36413240</v>
      </c>
      <c r="H526" s="645">
        <f>+H524+H507</f>
        <v>24000000</v>
      </c>
      <c r="I526" s="645" t="e">
        <f t="shared" si="64"/>
        <v>#REF!</v>
      </c>
      <c r="J526" s="391"/>
    </row>
    <row r="527" spans="1:10" ht="12.75" customHeight="1">
      <c r="A527" s="391"/>
      <c r="B527" s="391"/>
      <c r="C527" s="647"/>
      <c r="D527" s="647"/>
      <c r="E527" s="647"/>
      <c r="F527" s="647"/>
      <c r="G527" s="647"/>
      <c r="H527" s="647"/>
      <c r="I527" s="391"/>
      <c r="J527" s="391"/>
    </row>
    <row r="528" spans="1:10" ht="12.75" customHeight="1">
      <c r="A528" s="391"/>
      <c r="B528" s="391"/>
      <c r="C528" s="647"/>
      <c r="D528" s="9" t="s">
        <v>5434</v>
      </c>
      <c r="E528" s="9"/>
      <c r="F528" s="647"/>
      <c r="G528" s="647"/>
      <c r="H528" s="647"/>
      <c r="I528" s="391"/>
      <c r="J528" s="391"/>
    </row>
    <row r="529" spans="1:10" ht="12.75" customHeight="1">
      <c r="A529" s="391"/>
      <c r="B529" s="391"/>
      <c r="C529" s="647"/>
      <c r="D529" s="9" t="s">
        <v>716</v>
      </c>
      <c r="E529" s="9"/>
      <c r="F529" s="647"/>
      <c r="G529" s="647"/>
      <c r="H529" s="647"/>
      <c r="I529" s="391"/>
      <c r="J529" s="391"/>
    </row>
    <row r="530" spans="1:10" ht="12.75" customHeight="1">
      <c r="A530" s="391"/>
      <c r="B530" s="391"/>
      <c r="C530" s="647"/>
      <c r="D530" s="9" t="s">
        <v>3200</v>
      </c>
      <c r="E530" s="9"/>
      <c r="F530" s="647"/>
      <c r="G530" s="647"/>
      <c r="H530" s="647"/>
      <c r="I530" s="391"/>
      <c r="J530" s="391"/>
    </row>
    <row r="531" spans="1:10" ht="12.75" customHeight="1">
      <c r="A531" s="391"/>
      <c r="B531" s="391"/>
      <c r="C531" s="647"/>
      <c r="D531" s="244" t="s">
        <v>3399</v>
      </c>
      <c r="E531" s="244"/>
      <c r="F531" s="647"/>
      <c r="G531" s="647"/>
      <c r="H531" s="647"/>
      <c r="I531" s="391"/>
      <c r="J531" s="391"/>
    </row>
    <row r="532" spans="1:10" ht="12.75" customHeight="1">
      <c r="A532" s="634" t="s">
        <v>1839</v>
      </c>
      <c r="B532" s="635" t="s">
        <v>903</v>
      </c>
      <c r="C532" s="1037" t="s">
        <v>4127</v>
      </c>
      <c r="D532" s="1038"/>
      <c r="E532" s="1039"/>
      <c r="F532" s="635" t="s">
        <v>1684</v>
      </c>
      <c r="G532" s="1037" t="s">
        <v>4132</v>
      </c>
      <c r="H532" s="1038"/>
      <c r="I532" s="1039"/>
      <c r="J532" s="391"/>
    </row>
    <row r="533" spans="1:10" ht="12.75" customHeight="1">
      <c r="A533" s="636" t="s">
        <v>1620</v>
      </c>
      <c r="B533" s="637"/>
      <c r="C533" s="635" t="s">
        <v>1841</v>
      </c>
      <c r="D533" s="635" t="s">
        <v>4133</v>
      </c>
      <c r="E533" s="635" t="s">
        <v>4133</v>
      </c>
      <c r="F533" s="1056" t="s">
        <v>4200</v>
      </c>
      <c r="G533" s="1051" t="s">
        <v>4201</v>
      </c>
      <c r="H533" s="635" t="s">
        <v>1841</v>
      </c>
      <c r="I533" s="634" t="s">
        <v>4135</v>
      </c>
      <c r="J533" s="391"/>
    </row>
    <row r="534" spans="1:10" ht="12.75" customHeight="1">
      <c r="A534" s="638" t="s">
        <v>387</v>
      </c>
      <c r="B534" s="639"/>
      <c r="C534" s="638">
        <v>2015</v>
      </c>
      <c r="D534" s="638">
        <v>2016</v>
      </c>
      <c r="E534" s="638">
        <v>2017</v>
      </c>
      <c r="F534" s="1057"/>
      <c r="G534" s="1052"/>
      <c r="H534" s="638">
        <v>2014</v>
      </c>
      <c r="I534" s="638" t="s">
        <v>4303</v>
      </c>
      <c r="J534" s="391"/>
    </row>
    <row r="535" spans="1:10" ht="12.75" customHeight="1">
      <c r="A535" s="646" t="s">
        <v>3400</v>
      </c>
      <c r="B535" s="646" t="s">
        <v>1693</v>
      </c>
      <c r="C535" s="641">
        <v>35574705</v>
      </c>
      <c r="D535" s="641">
        <v>34320000</v>
      </c>
      <c r="E535" s="641">
        <v>34320000</v>
      </c>
      <c r="F535" s="647">
        <f>SUM(C535:E535)</f>
        <v>104214705</v>
      </c>
      <c r="G535" s="641">
        <v>20220579</v>
      </c>
      <c r="H535" s="641">
        <v>36092967</v>
      </c>
      <c r="I535" s="641" t="e">
        <f>#REF!</f>
        <v>#REF!</v>
      </c>
      <c r="J535" s="391"/>
    </row>
    <row r="536" spans="1:10" ht="12.75" customHeight="1">
      <c r="A536" s="646"/>
      <c r="B536" s="646"/>
      <c r="C536" s="641"/>
      <c r="D536" s="641"/>
      <c r="E536" s="641"/>
      <c r="F536" s="647"/>
      <c r="G536" s="641"/>
      <c r="H536" s="641"/>
      <c r="I536" s="641"/>
      <c r="J536" s="391"/>
    </row>
    <row r="537" spans="1:10" ht="12.75" customHeight="1">
      <c r="A537" s="646">
        <v>2</v>
      </c>
      <c r="B537" s="646" t="s">
        <v>1695</v>
      </c>
      <c r="C537" s="641">
        <v>3000000</v>
      </c>
      <c r="D537" s="641">
        <v>3120000</v>
      </c>
      <c r="E537" s="641">
        <v>3120000</v>
      </c>
      <c r="F537" s="647">
        <f t="shared" ref="F537:F550" si="65">SUM(C537:E537)</f>
        <v>9240000</v>
      </c>
      <c r="G537" s="641">
        <v>0</v>
      </c>
      <c r="H537" s="641">
        <v>3182400</v>
      </c>
      <c r="I537" s="641">
        <v>0</v>
      </c>
      <c r="J537" s="391"/>
    </row>
    <row r="538" spans="1:10" ht="12.75" customHeight="1">
      <c r="A538" s="646">
        <f t="shared" ref="A538:A550" si="66">A537+1</f>
        <v>3</v>
      </c>
      <c r="B538" s="646" t="s">
        <v>1696</v>
      </c>
      <c r="C538" s="641">
        <v>900000</v>
      </c>
      <c r="D538" s="641">
        <v>520000</v>
      </c>
      <c r="E538" s="641">
        <v>520000</v>
      </c>
      <c r="F538" s="647">
        <f t="shared" si="65"/>
        <v>1940000</v>
      </c>
      <c r="G538" s="641">
        <v>0</v>
      </c>
      <c r="H538" s="641">
        <v>530400</v>
      </c>
      <c r="I538" s="641">
        <v>0</v>
      </c>
      <c r="J538" s="391"/>
    </row>
    <row r="539" spans="1:10" ht="12.75" customHeight="1">
      <c r="A539" s="646">
        <f t="shared" si="66"/>
        <v>4</v>
      </c>
      <c r="B539" s="646" t="s">
        <v>1701</v>
      </c>
      <c r="C539" s="641" t="s">
        <v>1386</v>
      </c>
      <c r="D539" s="641">
        <v>1040000</v>
      </c>
      <c r="E539" s="641">
        <v>1040000</v>
      </c>
      <c r="F539" s="647">
        <f t="shared" si="65"/>
        <v>2080000</v>
      </c>
      <c r="G539" s="641">
        <v>0</v>
      </c>
      <c r="H539" s="641">
        <v>1060800</v>
      </c>
      <c r="I539" s="641" t="s">
        <v>1386</v>
      </c>
      <c r="J539" s="391"/>
    </row>
    <row r="540" spans="1:10" ht="12.75" customHeight="1">
      <c r="A540" s="646">
        <f t="shared" si="66"/>
        <v>5</v>
      </c>
      <c r="B540" s="646" t="s">
        <v>1702</v>
      </c>
      <c r="C540" s="641">
        <v>1500000</v>
      </c>
      <c r="D540" s="641">
        <v>1040000</v>
      </c>
      <c r="E540" s="641">
        <v>1040000</v>
      </c>
      <c r="F540" s="647">
        <f t="shared" si="65"/>
        <v>3580000</v>
      </c>
      <c r="G540" s="641">
        <v>36000</v>
      </c>
      <c r="H540" s="641">
        <v>1060800</v>
      </c>
      <c r="I540" s="641">
        <v>151920</v>
      </c>
      <c r="J540" s="391"/>
    </row>
    <row r="541" spans="1:10" ht="12.75" customHeight="1">
      <c r="A541" s="646">
        <f t="shared" si="66"/>
        <v>6</v>
      </c>
      <c r="B541" s="646" t="s">
        <v>1544</v>
      </c>
      <c r="C541" s="641">
        <v>1500000</v>
      </c>
      <c r="D541" s="641">
        <v>1040000</v>
      </c>
      <c r="E541" s="641">
        <v>1040000</v>
      </c>
      <c r="F541" s="647">
        <f t="shared" si="65"/>
        <v>3580000</v>
      </c>
      <c r="G541" s="641">
        <v>0</v>
      </c>
      <c r="H541" s="641">
        <v>1060800</v>
      </c>
      <c r="I541" s="641">
        <v>0</v>
      </c>
      <c r="J541" s="391"/>
    </row>
    <row r="542" spans="1:10" ht="12.75" customHeight="1">
      <c r="A542" s="646">
        <f t="shared" si="66"/>
        <v>7</v>
      </c>
      <c r="B542" s="646" t="s">
        <v>897</v>
      </c>
      <c r="C542" s="641">
        <v>10000000</v>
      </c>
      <c r="D542" s="641">
        <v>8320000</v>
      </c>
      <c r="E542" s="641">
        <v>8320000</v>
      </c>
      <c r="F542" s="647">
        <f t="shared" si="65"/>
        <v>26640000</v>
      </c>
      <c r="G542" s="641">
        <v>6950900</v>
      </c>
      <c r="H542" s="641">
        <v>8486400</v>
      </c>
      <c r="I542" s="641">
        <v>4400000</v>
      </c>
      <c r="J542" s="391"/>
    </row>
    <row r="543" spans="1:10" ht="12.75" customHeight="1">
      <c r="A543" s="646">
        <f t="shared" si="66"/>
        <v>8</v>
      </c>
      <c r="B543" s="646" t="s">
        <v>1385</v>
      </c>
      <c r="C543" s="642" t="s">
        <v>1386</v>
      </c>
      <c r="D543" s="642" t="s">
        <v>1386</v>
      </c>
      <c r="E543" s="642" t="s">
        <v>1386</v>
      </c>
      <c r="F543" s="647">
        <f t="shared" si="65"/>
        <v>0</v>
      </c>
      <c r="G543" s="641">
        <v>0</v>
      </c>
      <c r="H543" s="642" t="s">
        <v>1386</v>
      </c>
      <c r="I543" s="641" t="s">
        <v>1386</v>
      </c>
      <c r="J543" s="391"/>
    </row>
    <row r="544" spans="1:10" ht="12.75" customHeight="1">
      <c r="A544" s="646">
        <f t="shared" si="66"/>
        <v>9</v>
      </c>
      <c r="B544" s="646" t="s">
        <v>2061</v>
      </c>
      <c r="C544" s="642" t="s">
        <v>1386</v>
      </c>
      <c r="D544" s="642" t="s">
        <v>1386</v>
      </c>
      <c r="E544" s="642" t="s">
        <v>1386</v>
      </c>
      <c r="F544" s="647">
        <f t="shared" si="65"/>
        <v>0</v>
      </c>
      <c r="G544" s="641">
        <v>0</v>
      </c>
      <c r="H544" s="642" t="s">
        <v>1386</v>
      </c>
      <c r="I544" s="641" t="s">
        <v>1386</v>
      </c>
      <c r="J544" s="391"/>
    </row>
    <row r="545" spans="1:11" ht="12.75" customHeight="1">
      <c r="A545" s="646">
        <f t="shared" si="66"/>
        <v>10</v>
      </c>
      <c r="B545" s="646" t="s">
        <v>1680</v>
      </c>
      <c r="C545" s="641">
        <v>800000</v>
      </c>
      <c r="D545" s="641">
        <v>832000</v>
      </c>
      <c r="E545" s="641">
        <v>832000</v>
      </c>
      <c r="F545" s="647">
        <f t="shared" si="65"/>
        <v>2464000</v>
      </c>
      <c r="G545" s="641">
        <v>0</v>
      </c>
      <c r="H545" s="641">
        <v>848640</v>
      </c>
      <c r="I545" s="641">
        <v>169904</v>
      </c>
      <c r="J545" s="391"/>
    </row>
    <row r="546" spans="1:11" ht="12.75" customHeight="1">
      <c r="A546" s="646">
        <f t="shared" si="66"/>
        <v>11</v>
      </c>
      <c r="B546" s="646" t="s">
        <v>1681</v>
      </c>
      <c r="C546" s="641">
        <v>100000</v>
      </c>
      <c r="D546" s="641">
        <v>104000</v>
      </c>
      <c r="E546" s="641">
        <v>104000</v>
      </c>
      <c r="F546" s="647">
        <f t="shared" si="65"/>
        <v>308000</v>
      </c>
      <c r="G546" s="641">
        <v>0</v>
      </c>
      <c r="H546" s="641">
        <v>106080</v>
      </c>
      <c r="I546" s="641"/>
      <c r="J546" s="391"/>
    </row>
    <row r="547" spans="1:11" ht="12.75" customHeight="1">
      <c r="A547" s="646">
        <f t="shared" si="66"/>
        <v>12</v>
      </c>
      <c r="B547" s="646" t="s">
        <v>1682</v>
      </c>
      <c r="C547" s="641">
        <v>2500000</v>
      </c>
      <c r="D547" s="641">
        <v>2600000</v>
      </c>
      <c r="E547" s="641">
        <v>2600000</v>
      </c>
      <c r="F547" s="647">
        <f t="shared" si="65"/>
        <v>7700000</v>
      </c>
      <c r="G547" s="641">
        <v>980000</v>
      </c>
      <c r="H547" s="641">
        <v>2652000</v>
      </c>
      <c r="I547" s="641">
        <v>418176</v>
      </c>
      <c r="J547" s="391"/>
    </row>
    <row r="548" spans="1:11" ht="12.75" customHeight="1">
      <c r="A548" s="646">
        <f t="shared" si="66"/>
        <v>13</v>
      </c>
      <c r="B548" s="646" t="s">
        <v>2249</v>
      </c>
      <c r="C548" s="641">
        <v>100000</v>
      </c>
      <c r="D548" s="641">
        <v>104000</v>
      </c>
      <c r="E548" s="641">
        <v>104000</v>
      </c>
      <c r="F548" s="647">
        <f t="shared" si="65"/>
        <v>308000</v>
      </c>
      <c r="G548" s="641">
        <v>0</v>
      </c>
      <c r="H548" s="641">
        <v>106080</v>
      </c>
      <c r="I548" s="641">
        <v>0</v>
      </c>
      <c r="J548" s="391"/>
    </row>
    <row r="549" spans="1:11" ht="12.75" customHeight="1">
      <c r="A549" s="646">
        <f t="shared" si="66"/>
        <v>14</v>
      </c>
      <c r="B549" s="646" t="s">
        <v>1717</v>
      </c>
      <c r="C549" s="641">
        <v>2000000</v>
      </c>
      <c r="D549" s="641">
        <v>728000</v>
      </c>
      <c r="E549" s="641">
        <v>728000</v>
      </c>
      <c r="F549" s="647">
        <f t="shared" si="65"/>
        <v>3456000</v>
      </c>
      <c r="G549" s="641">
        <v>0</v>
      </c>
      <c r="H549" s="641">
        <v>742560</v>
      </c>
      <c r="I549" s="641">
        <v>0</v>
      </c>
      <c r="J549" s="391"/>
    </row>
    <row r="550" spans="1:11" ht="12.75" customHeight="1">
      <c r="A550" s="646">
        <f t="shared" si="66"/>
        <v>15</v>
      </c>
      <c r="B550" s="646" t="s">
        <v>666</v>
      </c>
      <c r="C550" s="641">
        <v>5000000</v>
      </c>
      <c r="D550" s="641">
        <v>5200000</v>
      </c>
      <c r="E550" s="641">
        <v>5200000</v>
      </c>
      <c r="F550" s="647">
        <f t="shared" si="65"/>
        <v>15400000</v>
      </c>
      <c r="G550" s="641">
        <v>1952400</v>
      </c>
      <c r="H550" s="641">
        <f>5304000+8307040</f>
        <v>13611040</v>
      </c>
      <c r="I550" s="641">
        <v>814000</v>
      </c>
      <c r="J550" s="391"/>
    </row>
    <row r="551" spans="1:11" ht="12.75" customHeight="1">
      <c r="A551" s="646"/>
      <c r="B551" s="646"/>
      <c r="C551" s="642"/>
      <c r="D551" s="642"/>
      <c r="E551" s="642"/>
      <c r="F551" s="647"/>
      <c r="G551" s="642"/>
      <c r="H551" s="642"/>
      <c r="I551" s="391"/>
      <c r="J551" s="391"/>
    </row>
    <row r="552" spans="1:11" ht="12.75" customHeight="1">
      <c r="A552" s="646" t="s">
        <v>3401</v>
      </c>
      <c r="B552" s="651" t="s">
        <v>819</v>
      </c>
      <c r="C552" s="652">
        <f t="shared" ref="C552:I552" si="67">SUM(C537:C551)</f>
        <v>27400000</v>
      </c>
      <c r="D552" s="652">
        <f t="shared" si="67"/>
        <v>24648000</v>
      </c>
      <c r="E552" s="652">
        <f t="shared" si="67"/>
        <v>24648000</v>
      </c>
      <c r="F552" s="652">
        <f t="shared" si="67"/>
        <v>76696000</v>
      </c>
      <c r="G552" s="652">
        <f t="shared" si="67"/>
        <v>9919300</v>
      </c>
      <c r="H552" s="652">
        <f>SUM(H537:H551)</f>
        <v>33448000</v>
      </c>
      <c r="I552" s="652">
        <f t="shared" si="67"/>
        <v>5954000</v>
      </c>
      <c r="J552" s="391"/>
      <c r="K552" s="657">
        <f>33448000-H552</f>
        <v>0</v>
      </c>
    </row>
    <row r="553" spans="1:11" ht="12.75" customHeight="1">
      <c r="A553" s="646"/>
      <c r="B553" s="646"/>
      <c r="C553" s="641"/>
      <c r="D553" s="641"/>
      <c r="E553" s="641"/>
      <c r="F553" s="641"/>
      <c r="G553" s="641"/>
      <c r="H553" s="641"/>
      <c r="I553" s="641"/>
      <c r="J553" s="391"/>
    </row>
    <row r="554" spans="1:11" ht="12.75" customHeight="1">
      <c r="A554" s="653"/>
      <c r="B554" s="653" t="s">
        <v>1684</v>
      </c>
      <c r="C554" s="645">
        <f t="shared" ref="C554:I554" si="68">+C552+C535</f>
        <v>62974705</v>
      </c>
      <c r="D554" s="645">
        <f t="shared" si="68"/>
        <v>58968000</v>
      </c>
      <c r="E554" s="645">
        <f t="shared" si="68"/>
        <v>58968000</v>
      </c>
      <c r="F554" s="645">
        <f t="shared" si="68"/>
        <v>180910705</v>
      </c>
      <c r="G554" s="645">
        <f t="shared" si="68"/>
        <v>30139879</v>
      </c>
      <c r="H554" s="645">
        <f>+H552+H535</f>
        <v>69540967</v>
      </c>
      <c r="I554" s="645" t="e">
        <f t="shared" si="68"/>
        <v>#REF!</v>
      </c>
      <c r="J554" s="391"/>
    </row>
    <row r="555" spans="1:11" ht="12.75">
      <c r="A555" s="391"/>
      <c r="B555" s="391"/>
      <c r="C555" s="647"/>
      <c r="D555" s="308" t="s">
        <v>5434</v>
      </c>
      <c r="E555" s="647"/>
      <c r="F555" s="647"/>
      <c r="G555" s="60"/>
      <c r="H555" s="647"/>
      <c r="I555" s="391"/>
      <c r="J555" s="391"/>
    </row>
    <row r="556" spans="1:11" ht="12.75">
      <c r="A556" s="655"/>
      <c r="B556" s="633"/>
      <c r="C556" s="655"/>
      <c r="D556" s="308" t="s">
        <v>716</v>
      </c>
      <c r="E556" s="655"/>
      <c r="F556" s="647"/>
      <c r="G556" s="60"/>
      <c r="H556" s="655"/>
      <c r="I556" s="391"/>
      <c r="J556" s="391"/>
    </row>
    <row r="557" spans="1:11" ht="12.75">
      <c r="A557" s="655"/>
      <c r="B557" s="633"/>
      <c r="C557" s="655"/>
      <c r="D557" s="308" t="s">
        <v>3202</v>
      </c>
      <c r="E557" s="655"/>
      <c r="F557" s="647"/>
      <c r="G557" s="60"/>
      <c r="H557" s="655"/>
      <c r="I557" s="391"/>
      <c r="J557" s="391"/>
    </row>
    <row r="558" spans="1:11" ht="12.75">
      <c r="A558" s="655"/>
      <c r="B558" s="655"/>
      <c r="C558" s="655"/>
      <c r="D558" s="307" t="s">
        <v>3402</v>
      </c>
      <c r="E558" s="655"/>
      <c r="F558" s="647"/>
      <c r="G558" s="60"/>
      <c r="H558" s="655"/>
      <c r="I558" s="391"/>
      <c r="J558" s="391"/>
    </row>
    <row r="559" spans="1:11" ht="15">
      <c r="A559" s="634" t="s">
        <v>1839</v>
      </c>
      <c r="B559" s="635" t="s">
        <v>903</v>
      </c>
      <c r="C559" s="1037" t="s">
        <v>4127</v>
      </c>
      <c r="D559" s="1038"/>
      <c r="E559" s="1039"/>
      <c r="F559" s="635" t="s">
        <v>1684</v>
      </c>
      <c r="G559" s="1037" t="s">
        <v>4132</v>
      </c>
      <c r="H559" s="1038"/>
      <c r="I559" s="1039"/>
      <c r="J559" s="391"/>
    </row>
    <row r="560" spans="1:11" ht="12.75">
      <c r="A560" s="636" t="s">
        <v>1620</v>
      </c>
      <c r="B560" s="637"/>
      <c r="C560" s="635" t="s">
        <v>1841</v>
      </c>
      <c r="D560" s="635" t="s">
        <v>4133</v>
      </c>
      <c r="E560" s="635" t="s">
        <v>4133</v>
      </c>
      <c r="F560" s="1056" t="s">
        <v>4200</v>
      </c>
      <c r="G560" s="1051" t="s">
        <v>4201</v>
      </c>
      <c r="H560" s="635" t="s">
        <v>1841</v>
      </c>
      <c r="I560" s="634" t="s">
        <v>4135</v>
      </c>
      <c r="J560" s="391"/>
    </row>
    <row r="561" spans="1:10" ht="12.75" customHeight="1">
      <c r="A561" s="638" t="s">
        <v>387</v>
      </c>
      <c r="B561" s="639"/>
      <c r="C561" s="638">
        <v>2015</v>
      </c>
      <c r="D561" s="638">
        <v>2016</v>
      </c>
      <c r="E561" s="638">
        <v>2017</v>
      </c>
      <c r="F561" s="1057"/>
      <c r="G561" s="1052"/>
      <c r="H561" s="638">
        <v>2014</v>
      </c>
      <c r="I561" s="638" t="s">
        <v>4303</v>
      </c>
      <c r="J561" s="391"/>
    </row>
    <row r="562" spans="1:10" ht="12.75">
      <c r="A562" s="646" t="s">
        <v>3403</v>
      </c>
      <c r="B562" s="646" t="s">
        <v>1693</v>
      </c>
      <c r="C562" s="641">
        <v>7125508.9000000004</v>
      </c>
      <c r="D562" s="641">
        <v>8044807.6800000006</v>
      </c>
      <c r="E562" s="641">
        <v>8044807.6800000006</v>
      </c>
      <c r="F562" s="647">
        <f>SUM(C562:E562)</f>
        <v>23215124.260000002</v>
      </c>
      <c r="G562" s="641">
        <v>3529180</v>
      </c>
      <c r="H562" s="641">
        <v>8044808</v>
      </c>
      <c r="I562" s="641" t="e">
        <f>#REF!</f>
        <v>#REF!</v>
      </c>
      <c r="J562" s="391"/>
    </row>
    <row r="563" spans="1:10" ht="12.75">
      <c r="A563" s="646"/>
      <c r="B563" s="646"/>
      <c r="C563" s="641"/>
      <c r="D563" s="641"/>
      <c r="E563" s="641"/>
      <c r="F563" s="647"/>
      <c r="G563" s="641"/>
      <c r="H563" s="641"/>
      <c r="I563" s="641"/>
      <c r="J563" s="391"/>
    </row>
    <row r="564" spans="1:10" ht="12.75">
      <c r="A564" s="646">
        <v>2</v>
      </c>
      <c r="B564" s="646" t="s">
        <v>1695</v>
      </c>
      <c r="C564" s="641">
        <v>500000</v>
      </c>
      <c r="D564" s="641">
        <v>832000</v>
      </c>
      <c r="E564" s="641">
        <v>832000</v>
      </c>
      <c r="F564" s="647">
        <f t="shared" ref="F564:F577" si="69">SUM(C564:E564)</f>
        <v>2164000</v>
      </c>
      <c r="G564" s="641">
        <v>0</v>
      </c>
      <c r="H564" s="641">
        <v>148640</v>
      </c>
      <c r="I564" s="641">
        <v>0</v>
      </c>
      <c r="J564" s="391"/>
    </row>
    <row r="565" spans="1:10" ht="12.75">
      <c r="A565" s="646">
        <f t="shared" ref="A565:A577" si="70">A564+1</f>
        <v>3</v>
      </c>
      <c r="B565" s="646" t="s">
        <v>1696</v>
      </c>
      <c r="C565" s="641" t="s">
        <v>1386</v>
      </c>
      <c r="D565" s="641">
        <v>104000</v>
      </c>
      <c r="E565" s="641">
        <v>104000</v>
      </c>
      <c r="F565" s="647">
        <f t="shared" si="69"/>
        <v>208000</v>
      </c>
      <c r="G565" s="641">
        <v>0</v>
      </c>
      <c r="H565" s="641">
        <v>106080</v>
      </c>
      <c r="I565" s="641">
        <v>0</v>
      </c>
      <c r="J565" s="391"/>
    </row>
    <row r="566" spans="1:10" ht="12.75">
      <c r="A566" s="646">
        <f t="shared" si="70"/>
        <v>4</v>
      </c>
      <c r="B566" s="646" t="s">
        <v>1701</v>
      </c>
      <c r="C566" s="641" t="s">
        <v>1386</v>
      </c>
      <c r="D566" s="641" t="s">
        <v>1386</v>
      </c>
      <c r="E566" s="641" t="s">
        <v>1386</v>
      </c>
      <c r="F566" s="647">
        <f t="shared" si="69"/>
        <v>0</v>
      </c>
      <c r="G566" s="641" t="s">
        <v>3007</v>
      </c>
      <c r="H566" s="641" t="s">
        <v>1386</v>
      </c>
      <c r="I566" s="641" t="s">
        <v>3007</v>
      </c>
      <c r="J566" s="391"/>
    </row>
    <row r="567" spans="1:10" ht="12.75">
      <c r="A567" s="646">
        <f t="shared" si="70"/>
        <v>5</v>
      </c>
      <c r="B567" s="646" t="s">
        <v>1702</v>
      </c>
      <c r="C567" s="641">
        <v>200000</v>
      </c>
      <c r="D567" s="641">
        <v>624000</v>
      </c>
      <c r="E567" s="641">
        <v>624000</v>
      </c>
      <c r="F567" s="647">
        <f t="shared" si="69"/>
        <v>1448000</v>
      </c>
      <c r="G567" s="641">
        <v>3000</v>
      </c>
      <c r="H567" s="641">
        <v>636480</v>
      </c>
      <c r="I567" s="641">
        <v>101800</v>
      </c>
      <c r="J567" s="391"/>
    </row>
    <row r="568" spans="1:10" ht="12.75">
      <c r="A568" s="646">
        <f t="shared" si="70"/>
        <v>6</v>
      </c>
      <c r="B568" s="646" t="s">
        <v>1544</v>
      </c>
      <c r="C568" s="641">
        <v>300000</v>
      </c>
      <c r="D568" s="641">
        <v>520000</v>
      </c>
      <c r="E568" s="641">
        <v>520000</v>
      </c>
      <c r="F568" s="647">
        <f t="shared" si="69"/>
        <v>1340000</v>
      </c>
      <c r="G568" s="641">
        <v>210000</v>
      </c>
      <c r="H568" s="641">
        <v>530400</v>
      </c>
      <c r="I568" s="641">
        <v>427500</v>
      </c>
      <c r="J568" s="391"/>
    </row>
    <row r="569" spans="1:10" ht="12.75">
      <c r="A569" s="646">
        <f t="shared" si="70"/>
        <v>7</v>
      </c>
      <c r="B569" s="646" t="s">
        <v>897</v>
      </c>
      <c r="C569" s="641">
        <v>200000</v>
      </c>
      <c r="D569" s="641">
        <v>728000</v>
      </c>
      <c r="E569" s="641">
        <v>728000</v>
      </c>
      <c r="F569" s="647">
        <f t="shared" si="69"/>
        <v>1656000</v>
      </c>
      <c r="G569" s="641">
        <v>561500</v>
      </c>
      <c r="H569" s="641">
        <v>742560</v>
      </c>
      <c r="I569" s="641">
        <v>185500</v>
      </c>
      <c r="J569" s="391"/>
    </row>
    <row r="570" spans="1:10" ht="12.75">
      <c r="A570" s="646">
        <f t="shared" si="70"/>
        <v>8</v>
      </c>
      <c r="B570" s="646" t="s">
        <v>1385</v>
      </c>
      <c r="C570" s="641" t="s">
        <v>1386</v>
      </c>
      <c r="D570" s="641" t="s">
        <v>1386</v>
      </c>
      <c r="E570" s="641" t="s">
        <v>1386</v>
      </c>
      <c r="F570" s="647">
        <f t="shared" si="69"/>
        <v>0</v>
      </c>
      <c r="G570" s="641" t="s">
        <v>1386</v>
      </c>
      <c r="H570" s="641" t="s">
        <v>1386</v>
      </c>
      <c r="I570" s="641" t="s">
        <v>1386</v>
      </c>
      <c r="J570" s="391"/>
    </row>
    <row r="571" spans="1:10" ht="12.75">
      <c r="A571" s="646">
        <f t="shared" si="70"/>
        <v>9</v>
      </c>
      <c r="B571" s="646" t="s">
        <v>2061</v>
      </c>
      <c r="C571" s="641" t="s">
        <v>1386</v>
      </c>
      <c r="D571" s="641" t="s">
        <v>1386</v>
      </c>
      <c r="E571" s="641" t="s">
        <v>1386</v>
      </c>
      <c r="F571" s="647">
        <f t="shared" si="69"/>
        <v>0</v>
      </c>
      <c r="G571" s="641" t="s">
        <v>1386</v>
      </c>
      <c r="H571" s="641" t="s">
        <v>1386</v>
      </c>
      <c r="I571" s="641" t="s">
        <v>1386</v>
      </c>
      <c r="J571" s="391"/>
    </row>
    <row r="572" spans="1:10" ht="12.75">
      <c r="A572" s="646">
        <f t="shared" si="70"/>
        <v>10</v>
      </c>
      <c r="B572" s="646" t="s">
        <v>1680</v>
      </c>
      <c r="C572" s="641">
        <v>300000</v>
      </c>
      <c r="D572" s="641"/>
      <c r="E572" s="641"/>
      <c r="F572" s="647">
        <f t="shared" si="69"/>
        <v>300000</v>
      </c>
      <c r="G572" s="641">
        <v>0</v>
      </c>
      <c r="H572" s="641"/>
      <c r="I572" s="641">
        <v>0</v>
      </c>
      <c r="J572" s="391"/>
    </row>
    <row r="573" spans="1:10" ht="12.75">
      <c r="A573" s="646">
        <f t="shared" si="70"/>
        <v>11</v>
      </c>
      <c r="B573" s="646" t="s">
        <v>1681</v>
      </c>
      <c r="C573" s="641">
        <v>100000</v>
      </c>
      <c r="D573" s="641"/>
      <c r="E573" s="641"/>
      <c r="F573" s="647">
        <f t="shared" si="69"/>
        <v>100000</v>
      </c>
      <c r="G573" s="641">
        <v>15000</v>
      </c>
      <c r="H573" s="641"/>
      <c r="I573" s="641">
        <v>0</v>
      </c>
      <c r="J573" s="391"/>
    </row>
    <row r="574" spans="1:10" ht="12.75">
      <c r="A574" s="646">
        <f t="shared" si="70"/>
        <v>12</v>
      </c>
      <c r="B574" s="646" t="s">
        <v>1682</v>
      </c>
      <c r="C574" s="641">
        <v>1000000</v>
      </c>
      <c r="D574" s="641">
        <v>832000</v>
      </c>
      <c r="E574" s="641">
        <v>832000</v>
      </c>
      <c r="F574" s="647">
        <f t="shared" si="69"/>
        <v>2664000</v>
      </c>
      <c r="G574" s="641">
        <v>326500</v>
      </c>
      <c r="H574" s="641">
        <f>848640</f>
        <v>848640</v>
      </c>
      <c r="I574" s="641">
        <v>326942.84000000003</v>
      </c>
      <c r="J574" s="391"/>
    </row>
    <row r="575" spans="1:10" ht="12.75">
      <c r="A575" s="646">
        <f t="shared" si="70"/>
        <v>13</v>
      </c>
      <c r="B575" s="646" t="s">
        <v>2249</v>
      </c>
      <c r="C575" s="641">
        <v>100000</v>
      </c>
      <c r="D575" s="641">
        <v>104000</v>
      </c>
      <c r="E575" s="641">
        <v>104000</v>
      </c>
      <c r="F575" s="647">
        <f t="shared" si="69"/>
        <v>308000</v>
      </c>
      <c r="G575" s="641">
        <v>0</v>
      </c>
      <c r="H575" s="641">
        <v>106080</v>
      </c>
      <c r="I575" s="641">
        <v>0</v>
      </c>
      <c r="J575" s="391"/>
    </row>
    <row r="576" spans="1:10" ht="12.75">
      <c r="A576" s="646">
        <f t="shared" si="70"/>
        <v>14</v>
      </c>
      <c r="B576" s="646" t="s">
        <v>1717</v>
      </c>
      <c r="C576" s="641">
        <v>800000</v>
      </c>
      <c r="D576" s="641">
        <v>520000</v>
      </c>
      <c r="E576" s="641">
        <v>520000</v>
      </c>
      <c r="F576" s="647">
        <f t="shared" si="69"/>
        <v>1840000</v>
      </c>
      <c r="G576" s="641">
        <v>85000</v>
      </c>
      <c r="H576" s="641">
        <v>530400</v>
      </c>
      <c r="I576" s="641">
        <v>0</v>
      </c>
      <c r="J576" s="391"/>
    </row>
    <row r="577" spans="1:11" ht="12.75">
      <c r="A577" s="646">
        <f t="shared" si="70"/>
        <v>15</v>
      </c>
      <c r="B577" s="646" t="s">
        <v>3404</v>
      </c>
      <c r="C577" s="641">
        <f>10000000-1874491</f>
        <v>8125509</v>
      </c>
      <c r="D577" s="641">
        <v>624000</v>
      </c>
      <c r="E577" s="641">
        <v>624000</v>
      </c>
      <c r="F577" s="647">
        <f t="shared" si="69"/>
        <v>9373509</v>
      </c>
      <c r="G577" s="641">
        <v>298000</v>
      </c>
      <c r="H577" s="641">
        <f>636480+700000-97760</f>
        <v>1238720</v>
      </c>
      <c r="I577" s="641">
        <v>589200</v>
      </c>
      <c r="J577" s="391"/>
    </row>
    <row r="578" spans="1:11" ht="12.75">
      <c r="A578" s="646"/>
      <c r="B578" s="646"/>
      <c r="C578" s="642"/>
      <c r="D578" s="642"/>
      <c r="E578" s="642"/>
      <c r="F578" s="647"/>
      <c r="G578" s="642"/>
      <c r="H578" s="642"/>
      <c r="I578" s="391"/>
      <c r="J578" s="391"/>
    </row>
    <row r="579" spans="1:11" ht="12.75">
      <c r="A579" s="646" t="s">
        <v>3405</v>
      </c>
      <c r="B579" s="651" t="s">
        <v>819</v>
      </c>
      <c r="C579" s="652">
        <f>SUM(C564:C578)</f>
        <v>11625509</v>
      </c>
      <c r="D579" s="652">
        <v>4888000</v>
      </c>
      <c r="E579" s="652">
        <v>4888000</v>
      </c>
      <c r="F579" s="652">
        <f>SUM(F564:F578)</f>
        <v>21401509</v>
      </c>
      <c r="G579" s="652">
        <f>SUM(G564:G578)</f>
        <v>1499000</v>
      </c>
      <c r="H579" s="652">
        <f>SUM(H564:H578)</f>
        <v>4888000</v>
      </c>
      <c r="I579" s="652">
        <f>SUM(I564:I578)</f>
        <v>1630942.84</v>
      </c>
      <c r="J579" s="391"/>
      <c r="K579" s="657">
        <f>4888000-H579</f>
        <v>0</v>
      </c>
    </row>
    <row r="580" spans="1:11" ht="12.75">
      <c r="A580" s="646"/>
      <c r="B580" s="646"/>
      <c r="C580" s="641"/>
      <c r="D580" s="641"/>
      <c r="E580" s="641"/>
      <c r="F580" s="641"/>
      <c r="G580" s="641"/>
      <c r="H580" s="641"/>
      <c r="I580" s="641"/>
      <c r="J580" s="391"/>
    </row>
    <row r="581" spans="1:11" ht="12.75">
      <c r="A581" s="653"/>
      <c r="B581" s="653" t="s">
        <v>1684</v>
      </c>
      <c r="C581" s="645">
        <f>+C579+C562</f>
        <v>18751017.899999999</v>
      </c>
      <c r="D581" s="645">
        <v>12932807.68</v>
      </c>
      <c r="E581" s="645">
        <v>12932807.68</v>
      </c>
      <c r="F581" s="645">
        <f>+F579+F562</f>
        <v>44616633.260000005</v>
      </c>
      <c r="G581" s="645">
        <f>+G579+G562</f>
        <v>5028180</v>
      </c>
      <c r="H581" s="645">
        <f>+H579+H562</f>
        <v>12932808</v>
      </c>
      <c r="I581" s="645" t="e">
        <f>+I579+I562</f>
        <v>#REF!</v>
      </c>
      <c r="J581" s="391"/>
    </row>
    <row r="582" spans="1:11" ht="12.75">
      <c r="A582" s="391"/>
      <c r="B582" s="391"/>
      <c r="C582" s="647"/>
      <c r="D582" s="647"/>
      <c r="E582" s="647"/>
      <c r="F582" s="647"/>
      <c r="G582" s="647"/>
      <c r="H582" s="647"/>
      <c r="I582" s="391"/>
      <c r="J582" s="391"/>
    </row>
    <row r="583" spans="1:11" ht="12.75">
      <c r="A583" s="391"/>
      <c r="B583" s="391"/>
      <c r="C583" s="647"/>
      <c r="D583" s="308" t="s">
        <v>5434</v>
      </c>
      <c r="E583" s="647"/>
      <c r="F583" s="647"/>
      <c r="H583" s="647"/>
      <c r="I583" s="391"/>
      <c r="J583" s="391"/>
    </row>
    <row r="584" spans="1:11" ht="12.75">
      <c r="A584" s="655"/>
      <c r="B584" s="633"/>
      <c r="C584" s="655"/>
      <c r="D584" s="308" t="s">
        <v>716</v>
      </c>
      <c r="E584" s="655"/>
      <c r="F584" s="647"/>
      <c r="H584" s="655"/>
      <c r="I584" s="391"/>
      <c r="J584" s="391"/>
    </row>
    <row r="585" spans="1:11" ht="12.75">
      <c r="A585" s="655"/>
      <c r="B585" s="633"/>
      <c r="C585" s="655"/>
      <c r="D585" s="308" t="s">
        <v>1648</v>
      </c>
      <c r="E585" s="655"/>
      <c r="F585" s="647"/>
      <c r="H585" s="655"/>
      <c r="I585" s="391"/>
      <c r="J585" s="391"/>
    </row>
    <row r="586" spans="1:11" ht="12.75">
      <c r="A586" s="655"/>
      <c r="B586" s="655"/>
      <c r="C586" s="655"/>
      <c r="D586" s="307" t="s">
        <v>3406</v>
      </c>
      <c r="E586" s="655"/>
      <c r="F586" s="647"/>
      <c r="H586" s="655"/>
      <c r="I586" s="391"/>
      <c r="J586" s="391"/>
    </row>
    <row r="587" spans="1:11" ht="15">
      <c r="A587" s="634" t="s">
        <v>1839</v>
      </c>
      <c r="B587" s="635" t="s">
        <v>903</v>
      </c>
      <c r="C587" s="1037" t="s">
        <v>4127</v>
      </c>
      <c r="D587" s="1038"/>
      <c r="E587" s="1039"/>
      <c r="F587" s="635" t="s">
        <v>1684</v>
      </c>
      <c r="G587" s="1037" t="s">
        <v>4132</v>
      </c>
      <c r="H587" s="1038"/>
      <c r="I587" s="1039"/>
      <c r="J587" s="391"/>
    </row>
    <row r="588" spans="1:11" ht="12.75">
      <c r="A588" s="636" t="s">
        <v>1620</v>
      </c>
      <c r="B588" s="637"/>
      <c r="C588" s="635" t="s">
        <v>1841</v>
      </c>
      <c r="D588" s="635" t="s">
        <v>4133</v>
      </c>
      <c r="E588" s="635" t="s">
        <v>4133</v>
      </c>
      <c r="F588" s="1056" t="s">
        <v>4200</v>
      </c>
      <c r="G588" s="1051" t="s">
        <v>4201</v>
      </c>
      <c r="H588" s="635" t="s">
        <v>1841</v>
      </c>
      <c r="I588" s="634" t="s">
        <v>4135</v>
      </c>
      <c r="J588" s="391"/>
    </row>
    <row r="589" spans="1:11" ht="12.75" customHeight="1">
      <c r="A589" s="638" t="s">
        <v>387</v>
      </c>
      <c r="B589" s="639"/>
      <c r="C589" s="638">
        <v>2015</v>
      </c>
      <c r="D589" s="638">
        <v>2016</v>
      </c>
      <c r="E589" s="638">
        <v>2017</v>
      </c>
      <c r="F589" s="1057"/>
      <c r="G589" s="1052"/>
      <c r="H589" s="638">
        <v>2014</v>
      </c>
      <c r="I589" s="638" t="s">
        <v>4303</v>
      </c>
      <c r="J589" s="391"/>
    </row>
    <row r="590" spans="1:11" ht="12.75">
      <c r="A590" s="646" t="s">
        <v>3407</v>
      </c>
      <c r="B590" s="646" t="s">
        <v>1693</v>
      </c>
      <c r="C590" s="641">
        <v>1349676686</v>
      </c>
      <c r="D590" s="641">
        <v>1905862400</v>
      </c>
      <c r="E590" s="641">
        <v>1905862400</v>
      </c>
      <c r="F590" s="666">
        <f>SUM(C590:E590)</f>
        <v>5161401486</v>
      </c>
      <c r="G590" s="641">
        <v>922576154</v>
      </c>
      <c r="H590" s="641">
        <v>1500000000</v>
      </c>
      <c r="I590" s="641" t="e">
        <f>#REF!</f>
        <v>#REF!</v>
      </c>
      <c r="J590" s="665"/>
    </row>
    <row r="591" spans="1:11" ht="12.75">
      <c r="A591" s="646"/>
      <c r="B591" s="646"/>
      <c r="C591" s="641"/>
      <c r="D591" s="641"/>
      <c r="E591" s="641"/>
      <c r="F591" s="666"/>
      <c r="G591" s="641"/>
      <c r="H591" s="641"/>
      <c r="I591" s="641"/>
      <c r="J591" s="665"/>
    </row>
    <row r="592" spans="1:11" ht="12.75">
      <c r="A592" s="646">
        <v>2</v>
      </c>
      <c r="B592" s="646" t="s">
        <v>1695</v>
      </c>
      <c r="C592" s="641">
        <v>1000000</v>
      </c>
      <c r="D592" s="641">
        <v>2912000</v>
      </c>
      <c r="E592" s="641">
        <v>2912000</v>
      </c>
      <c r="F592" s="666">
        <f t="shared" ref="F592:F606" si="71">SUM(C592:E592)</f>
        <v>6824000</v>
      </c>
      <c r="G592" s="641">
        <v>148000</v>
      </c>
      <c r="H592" s="641">
        <v>1000000</v>
      </c>
      <c r="I592" s="641">
        <v>277500</v>
      </c>
      <c r="J592" s="665"/>
    </row>
    <row r="593" spans="1:10" ht="12.75">
      <c r="A593" s="646">
        <f t="shared" ref="A593:A606" si="72">A592+1</f>
        <v>3</v>
      </c>
      <c r="B593" s="646" t="s">
        <v>1696</v>
      </c>
      <c r="C593" s="641" t="s">
        <v>3007</v>
      </c>
      <c r="D593" s="641" t="s">
        <v>3007</v>
      </c>
      <c r="E593" s="641" t="s">
        <v>3007</v>
      </c>
      <c r="F593" s="666">
        <f t="shared" si="71"/>
        <v>0</v>
      </c>
      <c r="G593" s="642"/>
      <c r="H593" s="641" t="s">
        <v>3007</v>
      </c>
      <c r="I593" s="642"/>
      <c r="J593" s="391"/>
    </row>
    <row r="594" spans="1:10" ht="12.75">
      <c r="A594" s="646">
        <f t="shared" si="72"/>
        <v>4</v>
      </c>
      <c r="B594" s="646" t="s">
        <v>1701</v>
      </c>
      <c r="C594" s="641" t="s">
        <v>3007</v>
      </c>
      <c r="D594" s="641" t="s">
        <v>3007</v>
      </c>
      <c r="E594" s="641" t="s">
        <v>3007</v>
      </c>
      <c r="F594" s="666">
        <f t="shared" si="71"/>
        <v>0</v>
      </c>
      <c r="G594" s="642"/>
      <c r="H594" s="641" t="s">
        <v>3007</v>
      </c>
      <c r="I594" s="642"/>
      <c r="J594" s="667"/>
    </row>
    <row r="595" spans="1:10" ht="12.75">
      <c r="A595" s="646">
        <f t="shared" si="72"/>
        <v>5</v>
      </c>
      <c r="B595" s="646" t="s">
        <v>1702</v>
      </c>
      <c r="C595" s="641">
        <v>1000000</v>
      </c>
      <c r="D595" s="641">
        <v>3120000</v>
      </c>
      <c r="E595" s="641">
        <v>3120000</v>
      </c>
      <c r="F595" s="666">
        <f t="shared" si="71"/>
        <v>7240000</v>
      </c>
      <c r="G595" s="641">
        <v>631500</v>
      </c>
      <c r="H595" s="641">
        <v>500000</v>
      </c>
      <c r="I595" s="641">
        <v>1092500</v>
      </c>
      <c r="J595" s="391"/>
    </row>
    <row r="596" spans="1:10" ht="12.75">
      <c r="A596" s="646">
        <f t="shared" si="72"/>
        <v>6</v>
      </c>
      <c r="B596" s="646" t="s">
        <v>1544</v>
      </c>
      <c r="C596" s="641">
        <v>1000000</v>
      </c>
      <c r="D596" s="641">
        <v>1872000</v>
      </c>
      <c r="E596" s="641">
        <v>1872000</v>
      </c>
      <c r="F596" s="666">
        <f t="shared" si="71"/>
        <v>4744000</v>
      </c>
      <c r="G596" s="641">
        <v>196000</v>
      </c>
      <c r="H596" s="641">
        <v>500000</v>
      </c>
      <c r="I596" s="641"/>
      <c r="J596" s="391"/>
    </row>
    <row r="597" spans="1:10" ht="12.75">
      <c r="A597" s="646">
        <f t="shared" si="72"/>
        <v>7</v>
      </c>
      <c r="B597" s="646" t="s">
        <v>897</v>
      </c>
      <c r="C597" s="641">
        <v>1000000</v>
      </c>
      <c r="D597" s="641">
        <v>3952000</v>
      </c>
      <c r="E597" s="641">
        <v>3952000</v>
      </c>
      <c r="F597" s="666">
        <f t="shared" si="71"/>
        <v>8904000</v>
      </c>
      <c r="G597" s="641">
        <v>107500</v>
      </c>
      <c r="H597" s="641">
        <v>800000</v>
      </c>
      <c r="I597" s="641">
        <v>555000</v>
      </c>
      <c r="J597" s="391"/>
    </row>
    <row r="598" spans="1:10" ht="12.75">
      <c r="A598" s="646">
        <f t="shared" si="72"/>
        <v>8</v>
      </c>
      <c r="B598" s="646" t="s">
        <v>1385</v>
      </c>
      <c r="C598" s="641" t="s">
        <v>3007</v>
      </c>
      <c r="D598" s="641" t="s">
        <v>3007</v>
      </c>
      <c r="E598" s="641" t="s">
        <v>3007</v>
      </c>
      <c r="F598" s="666">
        <f t="shared" si="71"/>
        <v>0</v>
      </c>
      <c r="G598" s="642"/>
      <c r="H598" s="641" t="s">
        <v>3007</v>
      </c>
      <c r="I598" s="642"/>
      <c r="J598" s="391"/>
    </row>
    <row r="599" spans="1:10" ht="12.75">
      <c r="A599" s="646">
        <f t="shared" si="72"/>
        <v>9</v>
      </c>
      <c r="B599" s="646" t="s">
        <v>2061</v>
      </c>
      <c r="C599" s="641" t="s">
        <v>3007</v>
      </c>
      <c r="D599" s="641" t="s">
        <v>3007</v>
      </c>
      <c r="E599" s="641" t="s">
        <v>3007</v>
      </c>
      <c r="F599" s="666">
        <f t="shared" si="71"/>
        <v>0</v>
      </c>
      <c r="G599" s="642"/>
      <c r="H599" s="641" t="s">
        <v>3007</v>
      </c>
      <c r="I599" s="642"/>
      <c r="J599" s="391"/>
    </row>
    <row r="600" spans="1:10" ht="12.75">
      <c r="A600" s="646">
        <f t="shared" si="72"/>
        <v>10</v>
      </c>
      <c r="B600" s="646" t="s">
        <v>1680</v>
      </c>
      <c r="C600" s="641">
        <v>1000000</v>
      </c>
      <c r="D600" s="641">
        <v>1664000</v>
      </c>
      <c r="E600" s="641">
        <v>1664000</v>
      </c>
      <c r="F600" s="666">
        <f t="shared" si="71"/>
        <v>4328000</v>
      </c>
      <c r="G600" s="642"/>
      <c r="H600" s="641">
        <v>200000</v>
      </c>
      <c r="I600" s="642">
        <v>29000</v>
      </c>
      <c r="J600" s="391"/>
    </row>
    <row r="601" spans="1:10" ht="12.75">
      <c r="A601" s="646">
        <f t="shared" si="72"/>
        <v>11</v>
      </c>
      <c r="B601" s="646" t="s">
        <v>1681</v>
      </c>
      <c r="C601" s="641">
        <v>100000</v>
      </c>
      <c r="D601" s="641">
        <v>104000</v>
      </c>
      <c r="E601" s="641">
        <v>104000</v>
      </c>
      <c r="F601" s="666">
        <f t="shared" si="71"/>
        <v>308000</v>
      </c>
      <c r="G601" s="641"/>
      <c r="H601" s="641">
        <v>100000</v>
      </c>
      <c r="I601" s="641"/>
      <c r="J601" s="391"/>
    </row>
    <row r="602" spans="1:10" ht="12.75">
      <c r="A602" s="646">
        <f t="shared" si="72"/>
        <v>12</v>
      </c>
      <c r="B602" s="646" t="s">
        <v>1682</v>
      </c>
      <c r="C602" s="641">
        <v>2400000</v>
      </c>
      <c r="D602" s="641">
        <v>8320000</v>
      </c>
      <c r="E602" s="641">
        <v>8320000</v>
      </c>
      <c r="F602" s="666">
        <f t="shared" si="71"/>
        <v>19040000</v>
      </c>
      <c r="G602" s="641">
        <v>914200</v>
      </c>
      <c r="H602" s="641">
        <f>2900000+9444000</f>
        <v>12344000</v>
      </c>
      <c r="I602" s="641">
        <v>285000</v>
      </c>
      <c r="J602" s="391"/>
    </row>
    <row r="603" spans="1:10" ht="12.75">
      <c r="A603" s="646">
        <f t="shared" si="72"/>
        <v>13</v>
      </c>
      <c r="B603" s="646" t="s">
        <v>2249</v>
      </c>
      <c r="C603" s="641" t="s">
        <v>3007</v>
      </c>
      <c r="D603" s="641" t="s">
        <v>3007</v>
      </c>
      <c r="E603" s="641" t="s">
        <v>3007</v>
      </c>
      <c r="F603" s="666">
        <f t="shared" si="71"/>
        <v>0</v>
      </c>
      <c r="G603" s="641"/>
      <c r="H603" s="641" t="s">
        <v>3007</v>
      </c>
      <c r="I603" s="641"/>
      <c r="J603" s="391"/>
    </row>
    <row r="604" spans="1:10" ht="12.75">
      <c r="A604" s="646">
        <f t="shared" si="72"/>
        <v>14</v>
      </c>
      <c r="B604" s="646" t="s">
        <v>1717</v>
      </c>
      <c r="C604" s="641" t="s">
        <v>3007</v>
      </c>
      <c r="D604" s="641" t="s">
        <v>3007</v>
      </c>
      <c r="E604" s="641" t="s">
        <v>3007</v>
      </c>
      <c r="F604" s="666">
        <f t="shared" si="71"/>
        <v>0</v>
      </c>
      <c r="G604" s="641"/>
      <c r="H604" s="641" t="s">
        <v>3007</v>
      </c>
      <c r="I604" s="641"/>
      <c r="J604" s="391"/>
    </row>
    <row r="605" spans="1:10" ht="12.75">
      <c r="A605" s="646">
        <f t="shared" si="72"/>
        <v>15</v>
      </c>
      <c r="B605" s="646" t="s">
        <v>75</v>
      </c>
      <c r="C605" s="641" t="s">
        <v>3007</v>
      </c>
      <c r="D605" s="642">
        <v>6000000</v>
      </c>
      <c r="E605" s="642">
        <v>6000000</v>
      </c>
      <c r="F605" s="666">
        <f t="shared" si="71"/>
        <v>12000000</v>
      </c>
      <c r="G605" s="642"/>
      <c r="H605" s="642">
        <v>12000000</v>
      </c>
      <c r="I605" s="642"/>
      <c r="J605" s="391"/>
    </row>
    <row r="606" spans="1:10" ht="12.75">
      <c r="A606" s="646">
        <f t="shared" si="72"/>
        <v>16</v>
      </c>
      <c r="B606" s="646" t="s">
        <v>5361</v>
      </c>
      <c r="C606" s="641">
        <v>2000000</v>
      </c>
      <c r="D606" s="641">
        <v>1500000</v>
      </c>
      <c r="E606" s="641">
        <v>1500000</v>
      </c>
      <c r="F606" s="666">
        <f t="shared" si="71"/>
        <v>5000000</v>
      </c>
      <c r="G606" s="641"/>
      <c r="H606" s="641">
        <v>2000000</v>
      </c>
      <c r="I606" s="641">
        <v>180000</v>
      </c>
      <c r="J606" s="391"/>
    </row>
    <row r="607" spans="1:10" ht="12.75">
      <c r="A607" s="646"/>
      <c r="B607" s="646"/>
      <c r="C607" s="642"/>
      <c r="D607" s="642"/>
      <c r="E607" s="642"/>
      <c r="F607" s="666"/>
      <c r="G607" s="642"/>
      <c r="H607" s="642"/>
      <c r="I607" s="642"/>
      <c r="J607" s="391"/>
    </row>
    <row r="608" spans="1:10" ht="12.75">
      <c r="A608" s="646" t="s">
        <v>3408</v>
      </c>
      <c r="B608" s="651" t="s">
        <v>819</v>
      </c>
      <c r="C608" s="652">
        <f t="shared" ref="C608:I608" si="73">SUM(C592:C607)</f>
        <v>9500000</v>
      </c>
      <c r="D608" s="652">
        <f t="shared" si="73"/>
        <v>29444000</v>
      </c>
      <c r="E608" s="652">
        <f t="shared" si="73"/>
        <v>29444000</v>
      </c>
      <c r="F608" s="652">
        <f t="shared" si="73"/>
        <v>68388000</v>
      </c>
      <c r="G608" s="652">
        <f t="shared" si="73"/>
        <v>1997200</v>
      </c>
      <c r="H608" s="652">
        <f>SUM(H592:H607)</f>
        <v>29444000</v>
      </c>
      <c r="I608" s="652">
        <f t="shared" si="73"/>
        <v>2419000</v>
      </c>
      <c r="J608" s="391"/>
    </row>
    <row r="609" spans="1:10" ht="12.75">
      <c r="A609" s="646"/>
      <c r="B609" s="646"/>
      <c r="C609" s="641"/>
      <c r="D609" s="641"/>
      <c r="E609" s="641"/>
      <c r="F609" s="641"/>
      <c r="G609" s="641"/>
      <c r="H609" s="641"/>
      <c r="I609" s="641"/>
      <c r="J609" s="391"/>
    </row>
    <row r="610" spans="1:10" ht="12.75">
      <c r="A610" s="653"/>
      <c r="B610" s="653" t="s">
        <v>1684</v>
      </c>
      <c r="C610" s="645">
        <f t="shared" ref="C610:I610" si="74">+C608+C590</f>
        <v>1359176686</v>
      </c>
      <c r="D610" s="645">
        <f t="shared" si="74"/>
        <v>1935306400</v>
      </c>
      <c r="E610" s="645">
        <f t="shared" si="74"/>
        <v>1935306400</v>
      </c>
      <c r="F610" s="645">
        <f t="shared" si="74"/>
        <v>5229789486</v>
      </c>
      <c r="G610" s="645">
        <f t="shared" si="74"/>
        <v>924573354</v>
      </c>
      <c r="H610" s="645">
        <f>+H608+H590</f>
        <v>1529444000</v>
      </c>
      <c r="I610" s="645" t="e">
        <f t="shared" si="74"/>
        <v>#REF!</v>
      </c>
      <c r="J610" s="391"/>
    </row>
    <row r="611" spans="1:10" ht="12.75" customHeight="1">
      <c r="A611" s="391"/>
      <c r="B611" s="391"/>
      <c r="C611" s="647"/>
      <c r="D611" s="647"/>
      <c r="E611" s="647"/>
      <c r="F611" s="647"/>
      <c r="G611" s="647"/>
      <c r="H611" s="647"/>
      <c r="I611" s="391"/>
      <c r="J611" s="391"/>
    </row>
    <row r="612" spans="1:10" ht="12.75">
      <c r="A612" s="391"/>
      <c r="B612" s="391"/>
      <c r="C612" s="647"/>
      <c r="D612" s="308" t="s">
        <v>5434</v>
      </c>
      <c r="E612" s="647"/>
      <c r="F612" s="647"/>
      <c r="H612" s="647"/>
      <c r="I612" s="391"/>
      <c r="J612" s="391"/>
    </row>
    <row r="613" spans="1:10" ht="12.75">
      <c r="A613" s="655"/>
      <c r="B613" s="633"/>
      <c r="C613" s="655"/>
      <c r="D613" s="308" t="s">
        <v>716</v>
      </c>
      <c r="E613" s="655"/>
      <c r="F613" s="647"/>
      <c r="H613" s="655"/>
      <c r="I613" s="391"/>
      <c r="J613" s="391"/>
    </row>
    <row r="614" spans="1:10" ht="12.75">
      <c r="A614" s="655"/>
      <c r="B614" s="633"/>
      <c r="C614" s="655"/>
      <c r="D614" s="308" t="s">
        <v>3707</v>
      </c>
      <c r="E614" s="655"/>
      <c r="F614" s="647"/>
      <c r="H614" s="655"/>
      <c r="I614" s="391"/>
      <c r="J614" s="391"/>
    </row>
    <row r="615" spans="1:10" ht="12.75">
      <c r="A615" s="655"/>
      <c r="B615" s="655"/>
      <c r="C615" s="655"/>
      <c r="D615" s="307" t="s">
        <v>357</v>
      </c>
      <c r="E615" s="655"/>
      <c r="F615" s="647"/>
      <c r="H615" s="655"/>
      <c r="I615" s="391"/>
      <c r="J615" s="391"/>
    </row>
    <row r="616" spans="1:10" ht="15">
      <c r="A616" s="634" t="s">
        <v>1839</v>
      </c>
      <c r="B616" s="635" t="s">
        <v>903</v>
      </c>
      <c r="C616" s="1037" t="s">
        <v>4127</v>
      </c>
      <c r="D616" s="1038"/>
      <c r="E616" s="1039"/>
      <c r="F616" s="635" t="s">
        <v>1684</v>
      </c>
      <c r="G616" s="1037" t="s">
        <v>4132</v>
      </c>
      <c r="H616" s="1038"/>
      <c r="I616" s="1039"/>
      <c r="J616" s="391"/>
    </row>
    <row r="617" spans="1:10" ht="12.75">
      <c r="A617" s="636" t="s">
        <v>1620</v>
      </c>
      <c r="B617" s="637"/>
      <c r="C617" s="635" t="s">
        <v>1841</v>
      </c>
      <c r="D617" s="635" t="s">
        <v>4133</v>
      </c>
      <c r="E617" s="635" t="s">
        <v>4133</v>
      </c>
      <c r="F617" s="1056" t="s">
        <v>4200</v>
      </c>
      <c r="G617" s="1051" t="s">
        <v>4201</v>
      </c>
      <c r="H617" s="635" t="s">
        <v>1841</v>
      </c>
      <c r="I617" s="634" t="s">
        <v>4135</v>
      </c>
      <c r="J617" s="391"/>
    </row>
    <row r="618" spans="1:10" ht="12.75" customHeight="1">
      <c r="A618" s="638" t="s">
        <v>387</v>
      </c>
      <c r="B618" s="639"/>
      <c r="C618" s="638">
        <v>2015</v>
      </c>
      <c r="D618" s="638">
        <v>2016</v>
      </c>
      <c r="E618" s="638">
        <v>2017</v>
      </c>
      <c r="F618" s="1057"/>
      <c r="G618" s="1052"/>
      <c r="H618" s="638">
        <v>2014</v>
      </c>
      <c r="I618" s="638" t="s">
        <v>4303</v>
      </c>
      <c r="J618" s="391"/>
    </row>
    <row r="619" spans="1:10" ht="12.75">
      <c r="A619" s="646" t="s">
        <v>358</v>
      </c>
      <c r="B619" s="646" t="s">
        <v>1693</v>
      </c>
      <c r="C619" s="641">
        <v>6126972.3499999996</v>
      </c>
      <c r="D619" s="641">
        <v>7280000</v>
      </c>
      <c r="E619" s="641">
        <v>7280000</v>
      </c>
      <c r="F619" s="647">
        <f>SUM(C619:E619)</f>
        <v>20686972.350000001</v>
      </c>
      <c r="G619" s="641">
        <v>2478465</v>
      </c>
      <c r="H619" s="641">
        <v>7280000</v>
      </c>
      <c r="I619" s="641" t="e">
        <f>#REF!</f>
        <v>#REF!</v>
      </c>
      <c r="J619" s="391"/>
    </row>
    <row r="620" spans="1:10" ht="12.75">
      <c r="A620" s="646"/>
      <c r="B620" s="646"/>
      <c r="C620" s="641"/>
      <c r="D620" s="641"/>
      <c r="E620" s="641"/>
      <c r="F620" s="647"/>
      <c r="G620" s="641"/>
      <c r="H620" s="641"/>
      <c r="I620" s="641"/>
      <c r="J620" s="391"/>
    </row>
    <row r="621" spans="1:10" ht="12.75">
      <c r="A621" s="646">
        <v>2</v>
      </c>
      <c r="B621" s="646" t="s">
        <v>1695</v>
      </c>
      <c r="C621" s="641">
        <v>800000</v>
      </c>
      <c r="D621" s="641">
        <v>832000</v>
      </c>
      <c r="E621" s="641">
        <v>832000</v>
      </c>
      <c r="F621" s="647">
        <f t="shared" ref="F621:F633" si="75">SUM(C621:E621)</f>
        <v>2464000</v>
      </c>
      <c r="G621" s="641">
        <v>160500</v>
      </c>
      <c r="H621" s="641">
        <v>848640</v>
      </c>
      <c r="I621" s="641">
        <v>0</v>
      </c>
      <c r="J621" s="391"/>
    </row>
    <row r="622" spans="1:10" ht="12.75">
      <c r="A622" s="646">
        <f t="shared" ref="A622:A633" si="76">A621+1</f>
        <v>3</v>
      </c>
      <c r="B622" s="646" t="s">
        <v>1696</v>
      </c>
      <c r="C622" s="641" t="s">
        <v>3007</v>
      </c>
      <c r="D622" s="641" t="s">
        <v>3007</v>
      </c>
      <c r="E622" s="641" t="s">
        <v>3007</v>
      </c>
      <c r="F622" s="647">
        <f t="shared" si="75"/>
        <v>0</v>
      </c>
      <c r="G622" s="642">
        <v>175400</v>
      </c>
      <c r="H622" s="641" t="s">
        <v>3007</v>
      </c>
      <c r="I622" s="642">
        <v>0</v>
      </c>
      <c r="J622" s="391"/>
    </row>
    <row r="623" spans="1:10" ht="12.75">
      <c r="A623" s="646">
        <f t="shared" si="76"/>
        <v>4</v>
      </c>
      <c r="B623" s="646" t="s">
        <v>1701</v>
      </c>
      <c r="C623" s="641" t="s">
        <v>3007</v>
      </c>
      <c r="D623" s="641" t="s">
        <v>3007</v>
      </c>
      <c r="E623" s="641" t="s">
        <v>3007</v>
      </c>
      <c r="F623" s="647">
        <f t="shared" si="75"/>
        <v>0</v>
      </c>
      <c r="G623" s="642" t="s">
        <v>1386</v>
      </c>
      <c r="H623" s="641" t="s">
        <v>3007</v>
      </c>
      <c r="I623" s="642" t="s">
        <v>1386</v>
      </c>
      <c r="J623" s="391"/>
    </row>
    <row r="624" spans="1:10" ht="12.75">
      <c r="A624" s="646">
        <f t="shared" si="76"/>
        <v>5</v>
      </c>
      <c r="B624" s="646" t="s">
        <v>1702</v>
      </c>
      <c r="C624" s="641">
        <v>500000</v>
      </c>
      <c r="D624" s="641">
        <v>520000</v>
      </c>
      <c r="E624" s="641">
        <v>520000</v>
      </c>
      <c r="F624" s="647">
        <f t="shared" si="75"/>
        <v>1540000</v>
      </c>
      <c r="G624" s="642">
        <v>0</v>
      </c>
      <c r="H624" s="641">
        <v>530400</v>
      </c>
      <c r="I624" s="642">
        <v>362500</v>
      </c>
      <c r="J624" s="391"/>
    </row>
    <row r="625" spans="1:11" ht="12.75">
      <c r="A625" s="646">
        <f t="shared" si="76"/>
        <v>6</v>
      </c>
      <c r="B625" s="646" t="s">
        <v>1544</v>
      </c>
      <c r="C625" s="641">
        <v>500000</v>
      </c>
      <c r="D625" s="641">
        <v>312000</v>
      </c>
      <c r="E625" s="641">
        <v>312000</v>
      </c>
      <c r="F625" s="647">
        <f t="shared" si="75"/>
        <v>1124000</v>
      </c>
      <c r="G625" s="642">
        <v>0</v>
      </c>
      <c r="H625" s="641">
        <v>318240</v>
      </c>
      <c r="I625" s="642">
        <v>300000</v>
      </c>
      <c r="J625" s="391"/>
    </row>
    <row r="626" spans="1:11" ht="12.75">
      <c r="A626" s="646">
        <f t="shared" si="76"/>
        <v>7</v>
      </c>
      <c r="B626" s="646" t="s">
        <v>897</v>
      </c>
      <c r="C626" s="641">
        <v>1000000</v>
      </c>
      <c r="D626" s="641">
        <v>520000</v>
      </c>
      <c r="E626" s="641">
        <v>520000</v>
      </c>
      <c r="F626" s="647">
        <f t="shared" si="75"/>
        <v>2040000</v>
      </c>
      <c r="G626" s="642">
        <v>0</v>
      </c>
      <c r="H626" s="641">
        <v>530400</v>
      </c>
      <c r="I626" s="642">
        <v>334000</v>
      </c>
      <c r="J626" s="391"/>
    </row>
    <row r="627" spans="1:11" ht="12.75">
      <c r="A627" s="646">
        <f t="shared" si="76"/>
        <v>8</v>
      </c>
      <c r="B627" s="646" t="s">
        <v>1385</v>
      </c>
      <c r="C627" s="641" t="s">
        <v>3007</v>
      </c>
      <c r="D627" s="641" t="s">
        <v>3007</v>
      </c>
      <c r="E627" s="641" t="s">
        <v>3007</v>
      </c>
      <c r="F627" s="647">
        <f t="shared" si="75"/>
        <v>0</v>
      </c>
      <c r="G627" s="642" t="s">
        <v>1386</v>
      </c>
      <c r="H627" s="641" t="s">
        <v>3007</v>
      </c>
      <c r="I627" s="642" t="s">
        <v>1386</v>
      </c>
      <c r="J627" s="391"/>
    </row>
    <row r="628" spans="1:11" ht="12.75">
      <c r="A628" s="646">
        <f t="shared" si="76"/>
        <v>9</v>
      </c>
      <c r="B628" s="646" t="s">
        <v>2061</v>
      </c>
      <c r="C628" s="641" t="s">
        <v>3007</v>
      </c>
      <c r="D628" s="641" t="s">
        <v>3007</v>
      </c>
      <c r="E628" s="641" t="s">
        <v>3007</v>
      </c>
      <c r="F628" s="647">
        <f t="shared" si="75"/>
        <v>0</v>
      </c>
      <c r="G628" s="642" t="s">
        <v>1386</v>
      </c>
      <c r="H628" s="641" t="s">
        <v>3007</v>
      </c>
      <c r="I628" s="642" t="s">
        <v>1386</v>
      </c>
      <c r="J628" s="391"/>
    </row>
    <row r="629" spans="1:11" ht="12.75">
      <c r="A629" s="646">
        <f t="shared" si="76"/>
        <v>10</v>
      </c>
      <c r="B629" s="646" t="s">
        <v>1680</v>
      </c>
      <c r="C629" s="641">
        <v>800000</v>
      </c>
      <c r="D629" s="641">
        <v>520000</v>
      </c>
      <c r="E629" s="641">
        <v>520000</v>
      </c>
      <c r="F629" s="647">
        <f t="shared" si="75"/>
        <v>1840000</v>
      </c>
      <c r="G629" s="642">
        <v>0</v>
      </c>
      <c r="H629" s="641">
        <v>530400</v>
      </c>
      <c r="I629" s="642">
        <v>84000</v>
      </c>
      <c r="J629" s="391"/>
    </row>
    <row r="630" spans="1:11" ht="12.75">
      <c r="A630" s="646">
        <f t="shared" si="76"/>
        <v>11</v>
      </c>
      <c r="B630" s="646" t="s">
        <v>1681</v>
      </c>
      <c r="C630" s="641">
        <v>100000</v>
      </c>
      <c r="D630" s="641">
        <v>100000</v>
      </c>
      <c r="E630" s="641">
        <v>100000</v>
      </c>
      <c r="F630" s="647">
        <f t="shared" si="75"/>
        <v>300000</v>
      </c>
      <c r="G630" s="642">
        <v>31900</v>
      </c>
      <c r="H630" s="641">
        <v>106080</v>
      </c>
      <c r="I630" s="642">
        <v>42900</v>
      </c>
      <c r="J630" s="391"/>
    </row>
    <row r="631" spans="1:11" ht="12.75">
      <c r="A631" s="646">
        <f t="shared" si="76"/>
        <v>12</v>
      </c>
      <c r="B631" s="646" t="s">
        <v>1682</v>
      </c>
      <c r="C631" s="641">
        <v>2000000</v>
      </c>
      <c r="D631" s="641">
        <v>1560000</v>
      </c>
      <c r="E631" s="641">
        <v>1560000</v>
      </c>
      <c r="F631" s="647">
        <f t="shared" si="75"/>
        <v>5120000</v>
      </c>
      <c r="G631" s="642">
        <v>89042.76</v>
      </c>
      <c r="H631" s="641">
        <f>1591200-93600</f>
        <v>1497600</v>
      </c>
      <c r="I631" s="642">
        <v>169424.76</v>
      </c>
      <c r="J631" s="391"/>
    </row>
    <row r="632" spans="1:11" ht="12.75">
      <c r="A632" s="646">
        <f t="shared" si="76"/>
        <v>13</v>
      </c>
      <c r="B632" s="646" t="s">
        <v>2249</v>
      </c>
      <c r="C632" s="641">
        <v>100000</v>
      </c>
      <c r="D632" s="641">
        <v>100000</v>
      </c>
      <c r="E632" s="641">
        <v>100000</v>
      </c>
      <c r="F632" s="647">
        <f t="shared" si="75"/>
        <v>300000</v>
      </c>
      <c r="G632" s="642">
        <v>0</v>
      </c>
      <c r="H632" s="641">
        <v>106080</v>
      </c>
      <c r="I632" s="642">
        <v>0</v>
      </c>
      <c r="J632" s="391"/>
    </row>
    <row r="633" spans="1:11" ht="12.75">
      <c r="A633" s="646">
        <f t="shared" si="76"/>
        <v>14</v>
      </c>
      <c r="B633" s="646" t="s">
        <v>1336</v>
      </c>
      <c r="C633" s="641">
        <v>700000</v>
      </c>
      <c r="D633" s="641">
        <v>208000</v>
      </c>
      <c r="E633" s="641">
        <v>208000</v>
      </c>
      <c r="F633" s="647">
        <f t="shared" si="75"/>
        <v>1116000</v>
      </c>
      <c r="G633" s="642">
        <v>0</v>
      </c>
      <c r="H633" s="641">
        <v>212160</v>
      </c>
      <c r="I633" s="642">
        <v>0</v>
      </c>
      <c r="J633" s="391"/>
    </row>
    <row r="634" spans="1:11" ht="12.75">
      <c r="A634" s="646"/>
      <c r="B634" s="646"/>
      <c r="C634" s="642"/>
      <c r="D634" s="642"/>
      <c r="E634" s="642"/>
      <c r="F634" s="647"/>
      <c r="G634" s="642"/>
      <c r="H634" s="642"/>
      <c r="I634" s="391"/>
      <c r="J634" s="391"/>
    </row>
    <row r="635" spans="1:11" ht="12.75">
      <c r="A635" s="646" t="s">
        <v>359</v>
      </c>
      <c r="B635" s="651" t="s">
        <v>819</v>
      </c>
      <c r="C635" s="652">
        <f t="shared" ref="C635:I635" si="77">SUM(C621:C634)</f>
        <v>6500000</v>
      </c>
      <c r="D635" s="652">
        <f t="shared" si="77"/>
        <v>4672000</v>
      </c>
      <c r="E635" s="652">
        <f t="shared" si="77"/>
        <v>4672000</v>
      </c>
      <c r="F635" s="652">
        <f t="shared" si="77"/>
        <v>15844000</v>
      </c>
      <c r="G635" s="652">
        <f t="shared" si="77"/>
        <v>456842.76</v>
      </c>
      <c r="H635" s="652">
        <f>SUM(H621:H634)</f>
        <v>4680000</v>
      </c>
      <c r="I635" s="652">
        <f t="shared" si="77"/>
        <v>1292824.76</v>
      </c>
      <c r="J635" s="391"/>
      <c r="K635" s="657">
        <f>4680000-H635</f>
        <v>0</v>
      </c>
    </row>
    <row r="636" spans="1:11" ht="12.75">
      <c r="A636" s="646"/>
      <c r="B636" s="646"/>
      <c r="C636" s="641"/>
      <c r="D636" s="641"/>
      <c r="E636" s="641"/>
      <c r="F636" s="641"/>
      <c r="G636" s="641"/>
      <c r="H636" s="641"/>
      <c r="I636" s="641"/>
      <c r="J636" s="391"/>
    </row>
    <row r="637" spans="1:11" ht="12.75">
      <c r="A637" s="653"/>
      <c r="B637" s="653" t="s">
        <v>1684</v>
      </c>
      <c r="C637" s="645">
        <f t="shared" ref="C637:I637" si="78">+C635+C619</f>
        <v>12626972.35</v>
      </c>
      <c r="D637" s="645">
        <f t="shared" si="78"/>
        <v>11952000</v>
      </c>
      <c r="E637" s="645">
        <f t="shared" si="78"/>
        <v>11952000</v>
      </c>
      <c r="F637" s="645">
        <f t="shared" si="78"/>
        <v>36530972.350000001</v>
      </c>
      <c r="G637" s="645">
        <f t="shared" si="78"/>
        <v>2935307.76</v>
      </c>
      <c r="H637" s="645">
        <f>+H635+H619</f>
        <v>11960000</v>
      </c>
      <c r="I637" s="645" t="e">
        <f t="shared" si="78"/>
        <v>#REF!</v>
      </c>
      <c r="J637" s="391"/>
    </row>
    <row r="638" spans="1:11" ht="12.75" customHeight="1">
      <c r="A638" s="391"/>
      <c r="B638" s="391"/>
      <c r="C638" s="647"/>
      <c r="D638" s="647"/>
      <c r="E638" s="647"/>
      <c r="F638" s="647"/>
      <c r="G638" s="647"/>
      <c r="H638" s="647"/>
      <c r="I638" s="391"/>
      <c r="J638" s="391"/>
    </row>
    <row r="639" spans="1:11" ht="12.75" customHeight="1">
      <c r="A639" s="391"/>
      <c r="B639" s="391"/>
      <c r="C639" s="647"/>
      <c r="D639" s="308" t="s">
        <v>5434</v>
      </c>
      <c r="E639" s="647"/>
      <c r="F639" s="647"/>
      <c r="H639" s="647"/>
      <c r="I639" s="391"/>
      <c r="J639" s="391"/>
    </row>
    <row r="640" spans="1:11" ht="12.75" customHeight="1">
      <c r="A640" s="655"/>
      <c r="B640" s="633"/>
      <c r="C640" s="655"/>
      <c r="D640" s="308" t="s">
        <v>716</v>
      </c>
      <c r="E640" s="655"/>
      <c r="F640" s="647"/>
      <c r="H640" s="655"/>
      <c r="I640" s="391"/>
      <c r="J640" s="391"/>
    </row>
    <row r="641" spans="1:10" ht="12.75" customHeight="1">
      <c r="A641" s="655"/>
      <c r="B641" s="633"/>
      <c r="C641" s="655"/>
      <c r="D641" s="308" t="s">
        <v>1649</v>
      </c>
      <c r="E641" s="655"/>
      <c r="F641" s="647"/>
      <c r="H641" s="655"/>
      <c r="I641" s="391"/>
      <c r="J641" s="391"/>
    </row>
    <row r="642" spans="1:10" ht="12.75" customHeight="1">
      <c r="A642" s="655"/>
      <c r="B642" s="655"/>
      <c r="C642" s="655"/>
      <c r="D642" s="307" t="s">
        <v>360</v>
      </c>
      <c r="E642" s="655"/>
      <c r="F642" s="647"/>
      <c r="H642" s="655"/>
      <c r="I642" s="391"/>
      <c r="J642" s="391"/>
    </row>
    <row r="643" spans="1:10" ht="12.75" customHeight="1">
      <c r="A643" s="634" t="s">
        <v>1839</v>
      </c>
      <c r="B643" s="635" t="s">
        <v>903</v>
      </c>
      <c r="C643" s="1037" t="s">
        <v>4127</v>
      </c>
      <c r="D643" s="1038"/>
      <c r="E643" s="1039"/>
      <c r="F643" s="635" t="s">
        <v>1684</v>
      </c>
      <c r="G643" s="1037" t="s">
        <v>4132</v>
      </c>
      <c r="H643" s="1038"/>
      <c r="I643" s="1039"/>
      <c r="J643" s="391"/>
    </row>
    <row r="644" spans="1:10" ht="12.75" customHeight="1">
      <c r="A644" s="636" t="s">
        <v>1620</v>
      </c>
      <c r="B644" s="637"/>
      <c r="C644" s="635" t="s">
        <v>1841</v>
      </c>
      <c r="D644" s="635" t="s">
        <v>4133</v>
      </c>
      <c r="E644" s="635" t="s">
        <v>4133</v>
      </c>
      <c r="F644" s="1056" t="s">
        <v>4200</v>
      </c>
      <c r="G644" s="1051" t="s">
        <v>4201</v>
      </c>
      <c r="H644" s="635" t="s">
        <v>1841</v>
      </c>
      <c r="I644" s="634" t="s">
        <v>4135</v>
      </c>
      <c r="J644" s="391"/>
    </row>
    <row r="645" spans="1:10" ht="12.75" customHeight="1">
      <c r="A645" s="638" t="s">
        <v>387</v>
      </c>
      <c r="B645" s="639"/>
      <c r="C645" s="638">
        <v>2015</v>
      </c>
      <c r="D645" s="638">
        <v>2016</v>
      </c>
      <c r="E645" s="638">
        <v>2017</v>
      </c>
      <c r="F645" s="1057"/>
      <c r="G645" s="1052"/>
      <c r="H645" s="638">
        <v>2014</v>
      </c>
      <c r="I645" s="638" t="s">
        <v>4303</v>
      </c>
      <c r="J645" s="391"/>
    </row>
    <row r="646" spans="1:10" ht="12.75" customHeight="1">
      <c r="A646" s="646" t="s">
        <v>361</v>
      </c>
      <c r="B646" s="646" t="s">
        <v>1693</v>
      </c>
      <c r="C646" s="641">
        <v>4925576</v>
      </c>
      <c r="D646" s="641">
        <v>7571200</v>
      </c>
      <c r="E646" s="641">
        <v>7571200</v>
      </c>
      <c r="F646" s="647">
        <f>SUM(C646:E646)</f>
        <v>20067976</v>
      </c>
      <c r="G646" s="641">
        <v>2234488</v>
      </c>
      <c r="H646" s="641">
        <v>7571200</v>
      </c>
      <c r="I646" s="641" t="e">
        <f>#REF!</f>
        <v>#REF!</v>
      </c>
      <c r="J646" s="391"/>
    </row>
    <row r="647" spans="1:10" ht="12.75" customHeight="1">
      <c r="A647" s="646"/>
      <c r="B647" s="646"/>
      <c r="C647" s="641"/>
      <c r="D647" s="641"/>
      <c r="E647" s="641"/>
      <c r="F647" s="647"/>
      <c r="G647" s="641"/>
      <c r="H647" s="641"/>
      <c r="I647" s="641"/>
      <c r="J647" s="391"/>
    </row>
    <row r="648" spans="1:10" ht="12.75" customHeight="1">
      <c r="A648" s="646">
        <v>2</v>
      </c>
      <c r="B648" s="646" t="s">
        <v>1695</v>
      </c>
      <c r="C648" s="641">
        <v>700000</v>
      </c>
      <c r="D648" s="641">
        <v>832000</v>
      </c>
      <c r="E648" s="641">
        <v>832000</v>
      </c>
      <c r="F648" s="647">
        <f t="shared" ref="F648:F661" si="79">SUM(C648:E648)</f>
        <v>2364000</v>
      </c>
      <c r="G648" s="641">
        <v>574450</v>
      </c>
      <c r="H648" s="641">
        <v>848640</v>
      </c>
      <c r="I648" s="641">
        <v>45000</v>
      </c>
      <c r="J648" s="391"/>
    </row>
    <row r="649" spans="1:10" ht="12.75" customHeight="1">
      <c r="A649" s="646">
        <f t="shared" ref="A649:A661" si="80">A648+1</f>
        <v>3</v>
      </c>
      <c r="B649" s="646" t="s">
        <v>1696</v>
      </c>
      <c r="C649" s="641">
        <v>50000</v>
      </c>
      <c r="D649" s="641">
        <v>52000</v>
      </c>
      <c r="E649" s="641">
        <v>52000</v>
      </c>
      <c r="F649" s="647">
        <f t="shared" si="79"/>
        <v>154000</v>
      </c>
      <c r="G649" s="642">
        <v>0</v>
      </c>
      <c r="H649" s="641">
        <v>53040</v>
      </c>
      <c r="I649" s="642">
        <v>0</v>
      </c>
      <c r="J649" s="391"/>
    </row>
    <row r="650" spans="1:10" ht="12.75" customHeight="1">
      <c r="A650" s="646">
        <f t="shared" si="80"/>
        <v>4</v>
      </c>
      <c r="B650" s="646" t="s">
        <v>1701</v>
      </c>
      <c r="C650" s="641" t="s">
        <v>1386</v>
      </c>
      <c r="D650" s="641" t="s">
        <v>1386</v>
      </c>
      <c r="E650" s="641" t="s">
        <v>1386</v>
      </c>
      <c r="F650" s="647">
        <f t="shared" si="79"/>
        <v>0</v>
      </c>
      <c r="G650" s="642" t="s">
        <v>1386</v>
      </c>
      <c r="H650" s="641" t="s">
        <v>1386</v>
      </c>
      <c r="I650" s="642" t="s">
        <v>1386</v>
      </c>
      <c r="J650" s="391"/>
    </row>
    <row r="651" spans="1:10" ht="12.75" customHeight="1">
      <c r="A651" s="646">
        <f t="shared" si="80"/>
        <v>5</v>
      </c>
      <c r="B651" s="646" t="s">
        <v>1702</v>
      </c>
      <c r="C651" s="641">
        <v>150000</v>
      </c>
      <c r="D651" s="641">
        <v>156000</v>
      </c>
      <c r="E651" s="641">
        <v>156000</v>
      </c>
      <c r="F651" s="647">
        <f t="shared" si="79"/>
        <v>462000</v>
      </c>
      <c r="G651" s="641">
        <v>88855</v>
      </c>
      <c r="H651" s="641">
        <v>159120</v>
      </c>
      <c r="I651" s="641">
        <v>33000</v>
      </c>
      <c r="J651" s="391"/>
    </row>
    <row r="652" spans="1:10" ht="12.75" customHeight="1">
      <c r="A652" s="646">
        <f t="shared" si="80"/>
        <v>6</v>
      </c>
      <c r="B652" s="646" t="s">
        <v>1544</v>
      </c>
      <c r="C652" s="641">
        <v>200000</v>
      </c>
      <c r="D652" s="641">
        <v>208000</v>
      </c>
      <c r="E652" s="641">
        <v>208000</v>
      </c>
      <c r="F652" s="647">
        <f t="shared" si="79"/>
        <v>616000</v>
      </c>
      <c r="G652" s="641"/>
      <c r="H652" s="641">
        <v>212160</v>
      </c>
      <c r="I652" s="641">
        <v>45000</v>
      </c>
      <c r="J652" s="391"/>
    </row>
    <row r="653" spans="1:10" ht="12.75" customHeight="1">
      <c r="A653" s="646">
        <f t="shared" si="80"/>
        <v>7</v>
      </c>
      <c r="B653" s="646" t="s">
        <v>897</v>
      </c>
      <c r="C653" s="641">
        <v>400000</v>
      </c>
      <c r="D653" s="641">
        <v>520000</v>
      </c>
      <c r="E653" s="641">
        <v>520000</v>
      </c>
      <c r="F653" s="647">
        <f t="shared" si="79"/>
        <v>1440000</v>
      </c>
      <c r="G653" s="641">
        <v>260700</v>
      </c>
      <c r="H653" s="641">
        <v>530400</v>
      </c>
      <c r="I653" s="641">
        <v>232000</v>
      </c>
      <c r="J653" s="391"/>
    </row>
    <row r="654" spans="1:10" ht="12.75" customHeight="1">
      <c r="A654" s="646">
        <v>8</v>
      </c>
      <c r="B654" s="646" t="s">
        <v>1385</v>
      </c>
      <c r="C654" s="641" t="s">
        <v>1386</v>
      </c>
      <c r="D654" s="641" t="s">
        <v>1386</v>
      </c>
      <c r="E654" s="641" t="s">
        <v>1386</v>
      </c>
      <c r="F654" s="647">
        <f t="shared" si="79"/>
        <v>0</v>
      </c>
      <c r="G654" s="641" t="s">
        <v>1386</v>
      </c>
      <c r="H654" s="641" t="s">
        <v>1386</v>
      </c>
      <c r="I654" s="641" t="s">
        <v>1386</v>
      </c>
      <c r="J654" s="391"/>
    </row>
    <row r="655" spans="1:10" ht="12.75" customHeight="1">
      <c r="A655" s="646">
        <v>9</v>
      </c>
      <c r="B655" s="646" t="s">
        <v>2061</v>
      </c>
      <c r="C655" s="641" t="s">
        <v>1386</v>
      </c>
      <c r="D655" s="641" t="s">
        <v>1386</v>
      </c>
      <c r="E655" s="641" t="s">
        <v>1386</v>
      </c>
      <c r="F655" s="647">
        <f t="shared" si="79"/>
        <v>0</v>
      </c>
      <c r="G655" s="641" t="s">
        <v>1386</v>
      </c>
      <c r="H655" s="641" t="s">
        <v>1386</v>
      </c>
      <c r="I655" s="641" t="s">
        <v>1386</v>
      </c>
      <c r="J655" s="391"/>
    </row>
    <row r="656" spans="1:10" ht="12.75" customHeight="1">
      <c r="A656" s="646">
        <f>A655+1</f>
        <v>10</v>
      </c>
      <c r="B656" s="646" t="s">
        <v>1680</v>
      </c>
      <c r="C656" s="641">
        <v>200000</v>
      </c>
      <c r="D656" s="641">
        <v>208000</v>
      </c>
      <c r="E656" s="641">
        <v>208000</v>
      </c>
      <c r="F656" s="647">
        <f t="shared" si="79"/>
        <v>616000</v>
      </c>
      <c r="G656" s="641">
        <v>0</v>
      </c>
      <c r="H656" s="641">
        <v>212160</v>
      </c>
      <c r="I656" s="641">
        <v>0</v>
      </c>
      <c r="J656" s="391"/>
    </row>
    <row r="657" spans="1:11" ht="12.75" customHeight="1">
      <c r="A657" s="646">
        <f t="shared" si="80"/>
        <v>11</v>
      </c>
      <c r="B657" s="646" t="s">
        <v>1681</v>
      </c>
      <c r="C657" s="641">
        <v>100000</v>
      </c>
      <c r="D657" s="641">
        <v>104000</v>
      </c>
      <c r="E657" s="641">
        <v>104000</v>
      </c>
      <c r="F657" s="647">
        <f t="shared" si="79"/>
        <v>308000</v>
      </c>
      <c r="G657" s="641">
        <v>0</v>
      </c>
      <c r="H657" s="641">
        <v>106080</v>
      </c>
      <c r="I657" s="641">
        <v>0</v>
      </c>
      <c r="J657" s="391"/>
    </row>
    <row r="658" spans="1:11" ht="12.75" customHeight="1">
      <c r="A658" s="646">
        <f t="shared" si="80"/>
        <v>12</v>
      </c>
      <c r="B658" s="646" t="s">
        <v>1682</v>
      </c>
      <c r="C658" s="641">
        <v>1000000</v>
      </c>
      <c r="D658" s="641">
        <v>1040000</v>
      </c>
      <c r="E658" s="641">
        <v>1040000</v>
      </c>
      <c r="F658" s="647">
        <f t="shared" si="79"/>
        <v>3080000</v>
      </c>
      <c r="G658" s="641">
        <v>216000</v>
      </c>
      <c r="H658" s="641">
        <f>1060800-70720</f>
        <v>990080</v>
      </c>
      <c r="I658" s="641">
        <v>385000</v>
      </c>
      <c r="J658" s="391"/>
    </row>
    <row r="659" spans="1:11" ht="12.75" customHeight="1">
      <c r="A659" s="646">
        <f t="shared" si="80"/>
        <v>13</v>
      </c>
      <c r="B659" s="646" t="s">
        <v>2249</v>
      </c>
      <c r="C659" s="641">
        <v>100000</v>
      </c>
      <c r="D659" s="641">
        <v>104000</v>
      </c>
      <c r="E659" s="641">
        <v>104000</v>
      </c>
      <c r="F659" s="647">
        <f t="shared" si="79"/>
        <v>308000</v>
      </c>
      <c r="G659" s="641">
        <v>0</v>
      </c>
      <c r="H659" s="641">
        <v>106080</v>
      </c>
      <c r="I659" s="641">
        <v>0</v>
      </c>
      <c r="J659" s="391"/>
    </row>
    <row r="660" spans="1:11" ht="12.75" customHeight="1">
      <c r="A660" s="646">
        <f t="shared" si="80"/>
        <v>14</v>
      </c>
      <c r="B660" s="646" t="s">
        <v>362</v>
      </c>
      <c r="C660" s="641">
        <v>100000</v>
      </c>
      <c r="D660" s="641">
        <v>312000</v>
      </c>
      <c r="E660" s="641">
        <v>312000</v>
      </c>
      <c r="F660" s="647">
        <f t="shared" si="79"/>
        <v>724000</v>
      </c>
      <c r="G660" s="641">
        <v>0</v>
      </c>
      <c r="H660" s="641">
        <v>318240</v>
      </c>
      <c r="I660" s="641">
        <v>0</v>
      </c>
      <c r="J660" s="391"/>
    </row>
    <row r="661" spans="1:11" ht="12.75" customHeight="1">
      <c r="A661" s="646">
        <f t="shared" si="80"/>
        <v>15</v>
      </c>
      <c r="B661" s="646" t="s">
        <v>363</v>
      </c>
      <c r="C661" s="641" t="s">
        <v>1386</v>
      </c>
      <c r="D661" s="641" t="s">
        <v>1386</v>
      </c>
      <c r="E661" s="641" t="s">
        <v>1386</v>
      </c>
      <c r="F661" s="647">
        <f t="shared" si="79"/>
        <v>0</v>
      </c>
      <c r="G661" s="641"/>
      <c r="H661" s="641" t="s">
        <v>1386</v>
      </c>
      <c r="I661" s="641"/>
      <c r="J661" s="391"/>
    </row>
    <row r="662" spans="1:11" ht="12.75" customHeight="1">
      <c r="A662" s="646"/>
      <c r="B662" s="646"/>
      <c r="C662" s="641"/>
      <c r="D662" s="641"/>
      <c r="E662" s="641"/>
      <c r="F662" s="647"/>
      <c r="G662" s="641">
        <v>0</v>
      </c>
      <c r="H662" s="641"/>
      <c r="I662" s="641">
        <f>+E662+D662+F662</f>
        <v>0</v>
      </c>
      <c r="J662" s="391"/>
    </row>
    <row r="663" spans="1:11" ht="12.75" customHeight="1">
      <c r="A663" s="646"/>
      <c r="B663" s="646"/>
      <c r="C663" s="641"/>
      <c r="D663" s="641"/>
      <c r="E663" s="641"/>
      <c r="F663" s="647"/>
      <c r="G663" s="641"/>
      <c r="H663" s="641"/>
      <c r="I663" s="641"/>
      <c r="J663" s="391"/>
    </row>
    <row r="664" spans="1:11" ht="12.75" customHeight="1">
      <c r="A664" s="646" t="s">
        <v>364</v>
      </c>
      <c r="B664" s="651" t="s">
        <v>819</v>
      </c>
      <c r="C664" s="652">
        <f t="shared" ref="C664:I664" si="81">SUM(C648:C663)</f>
        <v>3000000</v>
      </c>
      <c r="D664" s="652">
        <f t="shared" si="81"/>
        <v>3536000</v>
      </c>
      <c r="E664" s="652">
        <f t="shared" si="81"/>
        <v>3536000</v>
      </c>
      <c r="F664" s="652">
        <f t="shared" si="81"/>
        <v>10072000</v>
      </c>
      <c r="G664" s="652">
        <f t="shared" si="81"/>
        <v>1140005</v>
      </c>
      <c r="H664" s="652">
        <f>SUM(H648:H663)</f>
        <v>3536000</v>
      </c>
      <c r="I664" s="652">
        <f t="shared" si="81"/>
        <v>740000</v>
      </c>
      <c r="J664" s="391"/>
      <c r="K664" s="657">
        <f>3536000-H664</f>
        <v>0</v>
      </c>
    </row>
    <row r="665" spans="1:11" ht="12.75" customHeight="1">
      <c r="A665" s="646"/>
      <c r="B665" s="646"/>
      <c r="C665" s="641"/>
      <c r="D665" s="641"/>
      <c r="E665" s="641"/>
      <c r="F665" s="641"/>
      <c r="G665" s="641"/>
      <c r="H665" s="641"/>
      <c r="I665" s="641"/>
      <c r="J665" s="391"/>
    </row>
    <row r="666" spans="1:11" ht="12.75" customHeight="1">
      <c r="A666" s="653"/>
      <c r="B666" s="653" t="s">
        <v>1684</v>
      </c>
      <c r="C666" s="645">
        <f t="shared" ref="C666:I666" si="82">+C664+C646</f>
        <v>7925576</v>
      </c>
      <c r="D666" s="645">
        <f t="shared" si="82"/>
        <v>11107200</v>
      </c>
      <c r="E666" s="645">
        <f t="shared" si="82"/>
        <v>11107200</v>
      </c>
      <c r="F666" s="645">
        <f t="shared" si="82"/>
        <v>30139976</v>
      </c>
      <c r="G666" s="645">
        <f t="shared" si="82"/>
        <v>3374493</v>
      </c>
      <c r="H666" s="645">
        <f>+H664+H646</f>
        <v>11107200</v>
      </c>
      <c r="I666" s="645" t="e">
        <f t="shared" si="82"/>
        <v>#REF!</v>
      </c>
      <c r="J666" s="391"/>
    </row>
    <row r="667" spans="1:11" ht="12.75" customHeight="1">
      <c r="A667" s="391"/>
      <c r="B667" s="391"/>
      <c r="C667" s="647"/>
      <c r="D667" s="647"/>
      <c r="E667" s="647"/>
      <c r="F667" s="647"/>
      <c r="G667" s="647"/>
      <c r="H667" s="647"/>
      <c r="I667" s="391"/>
      <c r="J667" s="391"/>
    </row>
    <row r="668" spans="1:11" ht="12.75" customHeight="1">
      <c r="A668" s="391"/>
      <c r="B668" s="391"/>
      <c r="C668" s="647"/>
      <c r="D668" s="308" t="s">
        <v>5434</v>
      </c>
      <c r="E668" s="647"/>
      <c r="F668" s="647"/>
      <c r="H668" s="647"/>
      <c r="I668" s="391"/>
      <c r="J668" s="391"/>
    </row>
    <row r="669" spans="1:11" ht="12.75" customHeight="1">
      <c r="A669" s="655"/>
      <c r="B669" s="633"/>
      <c r="C669" s="655"/>
      <c r="D669" s="308" t="s">
        <v>716</v>
      </c>
      <c r="E669" s="655"/>
      <c r="F669" s="647"/>
      <c r="H669" s="655"/>
      <c r="I669" s="391"/>
      <c r="J669" s="391"/>
    </row>
    <row r="670" spans="1:11" ht="12.75" customHeight="1">
      <c r="A670" s="655"/>
      <c r="B670" s="633"/>
      <c r="C670" s="655"/>
      <c r="D670" s="308" t="s">
        <v>2235</v>
      </c>
      <c r="E670" s="655"/>
      <c r="F670" s="647"/>
      <c r="H670" s="655"/>
      <c r="I670" s="391"/>
      <c r="J670" s="391"/>
    </row>
    <row r="671" spans="1:11" ht="12.75" customHeight="1">
      <c r="A671" s="655"/>
      <c r="B671" s="655"/>
      <c r="C671" s="655"/>
      <c r="D671" s="307" t="s">
        <v>365</v>
      </c>
      <c r="E671" s="655"/>
      <c r="F671" s="647"/>
      <c r="H671" s="655"/>
      <c r="I671" s="391"/>
      <c r="J671" s="391"/>
    </row>
    <row r="672" spans="1:11" ht="12.75" customHeight="1">
      <c r="A672" s="634" t="s">
        <v>1839</v>
      </c>
      <c r="B672" s="635" t="s">
        <v>903</v>
      </c>
      <c r="C672" s="1037" t="s">
        <v>4127</v>
      </c>
      <c r="D672" s="1038"/>
      <c r="E672" s="1039"/>
      <c r="F672" s="635" t="s">
        <v>1684</v>
      </c>
      <c r="G672" s="1037" t="s">
        <v>4132</v>
      </c>
      <c r="H672" s="1038"/>
      <c r="I672" s="1039"/>
      <c r="J672" s="391"/>
    </row>
    <row r="673" spans="1:10" ht="12.75" customHeight="1">
      <c r="A673" s="636" t="s">
        <v>1620</v>
      </c>
      <c r="B673" s="637"/>
      <c r="C673" s="635" t="s">
        <v>1841</v>
      </c>
      <c r="D673" s="635" t="s">
        <v>4133</v>
      </c>
      <c r="E673" s="635" t="s">
        <v>4133</v>
      </c>
      <c r="F673" s="1056" t="s">
        <v>4200</v>
      </c>
      <c r="G673" s="1051" t="s">
        <v>4201</v>
      </c>
      <c r="H673" s="635" t="s">
        <v>1841</v>
      </c>
      <c r="I673" s="634" t="s">
        <v>4135</v>
      </c>
      <c r="J673" s="391"/>
    </row>
    <row r="674" spans="1:10" ht="12.75" customHeight="1">
      <c r="A674" s="638" t="s">
        <v>387</v>
      </c>
      <c r="B674" s="639"/>
      <c r="C674" s="638">
        <v>2015</v>
      </c>
      <c r="D674" s="638">
        <v>2016</v>
      </c>
      <c r="E674" s="638">
        <v>2017</v>
      </c>
      <c r="F674" s="1057"/>
      <c r="G674" s="1052"/>
      <c r="H674" s="638">
        <v>2014</v>
      </c>
      <c r="I674" s="638" t="s">
        <v>4303</v>
      </c>
      <c r="J674" s="391"/>
    </row>
    <row r="675" spans="1:10" ht="12.75" customHeight="1">
      <c r="A675" s="646" t="s">
        <v>366</v>
      </c>
      <c r="B675" s="646" t="s">
        <v>1693</v>
      </c>
      <c r="C675" s="641">
        <v>42779256.5</v>
      </c>
      <c r="D675" s="641">
        <v>41600000</v>
      </c>
      <c r="E675" s="641">
        <v>41600000</v>
      </c>
      <c r="F675" s="647">
        <f>SUM(C675:E675)</f>
        <v>125979256.5</v>
      </c>
      <c r="G675" s="641">
        <v>30455439</v>
      </c>
      <c r="H675" s="641">
        <v>43300000</v>
      </c>
      <c r="I675" s="641" t="e">
        <f>#REF!</f>
        <v>#REF!</v>
      </c>
      <c r="J675" s="391"/>
    </row>
    <row r="676" spans="1:10" ht="12.75" customHeight="1">
      <c r="A676" s="646"/>
      <c r="B676" s="646"/>
      <c r="C676" s="641"/>
      <c r="D676" s="641"/>
      <c r="E676" s="641"/>
      <c r="F676" s="647"/>
      <c r="G676" s="641"/>
      <c r="H676" s="641"/>
      <c r="I676" s="641"/>
      <c r="J676" s="391"/>
    </row>
    <row r="677" spans="1:10" ht="12.75" customHeight="1">
      <c r="A677" s="646">
        <v>2</v>
      </c>
      <c r="B677" s="646" t="s">
        <v>1695</v>
      </c>
      <c r="C677" s="641">
        <v>400000</v>
      </c>
      <c r="D677" s="641">
        <v>832000</v>
      </c>
      <c r="E677" s="641">
        <v>832000</v>
      </c>
      <c r="F677" s="647">
        <f t="shared" ref="F677:F691" si="83">SUM(C677:E677)</f>
        <v>2064000</v>
      </c>
      <c r="G677" s="641">
        <v>214000</v>
      </c>
      <c r="H677" s="641">
        <v>848640</v>
      </c>
      <c r="I677" s="641"/>
      <c r="J677" s="391"/>
    </row>
    <row r="678" spans="1:10" ht="12.75" customHeight="1">
      <c r="A678" s="646">
        <f t="shared" ref="A678:A691" si="84">A677+1</f>
        <v>3</v>
      </c>
      <c r="B678" s="646" t="s">
        <v>1696</v>
      </c>
      <c r="C678" s="641" t="s">
        <v>1386</v>
      </c>
      <c r="D678" s="641">
        <v>52000</v>
      </c>
      <c r="E678" s="641">
        <v>52000</v>
      </c>
      <c r="F678" s="647">
        <f t="shared" si="83"/>
        <v>104000</v>
      </c>
      <c r="G678" s="642">
        <v>0</v>
      </c>
      <c r="H678" s="641">
        <v>53040</v>
      </c>
      <c r="I678" s="642"/>
      <c r="J678" s="391"/>
    </row>
    <row r="679" spans="1:10" ht="12.75" customHeight="1">
      <c r="A679" s="646">
        <f t="shared" si="84"/>
        <v>4</v>
      </c>
      <c r="B679" s="646" t="s">
        <v>1701</v>
      </c>
      <c r="C679" s="641" t="s">
        <v>1386</v>
      </c>
      <c r="D679" s="641" t="s">
        <v>1386</v>
      </c>
      <c r="E679" s="641" t="s">
        <v>1386</v>
      </c>
      <c r="F679" s="647">
        <f t="shared" si="83"/>
        <v>0</v>
      </c>
      <c r="G679" s="642">
        <v>0</v>
      </c>
      <c r="H679" s="641" t="s">
        <v>1386</v>
      </c>
      <c r="I679" s="642" t="s">
        <v>1386</v>
      </c>
      <c r="J679" s="391"/>
    </row>
    <row r="680" spans="1:10" ht="12.75" customHeight="1">
      <c r="A680" s="646">
        <f t="shared" si="84"/>
        <v>5</v>
      </c>
      <c r="B680" s="646" t="s">
        <v>1702</v>
      </c>
      <c r="C680" s="641">
        <v>200000</v>
      </c>
      <c r="D680" s="641">
        <v>208000</v>
      </c>
      <c r="E680" s="641">
        <v>208000</v>
      </c>
      <c r="F680" s="647">
        <f t="shared" si="83"/>
        <v>616000</v>
      </c>
      <c r="G680" s="641">
        <v>150000</v>
      </c>
      <c r="H680" s="641">
        <v>212160</v>
      </c>
      <c r="I680" s="641"/>
      <c r="J680" s="391"/>
    </row>
    <row r="681" spans="1:10" ht="12.75" customHeight="1">
      <c r="A681" s="646">
        <f t="shared" si="84"/>
        <v>6</v>
      </c>
      <c r="B681" s="646" t="s">
        <v>1544</v>
      </c>
      <c r="C681" s="641">
        <v>200000</v>
      </c>
      <c r="D681" s="641">
        <v>208000</v>
      </c>
      <c r="E681" s="641">
        <v>208000</v>
      </c>
      <c r="F681" s="647">
        <f t="shared" si="83"/>
        <v>616000</v>
      </c>
      <c r="G681" s="641">
        <v>0</v>
      </c>
      <c r="H681" s="641">
        <v>212160</v>
      </c>
      <c r="I681" s="641"/>
      <c r="J681" s="391"/>
    </row>
    <row r="682" spans="1:10" ht="12.75" customHeight="1">
      <c r="A682" s="646">
        <f t="shared" si="84"/>
        <v>7</v>
      </c>
      <c r="B682" s="646" t="s">
        <v>897</v>
      </c>
      <c r="C682" s="641">
        <v>300000</v>
      </c>
      <c r="D682" s="641">
        <v>208000</v>
      </c>
      <c r="E682" s="641">
        <v>208000</v>
      </c>
      <c r="F682" s="647">
        <f t="shared" si="83"/>
        <v>716000</v>
      </c>
      <c r="G682" s="641">
        <v>50483</v>
      </c>
      <c r="H682" s="641">
        <v>212160</v>
      </c>
      <c r="I682" s="641"/>
      <c r="J682" s="391"/>
    </row>
    <row r="683" spans="1:10" ht="12.75" customHeight="1">
      <c r="A683" s="646">
        <f t="shared" si="84"/>
        <v>8</v>
      </c>
      <c r="B683" s="646" t="s">
        <v>1385</v>
      </c>
      <c r="C683" s="641" t="s">
        <v>1386</v>
      </c>
      <c r="D683" s="641" t="s">
        <v>1386</v>
      </c>
      <c r="E683" s="641" t="s">
        <v>1386</v>
      </c>
      <c r="F683" s="647">
        <f t="shared" si="83"/>
        <v>0</v>
      </c>
      <c r="G683" s="642">
        <v>0</v>
      </c>
      <c r="H683" s="641" t="s">
        <v>1386</v>
      </c>
      <c r="I683" s="642" t="s">
        <v>1386</v>
      </c>
      <c r="J683" s="391"/>
    </row>
    <row r="684" spans="1:10" ht="12.75" customHeight="1">
      <c r="A684" s="646">
        <f t="shared" si="84"/>
        <v>9</v>
      </c>
      <c r="B684" s="646" t="s">
        <v>2061</v>
      </c>
      <c r="C684" s="641" t="s">
        <v>1386</v>
      </c>
      <c r="D684" s="641" t="s">
        <v>1386</v>
      </c>
      <c r="E684" s="641" t="s">
        <v>1386</v>
      </c>
      <c r="F684" s="647">
        <f t="shared" si="83"/>
        <v>0</v>
      </c>
      <c r="G684" s="642">
        <v>0</v>
      </c>
      <c r="H684" s="641" t="s">
        <v>1386</v>
      </c>
      <c r="I684" s="642" t="s">
        <v>1386</v>
      </c>
      <c r="J684" s="391"/>
    </row>
    <row r="685" spans="1:10" ht="12.75" customHeight="1">
      <c r="A685" s="646">
        <f t="shared" si="84"/>
        <v>10</v>
      </c>
      <c r="B685" s="646" t="s">
        <v>1680</v>
      </c>
      <c r="C685" s="641">
        <v>500000</v>
      </c>
      <c r="D685" s="641">
        <v>208000</v>
      </c>
      <c r="E685" s="641">
        <v>208000</v>
      </c>
      <c r="F685" s="647">
        <f t="shared" si="83"/>
        <v>916000</v>
      </c>
      <c r="G685" s="642">
        <v>0</v>
      </c>
      <c r="H685" s="641">
        <v>212160</v>
      </c>
      <c r="I685" s="642"/>
      <c r="J685" s="391"/>
    </row>
    <row r="686" spans="1:10" ht="12.75" customHeight="1">
      <c r="A686" s="646">
        <f t="shared" si="84"/>
        <v>11</v>
      </c>
      <c r="B686" s="646" t="s">
        <v>1681</v>
      </c>
      <c r="C686" s="641">
        <v>100000</v>
      </c>
      <c r="D686" s="641">
        <v>104000</v>
      </c>
      <c r="E686" s="641">
        <v>104000</v>
      </c>
      <c r="F686" s="647">
        <f t="shared" si="83"/>
        <v>308000</v>
      </c>
      <c r="G686" s="641">
        <v>0</v>
      </c>
      <c r="H686" s="641">
        <v>106080</v>
      </c>
      <c r="I686" s="641"/>
      <c r="J686" s="391"/>
    </row>
    <row r="687" spans="1:10" ht="12.75" customHeight="1">
      <c r="A687" s="646">
        <f t="shared" si="84"/>
        <v>12</v>
      </c>
      <c r="B687" s="646" t="s">
        <v>1682</v>
      </c>
      <c r="C687" s="641">
        <v>900000</v>
      </c>
      <c r="D687" s="641">
        <v>832000</v>
      </c>
      <c r="E687" s="641">
        <v>832000</v>
      </c>
      <c r="F687" s="647">
        <f t="shared" si="83"/>
        <v>2564000</v>
      </c>
      <c r="G687" s="641">
        <v>195517</v>
      </c>
      <c r="H687" s="641">
        <v>848640</v>
      </c>
      <c r="I687" s="641"/>
      <c r="J687" s="391"/>
    </row>
    <row r="688" spans="1:10" ht="12.75" customHeight="1">
      <c r="A688" s="646">
        <f t="shared" si="84"/>
        <v>13</v>
      </c>
      <c r="B688" s="646" t="s">
        <v>2249</v>
      </c>
      <c r="C688" s="641">
        <v>100000</v>
      </c>
      <c r="D688" s="641">
        <v>104000</v>
      </c>
      <c r="E688" s="641">
        <v>104000</v>
      </c>
      <c r="F688" s="647">
        <f t="shared" si="83"/>
        <v>308000</v>
      </c>
      <c r="G688" s="642">
        <v>0</v>
      </c>
      <c r="H688" s="641">
        <v>106080</v>
      </c>
      <c r="I688" s="642"/>
      <c r="J688" s="391"/>
    </row>
    <row r="689" spans="1:11" ht="12.75" customHeight="1">
      <c r="A689" s="646">
        <f t="shared" si="84"/>
        <v>14</v>
      </c>
      <c r="B689" s="646" t="s">
        <v>1717</v>
      </c>
      <c r="C689" s="641">
        <v>500000</v>
      </c>
      <c r="D689" s="641">
        <v>416000</v>
      </c>
      <c r="E689" s="641">
        <v>416000</v>
      </c>
      <c r="F689" s="647">
        <f t="shared" si="83"/>
        <v>1332000</v>
      </c>
      <c r="G689" s="641">
        <v>0</v>
      </c>
      <c r="H689" s="641">
        <v>424320</v>
      </c>
      <c r="I689" s="641"/>
      <c r="J689" s="391"/>
    </row>
    <row r="690" spans="1:11" ht="12.75" customHeight="1">
      <c r="A690" s="646">
        <f t="shared" si="84"/>
        <v>15</v>
      </c>
      <c r="B690" s="646" t="s">
        <v>367</v>
      </c>
      <c r="C690" s="641">
        <v>200000</v>
      </c>
      <c r="D690" s="641">
        <v>832000</v>
      </c>
      <c r="E690" s="641">
        <v>832000</v>
      </c>
      <c r="F690" s="647">
        <f t="shared" si="83"/>
        <v>1864000</v>
      </c>
      <c r="G690" s="642">
        <v>190000</v>
      </c>
      <c r="H690" s="641">
        <f>848640-83200</f>
        <v>765440</v>
      </c>
      <c r="I690" s="642"/>
      <c r="J690" s="391"/>
    </row>
    <row r="691" spans="1:11" ht="12.75" customHeight="1">
      <c r="A691" s="646">
        <f t="shared" si="84"/>
        <v>16</v>
      </c>
      <c r="B691" s="646" t="s">
        <v>3803</v>
      </c>
      <c r="C691" s="641">
        <v>200000</v>
      </c>
      <c r="D691" s="641">
        <v>156000</v>
      </c>
      <c r="E691" s="641">
        <v>156000</v>
      </c>
      <c r="F691" s="647">
        <f t="shared" si="83"/>
        <v>512000</v>
      </c>
      <c r="G691" s="642">
        <v>0</v>
      </c>
      <c r="H691" s="641">
        <v>159120</v>
      </c>
      <c r="I691" s="642"/>
      <c r="J691" s="391"/>
    </row>
    <row r="692" spans="1:11" ht="12.75" customHeight="1">
      <c r="A692" s="646"/>
      <c r="B692" s="646"/>
      <c r="C692" s="641"/>
      <c r="D692" s="641"/>
      <c r="E692" s="641"/>
      <c r="F692" s="647"/>
      <c r="G692" s="642"/>
      <c r="H692" s="641"/>
      <c r="I692" s="641"/>
      <c r="J692" s="391"/>
    </row>
    <row r="693" spans="1:11" ht="12.75" customHeight="1">
      <c r="A693" s="646" t="s">
        <v>368</v>
      </c>
      <c r="B693" s="651" t="s">
        <v>819</v>
      </c>
      <c r="C693" s="652">
        <f t="shared" ref="C693:I693" si="85">SUM(C677:C692)</f>
        <v>3600000</v>
      </c>
      <c r="D693" s="652">
        <f t="shared" si="85"/>
        <v>4160000</v>
      </c>
      <c r="E693" s="652">
        <f t="shared" si="85"/>
        <v>4160000</v>
      </c>
      <c r="F693" s="652">
        <f t="shared" si="85"/>
        <v>11920000</v>
      </c>
      <c r="G693" s="652">
        <f t="shared" si="85"/>
        <v>800000</v>
      </c>
      <c r="H693" s="652">
        <f>SUM(H677:H692)</f>
        <v>4160000</v>
      </c>
      <c r="I693" s="652">
        <f t="shared" si="85"/>
        <v>0</v>
      </c>
      <c r="J693" s="391"/>
      <c r="K693" s="657">
        <f>4160000-H693</f>
        <v>0</v>
      </c>
    </row>
    <row r="694" spans="1:11" ht="12.75" customHeight="1">
      <c r="A694" s="646"/>
      <c r="B694" s="646"/>
      <c r="C694" s="641"/>
      <c r="D694" s="641"/>
      <c r="E694" s="641"/>
      <c r="F694" s="641"/>
      <c r="G694" s="641"/>
      <c r="H694" s="641"/>
      <c r="I694" s="641"/>
      <c r="J694" s="391"/>
    </row>
    <row r="695" spans="1:11" ht="12.75" customHeight="1">
      <c r="A695" s="653"/>
      <c r="B695" s="653" t="s">
        <v>1684</v>
      </c>
      <c r="C695" s="645">
        <f t="shared" ref="C695:I695" si="86">+C693+C675</f>
        <v>46379256.5</v>
      </c>
      <c r="D695" s="645">
        <f t="shared" si="86"/>
        <v>45760000</v>
      </c>
      <c r="E695" s="645">
        <f t="shared" si="86"/>
        <v>45760000</v>
      </c>
      <c r="F695" s="645">
        <f t="shared" si="86"/>
        <v>137899256.5</v>
      </c>
      <c r="G695" s="645">
        <f t="shared" si="86"/>
        <v>31255439</v>
      </c>
      <c r="H695" s="645">
        <f>+H693+H675</f>
        <v>47460000</v>
      </c>
      <c r="I695" s="645" t="e">
        <f t="shared" si="86"/>
        <v>#REF!</v>
      </c>
      <c r="J695" s="391"/>
    </row>
    <row r="696" spans="1:11" ht="12.75" customHeight="1">
      <c r="A696" s="391"/>
      <c r="B696" s="391"/>
      <c r="C696" s="647"/>
      <c r="D696" s="647"/>
      <c r="E696" s="647"/>
      <c r="F696" s="647"/>
      <c r="G696" s="647"/>
      <c r="H696" s="647"/>
      <c r="I696" s="391"/>
      <c r="J696" s="391"/>
    </row>
    <row r="697" spans="1:11" ht="12.75" customHeight="1">
      <c r="A697" s="391"/>
      <c r="B697" s="391"/>
      <c r="C697" s="647"/>
      <c r="D697" s="308" t="s">
        <v>5434</v>
      </c>
      <c r="E697" s="647"/>
      <c r="F697" s="647"/>
      <c r="H697" s="647"/>
      <c r="I697" s="391"/>
      <c r="J697" s="391"/>
    </row>
    <row r="698" spans="1:11" ht="12.75" customHeight="1">
      <c r="A698" s="655"/>
      <c r="B698" s="633"/>
      <c r="C698" s="655"/>
      <c r="D698" s="308" t="s">
        <v>716</v>
      </c>
      <c r="E698" s="655"/>
      <c r="F698" s="647"/>
      <c r="H698" s="655"/>
      <c r="I698" s="391"/>
      <c r="J698" s="391"/>
    </row>
    <row r="699" spans="1:11" ht="12.75" customHeight="1">
      <c r="A699" s="655"/>
      <c r="B699" s="633"/>
      <c r="C699" s="655"/>
      <c r="D699" s="308" t="s">
        <v>369</v>
      </c>
      <c r="E699" s="655"/>
      <c r="F699" s="647"/>
      <c r="H699" s="655"/>
      <c r="I699" s="391"/>
      <c r="J699" s="391"/>
    </row>
    <row r="700" spans="1:11" ht="12.75" customHeight="1">
      <c r="A700" s="655"/>
      <c r="B700" s="655"/>
      <c r="C700" s="655"/>
      <c r="D700" s="307" t="s">
        <v>370</v>
      </c>
      <c r="E700" s="655"/>
      <c r="F700" s="647"/>
      <c r="H700" s="655"/>
      <c r="I700" s="391"/>
      <c r="J700" s="391"/>
    </row>
    <row r="701" spans="1:11" ht="12.75" customHeight="1">
      <c r="A701" s="634" t="s">
        <v>1839</v>
      </c>
      <c r="B701" s="635" t="s">
        <v>903</v>
      </c>
      <c r="C701" s="1037" t="s">
        <v>4127</v>
      </c>
      <c r="D701" s="1038"/>
      <c r="E701" s="1039"/>
      <c r="F701" s="635" t="s">
        <v>1684</v>
      </c>
      <c r="G701" s="1037" t="s">
        <v>4132</v>
      </c>
      <c r="H701" s="1038"/>
      <c r="I701" s="1039"/>
      <c r="J701" s="391"/>
    </row>
    <row r="702" spans="1:11" ht="12.75" customHeight="1">
      <c r="A702" s="636" t="s">
        <v>1620</v>
      </c>
      <c r="B702" s="637"/>
      <c r="C702" s="635" t="s">
        <v>1841</v>
      </c>
      <c r="D702" s="635" t="s">
        <v>4133</v>
      </c>
      <c r="E702" s="635" t="s">
        <v>4133</v>
      </c>
      <c r="F702" s="1056" t="s">
        <v>4200</v>
      </c>
      <c r="G702" s="1051" t="s">
        <v>4201</v>
      </c>
      <c r="H702" s="635" t="s">
        <v>1841</v>
      </c>
      <c r="I702" s="634" t="s">
        <v>4135</v>
      </c>
      <c r="J702" s="391"/>
    </row>
    <row r="703" spans="1:11" ht="12.75" customHeight="1">
      <c r="A703" s="638" t="s">
        <v>387</v>
      </c>
      <c r="B703" s="639"/>
      <c r="C703" s="638">
        <v>2015</v>
      </c>
      <c r="D703" s="638">
        <v>2016</v>
      </c>
      <c r="E703" s="638">
        <v>2017</v>
      </c>
      <c r="F703" s="1057"/>
      <c r="G703" s="1052"/>
      <c r="H703" s="638">
        <v>2014</v>
      </c>
      <c r="I703" s="638" t="s">
        <v>4303</v>
      </c>
      <c r="J703" s="391"/>
    </row>
    <row r="704" spans="1:11" ht="12.75" customHeight="1">
      <c r="A704" s="646" t="s">
        <v>371</v>
      </c>
      <c r="B704" s="646" t="s">
        <v>1693</v>
      </c>
      <c r="C704" s="641">
        <v>5772476.0999999996</v>
      </c>
      <c r="D704" s="641">
        <v>10485280</v>
      </c>
      <c r="E704" s="641">
        <v>10485280</v>
      </c>
      <c r="F704" s="647">
        <f>SUM(C704:E704)</f>
        <v>26743036.100000001</v>
      </c>
      <c r="G704" s="641">
        <v>2163184</v>
      </c>
      <c r="H704" s="641">
        <v>10485280</v>
      </c>
      <c r="I704" s="641" t="e">
        <f>#REF!</f>
        <v>#REF!</v>
      </c>
      <c r="J704" s="391"/>
    </row>
    <row r="705" spans="1:10" ht="12.75" customHeight="1">
      <c r="A705" s="646"/>
      <c r="B705" s="646"/>
      <c r="C705" s="641"/>
      <c r="D705" s="641"/>
      <c r="E705" s="641"/>
      <c r="F705" s="647"/>
      <c r="G705" s="641"/>
      <c r="H705" s="641"/>
      <c r="I705" s="641"/>
      <c r="J705" s="391"/>
    </row>
    <row r="706" spans="1:10" ht="12.75" customHeight="1">
      <c r="A706" s="646">
        <v>2</v>
      </c>
      <c r="B706" s="646" t="s">
        <v>1695</v>
      </c>
      <c r="C706" s="641">
        <v>300000</v>
      </c>
      <c r="D706" s="641">
        <v>500000</v>
      </c>
      <c r="E706" s="641">
        <v>500000</v>
      </c>
      <c r="F706" s="647">
        <f t="shared" ref="F706:F721" si="87">SUM(C706:E706)</f>
        <v>1300000</v>
      </c>
      <c r="G706" s="641">
        <v>0</v>
      </c>
      <c r="H706" s="641">
        <v>500000</v>
      </c>
      <c r="I706" s="641">
        <v>0</v>
      </c>
      <c r="J706" s="391"/>
    </row>
    <row r="707" spans="1:10" ht="12.75" customHeight="1">
      <c r="A707" s="646">
        <f t="shared" ref="A707:A721" si="88">A706+1</f>
        <v>3</v>
      </c>
      <c r="B707" s="646" t="s">
        <v>1696</v>
      </c>
      <c r="C707" s="642">
        <v>100000</v>
      </c>
      <c r="D707" s="642">
        <v>100000</v>
      </c>
      <c r="E707" s="642">
        <v>100000</v>
      </c>
      <c r="F707" s="647">
        <f t="shared" si="87"/>
        <v>300000</v>
      </c>
      <c r="G707" s="641">
        <v>0</v>
      </c>
      <c r="H707" s="642">
        <v>100000</v>
      </c>
      <c r="I707" s="641">
        <v>50000</v>
      </c>
      <c r="J707" s="391"/>
    </row>
    <row r="708" spans="1:10" ht="12.75" customHeight="1">
      <c r="A708" s="646">
        <f t="shared" si="88"/>
        <v>4</v>
      </c>
      <c r="B708" s="646" t="s">
        <v>1701</v>
      </c>
      <c r="C708" s="641" t="s">
        <v>1386</v>
      </c>
      <c r="D708" s="641" t="s">
        <v>1386</v>
      </c>
      <c r="E708" s="641" t="s">
        <v>1386</v>
      </c>
      <c r="F708" s="647">
        <f t="shared" si="87"/>
        <v>0</v>
      </c>
      <c r="G708" s="641" t="s">
        <v>1386</v>
      </c>
      <c r="H708" s="641" t="s">
        <v>1386</v>
      </c>
      <c r="I708" s="641" t="s">
        <v>1386</v>
      </c>
      <c r="J708" s="391"/>
    </row>
    <row r="709" spans="1:10" ht="12.75" customHeight="1">
      <c r="A709" s="646">
        <f t="shared" si="88"/>
        <v>5</v>
      </c>
      <c r="B709" s="646" t="s">
        <v>1702</v>
      </c>
      <c r="C709" s="641">
        <v>200000</v>
      </c>
      <c r="D709" s="641">
        <v>200000</v>
      </c>
      <c r="E709" s="641">
        <v>200000</v>
      </c>
      <c r="F709" s="647">
        <f t="shared" si="87"/>
        <v>600000</v>
      </c>
      <c r="G709" s="641">
        <v>49000</v>
      </c>
      <c r="H709" s="641">
        <v>200000</v>
      </c>
      <c r="I709" s="641">
        <v>5000</v>
      </c>
      <c r="J709" s="391"/>
    </row>
    <row r="710" spans="1:10" ht="12.75" customHeight="1">
      <c r="A710" s="646">
        <f t="shared" si="88"/>
        <v>6</v>
      </c>
      <c r="B710" s="646" t="s">
        <v>1544</v>
      </c>
      <c r="C710" s="641">
        <v>200000</v>
      </c>
      <c r="D710" s="641">
        <v>200000</v>
      </c>
      <c r="E710" s="641">
        <v>200000</v>
      </c>
      <c r="F710" s="647">
        <f t="shared" si="87"/>
        <v>600000</v>
      </c>
      <c r="G710" s="641">
        <v>45000</v>
      </c>
      <c r="H710" s="641">
        <v>200000</v>
      </c>
      <c r="I710" s="641">
        <v>0</v>
      </c>
      <c r="J710" s="391"/>
    </row>
    <row r="711" spans="1:10" ht="12.75" customHeight="1">
      <c r="A711" s="646">
        <f t="shared" si="88"/>
        <v>7</v>
      </c>
      <c r="B711" s="646" t="s">
        <v>897</v>
      </c>
      <c r="C711" s="641">
        <v>200000</v>
      </c>
      <c r="D711" s="641">
        <v>100000</v>
      </c>
      <c r="E711" s="641">
        <v>100000</v>
      </c>
      <c r="F711" s="647">
        <f t="shared" si="87"/>
        <v>400000</v>
      </c>
      <c r="G711" s="641">
        <v>84300</v>
      </c>
      <c r="H711" s="641">
        <v>100000</v>
      </c>
      <c r="I711" s="641">
        <v>75000</v>
      </c>
      <c r="J711" s="391"/>
    </row>
    <row r="712" spans="1:10" ht="12.75" customHeight="1">
      <c r="A712" s="646">
        <f t="shared" si="88"/>
        <v>8</v>
      </c>
      <c r="B712" s="646" t="s">
        <v>1385</v>
      </c>
      <c r="C712" s="641" t="s">
        <v>1386</v>
      </c>
      <c r="D712" s="641" t="s">
        <v>1386</v>
      </c>
      <c r="E712" s="641" t="s">
        <v>1386</v>
      </c>
      <c r="F712" s="647">
        <f t="shared" si="87"/>
        <v>0</v>
      </c>
      <c r="G712" s="641" t="s">
        <v>1386</v>
      </c>
      <c r="H712" s="641" t="s">
        <v>1386</v>
      </c>
      <c r="I712" s="641" t="s">
        <v>1386</v>
      </c>
      <c r="J712" s="391"/>
    </row>
    <row r="713" spans="1:10" ht="12.75" customHeight="1">
      <c r="A713" s="646">
        <f t="shared" si="88"/>
        <v>9</v>
      </c>
      <c r="B713" s="646" t="s">
        <v>3153</v>
      </c>
      <c r="C713" s="641" t="s">
        <v>1386</v>
      </c>
      <c r="D713" s="641" t="s">
        <v>1386</v>
      </c>
      <c r="E713" s="641" t="s">
        <v>1386</v>
      </c>
      <c r="F713" s="647">
        <f t="shared" si="87"/>
        <v>0</v>
      </c>
      <c r="G713" s="641" t="s">
        <v>1386</v>
      </c>
      <c r="H713" s="641" t="s">
        <v>1386</v>
      </c>
      <c r="I713" s="641" t="s">
        <v>1386</v>
      </c>
      <c r="J713" s="391"/>
    </row>
    <row r="714" spans="1:10" ht="12.75" customHeight="1">
      <c r="A714" s="646">
        <f t="shared" si="88"/>
        <v>10</v>
      </c>
      <c r="B714" s="646" t="s">
        <v>1680</v>
      </c>
      <c r="C714" s="641">
        <v>250000</v>
      </c>
      <c r="D714" s="641">
        <v>50000</v>
      </c>
      <c r="E714" s="641">
        <v>50000</v>
      </c>
      <c r="F714" s="647">
        <f t="shared" si="87"/>
        <v>350000</v>
      </c>
      <c r="G714" s="641">
        <v>5000</v>
      </c>
      <c r="H714" s="641">
        <v>50000</v>
      </c>
      <c r="I714" s="641">
        <v>0</v>
      </c>
      <c r="J714" s="391"/>
    </row>
    <row r="715" spans="1:10" ht="12.75" customHeight="1">
      <c r="A715" s="646">
        <f t="shared" si="88"/>
        <v>11</v>
      </c>
      <c r="B715" s="646" t="s">
        <v>1681</v>
      </c>
      <c r="C715" s="642">
        <v>100000</v>
      </c>
      <c r="D715" s="642">
        <v>100000</v>
      </c>
      <c r="E715" s="642">
        <v>100000</v>
      </c>
      <c r="F715" s="647">
        <f t="shared" si="87"/>
        <v>300000</v>
      </c>
      <c r="G715" s="641">
        <v>0</v>
      </c>
      <c r="H715" s="642">
        <v>100000</v>
      </c>
      <c r="I715" s="641">
        <v>80000</v>
      </c>
      <c r="J715" s="391"/>
    </row>
    <row r="716" spans="1:10" ht="12.75" customHeight="1">
      <c r="A716" s="646">
        <f t="shared" si="88"/>
        <v>12</v>
      </c>
      <c r="B716" s="646" t="s">
        <v>1682</v>
      </c>
      <c r="C716" s="641">
        <v>1200000</v>
      </c>
      <c r="D716" s="641">
        <v>1000000</v>
      </c>
      <c r="E716" s="641">
        <v>1000000</v>
      </c>
      <c r="F716" s="647">
        <f t="shared" si="87"/>
        <v>3200000</v>
      </c>
      <c r="G716" s="641">
        <v>0</v>
      </c>
      <c r="H716" s="641">
        <v>1000000</v>
      </c>
      <c r="I716" s="641">
        <v>597000</v>
      </c>
      <c r="J716" s="391"/>
    </row>
    <row r="717" spans="1:10" ht="12.75" customHeight="1">
      <c r="A717" s="646">
        <f t="shared" si="88"/>
        <v>13</v>
      </c>
      <c r="B717" s="646" t="s">
        <v>1453</v>
      </c>
      <c r="C717" s="642">
        <v>100000</v>
      </c>
      <c r="D717" s="642">
        <v>100000</v>
      </c>
      <c r="E717" s="642">
        <v>100000</v>
      </c>
      <c r="F717" s="647">
        <f t="shared" si="87"/>
        <v>300000</v>
      </c>
      <c r="G717" s="641">
        <v>0</v>
      </c>
      <c r="H717" s="642">
        <v>100000</v>
      </c>
      <c r="I717" s="641">
        <v>0</v>
      </c>
      <c r="J717" s="391"/>
    </row>
    <row r="718" spans="1:10" ht="12.75" customHeight="1">
      <c r="A718" s="646">
        <f t="shared" si="88"/>
        <v>14</v>
      </c>
      <c r="B718" s="646" t="s">
        <v>1683</v>
      </c>
      <c r="C718" s="641">
        <v>500000</v>
      </c>
      <c r="D718" s="641">
        <v>100000</v>
      </c>
      <c r="E718" s="641">
        <v>100000</v>
      </c>
      <c r="F718" s="647">
        <f t="shared" si="87"/>
        <v>700000</v>
      </c>
      <c r="G718" s="641">
        <v>0</v>
      </c>
      <c r="H718" s="641">
        <v>100000</v>
      </c>
      <c r="I718" s="641">
        <v>0</v>
      </c>
      <c r="J718" s="391"/>
    </row>
    <row r="719" spans="1:10" ht="12.75" customHeight="1">
      <c r="A719" s="646">
        <f t="shared" si="88"/>
        <v>15</v>
      </c>
      <c r="B719" s="646" t="s">
        <v>667</v>
      </c>
      <c r="C719" s="641">
        <v>250000</v>
      </c>
      <c r="D719" s="641">
        <v>300000</v>
      </c>
      <c r="E719" s="641">
        <v>300000</v>
      </c>
      <c r="F719" s="647">
        <f t="shared" si="87"/>
        <v>850000</v>
      </c>
      <c r="G719" s="641">
        <v>0</v>
      </c>
      <c r="H719" s="641">
        <v>300000</v>
      </c>
      <c r="I719" s="641">
        <v>50000</v>
      </c>
      <c r="J719" s="391"/>
    </row>
    <row r="720" spans="1:10" ht="12.75" customHeight="1">
      <c r="A720" s="646">
        <f t="shared" si="88"/>
        <v>16</v>
      </c>
      <c r="B720" s="646" t="s">
        <v>668</v>
      </c>
      <c r="C720" s="641">
        <v>100000</v>
      </c>
      <c r="D720" s="641">
        <v>100000</v>
      </c>
      <c r="E720" s="641">
        <v>100000</v>
      </c>
      <c r="F720" s="647">
        <f t="shared" si="87"/>
        <v>300000</v>
      </c>
      <c r="G720" s="641">
        <v>0</v>
      </c>
      <c r="H720" s="641">
        <v>100000</v>
      </c>
      <c r="I720" s="641">
        <v>0</v>
      </c>
      <c r="J720" s="391"/>
    </row>
    <row r="721" spans="1:10" ht="12.75" customHeight="1">
      <c r="A721" s="646">
        <f t="shared" si="88"/>
        <v>17</v>
      </c>
      <c r="B721" s="646" t="s">
        <v>24</v>
      </c>
      <c r="C721" s="642">
        <v>2000000</v>
      </c>
      <c r="D721" s="642">
        <v>5000000</v>
      </c>
      <c r="E721" s="642">
        <v>5000000</v>
      </c>
      <c r="F721" s="647">
        <f t="shared" si="87"/>
        <v>12000000</v>
      </c>
      <c r="G721" s="642">
        <v>0</v>
      </c>
      <c r="H721" s="642">
        <v>5000000</v>
      </c>
      <c r="I721" s="642">
        <v>0</v>
      </c>
      <c r="J721" s="391"/>
    </row>
    <row r="722" spans="1:10" ht="12.75" customHeight="1">
      <c r="A722" s="646" t="s">
        <v>372</v>
      </c>
      <c r="B722" s="651" t="s">
        <v>819</v>
      </c>
      <c r="C722" s="652">
        <f t="shared" ref="C722:I722" si="89">SUM(C706:C721)</f>
        <v>5500000</v>
      </c>
      <c r="D722" s="652">
        <f t="shared" si="89"/>
        <v>7850000</v>
      </c>
      <c r="E722" s="652">
        <f t="shared" si="89"/>
        <v>7850000</v>
      </c>
      <c r="F722" s="652">
        <f t="shared" si="89"/>
        <v>21200000</v>
      </c>
      <c r="G722" s="652">
        <f t="shared" si="89"/>
        <v>183300</v>
      </c>
      <c r="H722" s="652">
        <f>SUM(H706:H721)</f>
        <v>7850000</v>
      </c>
      <c r="I722" s="652">
        <f t="shared" si="89"/>
        <v>857000</v>
      </c>
      <c r="J722" s="391"/>
    </row>
    <row r="723" spans="1:10" ht="12.75" customHeight="1">
      <c r="A723" s="646"/>
      <c r="B723" s="646"/>
      <c r="C723" s="641"/>
      <c r="D723" s="641"/>
      <c r="E723" s="641"/>
      <c r="F723" s="641"/>
      <c r="G723" s="641"/>
      <c r="H723" s="641"/>
      <c r="I723" s="641"/>
      <c r="J723" s="391"/>
    </row>
    <row r="724" spans="1:10" ht="12.75" customHeight="1">
      <c r="A724" s="653"/>
      <c r="B724" s="653" t="s">
        <v>1684</v>
      </c>
      <c r="C724" s="645">
        <f t="shared" ref="C724:I724" si="90">+C722+C704</f>
        <v>11272476.1</v>
      </c>
      <c r="D724" s="645">
        <f t="shared" si="90"/>
        <v>18335280</v>
      </c>
      <c r="E724" s="645">
        <f t="shared" si="90"/>
        <v>18335280</v>
      </c>
      <c r="F724" s="645">
        <f t="shared" si="90"/>
        <v>47943036.100000001</v>
      </c>
      <c r="G724" s="645">
        <f t="shared" si="90"/>
        <v>2346484</v>
      </c>
      <c r="H724" s="645">
        <f>+H722+H704</f>
        <v>18335280</v>
      </c>
      <c r="I724" s="645" t="e">
        <f t="shared" si="90"/>
        <v>#REF!</v>
      </c>
      <c r="J724" s="391"/>
    </row>
    <row r="725" spans="1:10" ht="12.75">
      <c r="A725" s="391"/>
      <c r="B725" s="391"/>
      <c r="C725" s="647"/>
      <c r="D725" s="647"/>
      <c r="E725" s="647"/>
      <c r="F725" s="647"/>
      <c r="G725" s="647"/>
      <c r="H725" s="647"/>
      <c r="I725" s="391"/>
      <c r="J725" s="391"/>
    </row>
    <row r="726" spans="1:10" ht="12.75">
      <c r="A726" s="391"/>
      <c r="B726" s="391"/>
      <c r="C726" s="647"/>
      <c r="D726" s="308" t="s">
        <v>5434</v>
      </c>
      <c r="E726" s="647"/>
      <c r="F726" s="647"/>
      <c r="H726" s="647"/>
      <c r="I726" s="391"/>
      <c r="J726" s="391"/>
    </row>
    <row r="727" spans="1:10" ht="12.75">
      <c r="A727" s="655"/>
      <c r="B727" s="633"/>
      <c r="C727" s="655"/>
      <c r="D727" s="308" t="s">
        <v>716</v>
      </c>
      <c r="E727" s="655"/>
      <c r="F727" s="647"/>
      <c r="H727" s="655"/>
      <c r="I727" s="391"/>
      <c r="J727" s="391"/>
    </row>
    <row r="728" spans="1:10" ht="12.75">
      <c r="A728" s="655"/>
      <c r="B728" s="633"/>
      <c r="C728" s="655"/>
      <c r="D728" s="308" t="s">
        <v>3198</v>
      </c>
      <c r="E728" s="655"/>
      <c r="F728" s="647"/>
      <c r="H728" s="655"/>
      <c r="I728" s="391"/>
      <c r="J728" s="391"/>
    </row>
    <row r="729" spans="1:10" ht="12.75">
      <c r="A729" s="655"/>
      <c r="B729" s="655"/>
      <c r="C729" s="655"/>
      <c r="D729" s="307" t="s">
        <v>373</v>
      </c>
      <c r="E729" s="655"/>
      <c r="F729" s="647"/>
      <c r="H729" s="655"/>
      <c r="I729" s="391"/>
      <c r="J729" s="391"/>
    </row>
    <row r="730" spans="1:10" ht="15">
      <c r="A730" s="634" t="s">
        <v>1839</v>
      </c>
      <c r="B730" s="635" t="s">
        <v>903</v>
      </c>
      <c r="C730" s="1037" t="s">
        <v>4127</v>
      </c>
      <c r="D730" s="1038"/>
      <c r="E730" s="1039"/>
      <c r="F730" s="635" t="s">
        <v>1684</v>
      </c>
      <c r="G730" s="1037" t="s">
        <v>4132</v>
      </c>
      <c r="H730" s="1038"/>
      <c r="I730" s="1039"/>
      <c r="J730" s="391"/>
    </row>
    <row r="731" spans="1:10" ht="12.75">
      <c r="A731" s="636" t="s">
        <v>1620</v>
      </c>
      <c r="B731" s="637"/>
      <c r="C731" s="635" t="s">
        <v>1841</v>
      </c>
      <c r="D731" s="635" t="s">
        <v>4133</v>
      </c>
      <c r="E731" s="635" t="s">
        <v>4133</v>
      </c>
      <c r="F731" s="1056" t="s">
        <v>4200</v>
      </c>
      <c r="G731" s="1051" t="s">
        <v>4201</v>
      </c>
      <c r="H731" s="635" t="s">
        <v>1841</v>
      </c>
      <c r="I731" s="634" t="s">
        <v>4135</v>
      </c>
      <c r="J731" s="391"/>
    </row>
    <row r="732" spans="1:10" ht="12.75" customHeight="1">
      <c r="A732" s="638" t="s">
        <v>387</v>
      </c>
      <c r="B732" s="639"/>
      <c r="C732" s="638">
        <v>2015</v>
      </c>
      <c r="D732" s="638">
        <v>2016</v>
      </c>
      <c r="E732" s="638">
        <v>2017</v>
      </c>
      <c r="F732" s="1057"/>
      <c r="G732" s="1052"/>
      <c r="H732" s="638">
        <v>2014</v>
      </c>
      <c r="I732" s="638" t="s">
        <v>4303</v>
      </c>
      <c r="J732" s="391"/>
    </row>
    <row r="733" spans="1:10" ht="12.75">
      <c r="A733" s="646" t="s">
        <v>374</v>
      </c>
      <c r="B733" s="646" t="s">
        <v>1693</v>
      </c>
      <c r="C733" s="641">
        <v>3335013.8</v>
      </c>
      <c r="D733" s="641">
        <v>6489599.9999999991</v>
      </c>
      <c r="E733" s="641">
        <v>6489599.9999999991</v>
      </c>
      <c r="F733" s="647">
        <f>SUM(C733:E733)</f>
        <v>16314213.799999997</v>
      </c>
      <c r="G733" s="641"/>
      <c r="H733" s="641">
        <v>6488600</v>
      </c>
      <c r="I733" s="641" t="e">
        <f>#REF!</f>
        <v>#REF!</v>
      </c>
      <c r="J733" s="391"/>
    </row>
    <row r="734" spans="1:10" ht="12.75">
      <c r="A734" s="646"/>
      <c r="B734" s="646"/>
      <c r="C734" s="641"/>
      <c r="D734" s="641"/>
      <c r="E734" s="641"/>
      <c r="F734" s="647"/>
      <c r="G734" s="641"/>
      <c r="H734" s="641"/>
      <c r="I734" s="641"/>
      <c r="J734" s="391"/>
    </row>
    <row r="735" spans="1:10" ht="12.75">
      <c r="A735" s="646">
        <v>2</v>
      </c>
      <c r="B735" s="646" t="s">
        <v>1695</v>
      </c>
      <c r="C735" s="641">
        <v>800000</v>
      </c>
      <c r="D735" s="641">
        <v>832000</v>
      </c>
      <c r="E735" s="641">
        <v>832000</v>
      </c>
      <c r="F735" s="647">
        <f t="shared" ref="F735:F749" si="91">SUM(C735:E735)</f>
        <v>2464000</v>
      </c>
      <c r="G735" s="641">
        <v>25000</v>
      </c>
      <c r="H735" s="641">
        <v>800000</v>
      </c>
      <c r="I735" s="641">
        <v>50000</v>
      </c>
      <c r="J735" s="391"/>
    </row>
    <row r="736" spans="1:10" ht="12.75">
      <c r="A736" s="646">
        <f t="shared" ref="A736:A749" si="92">A735+1</f>
        <v>3</v>
      </c>
      <c r="B736" s="646" t="s">
        <v>1696</v>
      </c>
      <c r="C736" s="641">
        <v>50000</v>
      </c>
      <c r="D736" s="641">
        <v>208000</v>
      </c>
      <c r="E736" s="641">
        <v>208000</v>
      </c>
      <c r="F736" s="647">
        <f t="shared" si="91"/>
        <v>466000</v>
      </c>
      <c r="G736" s="641">
        <v>0</v>
      </c>
      <c r="H736" s="641">
        <v>50000</v>
      </c>
      <c r="I736" s="641">
        <v>0</v>
      </c>
      <c r="J736" s="391"/>
    </row>
    <row r="737" spans="1:10" ht="12.75">
      <c r="A737" s="646">
        <f t="shared" si="92"/>
        <v>4</v>
      </c>
      <c r="B737" s="646" t="s">
        <v>1701</v>
      </c>
      <c r="C737" s="642" t="s">
        <v>1386</v>
      </c>
      <c r="D737" s="642" t="s">
        <v>1386</v>
      </c>
      <c r="E737" s="642" t="s">
        <v>1386</v>
      </c>
      <c r="F737" s="647">
        <f t="shared" si="91"/>
        <v>0</v>
      </c>
      <c r="G737" s="641">
        <v>0</v>
      </c>
      <c r="H737" s="642" t="s">
        <v>1386</v>
      </c>
      <c r="I737" s="641">
        <v>0</v>
      </c>
      <c r="J737" s="391"/>
    </row>
    <row r="738" spans="1:10" ht="12.75">
      <c r="A738" s="646">
        <f t="shared" si="92"/>
        <v>5</v>
      </c>
      <c r="B738" s="646" t="s">
        <v>1702</v>
      </c>
      <c r="C738" s="641">
        <v>300000</v>
      </c>
      <c r="D738" s="641">
        <v>312000</v>
      </c>
      <c r="E738" s="641">
        <v>312000</v>
      </c>
      <c r="F738" s="647">
        <f t="shared" si="91"/>
        <v>924000</v>
      </c>
      <c r="G738" s="641">
        <v>0</v>
      </c>
      <c r="H738" s="641">
        <v>300000</v>
      </c>
      <c r="I738" s="641">
        <v>10000</v>
      </c>
      <c r="J738" s="391"/>
    </row>
    <row r="739" spans="1:10" ht="12.75">
      <c r="A739" s="646">
        <f t="shared" si="92"/>
        <v>6</v>
      </c>
      <c r="B739" s="646" t="s">
        <v>1544</v>
      </c>
      <c r="C739" s="641">
        <v>300000</v>
      </c>
      <c r="D739" s="641">
        <v>312000</v>
      </c>
      <c r="E739" s="641">
        <v>312000</v>
      </c>
      <c r="F739" s="647">
        <f t="shared" si="91"/>
        <v>924000</v>
      </c>
      <c r="G739" s="641">
        <v>29000</v>
      </c>
      <c r="H739" s="641">
        <v>300000</v>
      </c>
      <c r="I739" s="641">
        <v>2500</v>
      </c>
      <c r="J739" s="391"/>
    </row>
    <row r="740" spans="1:10" ht="12.75">
      <c r="A740" s="646">
        <f t="shared" si="92"/>
        <v>7</v>
      </c>
      <c r="B740" s="646" t="s">
        <v>897</v>
      </c>
      <c r="C740" s="641">
        <v>800000</v>
      </c>
      <c r="D740" s="641">
        <v>832000</v>
      </c>
      <c r="E740" s="641">
        <v>832000</v>
      </c>
      <c r="F740" s="647">
        <f t="shared" si="91"/>
        <v>2464000</v>
      </c>
      <c r="G740" s="641">
        <v>0</v>
      </c>
      <c r="H740" s="641">
        <v>800000</v>
      </c>
      <c r="I740" s="641">
        <v>8300</v>
      </c>
      <c r="J740" s="391"/>
    </row>
    <row r="741" spans="1:10" ht="12.75">
      <c r="A741" s="646">
        <f t="shared" si="92"/>
        <v>8</v>
      </c>
      <c r="B741" s="646" t="s">
        <v>1385</v>
      </c>
      <c r="C741" s="642" t="s">
        <v>1386</v>
      </c>
      <c r="D741" s="642" t="s">
        <v>1386</v>
      </c>
      <c r="E741" s="642" t="s">
        <v>1386</v>
      </c>
      <c r="F741" s="647">
        <f t="shared" si="91"/>
        <v>0</v>
      </c>
      <c r="G741" s="641">
        <v>0</v>
      </c>
      <c r="H741" s="642" t="s">
        <v>1386</v>
      </c>
      <c r="I741" s="641" t="s">
        <v>1386</v>
      </c>
      <c r="J741" s="391"/>
    </row>
    <row r="742" spans="1:10" ht="12.75">
      <c r="A742" s="646">
        <f t="shared" si="92"/>
        <v>9</v>
      </c>
      <c r="B742" s="646" t="s">
        <v>2061</v>
      </c>
      <c r="C742" s="642" t="s">
        <v>1386</v>
      </c>
      <c r="D742" s="642" t="s">
        <v>1386</v>
      </c>
      <c r="E742" s="642" t="s">
        <v>1386</v>
      </c>
      <c r="F742" s="647">
        <f t="shared" si="91"/>
        <v>0</v>
      </c>
      <c r="G742" s="641">
        <v>0</v>
      </c>
      <c r="H742" s="642" t="s">
        <v>1386</v>
      </c>
      <c r="I742" s="641" t="s">
        <v>1386</v>
      </c>
      <c r="J742" s="391"/>
    </row>
    <row r="743" spans="1:10" ht="12.75">
      <c r="A743" s="646">
        <f t="shared" si="92"/>
        <v>10</v>
      </c>
      <c r="B743" s="646" t="s">
        <v>1680</v>
      </c>
      <c r="C743" s="641">
        <v>200000</v>
      </c>
      <c r="D743" s="641">
        <v>200000</v>
      </c>
      <c r="E743" s="641">
        <v>200000</v>
      </c>
      <c r="F743" s="647">
        <f t="shared" si="91"/>
        <v>600000</v>
      </c>
      <c r="G743" s="641">
        <v>0</v>
      </c>
      <c r="H743" s="641">
        <v>200000</v>
      </c>
      <c r="I743" s="641">
        <v>130000</v>
      </c>
      <c r="J743" s="391"/>
    </row>
    <row r="744" spans="1:10" ht="12.75">
      <c r="A744" s="646">
        <f t="shared" si="92"/>
        <v>11</v>
      </c>
      <c r="B744" s="646" t="s">
        <v>1681</v>
      </c>
      <c r="C744" s="641">
        <v>100000</v>
      </c>
      <c r="D744" s="641">
        <v>100000</v>
      </c>
      <c r="E744" s="641">
        <v>100000</v>
      </c>
      <c r="F744" s="647">
        <f t="shared" si="91"/>
        <v>300000</v>
      </c>
      <c r="G744" s="641">
        <v>45000</v>
      </c>
      <c r="H744" s="641">
        <v>100000</v>
      </c>
      <c r="I744" s="641">
        <v>71805.63</v>
      </c>
      <c r="J744" s="391"/>
    </row>
    <row r="745" spans="1:10" ht="12.75">
      <c r="A745" s="646">
        <f t="shared" si="92"/>
        <v>12</v>
      </c>
      <c r="B745" s="646" t="s">
        <v>1682</v>
      </c>
      <c r="C745" s="641">
        <v>800000</v>
      </c>
      <c r="D745" s="641">
        <v>1040000</v>
      </c>
      <c r="E745" s="641">
        <v>1040000</v>
      </c>
      <c r="F745" s="647">
        <f t="shared" si="91"/>
        <v>2880000</v>
      </c>
      <c r="G745" s="641">
        <v>84415</v>
      </c>
      <c r="H745" s="641">
        <v>800000</v>
      </c>
      <c r="I745" s="641">
        <v>532300</v>
      </c>
      <c r="J745" s="391"/>
    </row>
    <row r="746" spans="1:10" ht="12.75">
      <c r="A746" s="646">
        <f t="shared" si="92"/>
        <v>13</v>
      </c>
      <c r="B746" s="646" t="s">
        <v>2249</v>
      </c>
      <c r="C746" s="641">
        <v>100000</v>
      </c>
      <c r="D746" s="641">
        <v>100000</v>
      </c>
      <c r="E746" s="641">
        <v>100000</v>
      </c>
      <c r="F746" s="647">
        <f t="shared" si="91"/>
        <v>300000</v>
      </c>
      <c r="G746" s="641">
        <v>0</v>
      </c>
      <c r="H746" s="641">
        <v>100000</v>
      </c>
      <c r="I746" s="641">
        <v>0</v>
      </c>
      <c r="J746" s="391"/>
    </row>
    <row r="747" spans="1:10" ht="12.75">
      <c r="A747" s="646">
        <f t="shared" si="92"/>
        <v>14</v>
      </c>
      <c r="B747" s="646" t="s">
        <v>3018</v>
      </c>
      <c r="C747" s="641">
        <v>350000</v>
      </c>
      <c r="D747" s="641">
        <v>416000</v>
      </c>
      <c r="E747" s="641">
        <v>416000</v>
      </c>
      <c r="F747" s="647">
        <f t="shared" si="91"/>
        <v>1182000</v>
      </c>
      <c r="G747" s="641">
        <v>0</v>
      </c>
      <c r="H747" s="641">
        <v>350000</v>
      </c>
      <c r="I747" s="641">
        <v>0</v>
      </c>
      <c r="J747" s="391"/>
    </row>
    <row r="748" spans="1:10" ht="12.75">
      <c r="A748" s="646">
        <f t="shared" si="92"/>
        <v>15</v>
      </c>
      <c r="B748" s="646" t="s">
        <v>836</v>
      </c>
      <c r="C748" s="641">
        <v>200000</v>
      </c>
      <c r="D748" s="641">
        <v>200000</v>
      </c>
      <c r="E748" s="641">
        <v>200000</v>
      </c>
      <c r="F748" s="647">
        <f t="shared" si="91"/>
        <v>600000</v>
      </c>
      <c r="G748" s="641">
        <v>0</v>
      </c>
      <c r="H748" s="641">
        <v>672000</v>
      </c>
      <c r="I748" s="641">
        <v>0</v>
      </c>
      <c r="J748" s="391"/>
    </row>
    <row r="749" spans="1:10" ht="12.75">
      <c r="A749" s="646">
        <f t="shared" si="92"/>
        <v>16</v>
      </c>
      <c r="B749" s="646" t="s">
        <v>375</v>
      </c>
      <c r="C749" s="641" t="s">
        <v>1386</v>
      </c>
      <c r="D749" s="641" t="s">
        <v>1386</v>
      </c>
      <c r="E749" s="641" t="s">
        <v>1386</v>
      </c>
      <c r="F749" s="647">
        <f t="shared" si="91"/>
        <v>0</v>
      </c>
      <c r="G749" s="641">
        <v>0</v>
      </c>
      <c r="H749" s="641" t="s">
        <v>1386</v>
      </c>
      <c r="I749" s="641">
        <v>0</v>
      </c>
      <c r="J749" s="391"/>
    </row>
    <row r="750" spans="1:10" ht="12.75">
      <c r="A750" s="646"/>
      <c r="B750" s="646"/>
      <c r="C750" s="642"/>
      <c r="D750" s="642"/>
      <c r="E750" s="642"/>
      <c r="F750" s="647"/>
      <c r="G750" s="642"/>
      <c r="H750" s="642"/>
      <c r="I750" s="642"/>
      <c r="J750" s="391"/>
    </row>
    <row r="751" spans="1:10" ht="12.75">
      <c r="A751" s="646" t="s">
        <v>376</v>
      </c>
      <c r="B751" s="651" t="s">
        <v>819</v>
      </c>
      <c r="C751" s="652">
        <f t="shared" ref="C751:I751" si="93">SUM(C735:C750)</f>
        <v>4000000</v>
      </c>
      <c r="D751" s="652">
        <f t="shared" si="93"/>
        <v>4552000</v>
      </c>
      <c r="E751" s="652">
        <f t="shared" si="93"/>
        <v>4552000</v>
      </c>
      <c r="F751" s="652">
        <f t="shared" si="93"/>
        <v>13104000</v>
      </c>
      <c r="G751" s="652">
        <f t="shared" si="93"/>
        <v>183415</v>
      </c>
      <c r="H751" s="652">
        <f t="shared" si="93"/>
        <v>4472000</v>
      </c>
      <c r="I751" s="652">
        <f t="shared" si="93"/>
        <v>804905.63</v>
      </c>
      <c r="J751" s="391"/>
    </row>
    <row r="752" spans="1:10" ht="12.75">
      <c r="A752" s="646"/>
      <c r="B752" s="646"/>
      <c r="C752" s="641"/>
      <c r="D752" s="641"/>
      <c r="E752" s="641"/>
      <c r="F752" s="641"/>
      <c r="G752" s="641"/>
      <c r="H752" s="641"/>
      <c r="I752" s="641"/>
      <c r="J752" s="391"/>
    </row>
    <row r="753" spans="1:10" ht="12.75">
      <c r="A753" s="653"/>
      <c r="B753" s="653" t="s">
        <v>1684</v>
      </c>
      <c r="C753" s="645">
        <f t="shared" ref="C753:I753" si="94">+C751+C733</f>
        <v>7335013.7999999998</v>
      </c>
      <c r="D753" s="645">
        <f t="shared" si="94"/>
        <v>11041600</v>
      </c>
      <c r="E753" s="645">
        <f t="shared" si="94"/>
        <v>11041600</v>
      </c>
      <c r="F753" s="645">
        <f t="shared" si="94"/>
        <v>29418213.799999997</v>
      </c>
      <c r="G753" s="645">
        <f t="shared" si="94"/>
        <v>183415</v>
      </c>
      <c r="H753" s="645">
        <f>+H751+H733</f>
        <v>10960600</v>
      </c>
      <c r="I753" s="645" t="e">
        <f t="shared" si="94"/>
        <v>#REF!</v>
      </c>
      <c r="J753" s="391"/>
    </row>
    <row r="754" spans="1:10" ht="12.75" customHeight="1">
      <c r="A754" s="391"/>
      <c r="B754" s="391"/>
      <c r="C754" s="647"/>
      <c r="D754" s="647"/>
      <c r="E754" s="647"/>
      <c r="F754" s="647"/>
      <c r="G754" s="647"/>
      <c r="H754" s="647"/>
      <c r="I754" s="391"/>
      <c r="J754" s="391"/>
    </row>
    <row r="755" spans="1:10" ht="12.75">
      <c r="A755" s="391"/>
      <c r="B755" s="391"/>
      <c r="C755" s="647"/>
      <c r="D755" s="308" t="s">
        <v>5434</v>
      </c>
      <c r="E755" s="647"/>
      <c r="F755" s="647"/>
      <c r="H755" s="647"/>
      <c r="I755" s="391"/>
      <c r="J755" s="391"/>
    </row>
    <row r="756" spans="1:10" ht="12.75">
      <c r="A756" s="655"/>
      <c r="B756" s="633"/>
      <c r="C756" s="655"/>
      <c r="D756" s="308" t="s">
        <v>716</v>
      </c>
      <c r="E756" s="655"/>
      <c r="F756" s="647"/>
      <c r="H756" s="655"/>
      <c r="I756" s="391"/>
      <c r="J756" s="391"/>
    </row>
    <row r="757" spans="1:10" ht="12.75">
      <c r="A757" s="655"/>
      <c r="B757" s="633"/>
      <c r="C757" s="655"/>
      <c r="D757" s="308" t="s">
        <v>2727</v>
      </c>
      <c r="E757" s="655"/>
      <c r="F757" s="647"/>
      <c r="H757" s="655"/>
      <c r="I757" s="391"/>
      <c r="J757" s="391"/>
    </row>
    <row r="758" spans="1:10" ht="12.75">
      <c r="A758" s="655"/>
      <c r="B758" s="655"/>
      <c r="C758" s="655"/>
      <c r="D758" s="307" t="s">
        <v>377</v>
      </c>
      <c r="E758" s="655"/>
      <c r="F758" s="647"/>
      <c r="H758" s="655"/>
      <c r="I758" s="391"/>
      <c r="J758" s="391"/>
    </row>
    <row r="759" spans="1:10" ht="15">
      <c r="A759" s="634" t="s">
        <v>1839</v>
      </c>
      <c r="B759" s="635" t="s">
        <v>903</v>
      </c>
      <c r="C759" s="1037" t="s">
        <v>4127</v>
      </c>
      <c r="D759" s="1038"/>
      <c r="E759" s="1039"/>
      <c r="F759" s="635" t="s">
        <v>1684</v>
      </c>
      <c r="G759" s="1037" t="s">
        <v>4132</v>
      </c>
      <c r="H759" s="1038"/>
      <c r="I759" s="1039"/>
      <c r="J759" s="391"/>
    </row>
    <row r="760" spans="1:10" ht="12.75">
      <c r="A760" s="636" t="s">
        <v>1620</v>
      </c>
      <c r="B760" s="637"/>
      <c r="C760" s="635" t="s">
        <v>1841</v>
      </c>
      <c r="D760" s="635" t="s">
        <v>4133</v>
      </c>
      <c r="E760" s="635" t="s">
        <v>4133</v>
      </c>
      <c r="F760" s="1056" t="s">
        <v>4200</v>
      </c>
      <c r="G760" s="1051" t="s">
        <v>4201</v>
      </c>
      <c r="H760" s="635" t="s">
        <v>1841</v>
      </c>
      <c r="I760" s="634" t="s">
        <v>4135</v>
      </c>
      <c r="J760" s="391"/>
    </row>
    <row r="761" spans="1:10" ht="12.75" customHeight="1">
      <c r="A761" s="638" t="s">
        <v>387</v>
      </c>
      <c r="B761" s="639"/>
      <c r="C761" s="638">
        <v>2015</v>
      </c>
      <c r="D761" s="638">
        <v>2016</v>
      </c>
      <c r="E761" s="638">
        <v>2017</v>
      </c>
      <c r="F761" s="1057"/>
      <c r="G761" s="1052"/>
      <c r="H761" s="638">
        <v>2014</v>
      </c>
      <c r="I761" s="638" t="s">
        <v>4303</v>
      </c>
      <c r="J761" s="391"/>
    </row>
    <row r="762" spans="1:10" ht="12.75">
      <c r="A762" s="646" t="s">
        <v>378</v>
      </c>
      <c r="B762" s="646" t="s">
        <v>1693</v>
      </c>
      <c r="C762" s="641">
        <v>16919084.600000001</v>
      </c>
      <c r="D762" s="641">
        <v>16224000</v>
      </c>
      <c r="E762" s="641">
        <v>16224000</v>
      </c>
      <c r="F762" s="647">
        <f>SUM(C762:E762)</f>
        <v>49367084.600000001</v>
      </c>
      <c r="G762" s="641">
        <v>6921361</v>
      </c>
      <c r="H762" s="641">
        <v>17100000</v>
      </c>
      <c r="I762" s="641" t="e">
        <f>#REF!</f>
        <v>#REF!</v>
      </c>
      <c r="J762" s="391"/>
    </row>
    <row r="763" spans="1:10" ht="12.75">
      <c r="A763" s="646">
        <v>2</v>
      </c>
      <c r="B763" s="646" t="s">
        <v>1695</v>
      </c>
      <c r="C763" s="641">
        <v>800000</v>
      </c>
      <c r="D763" s="641">
        <v>800000</v>
      </c>
      <c r="E763" s="641">
        <v>800000</v>
      </c>
      <c r="F763" s="647">
        <f t="shared" ref="F763:F788" si="95">SUM(C763:E763)</f>
        <v>2400000</v>
      </c>
      <c r="G763" s="641"/>
      <c r="H763" s="641">
        <v>848640</v>
      </c>
      <c r="I763" s="641"/>
      <c r="J763" s="391"/>
    </row>
    <row r="764" spans="1:10" ht="12.75">
      <c r="A764" s="646">
        <f t="shared" ref="A764:A788" si="96">A763+1</f>
        <v>3</v>
      </c>
      <c r="B764" s="646" t="s">
        <v>1696</v>
      </c>
      <c r="C764" s="642" t="s">
        <v>1386</v>
      </c>
      <c r="D764" s="642" t="s">
        <v>1386</v>
      </c>
      <c r="E764" s="642" t="s">
        <v>1386</v>
      </c>
      <c r="F764" s="647">
        <f t="shared" si="95"/>
        <v>0</v>
      </c>
      <c r="G764" s="642">
        <v>325000</v>
      </c>
      <c r="H764" s="642" t="s">
        <v>1386</v>
      </c>
      <c r="I764" s="641"/>
      <c r="J764" s="391"/>
    </row>
    <row r="765" spans="1:10" ht="12.75">
      <c r="A765" s="646">
        <f t="shared" si="96"/>
        <v>4</v>
      </c>
      <c r="B765" s="646" t="s">
        <v>1701</v>
      </c>
      <c r="C765" s="642" t="s">
        <v>1386</v>
      </c>
      <c r="D765" s="642" t="s">
        <v>1386</v>
      </c>
      <c r="E765" s="642" t="s">
        <v>1386</v>
      </c>
      <c r="F765" s="647">
        <f t="shared" si="95"/>
        <v>0</v>
      </c>
      <c r="G765" s="642" t="s">
        <v>1386</v>
      </c>
      <c r="H765" s="642" t="s">
        <v>1386</v>
      </c>
      <c r="I765" s="642"/>
      <c r="J765" s="391"/>
    </row>
    <row r="766" spans="1:10" ht="12.75">
      <c r="A766" s="646">
        <f t="shared" si="96"/>
        <v>5</v>
      </c>
      <c r="B766" s="646" t="s">
        <v>1702</v>
      </c>
      <c r="C766" s="641">
        <v>600000</v>
      </c>
      <c r="D766" s="641">
        <v>800000</v>
      </c>
      <c r="E766" s="641">
        <v>800000</v>
      </c>
      <c r="F766" s="647">
        <f t="shared" si="95"/>
        <v>2200000</v>
      </c>
      <c r="G766" s="642" t="s">
        <v>1386</v>
      </c>
      <c r="H766" s="641">
        <v>848640</v>
      </c>
      <c r="I766" s="642"/>
      <c r="J766" s="391"/>
    </row>
    <row r="767" spans="1:10" ht="12.75">
      <c r="A767" s="646">
        <f t="shared" si="96"/>
        <v>6</v>
      </c>
      <c r="B767" s="646" t="s">
        <v>1544</v>
      </c>
      <c r="C767" s="641">
        <v>300000</v>
      </c>
      <c r="D767" s="641">
        <v>100000</v>
      </c>
      <c r="E767" s="641">
        <v>100000</v>
      </c>
      <c r="F767" s="647">
        <f t="shared" si="95"/>
        <v>500000</v>
      </c>
      <c r="G767" s="642">
        <v>80000</v>
      </c>
      <c r="H767" s="641">
        <v>106080</v>
      </c>
      <c r="I767" s="642"/>
      <c r="J767" s="391"/>
    </row>
    <row r="768" spans="1:10" ht="12.75">
      <c r="A768" s="646">
        <f t="shared" si="96"/>
        <v>7</v>
      </c>
      <c r="B768" s="646" t="s">
        <v>897</v>
      </c>
      <c r="C768" s="641">
        <v>500000</v>
      </c>
      <c r="D768" s="641">
        <v>500000</v>
      </c>
      <c r="E768" s="641">
        <v>500000</v>
      </c>
      <c r="F768" s="647">
        <f t="shared" si="95"/>
        <v>1500000</v>
      </c>
      <c r="G768" s="641">
        <v>52000</v>
      </c>
      <c r="H768" s="641">
        <v>530400</v>
      </c>
      <c r="I768" s="642"/>
      <c r="J768" s="391"/>
    </row>
    <row r="769" spans="1:10" ht="12.75">
      <c r="A769" s="646">
        <f t="shared" si="96"/>
        <v>8</v>
      </c>
      <c r="B769" s="646" t="s">
        <v>1385</v>
      </c>
      <c r="C769" s="642" t="s">
        <v>1386</v>
      </c>
      <c r="D769" s="642" t="s">
        <v>1386</v>
      </c>
      <c r="E769" s="642" t="s">
        <v>1386</v>
      </c>
      <c r="F769" s="647">
        <f t="shared" si="95"/>
        <v>0</v>
      </c>
      <c r="G769" s="641">
        <v>154000</v>
      </c>
      <c r="H769" s="642" t="s">
        <v>1386</v>
      </c>
      <c r="I769" s="641"/>
      <c r="J769" s="391"/>
    </row>
    <row r="770" spans="1:10" ht="12.75">
      <c r="A770" s="646">
        <f t="shared" si="96"/>
        <v>9</v>
      </c>
      <c r="B770" s="646" t="s">
        <v>755</v>
      </c>
      <c r="C770" s="642" t="s">
        <v>1386</v>
      </c>
      <c r="D770" s="642" t="s">
        <v>1386</v>
      </c>
      <c r="E770" s="642" t="s">
        <v>1386</v>
      </c>
      <c r="F770" s="647">
        <f t="shared" si="95"/>
        <v>0</v>
      </c>
      <c r="G770" s="642" t="s">
        <v>1386</v>
      </c>
      <c r="H770" s="642" t="s">
        <v>1386</v>
      </c>
      <c r="I770" s="641"/>
      <c r="J770" s="391"/>
    </row>
    <row r="771" spans="1:10" ht="12.75">
      <c r="A771" s="646">
        <f t="shared" si="96"/>
        <v>10</v>
      </c>
      <c r="B771" s="646" t="s">
        <v>1680</v>
      </c>
      <c r="C771" s="641">
        <v>0</v>
      </c>
      <c r="D771" s="641">
        <v>0</v>
      </c>
      <c r="E771" s="641">
        <v>0</v>
      </c>
      <c r="F771" s="647">
        <f t="shared" si="95"/>
        <v>0</v>
      </c>
      <c r="G771" s="641" t="s">
        <v>1386</v>
      </c>
      <c r="H771" s="641">
        <v>0</v>
      </c>
      <c r="I771" s="642"/>
      <c r="J771" s="391"/>
    </row>
    <row r="772" spans="1:10" ht="12.75">
      <c r="A772" s="646">
        <f t="shared" si="96"/>
        <v>11</v>
      </c>
      <c r="B772" s="646" t="s">
        <v>1681</v>
      </c>
      <c r="C772" s="641">
        <v>100000</v>
      </c>
      <c r="D772" s="641">
        <v>100000</v>
      </c>
      <c r="E772" s="641">
        <v>100000</v>
      </c>
      <c r="F772" s="647">
        <f t="shared" si="95"/>
        <v>300000</v>
      </c>
      <c r="G772" s="641">
        <v>0</v>
      </c>
      <c r="H772" s="641">
        <v>106080</v>
      </c>
      <c r="I772" s="641"/>
      <c r="J772" s="391"/>
    </row>
    <row r="773" spans="1:10" ht="12.75">
      <c r="A773" s="646">
        <f>A772+1</f>
        <v>12</v>
      </c>
      <c r="B773" s="646" t="s">
        <v>1682</v>
      </c>
      <c r="C773" s="641">
        <v>800000</v>
      </c>
      <c r="D773" s="641">
        <v>800000</v>
      </c>
      <c r="E773" s="641">
        <v>800000</v>
      </c>
      <c r="F773" s="647">
        <f t="shared" si="95"/>
        <v>2400000</v>
      </c>
      <c r="G773" s="641">
        <v>24200</v>
      </c>
      <c r="H773" s="641">
        <v>848640</v>
      </c>
      <c r="I773" s="641"/>
      <c r="J773" s="391"/>
    </row>
    <row r="774" spans="1:10" ht="12.75">
      <c r="A774" s="646">
        <f>A773+1</f>
        <v>13</v>
      </c>
      <c r="B774" s="646" t="s">
        <v>2249</v>
      </c>
      <c r="C774" s="642">
        <v>100000</v>
      </c>
      <c r="D774" s="642" t="s">
        <v>1386</v>
      </c>
      <c r="E774" s="642" t="s">
        <v>1386</v>
      </c>
      <c r="F774" s="647">
        <f t="shared" si="95"/>
        <v>100000</v>
      </c>
      <c r="G774" s="641">
        <v>625500</v>
      </c>
      <c r="H774" s="642" t="s">
        <v>1386</v>
      </c>
      <c r="I774" s="641"/>
      <c r="J774" s="391"/>
    </row>
    <row r="775" spans="1:10" ht="12.75">
      <c r="A775" s="646">
        <f>A774+1</f>
        <v>14</v>
      </c>
      <c r="B775" s="646" t="s">
        <v>1683</v>
      </c>
      <c r="C775" s="642" t="s">
        <v>1386</v>
      </c>
      <c r="D775" s="642" t="s">
        <v>1386</v>
      </c>
      <c r="E775" s="642" t="s">
        <v>1386</v>
      </c>
      <c r="F775" s="647">
        <f t="shared" si="95"/>
        <v>0</v>
      </c>
      <c r="G775" s="641">
        <v>0</v>
      </c>
      <c r="H775" s="642" t="s">
        <v>1386</v>
      </c>
      <c r="I775" s="641"/>
      <c r="J775" s="391"/>
    </row>
    <row r="776" spans="1:10" ht="12.75">
      <c r="A776" s="646">
        <f>A775+1</f>
        <v>15</v>
      </c>
      <c r="B776" s="646" t="s">
        <v>379</v>
      </c>
      <c r="C776" s="641">
        <v>400000</v>
      </c>
      <c r="D776" s="641">
        <v>800000</v>
      </c>
      <c r="E776" s="641">
        <v>800000</v>
      </c>
      <c r="F776" s="647">
        <f t="shared" si="95"/>
        <v>2000000</v>
      </c>
      <c r="G776" s="641">
        <v>0</v>
      </c>
      <c r="H776" s="641">
        <f>848640-77280</f>
        <v>771360</v>
      </c>
      <c r="I776" s="641"/>
      <c r="J776" s="391"/>
    </row>
    <row r="777" spans="1:10" ht="12.75">
      <c r="A777" s="646">
        <f t="shared" si="96"/>
        <v>16</v>
      </c>
      <c r="B777" s="646" t="s">
        <v>837</v>
      </c>
      <c r="C777" s="642" t="s">
        <v>1386</v>
      </c>
      <c r="D777" s="642" t="s">
        <v>1386</v>
      </c>
      <c r="E777" s="642" t="s">
        <v>1386</v>
      </c>
      <c r="F777" s="647">
        <f t="shared" si="95"/>
        <v>0</v>
      </c>
      <c r="G777" s="641">
        <v>150550</v>
      </c>
      <c r="H777" s="642" t="s">
        <v>1386</v>
      </c>
      <c r="I777" s="641"/>
      <c r="J777" s="391"/>
    </row>
    <row r="778" spans="1:10" ht="12.75">
      <c r="A778" s="646">
        <f t="shared" si="96"/>
        <v>17</v>
      </c>
      <c r="B778" s="646" t="s">
        <v>3118</v>
      </c>
      <c r="C778" s="641">
        <v>200000</v>
      </c>
      <c r="D778" s="641">
        <v>200000</v>
      </c>
      <c r="E778" s="641">
        <v>200000</v>
      </c>
      <c r="F778" s="647">
        <f t="shared" si="95"/>
        <v>600000</v>
      </c>
      <c r="G778" s="641" t="s">
        <v>1386</v>
      </c>
      <c r="H778" s="641">
        <v>212160</v>
      </c>
      <c r="I778" s="641"/>
      <c r="J778" s="391"/>
    </row>
    <row r="779" spans="1:10" ht="12.75">
      <c r="A779" s="646">
        <f t="shared" si="96"/>
        <v>18</v>
      </c>
      <c r="B779" s="646" t="s">
        <v>260</v>
      </c>
      <c r="C779" s="642" t="s">
        <v>1386</v>
      </c>
      <c r="D779" s="642" t="s">
        <v>1386</v>
      </c>
      <c r="E779" s="642" t="s">
        <v>1386</v>
      </c>
      <c r="F779" s="647">
        <f t="shared" si="95"/>
        <v>0</v>
      </c>
      <c r="G779" s="641">
        <v>0</v>
      </c>
      <c r="H779" s="642" t="s">
        <v>1386</v>
      </c>
      <c r="I779" s="641"/>
      <c r="J779" s="391"/>
    </row>
    <row r="780" spans="1:10" ht="12.75">
      <c r="A780" s="646">
        <f t="shared" si="96"/>
        <v>19</v>
      </c>
      <c r="B780" s="646" t="s">
        <v>838</v>
      </c>
      <c r="C780" s="642" t="s">
        <v>1386</v>
      </c>
      <c r="D780" s="642" t="s">
        <v>1386</v>
      </c>
      <c r="E780" s="642" t="s">
        <v>1386</v>
      </c>
      <c r="F780" s="647">
        <f t="shared" si="95"/>
        <v>0</v>
      </c>
      <c r="G780" s="641" t="s">
        <v>1386</v>
      </c>
      <c r="H780" s="642" t="s">
        <v>1386</v>
      </c>
      <c r="I780" s="641"/>
      <c r="J780" s="391"/>
    </row>
    <row r="781" spans="1:10" ht="12.75">
      <c r="A781" s="646">
        <f t="shared" si="96"/>
        <v>20</v>
      </c>
      <c r="B781" s="646" t="s">
        <v>3119</v>
      </c>
      <c r="C781" s="641">
        <v>200000</v>
      </c>
      <c r="D781" s="641">
        <v>200000</v>
      </c>
      <c r="E781" s="641">
        <v>200000</v>
      </c>
      <c r="F781" s="647">
        <f t="shared" si="95"/>
        <v>600000</v>
      </c>
      <c r="G781" s="641">
        <v>70000</v>
      </c>
      <c r="H781" s="641">
        <v>200000</v>
      </c>
      <c r="I781" s="641"/>
      <c r="J781" s="391"/>
    </row>
    <row r="782" spans="1:10" ht="12.75">
      <c r="A782" s="646">
        <f t="shared" si="96"/>
        <v>21</v>
      </c>
      <c r="B782" s="646" t="s">
        <v>839</v>
      </c>
      <c r="C782" s="642" t="s">
        <v>1386</v>
      </c>
      <c r="D782" s="642" t="s">
        <v>1386</v>
      </c>
      <c r="E782" s="642" t="s">
        <v>1386</v>
      </c>
      <c r="F782" s="647">
        <f t="shared" si="95"/>
        <v>0</v>
      </c>
      <c r="G782" s="641">
        <v>0</v>
      </c>
      <c r="H782" s="642" t="s">
        <v>1386</v>
      </c>
      <c r="I782" s="641"/>
      <c r="J782" s="391"/>
    </row>
    <row r="783" spans="1:10" ht="12.75">
      <c r="A783" s="646">
        <f t="shared" si="96"/>
        <v>22</v>
      </c>
      <c r="B783" s="646" t="s">
        <v>673</v>
      </c>
      <c r="C783" s="642" t="s">
        <v>1386</v>
      </c>
      <c r="D783" s="642" t="s">
        <v>1386</v>
      </c>
      <c r="E783" s="642" t="s">
        <v>1386</v>
      </c>
      <c r="F783" s="647">
        <f t="shared" si="95"/>
        <v>0</v>
      </c>
      <c r="G783" s="641" t="s">
        <v>1386</v>
      </c>
      <c r="H783" s="642" t="s">
        <v>1386</v>
      </c>
      <c r="I783" s="641"/>
      <c r="J783" s="391"/>
    </row>
    <row r="784" spans="1:10" ht="12.75">
      <c r="A784" s="646">
        <f t="shared" si="96"/>
        <v>23</v>
      </c>
      <c r="B784" s="646" t="s">
        <v>674</v>
      </c>
      <c r="C784" s="642" t="s">
        <v>1386</v>
      </c>
      <c r="D784" s="642" t="s">
        <v>1386</v>
      </c>
      <c r="E784" s="642" t="s">
        <v>1386</v>
      </c>
      <c r="F784" s="647">
        <f t="shared" si="95"/>
        <v>0</v>
      </c>
      <c r="G784" s="641">
        <v>0</v>
      </c>
      <c r="H784" s="642" t="s">
        <v>1386</v>
      </c>
      <c r="I784" s="641"/>
      <c r="J784" s="391"/>
    </row>
    <row r="785" spans="1:11" ht="12.75">
      <c r="A785" s="646">
        <f t="shared" si="96"/>
        <v>24</v>
      </c>
      <c r="B785" s="646" t="s">
        <v>3120</v>
      </c>
      <c r="C785" s="642" t="s">
        <v>1386</v>
      </c>
      <c r="D785" s="642" t="s">
        <v>1386</v>
      </c>
      <c r="E785" s="642" t="s">
        <v>1386</v>
      </c>
      <c r="F785" s="647">
        <f t="shared" si="95"/>
        <v>0</v>
      </c>
      <c r="G785" s="641" t="s">
        <v>1386</v>
      </c>
      <c r="H785" s="642" t="s">
        <v>1386</v>
      </c>
      <c r="I785" s="641"/>
      <c r="J785" s="391"/>
    </row>
    <row r="786" spans="1:11" ht="12.75">
      <c r="A786" s="646">
        <f t="shared" si="96"/>
        <v>25</v>
      </c>
      <c r="B786" s="646" t="s">
        <v>3121</v>
      </c>
      <c r="C786" s="642" t="s">
        <v>1386</v>
      </c>
      <c r="D786" s="642" t="s">
        <v>1386</v>
      </c>
      <c r="E786" s="642" t="s">
        <v>1386</v>
      </c>
      <c r="F786" s="647">
        <f t="shared" si="95"/>
        <v>0</v>
      </c>
      <c r="G786" s="641">
        <v>0</v>
      </c>
      <c r="H786" s="642" t="s">
        <v>1386</v>
      </c>
      <c r="I786" s="641"/>
      <c r="J786" s="391"/>
    </row>
    <row r="787" spans="1:11" ht="12.75">
      <c r="A787" s="646">
        <f t="shared" si="96"/>
        <v>26</v>
      </c>
      <c r="B787" s="646" t="s">
        <v>675</v>
      </c>
      <c r="C787" s="642" t="s">
        <v>1386</v>
      </c>
      <c r="D787" s="642" t="s">
        <v>1386</v>
      </c>
      <c r="E787" s="642" t="s">
        <v>1386</v>
      </c>
      <c r="F787" s="647">
        <f t="shared" si="95"/>
        <v>0</v>
      </c>
      <c r="G787" s="641" t="s">
        <v>1386</v>
      </c>
      <c r="H787" s="642" t="s">
        <v>1386</v>
      </c>
      <c r="I787" s="641"/>
      <c r="J787" s="391"/>
    </row>
    <row r="788" spans="1:11" ht="12.75">
      <c r="A788" s="646">
        <f t="shared" si="96"/>
        <v>27</v>
      </c>
      <c r="B788" s="646" t="s">
        <v>514</v>
      </c>
      <c r="C788" s="642" t="s">
        <v>1386</v>
      </c>
      <c r="D788" s="642" t="s">
        <v>1386</v>
      </c>
      <c r="E788" s="642" t="s">
        <v>1386</v>
      </c>
      <c r="F788" s="647">
        <f t="shared" si="95"/>
        <v>0</v>
      </c>
      <c r="G788" s="641" t="s">
        <v>1386</v>
      </c>
      <c r="H788" s="642" t="s">
        <v>1386</v>
      </c>
      <c r="I788" s="641"/>
      <c r="J788" s="391"/>
    </row>
    <row r="789" spans="1:11" ht="12.75">
      <c r="A789" s="646"/>
      <c r="B789" s="646"/>
      <c r="C789" s="642"/>
      <c r="D789" s="642"/>
      <c r="E789" s="642"/>
      <c r="F789" s="647"/>
      <c r="G789" s="641">
        <v>0</v>
      </c>
      <c r="H789" s="642"/>
      <c r="I789" s="641"/>
      <c r="J789" s="391"/>
    </row>
    <row r="790" spans="1:11" ht="12.75">
      <c r="A790" s="646" t="s">
        <v>3122</v>
      </c>
      <c r="B790" s="651" t="s">
        <v>819</v>
      </c>
      <c r="C790" s="652">
        <f>SUM(C763:C788)</f>
        <v>4000000</v>
      </c>
      <c r="D790" s="652">
        <v>4472000</v>
      </c>
      <c r="E790" s="652">
        <v>4472000</v>
      </c>
      <c r="F790" s="652">
        <f>SUM(F763:F788)</f>
        <v>12600000</v>
      </c>
      <c r="G790" s="652">
        <f>SUM(G763:G788)</f>
        <v>1481250</v>
      </c>
      <c r="H790" s="652">
        <f>SUM(H763:H788)</f>
        <v>4472000</v>
      </c>
      <c r="I790" s="652">
        <f>SUM(I763:I788)</f>
        <v>0</v>
      </c>
      <c r="J790" s="391"/>
      <c r="K790" s="657">
        <f>4472000-H790</f>
        <v>0</v>
      </c>
    </row>
    <row r="791" spans="1:11" ht="12.75">
      <c r="A791" s="646"/>
      <c r="B791" s="651"/>
      <c r="C791" s="652"/>
      <c r="D791" s="652"/>
      <c r="E791" s="652"/>
      <c r="F791" s="652"/>
      <c r="G791" s="652"/>
      <c r="H791" s="652"/>
      <c r="I791" s="652"/>
      <c r="J791" s="391"/>
    </row>
    <row r="792" spans="1:11" ht="12.75">
      <c r="A792" s="653"/>
      <c r="B792" s="653" t="s">
        <v>1684</v>
      </c>
      <c r="C792" s="645">
        <f>+C790+C762</f>
        <v>20919084.600000001</v>
      </c>
      <c r="D792" s="645">
        <v>20696000</v>
      </c>
      <c r="E792" s="645">
        <v>20696000</v>
      </c>
      <c r="F792" s="645">
        <f>+F790+F762</f>
        <v>61967084.600000001</v>
      </c>
      <c r="G792" s="645">
        <f>+G790+G762</f>
        <v>8402611</v>
      </c>
      <c r="H792" s="645">
        <f>+H790+H762</f>
        <v>21572000</v>
      </c>
      <c r="I792" s="645" t="e">
        <f>+I790+I762</f>
        <v>#REF!</v>
      </c>
      <c r="J792" s="391"/>
    </row>
    <row r="793" spans="1:11" ht="12.75" customHeight="1">
      <c r="A793" s="391"/>
      <c r="B793" s="391"/>
      <c r="C793" s="647"/>
      <c r="D793" s="308" t="s">
        <v>5434</v>
      </c>
      <c r="E793" s="647"/>
      <c r="F793" s="647"/>
      <c r="H793" s="647"/>
      <c r="I793" s="391"/>
      <c r="J793" s="391"/>
    </row>
    <row r="794" spans="1:11" ht="12.75" customHeight="1">
      <c r="A794" s="655"/>
      <c r="B794" s="633"/>
      <c r="C794" s="655"/>
      <c r="D794" s="308" t="s">
        <v>716</v>
      </c>
      <c r="E794" s="655"/>
      <c r="F794" s="647"/>
      <c r="H794" s="655"/>
      <c r="I794" s="391"/>
      <c r="J794" s="391"/>
    </row>
    <row r="795" spans="1:11" ht="12.75" customHeight="1">
      <c r="A795" s="655"/>
      <c r="B795" s="633"/>
      <c r="C795" s="655"/>
      <c r="D795" s="308" t="s">
        <v>1029</v>
      </c>
      <c r="E795" s="655"/>
      <c r="F795" s="647"/>
      <c r="H795" s="655"/>
      <c r="I795" s="391"/>
      <c r="J795" s="391"/>
    </row>
    <row r="796" spans="1:11" ht="12.75" customHeight="1">
      <c r="A796" s="655"/>
      <c r="B796" s="655"/>
      <c r="C796" s="655"/>
      <c r="D796" s="307" t="s">
        <v>3123</v>
      </c>
      <c r="E796" s="655"/>
      <c r="F796" s="647"/>
      <c r="H796" s="655"/>
      <c r="I796" s="391"/>
      <c r="J796" s="391"/>
    </row>
    <row r="797" spans="1:11" ht="12.75" customHeight="1">
      <c r="A797" s="634" t="s">
        <v>1839</v>
      </c>
      <c r="B797" s="635" t="s">
        <v>903</v>
      </c>
      <c r="C797" s="1037" t="s">
        <v>4127</v>
      </c>
      <c r="D797" s="1038"/>
      <c r="E797" s="1039"/>
      <c r="F797" s="635" t="s">
        <v>1684</v>
      </c>
      <c r="G797" s="1037" t="s">
        <v>4132</v>
      </c>
      <c r="H797" s="1038"/>
      <c r="I797" s="1039"/>
      <c r="J797" s="391"/>
    </row>
    <row r="798" spans="1:11" ht="12.75" customHeight="1">
      <c r="A798" s="636" t="s">
        <v>1620</v>
      </c>
      <c r="B798" s="637"/>
      <c r="C798" s="635" t="s">
        <v>1841</v>
      </c>
      <c r="D798" s="635" t="s">
        <v>4133</v>
      </c>
      <c r="E798" s="635" t="s">
        <v>4133</v>
      </c>
      <c r="F798" s="1056" t="s">
        <v>4200</v>
      </c>
      <c r="G798" s="1051" t="s">
        <v>4201</v>
      </c>
      <c r="H798" s="635" t="s">
        <v>1841</v>
      </c>
      <c r="I798" s="634" t="s">
        <v>4135</v>
      </c>
      <c r="J798" s="391"/>
    </row>
    <row r="799" spans="1:11" ht="12.75" customHeight="1">
      <c r="A799" s="638" t="s">
        <v>387</v>
      </c>
      <c r="B799" s="639"/>
      <c r="C799" s="638">
        <v>2015</v>
      </c>
      <c r="D799" s="638">
        <v>2016</v>
      </c>
      <c r="E799" s="638">
        <v>2017</v>
      </c>
      <c r="F799" s="1057"/>
      <c r="G799" s="1052"/>
      <c r="H799" s="638">
        <v>2014</v>
      </c>
      <c r="I799" s="638" t="s">
        <v>4303</v>
      </c>
      <c r="J799" s="391"/>
    </row>
    <row r="800" spans="1:11" ht="12.75" customHeight="1">
      <c r="A800" s="646" t="s">
        <v>3124</v>
      </c>
      <c r="B800" s="646" t="s">
        <v>1693</v>
      </c>
      <c r="C800" s="641">
        <v>210411153.34999999</v>
      </c>
      <c r="D800" s="641">
        <v>241196800</v>
      </c>
      <c r="E800" s="641">
        <v>241196800</v>
      </c>
      <c r="F800" s="647">
        <f>SUM(C800:E800)</f>
        <v>692804753.35000002</v>
      </c>
      <c r="G800" s="641">
        <v>14976777</v>
      </c>
      <c r="H800" s="641">
        <v>211000000</v>
      </c>
      <c r="I800" s="641" t="e">
        <f>#REF!</f>
        <v>#REF!</v>
      </c>
      <c r="J800" s="391"/>
    </row>
    <row r="801" spans="1:10" ht="12.75" customHeight="1">
      <c r="A801" s="646"/>
      <c r="B801" s="646"/>
      <c r="C801" s="641"/>
      <c r="D801" s="641"/>
      <c r="E801" s="641"/>
      <c r="F801" s="647"/>
      <c r="G801" s="641"/>
      <c r="H801" s="641"/>
      <c r="I801" s="641"/>
      <c r="J801" s="391"/>
    </row>
    <row r="802" spans="1:10" ht="12.75" customHeight="1">
      <c r="A802" s="646">
        <v>2</v>
      </c>
      <c r="B802" s="646" t="s">
        <v>1695</v>
      </c>
      <c r="C802" s="641">
        <v>1500000</v>
      </c>
      <c r="D802" s="641">
        <v>1560000</v>
      </c>
      <c r="E802" s="641">
        <v>1560000</v>
      </c>
      <c r="F802" s="647">
        <f t="shared" ref="F802:F815" si="97">SUM(C802:E802)</f>
        <v>4620000</v>
      </c>
      <c r="G802" s="641"/>
      <c r="H802" s="641">
        <v>1591200</v>
      </c>
      <c r="I802" s="641">
        <v>0</v>
      </c>
      <c r="J802" s="391"/>
    </row>
    <row r="803" spans="1:10" ht="12.75" customHeight="1">
      <c r="A803" s="646">
        <f t="shared" ref="A803:A815" si="98">A802+1</f>
        <v>3</v>
      </c>
      <c r="B803" s="646" t="s">
        <v>1696</v>
      </c>
      <c r="C803" s="641" t="s">
        <v>1386</v>
      </c>
      <c r="D803" s="641">
        <v>0</v>
      </c>
      <c r="E803" s="641">
        <v>0</v>
      </c>
      <c r="F803" s="647">
        <f t="shared" si="97"/>
        <v>0</v>
      </c>
      <c r="G803" s="642"/>
      <c r="H803" s="641">
        <v>0</v>
      </c>
      <c r="I803" s="642" t="s">
        <v>1386</v>
      </c>
      <c r="J803" s="391"/>
    </row>
    <row r="804" spans="1:10" ht="12.75" customHeight="1">
      <c r="A804" s="646">
        <f t="shared" si="98"/>
        <v>4</v>
      </c>
      <c r="B804" s="646" t="s">
        <v>1701</v>
      </c>
      <c r="C804" s="641" t="s">
        <v>1386</v>
      </c>
      <c r="D804" s="641">
        <v>0</v>
      </c>
      <c r="E804" s="641">
        <v>0</v>
      </c>
      <c r="F804" s="647">
        <f t="shared" si="97"/>
        <v>0</v>
      </c>
      <c r="G804" s="642"/>
      <c r="H804" s="641">
        <v>0</v>
      </c>
      <c r="I804" s="642" t="s">
        <v>1386</v>
      </c>
      <c r="J804" s="391"/>
    </row>
    <row r="805" spans="1:10" ht="12.75" customHeight="1">
      <c r="A805" s="646">
        <f t="shared" si="98"/>
        <v>5</v>
      </c>
      <c r="B805" s="646" t="s">
        <v>1702</v>
      </c>
      <c r="C805" s="641">
        <v>1000000</v>
      </c>
      <c r="D805" s="641">
        <v>728000</v>
      </c>
      <c r="E805" s="641">
        <v>728000</v>
      </c>
      <c r="F805" s="647">
        <f t="shared" si="97"/>
        <v>2456000</v>
      </c>
      <c r="G805" s="641"/>
      <c r="H805" s="641">
        <v>742560</v>
      </c>
      <c r="I805" s="641">
        <v>180000</v>
      </c>
      <c r="J805" s="391"/>
    </row>
    <row r="806" spans="1:10" ht="12.75" customHeight="1">
      <c r="A806" s="646">
        <f t="shared" si="98"/>
        <v>6</v>
      </c>
      <c r="B806" s="646" t="s">
        <v>1544</v>
      </c>
      <c r="C806" s="641">
        <v>1000000</v>
      </c>
      <c r="D806" s="641">
        <v>832000</v>
      </c>
      <c r="E806" s="641">
        <v>832000</v>
      </c>
      <c r="F806" s="647">
        <f t="shared" si="97"/>
        <v>2664000</v>
      </c>
      <c r="G806" s="641"/>
      <c r="H806" s="641">
        <v>848640</v>
      </c>
      <c r="I806" s="641">
        <v>697706</v>
      </c>
      <c r="J806" s="391"/>
    </row>
    <row r="807" spans="1:10" ht="12.75" customHeight="1">
      <c r="A807" s="646">
        <f t="shared" si="98"/>
        <v>7</v>
      </c>
      <c r="B807" s="646" t="s">
        <v>897</v>
      </c>
      <c r="C807" s="641">
        <v>1000000</v>
      </c>
      <c r="D807" s="641">
        <v>1040000</v>
      </c>
      <c r="E807" s="641">
        <v>1040000</v>
      </c>
      <c r="F807" s="647">
        <f t="shared" si="97"/>
        <v>3080000</v>
      </c>
      <c r="G807" s="641"/>
      <c r="H807" s="641">
        <v>1060800</v>
      </c>
      <c r="I807" s="641">
        <v>0</v>
      </c>
      <c r="J807" s="391"/>
    </row>
    <row r="808" spans="1:10" ht="12.75" customHeight="1">
      <c r="A808" s="646">
        <f t="shared" si="98"/>
        <v>8</v>
      </c>
      <c r="B808" s="646" t="s">
        <v>1385</v>
      </c>
      <c r="C808" s="641" t="s">
        <v>1386</v>
      </c>
      <c r="D808" s="641">
        <v>0</v>
      </c>
      <c r="E808" s="641">
        <v>0</v>
      </c>
      <c r="F808" s="647">
        <f t="shared" si="97"/>
        <v>0</v>
      </c>
      <c r="G808" s="642"/>
      <c r="H808" s="641">
        <v>0</v>
      </c>
      <c r="I808" s="642" t="s">
        <v>1386</v>
      </c>
      <c r="J808" s="391"/>
    </row>
    <row r="809" spans="1:10" ht="12.75" customHeight="1">
      <c r="A809" s="646">
        <f t="shared" si="98"/>
        <v>9</v>
      </c>
      <c r="B809" s="646" t="s">
        <v>2061</v>
      </c>
      <c r="C809" s="641" t="s">
        <v>1386</v>
      </c>
      <c r="D809" s="641">
        <v>0</v>
      </c>
      <c r="E809" s="641">
        <v>0</v>
      </c>
      <c r="F809" s="647">
        <f t="shared" si="97"/>
        <v>0</v>
      </c>
      <c r="G809" s="642"/>
      <c r="H809" s="641">
        <v>0</v>
      </c>
      <c r="I809" s="642" t="s">
        <v>1386</v>
      </c>
      <c r="J809" s="391"/>
    </row>
    <row r="810" spans="1:10" ht="12.75" customHeight="1">
      <c r="A810" s="646">
        <f t="shared" si="98"/>
        <v>10</v>
      </c>
      <c r="B810" s="646" t="s">
        <v>1680</v>
      </c>
      <c r="C810" s="641">
        <v>500000</v>
      </c>
      <c r="D810" s="641">
        <v>800000</v>
      </c>
      <c r="E810" s="641">
        <v>800000</v>
      </c>
      <c r="F810" s="647">
        <f t="shared" si="97"/>
        <v>2100000</v>
      </c>
      <c r="G810" s="642"/>
      <c r="H810" s="641">
        <v>848640</v>
      </c>
      <c r="I810" s="642">
        <v>30000</v>
      </c>
      <c r="J810" s="391"/>
    </row>
    <row r="811" spans="1:10" ht="12.75" customHeight="1">
      <c r="A811" s="646">
        <f t="shared" si="98"/>
        <v>11</v>
      </c>
      <c r="B811" s="646" t="s">
        <v>1681</v>
      </c>
      <c r="C811" s="641">
        <v>100000</v>
      </c>
      <c r="D811" s="641">
        <v>100000</v>
      </c>
      <c r="E811" s="641">
        <v>100000</v>
      </c>
      <c r="F811" s="647">
        <f t="shared" si="97"/>
        <v>300000</v>
      </c>
      <c r="G811" s="641"/>
      <c r="H811" s="641">
        <v>106080</v>
      </c>
      <c r="I811" s="641">
        <v>910000</v>
      </c>
      <c r="J811" s="391"/>
    </row>
    <row r="812" spans="1:10" ht="12.75" customHeight="1">
      <c r="A812" s="646">
        <f t="shared" si="98"/>
        <v>12</v>
      </c>
      <c r="B812" s="646" t="s">
        <v>1682</v>
      </c>
      <c r="C812" s="641">
        <v>2000000</v>
      </c>
      <c r="D812" s="641">
        <v>1500000</v>
      </c>
      <c r="E812" s="641">
        <v>1500000</v>
      </c>
      <c r="F812" s="647">
        <f t="shared" si="97"/>
        <v>5000000</v>
      </c>
      <c r="G812" s="641">
        <v>295000</v>
      </c>
      <c r="H812" s="641">
        <v>1272200</v>
      </c>
      <c r="I812" s="641">
        <v>0</v>
      </c>
      <c r="J812" s="391"/>
    </row>
    <row r="813" spans="1:10" ht="12.75" customHeight="1">
      <c r="A813" s="646">
        <f t="shared" si="98"/>
        <v>13</v>
      </c>
      <c r="B813" s="646" t="s">
        <v>2249</v>
      </c>
      <c r="C813" s="641">
        <v>100000</v>
      </c>
      <c r="D813" s="641">
        <v>100000</v>
      </c>
      <c r="E813" s="641">
        <v>100000</v>
      </c>
      <c r="F813" s="647">
        <f t="shared" si="97"/>
        <v>300000</v>
      </c>
      <c r="G813" s="641"/>
      <c r="H813" s="641">
        <v>106080</v>
      </c>
      <c r="I813" s="641">
        <v>609400</v>
      </c>
      <c r="J813" s="391"/>
    </row>
    <row r="814" spans="1:10" ht="12.75" customHeight="1">
      <c r="A814" s="646">
        <f t="shared" si="98"/>
        <v>14</v>
      </c>
      <c r="B814" s="646" t="s">
        <v>3548</v>
      </c>
      <c r="C814" s="641">
        <v>3300000</v>
      </c>
      <c r="D814" s="641">
        <v>2080000</v>
      </c>
      <c r="E814" s="641">
        <v>2080000</v>
      </c>
      <c r="F814" s="647">
        <f t="shared" si="97"/>
        <v>7460000</v>
      </c>
      <c r="G814" s="642">
        <v>180000</v>
      </c>
      <c r="H814" s="641">
        <v>2021600</v>
      </c>
      <c r="I814" s="642">
        <v>115000</v>
      </c>
      <c r="J814" s="391"/>
    </row>
    <row r="815" spans="1:10" ht="12.75" customHeight="1">
      <c r="A815" s="646">
        <f t="shared" si="98"/>
        <v>15</v>
      </c>
      <c r="B815" s="646" t="s">
        <v>3125</v>
      </c>
      <c r="C815" s="641">
        <v>1500000</v>
      </c>
      <c r="D815" s="641">
        <v>1560000</v>
      </c>
      <c r="E815" s="641">
        <v>1560000</v>
      </c>
      <c r="F815" s="647">
        <f t="shared" si="97"/>
        <v>4620000</v>
      </c>
      <c r="G815" s="641"/>
      <c r="H815" s="641">
        <v>1490200</v>
      </c>
      <c r="I815" s="641">
        <v>0</v>
      </c>
      <c r="J815" s="391"/>
    </row>
    <row r="816" spans="1:10" ht="12.75" customHeight="1">
      <c r="A816" s="646"/>
      <c r="B816" s="646"/>
      <c r="C816" s="642"/>
      <c r="D816" s="642"/>
      <c r="E816" s="642"/>
      <c r="F816" s="647"/>
      <c r="G816" s="642"/>
      <c r="H816" s="642"/>
      <c r="I816" s="641">
        <v>0</v>
      </c>
      <c r="J816" s="391"/>
    </row>
    <row r="817" spans="1:10" ht="12.75" customHeight="1">
      <c r="A817" s="646" t="s">
        <v>3126</v>
      </c>
      <c r="B817" s="651" t="s">
        <v>819</v>
      </c>
      <c r="C817" s="652">
        <f t="shared" ref="C817:I817" si="99">SUM(C802:C816)</f>
        <v>12000000</v>
      </c>
      <c r="D817" s="652">
        <f t="shared" si="99"/>
        <v>10300000</v>
      </c>
      <c r="E817" s="652">
        <f t="shared" si="99"/>
        <v>10300000</v>
      </c>
      <c r="F817" s="652">
        <f t="shared" si="99"/>
        <v>32600000</v>
      </c>
      <c r="G817" s="652">
        <f t="shared" si="99"/>
        <v>475000</v>
      </c>
      <c r="H817" s="652">
        <f>SUM(H802:H816)</f>
        <v>10088000</v>
      </c>
      <c r="I817" s="652">
        <f t="shared" si="99"/>
        <v>2542106</v>
      </c>
      <c r="J817" s="391"/>
    </row>
    <row r="818" spans="1:10" ht="12.75" customHeight="1">
      <c r="A818" s="646"/>
      <c r="B818" s="646"/>
      <c r="C818" s="641"/>
      <c r="D818" s="641"/>
      <c r="E818" s="641"/>
      <c r="F818" s="641"/>
      <c r="G818" s="641"/>
      <c r="H818" s="641"/>
      <c r="I818" s="641"/>
      <c r="J818" s="391"/>
    </row>
    <row r="819" spans="1:10" ht="12.75" customHeight="1">
      <c r="A819" s="653"/>
      <c r="B819" s="653" t="s">
        <v>1684</v>
      </c>
      <c r="C819" s="645">
        <f t="shared" ref="C819:I819" si="100">+C817+C800</f>
        <v>222411153.34999999</v>
      </c>
      <c r="D819" s="645">
        <f t="shared" si="100"/>
        <v>251496800</v>
      </c>
      <c r="E819" s="645">
        <f t="shared" si="100"/>
        <v>251496800</v>
      </c>
      <c r="F819" s="645">
        <f t="shared" si="100"/>
        <v>725404753.35000002</v>
      </c>
      <c r="G819" s="645">
        <f t="shared" si="100"/>
        <v>15451777</v>
      </c>
      <c r="H819" s="645">
        <f>+H817+H800</f>
        <v>221088000</v>
      </c>
      <c r="I819" s="645" t="e">
        <f t="shared" si="100"/>
        <v>#REF!</v>
      </c>
      <c r="J819" s="391"/>
    </row>
    <row r="820" spans="1:10" ht="12.75" customHeight="1">
      <c r="A820" s="391"/>
      <c r="B820" s="391"/>
      <c r="C820" s="647"/>
      <c r="D820" s="647"/>
      <c r="E820" s="647"/>
      <c r="F820" s="647"/>
      <c r="G820" s="647"/>
      <c r="H820" s="647"/>
      <c r="I820" s="391"/>
      <c r="J820" s="391"/>
    </row>
    <row r="821" spans="1:10" ht="12.75" customHeight="1">
      <c r="A821" s="391"/>
      <c r="B821" s="391"/>
      <c r="C821" s="647"/>
      <c r="D821" s="308" t="s">
        <v>5434</v>
      </c>
      <c r="E821" s="647"/>
      <c r="F821" s="647"/>
      <c r="H821" s="647"/>
      <c r="I821" s="391"/>
      <c r="J821" s="391"/>
    </row>
    <row r="822" spans="1:10" ht="12.75" customHeight="1">
      <c r="A822" s="655"/>
      <c r="B822" s="633"/>
      <c r="C822" s="655"/>
      <c r="D822" s="308" t="s">
        <v>716</v>
      </c>
      <c r="E822" s="655"/>
      <c r="F822" s="647"/>
      <c r="H822" s="655"/>
      <c r="I822" s="391"/>
      <c r="J822" s="391"/>
    </row>
    <row r="823" spans="1:10" ht="12.75" customHeight="1">
      <c r="A823" s="655"/>
      <c r="B823" s="633"/>
      <c r="C823" s="655"/>
      <c r="D823" s="308" t="s">
        <v>3127</v>
      </c>
      <c r="E823" s="655"/>
      <c r="F823" s="647"/>
      <c r="H823" s="655"/>
      <c r="I823" s="391"/>
      <c r="J823" s="391"/>
    </row>
    <row r="824" spans="1:10" ht="12.75" customHeight="1">
      <c r="A824" s="655"/>
      <c r="B824" s="655"/>
      <c r="C824" s="655"/>
      <c r="D824" s="307" t="s">
        <v>3128</v>
      </c>
      <c r="E824" s="655"/>
      <c r="F824" s="647"/>
      <c r="H824" s="655"/>
      <c r="I824" s="391"/>
      <c r="J824" s="391"/>
    </row>
    <row r="825" spans="1:10" ht="12.75" customHeight="1">
      <c r="A825" s="634" t="s">
        <v>1839</v>
      </c>
      <c r="B825" s="635" t="s">
        <v>903</v>
      </c>
      <c r="C825" s="1037" t="s">
        <v>4127</v>
      </c>
      <c r="D825" s="1038"/>
      <c r="E825" s="1039"/>
      <c r="F825" s="635" t="s">
        <v>1684</v>
      </c>
      <c r="G825" s="1037" t="s">
        <v>4132</v>
      </c>
      <c r="H825" s="1038"/>
      <c r="I825" s="1039"/>
      <c r="J825" s="391"/>
    </row>
    <row r="826" spans="1:10" ht="12.75" customHeight="1">
      <c r="A826" s="636" t="s">
        <v>1620</v>
      </c>
      <c r="B826" s="637"/>
      <c r="C826" s="635" t="s">
        <v>1841</v>
      </c>
      <c r="D826" s="635" t="s">
        <v>4133</v>
      </c>
      <c r="E826" s="635" t="s">
        <v>4133</v>
      </c>
      <c r="F826" s="1056" t="s">
        <v>4200</v>
      </c>
      <c r="G826" s="1051" t="s">
        <v>4201</v>
      </c>
      <c r="H826" s="635" t="s">
        <v>1841</v>
      </c>
      <c r="I826" s="634" t="s">
        <v>4135</v>
      </c>
      <c r="J826" s="391"/>
    </row>
    <row r="827" spans="1:10" ht="12.75" customHeight="1">
      <c r="A827" s="638" t="s">
        <v>387</v>
      </c>
      <c r="B827" s="639"/>
      <c r="C827" s="638">
        <v>2015</v>
      </c>
      <c r="D827" s="638">
        <v>2016</v>
      </c>
      <c r="E827" s="638">
        <v>2017</v>
      </c>
      <c r="F827" s="1057"/>
      <c r="G827" s="1052"/>
      <c r="H827" s="638">
        <v>2014</v>
      </c>
      <c r="I827" s="638" t="s">
        <v>4303</v>
      </c>
      <c r="J827" s="391"/>
    </row>
    <row r="828" spans="1:10" ht="12.75" customHeight="1">
      <c r="A828" s="646" t="s">
        <v>3129</v>
      </c>
      <c r="B828" s="646" t="s">
        <v>1693</v>
      </c>
      <c r="C828" s="641">
        <v>20555596</v>
      </c>
      <c r="D828" s="641">
        <v>23795200</v>
      </c>
      <c r="E828" s="641">
        <v>23795200</v>
      </c>
      <c r="F828" s="647">
        <f>SUM(C828:E828)</f>
        <v>68145996</v>
      </c>
      <c r="G828" s="668">
        <v>15294604</v>
      </c>
      <c r="H828" s="641">
        <v>23795200</v>
      </c>
      <c r="I828" s="668" t="e">
        <f>#REF!</f>
        <v>#REF!</v>
      </c>
      <c r="J828" s="391"/>
    </row>
    <row r="829" spans="1:10" ht="12.75" customHeight="1">
      <c r="A829" s="646"/>
      <c r="B829" s="646"/>
      <c r="C829" s="641"/>
      <c r="D829" s="641"/>
      <c r="E829" s="641"/>
      <c r="F829" s="647"/>
      <c r="G829" s="641"/>
      <c r="H829" s="641"/>
      <c r="I829" s="641"/>
      <c r="J829" s="391"/>
    </row>
    <row r="830" spans="1:10" ht="12.75" customHeight="1">
      <c r="A830" s="646">
        <v>2</v>
      </c>
      <c r="B830" s="646" t="s">
        <v>1695</v>
      </c>
      <c r="C830" s="641">
        <v>500000</v>
      </c>
      <c r="D830" s="641">
        <v>1040000</v>
      </c>
      <c r="E830" s="641">
        <v>1040000</v>
      </c>
      <c r="F830" s="647">
        <f t="shared" ref="F830:F847" si="101">SUM(C830:E830)</f>
        <v>2580000</v>
      </c>
      <c r="G830" s="641">
        <v>92000</v>
      </c>
      <c r="H830" s="641">
        <v>1060800</v>
      </c>
      <c r="I830" s="641">
        <v>32000</v>
      </c>
      <c r="J830" s="391"/>
    </row>
    <row r="831" spans="1:10" ht="12.75" customHeight="1">
      <c r="A831" s="646">
        <f t="shared" ref="A831:A847" si="102">A830+1</f>
        <v>3</v>
      </c>
      <c r="B831" s="646" t="s">
        <v>1696</v>
      </c>
      <c r="C831" s="642" t="s">
        <v>1386</v>
      </c>
      <c r="D831" s="641">
        <v>104000</v>
      </c>
      <c r="E831" s="641">
        <v>104000</v>
      </c>
      <c r="F831" s="647">
        <f t="shared" si="101"/>
        <v>208000</v>
      </c>
      <c r="G831" s="641">
        <v>80000</v>
      </c>
      <c r="H831" s="641">
        <v>106080</v>
      </c>
      <c r="I831" s="641">
        <v>30000</v>
      </c>
      <c r="J831" s="391"/>
    </row>
    <row r="832" spans="1:10" ht="12.75" customHeight="1">
      <c r="A832" s="646">
        <f t="shared" si="102"/>
        <v>4</v>
      </c>
      <c r="B832" s="646" t="s">
        <v>1701</v>
      </c>
      <c r="C832" s="642" t="s">
        <v>1386</v>
      </c>
      <c r="D832" s="642" t="s">
        <v>1386</v>
      </c>
      <c r="E832" s="642" t="s">
        <v>1386</v>
      </c>
      <c r="F832" s="647">
        <f t="shared" si="101"/>
        <v>0</v>
      </c>
      <c r="G832" s="641">
        <v>0</v>
      </c>
      <c r="H832" s="642" t="s">
        <v>1386</v>
      </c>
      <c r="I832" s="641" t="s">
        <v>1386</v>
      </c>
      <c r="J832" s="391"/>
    </row>
    <row r="833" spans="1:10" ht="12.75" customHeight="1">
      <c r="A833" s="646">
        <f t="shared" si="102"/>
        <v>5</v>
      </c>
      <c r="B833" s="646" t="s">
        <v>1702</v>
      </c>
      <c r="C833" s="641">
        <v>200000</v>
      </c>
      <c r="D833" s="641">
        <v>208000</v>
      </c>
      <c r="E833" s="641">
        <v>208000</v>
      </c>
      <c r="F833" s="647">
        <f t="shared" si="101"/>
        <v>616000</v>
      </c>
      <c r="G833" s="641">
        <v>35000</v>
      </c>
      <c r="H833" s="641">
        <v>212160</v>
      </c>
      <c r="I833" s="641">
        <v>40000</v>
      </c>
      <c r="J833" s="391"/>
    </row>
    <row r="834" spans="1:10" ht="12.75" customHeight="1">
      <c r="A834" s="646">
        <f t="shared" si="102"/>
        <v>6</v>
      </c>
      <c r="B834" s="646" t="s">
        <v>1544</v>
      </c>
      <c r="C834" s="641">
        <v>200000</v>
      </c>
      <c r="D834" s="641">
        <v>208000</v>
      </c>
      <c r="E834" s="641">
        <v>208000</v>
      </c>
      <c r="F834" s="647">
        <f t="shared" si="101"/>
        <v>616000</v>
      </c>
      <c r="G834" s="641">
        <v>140000</v>
      </c>
      <c r="H834" s="641">
        <v>212160</v>
      </c>
      <c r="I834" s="641">
        <v>25000</v>
      </c>
      <c r="J834" s="391"/>
    </row>
    <row r="835" spans="1:10" ht="12.75" customHeight="1">
      <c r="A835" s="646">
        <f t="shared" si="102"/>
        <v>7</v>
      </c>
      <c r="B835" s="646" t="s">
        <v>897</v>
      </c>
      <c r="C835" s="641">
        <v>250000</v>
      </c>
      <c r="D835" s="641">
        <v>312000</v>
      </c>
      <c r="E835" s="641">
        <v>312000</v>
      </c>
      <c r="F835" s="647">
        <f t="shared" si="101"/>
        <v>874000</v>
      </c>
      <c r="G835" s="641">
        <v>75000</v>
      </c>
      <c r="H835" s="641">
        <v>318240</v>
      </c>
      <c r="I835" s="641">
        <v>0</v>
      </c>
      <c r="J835" s="391"/>
    </row>
    <row r="836" spans="1:10" ht="12.75" customHeight="1">
      <c r="A836" s="646">
        <f t="shared" si="102"/>
        <v>8</v>
      </c>
      <c r="B836" s="646" t="s">
        <v>1385</v>
      </c>
      <c r="C836" s="642" t="s">
        <v>1386</v>
      </c>
      <c r="D836" s="642" t="s">
        <v>1386</v>
      </c>
      <c r="E836" s="642" t="s">
        <v>1386</v>
      </c>
      <c r="F836" s="647">
        <f t="shared" si="101"/>
        <v>0</v>
      </c>
      <c r="G836" s="641">
        <v>0</v>
      </c>
      <c r="H836" s="642" t="s">
        <v>1386</v>
      </c>
      <c r="I836" s="641" t="s">
        <v>1386</v>
      </c>
      <c r="J836" s="391"/>
    </row>
    <row r="837" spans="1:10" ht="12.75" customHeight="1">
      <c r="A837" s="646">
        <f t="shared" si="102"/>
        <v>9</v>
      </c>
      <c r="B837" s="646" t="s">
        <v>2061</v>
      </c>
      <c r="C837" s="642" t="s">
        <v>1386</v>
      </c>
      <c r="D837" s="642" t="s">
        <v>1386</v>
      </c>
      <c r="E837" s="642" t="s">
        <v>1386</v>
      </c>
      <c r="F837" s="647">
        <f t="shared" si="101"/>
        <v>0</v>
      </c>
      <c r="G837" s="641">
        <v>0</v>
      </c>
      <c r="H837" s="642" t="s">
        <v>1386</v>
      </c>
      <c r="I837" s="641" t="s">
        <v>1386</v>
      </c>
      <c r="J837" s="391"/>
    </row>
    <row r="838" spans="1:10" ht="12.75" customHeight="1">
      <c r="A838" s="646">
        <f t="shared" si="102"/>
        <v>10</v>
      </c>
      <c r="B838" s="646" t="s">
        <v>1680</v>
      </c>
      <c r="C838" s="641">
        <v>150000</v>
      </c>
      <c r="D838" s="641">
        <v>208000</v>
      </c>
      <c r="E838" s="641">
        <v>208000</v>
      </c>
      <c r="F838" s="647">
        <f t="shared" si="101"/>
        <v>566000</v>
      </c>
      <c r="G838" s="641">
        <v>0</v>
      </c>
      <c r="H838" s="641">
        <v>212160</v>
      </c>
      <c r="I838" s="641">
        <v>100000</v>
      </c>
      <c r="J838" s="391"/>
    </row>
    <row r="839" spans="1:10" ht="12.75" customHeight="1">
      <c r="A839" s="646">
        <f t="shared" si="102"/>
        <v>11</v>
      </c>
      <c r="B839" s="646" t="s">
        <v>1681</v>
      </c>
      <c r="C839" s="641">
        <v>100000</v>
      </c>
      <c r="D839" s="641">
        <v>104000</v>
      </c>
      <c r="E839" s="641">
        <v>104000</v>
      </c>
      <c r="F839" s="647">
        <f t="shared" si="101"/>
        <v>308000</v>
      </c>
      <c r="G839" s="641">
        <v>0</v>
      </c>
      <c r="H839" s="641">
        <v>106080</v>
      </c>
      <c r="I839" s="641">
        <v>22000</v>
      </c>
      <c r="J839" s="391"/>
    </row>
    <row r="840" spans="1:10" ht="12.75" customHeight="1">
      <c r="A840" s="646">
        <f t="shared" si="102"/>
        <v>12</v>
      </c>
      <c r="B840" s="646" t="s">
        <v>1682</v>
      </c>
      <c r="C840" s="641">
        <v>800000</v>
      </c>
      <c r="D840" s="641">
        <v>832000</v>
      </c>
      <c r="E840" s="641">
        <v>832000</v>
      </c>
      <c r="F840" s="647">
        <f t="shared" si="101"/>
        <v>2464000</v>
      </c>
      <c r="G840" s="648">
        <v>498815</v>
      </c>
      <c r="H840" s="641">
        <f>848640-83200</f>
        <v>765440</v>
      </c>
      <c r="I840" s="648">
        <v>218365</v>
      </c>
      <c r="J840" s="391"/>
    </row>
    <row r="841" spans="1:10" ht="12.75" customHeight="1">
      <c r="A841" s="646">
        <f t="shared" si="102"/>
        <v>13</v>
      </c>
      <c r="B841" s="646" t="s">
        <v>2249</v>
      </c>
      <c r="C841" s="641">
        <v>100000</v>
      </c>
      <c r="D841" s="641">
        <v>104000</v>
      </c>
      <c r="E841" s="641">
        <v>104000</v>
      </c>
      <c r="F841" s="647">
        <f t="shared" si="101"/>
        <v>308000</v>
      </c>
      <c r="G841" s="641">
        <v>0</v>
      </c>
      <c r="H841" s="641">
        <v>106080</v>
      </c>
      <c r="I841" s="641">
        <v>0</v>
      </c>
      <c r="J841" s="391"/>
    </row>
    <row r="842" spans="1:10" ht="12.75" customHeight="1">
      <c r="A842" s="646">
        <f t="shared" si="102"/>
        <v>14</v>
      </c>
      <c r="B842" s="646" t="s">
        <v>1717</v>
      </c>
      <c r="C842" s="641">
        <v>350000</v>
      </c>
      <c r="D842" s="641">
        <v>208000</v>
      </c>
      <c r="E842" s="641">
        <v>208000</v>
      </c>
      <c r="F842" s="647">
        <f t="shared" si="101"/>
        <v>766000</v>
      </c>
      <c r="G842" s="641">
        <v>40000</v>
      </c>
      <c r="H842" s="641">
        <v>212160</v>
      </c>
      <c r="I842" s="641">
        <v>0</v>
      </c>
      <c r="J842" s="391"/>
    </row>
    <row r="843" spans="1:10" ht="12.75" customHeight="1">
      <c r="A843" s="646">
        <f t="shared" si="102"/>
        <v>15</v>
      </c>
      <c r="B843" s="646" t="s">
        <v>515</v>
      </c>
      <c r="C843" s="641">
        <v>550000</v>
      </c>
      <c r="D843" s="641">
        <v>104000</v>
      </c>
      <c r="E843" s="641">
        <v>104000</v>
      </c>
      <c r="F843" s="647">
        <f t="shared" si="101"/>
        <v>758000</v>
      </c>
      <c r="G843" s="641">
        <v>92000</v>
      </c>
      <c r="H843" s="641">
        <v>106080</v>
      </c>
      <c r="I843" s="641">
        <v>40000</v>
      </c>
      <c r="J843" s="391"/>
    </row>
    <row r="844" spans="1:10" ht="12.75" customHeight="1">
      <c r="A844" s="646">
        <f t="shared" si="102"/>
        <v>16</v>
      </c>
      <c r="B844" s="646" t="s">
        <v>3800</v>
      </c>
      <c r="C844" s="641">
        <v>100000</v>
      </c>
      <c r="D844" s="641">
        <v>104000</v>
      </c>
      <c r="E844" s="641">
        <v>104000</v>
      </c>
      <c r="F844" s="647">
        <f t="shared" si="101"/>
        <v>308000</v>
      </c>
      <c r="G844" s="641">
        <v>65000</v>
      </c>
      <c r="H844" s="641">
        <v>106080</v>
      </c>
      <c r="I844" s="641">
        <v>40000</v>
      </c>
      <c r="J844" s="391"/>
    </row>
    <row r="845" spans="1:10" ht="12.75" customHeight="1">
      <c r="A845" s="646">
        <f t="shared" si="102"/>
        <v>17</v>
      </c>
      <c r="B845" s="646" t="s">
        <v>516</v>
      </c>
      <c r="C845" s="641">
        <v>300000</v>
      </c>
      <c r="D845" s="641">
        <v>312000</v>
      </c>
      <c r="E845" s="641">
        <v>312000</v>
      </c>
      <c r="F845" s="647">
        <f t="shared" si="101"/>
        <v>924000</v>
      </c>
      <c r="G845" s="641">
        <v>64800</v>
      </c>
      <c r="H845" s="641">
        <v>318240</v>
      </c>
      <c r="I845" s="641">
        <v>0</v>
      </c>
      <c r="J845" s="391"/>
    </row>
    <row r="846" spans="1:10" ht="12.75" customHeight="1">
      <c r="A846" s="646">
        <f t="shared" si="102"/>
        <v>18</v>
      </c>
      <c r="B846" s="646" t="s">
        <v>517</v>
      </c>
      <c r="C846" s="641">
        <v>300000</v>
      </c>
      <c r="D846" s="641">
        <v>208000</v>
      </c>
      <c r="E846" s="641">
        <v>208000</v>
      </c>
      <c r="F846" s="647">
        <f t="shared" si="101"/>
        <v>716000</v>
      </c>
      <c r="G846" s="641">
        <v>48000</v>
      </c>
      <c r="H846" s="641">
        <v>212160</v>
      </c>
      <c r="I846" s="641">
        <v>27000</v>
      </c>
      <c r="J846" s="391"/>
    </row>
    <row r="847" spans="1:10" ht="12.75" customHeight="1">
      <c r="A847" s="646">
        <f t="shared" si="102"/>
        <v>19</v>
      </c>
      <c r="B847" s="646" t="s">
        <v>1037</v>
      </c>
      <c r="C847" s="641">
        <v>100000</v>
      </c>
      <c r="D847" s="641">
        <v>104000</v>
      </c>
      <c r="E847" s="641">
        <v>104000</v>
      </c>
      <c r="F847" s="647">
        <f t="shared" si="101"/>
        <v>308000</v>
      </c>
      <c r="G847" s="641">
        <v>0</v>
      </c>
      <c r="H847" s="641">
        <v>106080</v>
      </c>
      <c r="I847" s="641">
        <v>25000</v>
      </c>
      <c r="J847" s="391"/>
    </row>
    <row r="848" spans="1:10" ht="12.75" customHeight="1">
      <c r="A848" s="646"/>
      <c r="B848" s="646"/>
      <c r="C848" s="641"/>
      <c r="D848" s="641"/>
      <c r="E848" s="641"/>
      <c r="F848" s="647"/>
      <c r="G848" s="642"/>
      <c r="H848" s="641"/>
      <c r="I848" s="641"/>
      <c r="J848" s="391"/>
    </row>
    <row r="849" spans="1:11" ht="12.75" customHeight="1">
      <c r="A849" s="646" t="s">
        <v>3130</v>
      </c>
      <c r="B849" s="651" t="s">
        <v>819</v>
      </c>
      <c r="C849" s="652">
        <f t="shared" ref="C849:I849" si="103">SUM(C830:C848)</f>
        <v>4000000</v>
      </c>
      <c r="D849" s="652">
        <f t="shared" si="103"/>
        <v>4160000</v>
      </c>
      <c r="E849" s="652">
        <f t="shared" si="103"/>
        <v>4160000</v>
      </c>
      <c r="F849" s="652">
        <f t="shared" si="103"/>
        <v>12320000</v>
      </c>
      <c r="G849" s="652">
        <f t="shared" si="103"/>
        <v>1230615</v>
      </c>
      <c r="H849" s="652">
        <f>SUM(H830:H848)</f>
        <v>4160000</v>
      </c>
      <c r="I849" s="652">
        <f t="shared" si="103"/>
        <v>599365</v>
      </c>
      <c r="J849" s="391"/>
      <c r="K849" s="657">
        <f>4160000-H849</f>
        <v>0</v>
      </c>
    </row>
    <row r="850" spans="1:11" ht="12.75" customHeight="1">
      <c r="A850" s="646"/>
      <c r="B850" s="646"/>
      <c r="C850" s="641"/>
      <c r="D850" s="641"/>
      <c r="E850" s="641"/>
      <c r="F850" s="641"/>
      <c r="G850" s="641"/>
      <c r="H850" s="641"/>
      <c r="I850" s="641"/>
      <c r="J850" s="391"/>
    </row>
    <row r="851" spans="1:11" ht="12.75" customHeight="1">
      <c r="A851" s="653"/>
      <c r="B851" s="653" t="s">
        <v>1684</v>
      </c>
      <c r="C851" s="645">
        <f t="shared" ref="C851:I851" si="104">+C849+C828</f>
        <v>24555596</v>
      </c>
      <c r="D851" s="645">
        <f t="shared" si="104"/>
        <v>27955200</v>
      </c>
      <c r="E851" s="645">
        <f t="shared" si="104"/>
        <v>27955200</v>
      </c>
      <c r="F851" s="645">
        <f t="shared" si="104"/>
        <v>80465996</v>
      </c>
      <c r="G851" s="645">
        <f t="shared" si="104"/>
        <v>16525219</v>
      </c>
      <c r="H851" s="645">
        <f>+H849+H828</f>
        <v>27955200</v>
      </c>
      <c r="I851" s="645" t="e">
        <f t="shared" si="104"/>
        <v>#REF!</v>
      </c>
      <c r="J851" s="391"/>
    </row>
    <row r="852" spans="1:11" ht="12.75" customHeight="1">
      <c r="A852" s="391"/>
      <c r="B852" s="391"/>
      <c r="C852" s="647"/>
      <c r="D852" s="647"/>
      <c r="E852" s="647"/>
      <c r="F852" s="647"/>
      <c r="G852" s="647"/>
      <c r="H852" s="647"/>
      <c r="I852" s="391"/>
      <c r="J852" s="391"/>
    </row>
    <row r="853" spans="1:11" ht="12.75">
      <c r="A853" s="391"/>
      <c r="B853" s="647"/>
      <c r="C853" s="647"/>
      <c r="D853" s="308" t="s">
        <v>5434</v>
      </c>
      <c r="E853" s="647"/>
      <c r="F853" s="647"/>
      <c r="H853" s="647"/>
      <c r="I853" s="391"/>
      <c r="J853" s="391"/>
    </row>
    <row r="854" spans="1:11" ht="12.75">
      <c r="A854" s="655"/>
      <c r="B854" s="633"/>
      <c r="C854" s="655"/>
      <c r="D854" s="308" t="s">
        <v>716</v>
      </c>
      <c r="E854" s="655"/>
      <c r="F854" s="647"/>
      <c r="H854" s="655"/>
      <c r="I854" s="391"/>
      <c r="J854" s="391"/>
    </row>
    <row r="855" spans="1:11" ht="12.75">
      <c r="A855" s="655"/>
      <c r="B855" s="633"/>
      <c r="C855" s="655"/>
      <c r="D855" s="308" t="s">
        <v>2080</v>
      </c>
      <c r="E855" s="655"/>
      <c r="F855" s="647"/>
      <c r="H855" s="655"/>
      <c r="I855" s="391"/>
      <c r="J855" s="391"/>
    </row>
    <row r="856" spans="1:11" ht="12.75">
      <c r="A856" s="655"/>
      <c r="B856" s="655"/>
      <c r="C856" s="655"/>
      <c r="D856" s="307" t="s">
        <v>3131</v>
      </c>
      <c r="E856" s="655"/>
      <c r="F856" s="647"/>
      <c r="H856" s="655"/>
      <c r="I856" s="391"/>
      <c r="J856" s="391"/>
    </row>
    <row r="857" spans="1:11" ht="15">
      <c r="A857" s="634" t="s">
        <v>1839</v>
      </c>
      <c r="B857" s="635" t="s">
        <v>903</v>
      </c>
      <c r="C857" s="1037" t="s">
        <v>4127</v>
      </c>
      <c r="D857" s="1038"/>
      <c r="E857" s="1039"/>
      <c r="F857" s="635" t="s">
        <v>1684</v>
      </c>
      <c r="G857" s="1037" t="s">
        <v>4132</v>
      </c>
      <c r="H857" s="1038"/>
      <c r="I857" s="1039"/>
      <c r="J857" s="391"/>
    </row>
    <row r="858" spans="1:11" ht="12.75">
      <c r="A858" s="636" t="s">
        <v>1620</v>
      </c>
      <c r="B858" s="637"/>
      <c r="C858" s="635" t="s">
        <v>1841</v>
      </c>
      <c r="D858" s="635" t="s">
        <v>4133</v>
      </c>
      <c r="E858" s="635" t="s">
        <v>4133</v>
      </c>
      <c r="F858" s="1056" t="s">
        <v>4200</v>
      </c>
      <c r="G858" s="1051" t="s">
        <v>4201</v>
      </c>
      <c r="H858" s="635" t="s">
        <v>1841</v>
      </c>
      <c r="I858" s="634" t="s">
        <v>4135</v>
      </c>
      <c r="J858" s="391"/>
    </row>
    <row r="859" spans="1:11" ht="12.75" customHeight="1">
      <c r="A859" s="638" t="s">
        <v>387</v>
      </c>
      <c r="B859" s="639"/>
      <c r="C859" s="638">
        <v>2015</v>
      </c>
      <c r="D859" s="638">
        <v>2016</v>
      </c>
      <c r="E859" s="638">
        <v>2017</v>
      </c>
      <c r="F859" s="1057"/>
      <c r="G859" s="1052"/>
      <c r="H859" s="638">
        <v>2014</v>
      </c>
      <c r="I859" s="638" t="s">
        <v>4303</v>
      </c>
      <c r="J859" s="391"/>
    </row>
    <row r="860" spans="1:11" ht="12.75">
      <c r="A860" s="646" t="s">
        <v>3132</v>
      </c>
      <c r="B860" s="646" t="s">
        <v>1693</v>
      </c>
      <c r="C860" s="641">
        <v>4934893.25</v>
      </c>
      <c r="D860" s="641">
        <v>8652800</v>
      </c>
      <c r="E860" s="641">
        <v>8652800</v>
      </c>
      <c r="F860" s="647">
        <f>SUM(C860:E860)</f>
        <v>22240493.25</v>
      </c>
      <c r="G860" s="641">
        <v>1861419</v>
      </c>
      <c r="H860" s="641">
        <v>8652800</v>
      </c>
      <c r="I860" s="641" t="e">
        <f>#REF!</f>
        <v>#REF!</v>
      </c>
      <c r="J860" s="391"/>
    </row>
    <row r="861" spans="1:11" ht="12.75">
      <c r="A861" s="646"/>
      <c r="B861" s="646"/>
      <c r="C861" s="641"/>
      <c r="D861" s="641"/>
      <c r="E861" s="641"/>
      <c r="F861" s="647"/>
      <c r="G861" s="641"/>
      <c r="H861" s="641"/>
      <c r="I861" s="641"/>
      <c r="J861" s="391"/>
    </row>
    <row r="862" spans="1:11" ht="12.75">
      <c r="A862" s="646">
        <v>2</v>
      </c>
      <c r="B862" s="646" t="s">
        <v>1695</v>
      </c>
      <c r="C862" s="641">
        <v>800000</v>
      </c>
      <c r="D862" s="641">
        <v>832000</v>
      </c>
      <c r="E862" s="641">
        <v>832000</v>
      </c>
      <c r="F862" s="647">
        <f t="shared" ref="F862:F874" si="105">SUM(C862:E862)</f>
        <v>2464000</v>
      </c>
      <c r="G862" s="641">
        <v>52600</v>
      </c>
      <c r="H862" s="641">
        <v>848640</v>
      </c>
      <c r="I862" s="641">
        <v>245000</v>
      </c>
      <c r="J862" s="391"/>
    </row>
    <row r="863" spans="1:11" ht="12.75">
      <c r="A863" s="646">
        <f t="shared" ref="A863:A874" si="106">A862+1</f>
        <v>3</v>
      </c>
      <c r="B863" s="646" t="s">
        <v>1696</v>
      </c>
      <c r="C863" s="641">
        <v>300000</v>
      </c>
      <c r="D863" s="641">
        <v>208000</v>
      </c>
      <c r="E863" s="641">
        <v>208000</v>
      </c>
      <c r="F863" s="647">
        <f t="shared" si="105"/>
        <v>716000</v>
      </c>
      <c r="G863" s="642" t="s">
        <v>1386</v>
      </c>
      <c r="H863" s="641">
        <v>212160</v>
      </c>
      <c r="I863" s="642" t="s">
        <v>1386</v>
      </c>
      <c r="J863" s="391"/>
    </row>
    <row r="864" spans="1:11" ht="12.75">
      <c r="A864" s="646">
        <f t="shared" si="106"/>
        <v>4</v>
      </c>
      <c r="B864" s="646" t="s">
        <v>1701</v>
      </c>
      <c r="C864" s="641" t="s">
        <v>1386</v>
      </c>
      <c r="D864" s="641" t="s">
        <v>1386</v>
      </c>
      <c r="E864" s="641" t="s">
        <v>1386</v>
      </c>
      <c r="F864" s="647">
        <f t="shared" si="105"/>
        <v>0</v>
      </c>
      <c r="G864" s="642" t="s">
        <v>1386</v>
      </c>
      <c r="H864" s="641" t="s">
        <v>1386</v>
      </c>
      <c r="I864" s="642" t="s">
        <v>1386</v>
      </c>
      <c r="J864" s="391"/>
    </row>
    <row r="865" spans="1:11" ht="12.75">
      <c r="A865" s="646">
        <f t="shared" si="106"/>
        <v>5</v>
      </c>
      <c r="B865" s="646" t="s">
        <v>1702</v>
      </c>
      <c r="C865" s="641">
        <v>200000</v>
      </c>
      <c r="D865" s="641">
        <v>208000</v>
      </c>
      <c r="E865" s="641">
        <v>208000</v>
      </c>
      <c r="F865" s="647">
        <f t="shared" si="105"/>
        <v>616000</v>
      </c>
      <c r="G865" s="642">
        <v>50000</v>
      </c>
      <c r="H865" s="641">
        <v>212160</v>
      </c>
      <c r="I865" s="642">
        <v>101700</v>
      </c>
      <c r="J865" s="391"/>
    </row>
    <row r="866" spans="1:11" ht="12.75">
      <c r="A866" s="646">
        <f t="shared" si="106"/>
        <v>6</v>
      </c>
      <c r="B866" s="646" t="s">
        <v>1544</v>
      </c>
      <c r="C866" s="641">
        <v>500000</v>
      </c>
      <c r="D866" s="641">
        <v>312000</v>
      </c>
      <c r="E866" s="641">
        <v>312000</v>
      </c>
      <c r="F866" s="647">
        <f t="shared" si="105"/>
        <v>1124000</v>
      </c>
      <c r="G866" s="642">
        <v>267400</v>
      </c>
      <c r="H866" s="641">
        <v>318240</v>
      </c>
      <c r="I866" s="642">
        <v>84000</v>
      </c>
      <c r="J866" s="391"/>
    </row>
    <row r="867" spans="1:11" ht="12.75">
      <c r="A867" s="646">
        <f t="shared" si="106"/>
        <v>7</v>
      </c>
      <c r="B867" s="646" t="s">
        <v>897</v>
      </c>
      <c r="C867" s="641">
        <v>500000</v>
      </c>
      <c r="D867" s="641">
        <v>312000</v>
      </c>
      <c r="E867" s="641">
        <v>312000</v>
      </c>
      <c r="F867" s="647">
        <f t="shared" si="105"/>
        <v>1124000</v>
      </c>
      <c r="G867" s="642">
        <v>62000</v>
      </c>
      <c r="H867" s="641">
        <v>318240</v>
      </c>
      <c r="I867" s="642">
        <v>242000</v>
      </c>
      <c r="J867" s="391"/>
    </row>
    <row r="868" spans="1:11" ht="12.75">
      <c r="A868" s="646">
        <f t="shared" si="106"/>
        <v>8</v>
      </c>
      <c r="B868" s="646" t="s">
        <v>1385</v>
      </c>
      <c r="C868" s="641" t="s">
        <v>1386</v>
      </c>
      <c r="D868" s="641" t="s">
        <v>1386</v>
      </c>
      <c r="E868" s="641" t="s">
        <v>1386</v>
      </c>
      <c r="F868" s="647">
        <f t="shared" si="105"/>
        <v>0</v>
      </c>
      <c r="G868" s="642" t="s">
        <v>1386</v>
      </c>
      <c r="H868" s="641" t="s">
        <v>1386</v>
      </c>
      <c r="I868" s="641" t="s">
        <v>1386</v>
      </c>
      <c r="J868" s="391"/>
    </row>
    <row r="869" spans="1:11" ht="12.75">
      <c r="A869" s="646">
        <f t="shared" si="106"/>
        <v>9</v>
      </c>
      <c r="B869" s="646" t="s">
        <v>2061</v>
      </c>
      <c r="C869" s="641" t="s">
        <v>1386</v>
      </c>
      <c r="D869" s="641" t="s">
        <v>1386</v>
      </c>
      <c r="E869" s="641" t="s">
        <v>1386</v>
      </c>
      <c r="F869" s="647">
        <f t="shared" si="105"/>
        <v>0</v>
      </c>
      <c r="G869" s="642" t="s">
        <v>1386</v>
      </c>
      <c r="H869" s="641" t="s">
        <v>1386</v>
      </c>
      <c r="I869" s="641" t="s">
        <v>1386</v>
      </c>
      <c r="J869" s="391"/>
    </row>
    <row r="870" spans="1:11" ht="12.75">
      <c r="A870" s="646">
        <f t="shared" si="106"/>
        <v>10</v>
      </c>
      <c r="B870" s="646" t="s">
        <v>1680</v>
      </c>
      <c r="C870" s="641">
        <v>100000</v>
      </c>
      <c r="D870" s="641">
        <v>520000</v>
      </c>
      <c r="E870" s="641">
        <v>520000</v>
      </c>
      <c r="F870" s="647">
        <f t="shared" si="105"/>
        <v>1140000</v>
      </c>
      <c r="G870" s="642">
        <v>290350</v>
      </c>
      <c r="H870" s="641">
        <v>530400</v>
      </c>
      <c r="I870" s="642">
        <v>233000</v>
      </c>
      <c r="J870" s="391"/>
    </row>
    <row r="871" spans="1:11" ht="12.75">
      <c r="A871" s="646">
        <f t="shared" si="106"/>
        <v>11</v>
      </c>
      <c r="B871" s="646" t="s">
        <v>1681</v>
      </c>
      <c r="C871" s="641">
        <v>100000</v>
      </c>
      <c r="D871" s="641">
        <v>104000</v>
      </c>
      <c r="E871" s="641">
        <v>104000</v>
      </c>
      <c r="F871" s="647">
        <f t="shared" si="105"/>
        <v>308000</v>
      </c>
      <c r="G871" s="642">
        <v>0</v>
      </c>
      <c r="H871" s="641">
        <v>106080</v>
      </c>
      <c r="I871" s="642">
        <v>0</v>
      </c>
      <c r="J871" s="391"/>
    </row>
    <row r="872" spans="1:11" ht="12.75">
      <c r="A872" s="646">
        <f t="shared" si="106"/>
        <v>12</v>
      </c>
      <c r="B872" s="646" t="s">
        <v>1682</v>
      </c>
      <c r="C872" s="641">
        <v>1500000</v>
      </c>
      <c r="D872" s="641">
        <v>1560000</v>
      </c>
      <c r="E872" s="641">
        <v>1560000</v>
      </c>
      <c r="F872" s="647">
        <f t="shared" si="105"/>
        <v>4620000</v>
      </c>
      <c r="G872" s="642">
        <v>419000</v>
      </c>
      <c r="H872" s="641">
        <f>1591200-93600</f>
        <v>1497600</v>
      </c>
      <c r="I872" s="642">
        <v>653300</v>
      </c>
      <c r="J872" s="391"/>
    </row>
    <row r="873" spans="1:11" ht="12.75">
      <c r="A873" s="646">
        <f t="shared" si="106"/>
        <v>13</v>
      </c>
      <c r="B873" s="646" t="s">
        <v>2249</v>
      </c>
      <c r="C873" s="641">
        <v>100000</v>
      </c>
      <c r="D873" s="641">
        <v>104000</v>
      </c>
      <c r="E873" s="641">
        <v>104000</v>
      </c>
      <c r="F873" s="647">
        <f t="shared" si="105"/>
        <v>308000</v>
      </c>
      <c r="G873" s="642">
        <v>0</v>
      </c>
      <c r="H873" s="641">
        <v>106080</v>
      </c>
      <c r="I873" s="642">
        <v>0</v>
      </c>
      <c r="J873" s="391"/>
    </row>
    <row r="874" spans="1:11" ht="12.75">
      <c r="A874" s="646">
        <f t="shared" si="106"/>
        <v>14</v>
      </c>
      <c r="B874" s="646" t="s">
        <v>3018</v>
      </c>
      <c r="C874" s="641">
        <v>200000</v>
      </c>
      <c r="D874" s="641">
        <v>520000</v>
      </c>
      <c r="E874" s="641">
        <v>520000</v>
      </c>
      <c r="F874" s="647">
        <f t="shared" si="105"/>
        <v>1240000</v>
      </c>
      <c r="G874" s="642">
        <v>0</v>
      </c>
      <c r="H874" s="641">
        <v>530400</v>
      </c>
      <c r="I874" s="642">
        <v>0</v>
      </c>
      <c r="J874" s="391"/>
    </row>
    <row r="875" spans="1:11" ht="12.75">
      <c r="A875" s="646"/>
      <c r="B875" s="646"/>
      <c r="C875" s="642"/>
      <c r="D875" s="642"/>
      <c r="E875" s="642"/>
      <c r="F875" s="647"/>
      <c r="G875" s="642"/>
      <c r="H875" s="642"/>
      <c r="I875" s="642"/>
      <c r="J875" s="391"/>
    </row>
    <row r="876" spans="1:11" ht="12.75">
      <c r="A876" s="646" t="s">
        <v>3133</v>
      </c>
      <c r="B876" s="651" t="s">
        <v>819</v>
      </c>
      <c r="C876" s="652">
        <f t="shared" ref="C876:I876" si="107">SUM(C862:C875)</f>
        <v>4300000</v>
      </c>
      <c r="D876" s="652">
        <f t="shared" si="107"/>
        <v>4680000</v>
      </c>
      <c r="E876" s="652">
        <f t="shared" si="107"/>
        <v>4680000</v>
      </c>
      <c r="F876" s="652">
        <f t="shared" si="107"/>
        <v>13660000</v>
      </c>
      <c r="G876" s="652">
        <f t="shared" si="107"/>
        <v>1141350</v>
      </c>
      <c r="H876" s="652">
        <f>SUM(H862:H875)</f>
        <v>4680000</v>
      </c>
      <c r="I876" s="652">
        <f t="shared" si="107"/>
        <v>1559000</v>
      </c>
      <c r="J876" s="391"/>
      <c r="K876" s="657">
        <f>4680000-H876</f>
        <v>0</v>
      </c>
    </row>
    <row r="877" spans="1:11" ht="12.75">
      <c r="A877" s="646"/>
      <c r="B877" s="646"/>
      <c r="C877" s="641"/>
      <c r="D877" s="641"/>
      <c r="E877" s="641"/>
      <c r="F877" s="641"/>
      <c r="G877" s="641"/>
      <c r="H877" s="641"/>
      <c r="I877" s="641"/>
      <c r="J877" s="391"/>
    </row>
    <row r="878" spans="1:11" ht="12.75">
      <c r="A878" s="653"/>
      <c r="B878" s="653" t="s">
        <v>1684</v>
      </c>
      <c r="C878" s="645">
        <f t="shared" ref="C878:I878" si="108">+C876+C860</f>
        <v>9234893.25</v>
      </c>
      <c r="D878" s="645">
        <f t="shared" si="108"/>
        <v>13332800</v>
      </c>
      <c r="E878" s="645">
        <f t="shared" si="108"/>
        <v>13332800</v>
      </c>
      <c r="F878" s="645">
        <f t="shared" si="108"/>
        <v>35900493.25</v>
      </c>
      <c r="G878" s="645">
        <f t="shared" si="108"/>
        <v>3002769</v>
      </c>
      <c r="H878" s="645">
        <f>+H876+H860</f>
        <v>13332800</v>
      </c>
      <c r="I878" s="645" t="e">
        <f t="shared" si="108"/>
        <v>#REF!</v>
      </c>
      <c r="J878" s="391"/>
    </row>
    <row r="879" spans="1:11" ht="12.75">
      <c r="A879" s="391"/>
      <c r="B879" s="391"/>
      <c r="C879" s="647"/>
      <c r="D879" s="647"/>
      <c r="E879" s="647"/>
      <c r="F879" s="647"/>
      <c r="G879" s="647"/>
      <c r="H879" s="647"/>
      <c r="I879" s="391"/>
      <c r="J879" s="391"/>
    </row>
    <row r="880" spans="1:11" ht="12.75">
      <c r="A880" s="391"/>
      <c r="B880" s="391"/>
      <c r="C880" s="647"/>
      <c r="D880" s="308" t="s">
        <v>5434</v>
      </c>
      <c r="E880" s="647"/>
      <c r="F880" s="647"/>
      <c r="H880" s="647"/>
      <c r="I880" s="391"/>
      <c r="J880" s="391"/>
    </row>
    <row r="881" spans="1:10" ht="12.75">
      <c r="A881" s="655"/>
      <c r="B881" s="633"/>
      <c r="C881" s="655"/>
      <c r="D881" s="308" t="s">
        <v>716</v>
      </c>
      <c r="E881" s="655"/>
      <c r="F881" s="647"/>
      <c r="H881" s="655"/>
      <c r="I881" s="391"/>
      <c r="J881" s="391"/>
    </row>
    <row r="882" spans="1:10" ht="12.75">
      <c r="A882" s="655"/>
      <c r="B882" s="633"/>
      <c r="C882" s="655"/>
      <c r="D882" s="308" t="s">
        <v>1422</v>
      </c>
      <c r="E882" s="655"/>
      <c r="F882" s="647"/>
      <c r="H882" s="655"/>
      <c r="I882" s="391"/>
      <c r="J882" s="391"/>
    </row>
    <row r="883" spans="1:10" ht="12.75">
      <c r="A883" s="655"/>
      <c r="B883" s="655"/>
      <c r="C883" s="655"/>
      <c r="D883" s="307" t="s">
        <v>733</v>
      </c>
      <c r="E883" s="655"/>
      <c r="F883" s="647"/>
      <c r="H883" s="655"/>
      <c r="I883" s="391"/>
      <c r="J883" s="391"/>
    </row>
    <row r="884" spans="1:10" ht="15">
      <c r="A884" s="634" t="s">
        <v>1839</v>
      </c>
      <c r="B884" s="635" t="s">
        <v>903</v>
      </c>
      <c r="C884" s="1037" t="s">
        <v>4127</v>
      </c>
      <c r="D884" s="1038"/>
      <c r="E884" s="1039"/>
      <c r="F884" s="635" t="s">
        <v>1684</v>
      </c>
      <c r="G884" s="1037" t="s">
        <v>4132</v>
      </c>
      <c r="H884" s="1038"/>
      <c r="I884" s="1039"/>
      <c r="J884" s="391"/>
    </row>
    <row r="885" spans="1:10" ht="12.75">
      <c r="A885" s="636" t="s">
        <v>1620</v>
      </c>
      <c r="B885" s="637"/>
      <c r="C885" s="635" t="s">
        <v>1841</v>
      </c>
      <c r="D885" s="635" t="s">
        <v>4133</v>
      </c>
      <c r="E885" s="635" t="s">
        <v>4133</v>
      </c>
      <c r="F885" s="1056" t="s">
        <v>4200</v>
      </c>
      <c r="G885" s="1051" t="s">
        <v>4201</v>
      </c>
      <c r="H885" s="635" t="s">
        <v>1841</v>
      </c>
      <c r="I885" s="634" t="s">
        <v>4135</v>
      </c>
      <c r="J885" s="391"/>
    </row>
    <row r="886" spans="1:10" ht="12.75" customHeight="1">
      <c r="A886" s="638" t="s">
        <v>387</v>
      </c>
      <c r="B886" s="639"/>
      <c r="C886" s="638">
        <v>2015</v>
      </c>
      <c r="D886" s="638">
        <v>2016</v>
      </c>
      <c r="E886" s="638">
        <v>2017</v>
      </c>
      <c r="F886" s="1057"/>
      <c r="G886" s="1052"/>
      <c r="H886" s="638">
        <v>2014</v>
      </c>
      <c r="I886" s="638" t="s">
        <v>4303</v>
      </c>
      <c r="J886" s="391"/>
    </row>
    <row r="887" spans="1:10" ht="12.75">
      <c r="A887" s="646" t="s">
        <v>734</v>
      </c>
      <c r="B887" s="646" t="s">
        <v>1693</v>
      </c>
      <c r="C887" s="641">
        <v>9688884.25</v>
      </c>
      <c r="D887" s="641">
        <v>9360000</v>
      </c>
      <c r="E887" s="641">
        <v>9360000</v>
      </c>
      <c r="F887" s="647">
        <f>SUM(C887:E887)</f>
        <v>28408884.25</v>
      </c>
      <c r="G887" s="641">
        <v>5153958</v>
      </c>
      <c r="H887" s="641">
        <v>12800000</v>
      </c>
      <c r="I887" s="641" t="e">
        <f>#REF!</f>
        <v>#REF!</v>
      </c>
      <c r="J887" s="391"/>
    </row>
    <row r="888" spans="1:10" ht="12.75">
      <c r="A888" s="646"/>
      <c r="B888" s="646"/>
      <c r="C888" s="641"/>
      <c r="D888" s="641"/>
      <c r="E888" s="641"/>
      <c r="F888" s="647"/>
      <c r="G888" s="641"/>
      <c r="H888" s="641"/>
      <c r="I888" s="641"/>
      <c r="J888" s="391"/>
    </row>
    <row r="889" spans="1:10" ht="12.75">
      <c r="A889" s="646">
        <v>2</v>
      </c>
      <c r="B889" s="646" t="s">
        <v>1695</v>
      </c>
      <c r="C889" s="641">
        <v>1000000</v>
      </c>
      <c r="D889" s="641">
        <v>1040000</v>
      </c>
      <c r="E889" s="641">
        <v>1040000</v>
      </c>
      <c r="F889" s="647">
        <f t="shared" ref="F889:F901" si="109">SUM(C889:E889)</f>
        <v>3080000</v>
      </c>
      <c r="G889" s="641">
        <v>342000</v>
      </c>
      <c r="H889" s="641">
        <v>1060800</v>
      </c>
      <c r="I889" s="641">
        <v>180000</v>
      </c>
      <c r="J889" s="391"/>
    </row>
    <row r="890" spans="1:10" ht="12.75">
      <c r="A890" s="646">
        <f t="shared" ref="A890:A901" si="110">A889+1</f>
        <v>3</v>
      </c>
      <c r="B890" s="646" t="s">
        <v>1696</v>
      </c>
      <c r="C890" s="642" t="s">
        <v>1386</v>
      </c>
      <c r="D890" s="642" t="s">
        <v>1386</v>
      </c>
      <c r="E890" s="642" t="s">
        <v>1386</v>
      </c>
      <c r="F890" s="647">
        <f t="shared" si="109"/>
        <v>0</v>
      </c>
      <c r="G890" s="642" t="s">
        <v>1386</v>
      </c>
      <c r="H890" s="642" t="s">
        <v>1386</v>
      </c>
      <c r="I890" s="642" t="s">
        <v>1386</v>
      </c>
      <c r="J890" s="391"/>
    </row>
    <row r="891" spans="1:10" ht="12.75">
      <c r="A891" s="646">
        <f t="shared" si="110"/>
        <v>4</v>
      </c>
      <c r="B891" s="646" t="s">
        <v>1701</v>
      </c>
      <c r="C891" s="642" t="s">
        <v>1386</v>
      </c>
      <c r="D891" s="642" t="s">
        <v>1386</v>
      </c>
      <c r="E891" s="642" t="s">
        <v>1386</v>
      </c>
      <c r="F891" s="647">
        <f t="shared" si="109"/>
        <v>0</v>
      </c>
      <c r="G891" s="642" t="s">
        <v>1386</v>
      </c>
      <c r="H891" s="642" t="s">
        <v>1386</v>
      </c>
      <c r="I891" s="642" t="s">
        <v>1386</v>
      </c>
      <c r="J891" s="391"/>
    </row>
    <row r="892" spans="1:10" ht="12.75">
      <c r="A892" s="646">
        <f t="shared" si="110"/>
        <v>5</v>
      </c>
      <c r="B892" s="646" t="s">
        <v>1702</v>
      </c>
      <c r="C892" s="641">
        <v>200000</v>
      </c>
      <c r="D892" s="641">
        <v>208000</v>
      </c>
      <c r="E892" s="641">
        <v>208000</v>
      </c>
      <c r="F892" s="647">
        <f t="shared" si="109"/>
        <v>616000</v>
      </c>
      <c r="G892" s="641">
        <v>167300</v>
      </c>
      <c r="H892" s="641">
        <v>212160</v>
      </c>
      <c r="I892" s="641">
        <v>200000</v>
      </c>
      <c r="J892" s="391"/>
    </row>
    <row r="893" spans="1:10" ht="12.75">
      <c r="A893" s="646">
        <f t="shared" si="110"/>
        <v>6</v>
      </c>
      <c r="B893" s="646" t="s">
        <v>1544</v>
      </c>
      <c r="C893" s="641">
        <v>100000</v>
      </c>
      <c r="D893" s="641">
        <v>100000</v>
      </c>
      <c r="E893" s="641">
        <v>100000</v>
      </c>
      <c r="F893" s="647">
        <f t="shared" si="109"/>
        <v>300000</v>
      </c>
      <c r="G893" s="641">
        <v>36000</v>
      </c>
      <c r="H893" s="641">
        <v>106080</v>
      </c>
      <c r="I893" s="641">
        <v>23000</v>
      </c>
      <c r="J893" s="391"/>
    </row>
    <row r="894" spans="1:10" ht="12.75">
      <c r="A894" s="646">
        <f t="shared" si="110"/>
        <v>7</v>
      </c>
      <c r="B894" s="646" t="s">
        <v>897</v>
      </c>
      <c r="C894" s="641">
        <v>200000</v>
      </c>
      <c r="D894" s="641">
        <v>208000</v>
      </c>
      <c r="E894" s="641">
        <v>208000</v>
      </c>
      <c r="F894" s="647">
        <f t="shared" si="109"/>
        <v>616000</v>
      </c>
      <c r="G894" s="641">
        <v>56000</v>
      </c>
      <c r="H894" s="641">
        <v>212160</v>
      </c>
      <c r="I894" s="641">
        <v>65000</v>
      </c>
      <c r="J894" s="391"/>
    </row>
    <row r="895" spans="1:10" ht="12.75">
      <c r="A895" s="646">
        <f t="shared" si="110"/>
        <v>8</v>
      </c>
      <c r="B895" s="646" t="s">
        <v>1385</v>
      </c>
      <c r="C895" s="642" t="s">
        <v>1386</v>
      </c>
      <c r="D895" s="642" t="s">
        <v>1386</v>
      </c>
      <c r="E895" s="642" t="s">
        <v>1386</v>
      </c>
      <c r="F895" s="647">
        <f t="shared" si="109"/>
        <v>0</v>
      </c>
      <c r="G895" s="642" t="s">
        <v>1386</v>
      </c>
      <c r="H895" s="642" t="s">
        <v>1386</v>
      </c>
      <c r="I895" s="642" t="s">
        <v>1386</v>
      </c>
      <c r="J895" s="391"/>
    </row>
    <row r="896" spans="1:10" ht="12.75">
      <c r="A896" s="646">
        <f t="shared" si="110"/>
        <v>9</v>
      </c>
      <c r="B896" s="646" t="s">
        <v>2061</v>
      </c>
      <c r="C896" s="642" t="s">
        <v>1386</v>
      </c>
      <c r="D896" s="642" t="s">
        <v>1386</v>
      </c>
      <c r="E896" s="642" t="s">
        <v>1386</v>
      </c>
      <c r="F896" s="647">
        <f t="shared" si="109"/>
        <v>0</v>
      </c>
      <c r="G896" s="642" t="s">
        <v>1386</v>
      </c>
      <c r="H896" s="642" t="s">
        <v>1386</v>
      </c>
      <c r="I896" s="642" t="s">
        <v>1386</v>
      </c>
      <c r="J896" s="391"/>
    </row>
    <row r="897" spans="1:11" ht="12.75">
      <c r="A897" s="646">
        <f t="shared" si="110"/>
        <v>10</v>
      </c>
      <c r="B897" s="646" t="s">
        <v>1680</v>
      </c>
      <c r="C897" s="641">
        <v>500000</v>
      </c>
      <c r="D897" s="641">
        <v>500000</v>
      </c>
      <c r="E897" s="641">
        <v>500000</v>
      </c>
      <c r="F897" s="647">
        <f t="shared" si="109"/>
        <v>1500000</v>
      </c>
      <c r="G897" s="642">
        <v>14000</v>
      </c>
      <c r="H897" s="641">
        <v>530400</v>
      </c>
      <c r="I897" s="642">
        <v>0</v>
      </c>
      <c r="J897" s="391"/>
    </row>
    <row r="898" spans="1:11" ht="12.75">
      <c r="A898" s="646">
        <f t="shared" si="110"/>
        <v>11</v>
      </c>
      <c r="B898" s="646" t="s">
        <v>1681</v>
      </c>
      <c r="C898" s="641">
        <v>100000</v>
      </c>
      <c r="D898" s="641">
        <v>100000</v>
      </c>
      <c r="E898" s="641">
        <v>100000</v>
      </c>
      <c r="F898" s="647">
        <f t="shared" si="109"/>
        <v>300000</v>
      </c>
      <c r="G898" s="641">
        <v>0</v>
      </c>
      <c r="H898" s="641">
        <v>106080</v>
      </c>
      <c r="I898" s="641">
        <v>59200</v>
      </c>
      <c r="J898" s="391"/>
    </row>
    <row r="899" spans="1:11" ht="12.75">
      <c r="A899" s="646">
        <f t="shared" si="110"/>
        <v>12</v>
      </c>
      <c r="B899" s="646" t="s">
        <v>1682</v>
      </c>
      <c r="C899" s="641">
        <v>1500000</v>
      </c>
      <c r="D899" s="641">
        <v>1500000</v>
      </c>
      <c r="E899" s="641">
        <v>1500000</v>
      </c>
      <c r="F899" s="647">
        <f t="shared" si="109"/>
        <v>4500000</v>
      </c>
      <c r="G899" s="641">
        <v>361000</v>
      </c>
      <c r="H899" s="641">
        <f>1060800-72800</f>
        <v>988000</v>
      </c>
      <c r="I899" s="641">
        <v>318240</v>
      </c>
      <c r="J899" s="391"/>
    </row>
    <row r="900" spans="1:11" ht="12.75">
      <c r="A900" s="646">
        <f t="shared" si="110"/>
        <v>13</v>
      </c>
      <c r="B900" s="646" t="s">
        <v>348</v>
      </c>
      <c r="C900" s="641">
        <v>300000</v>
      </c>
      <c r="D900" s="641">
        <v>312000</v>
      </c>
      <c r="E900" s="641">
        <v>312000</v>
      </c>
      <c r="F900" s="647">
        <f t="shared" si="109"/>
        <v>924000</v>
      </c>
      <c r="G900" s="642">
        <v>0</v>
      </c>
      <c r="H900" s="641">
        <v>318240</v>
      </c>
      <c r="I900" s="642">
        <v>121000</v>
      </c>
      <c r="J900" s="391"/>
    </row>
    <row r="901" spans="1:11" ht="12.75">
      <c r="A901" s="646">
        <f t="shared" si="110"/>
        <v>14</v>
      </c>
      <c r="B901" s="646" t="s">
        <v>2249</v>
      </c>
      <c r="C901" s="641">
        <v>100000</v>
      </c>
      <c r="D901" s="641">
        <v>100000</v>
      </c>
      <c r="E901" s="641">
        <v>100000</v>
      </c>
      <c r="F901" s="647">
        <f t="shared" si="109"/>
        <v>300000</v>
      </c>
      <c r="G901" s="641">
        <v>89000</v>
      </c>
      <c r="H901" s="641">
        <v>106080</v>
      </c>
      <c r="I901" s="641">
        <v>40000</v>
      </c>
      <c r="J901" s="391"/>
    </row>
    <row r="902" spans="1:11" ht="12.75">
      <c r="A902" s="646"/>
      <c r="B902" s="646"/>
      <c r="C902" s="642"/>
      <c r="D902" s="642"/>
      <c r="E902" s="642"/>
      <c r="F902" s="647"/>
      <c r="G902" s="642"/>
      <c r="H902" s="642"/>
      <c r="I902" s="642"/>
      <c r="J902" s="391"/>
    </row>
    <row r="903" spans="1:11" ht="12.75">
      <c r="A903" s="646" t="s">
        <v>735</v>
      </c>
      <c r="B903" s="651" t="s">
        <v>819</v>
      </c>
      <c r="C903" s="652">
        <f>SUM(C889:C902)</f>
        <v>4000000</v>
      </c>
      <c r="D903" s="652">
        <v>3640000</v>
      </c>
      <c r="E903" s="652">
        <v>3640000</v>
      </c>
      <c r="F903" s="652">
        <f>SUM(F889:F902)</f>
        <v>12136000</v>
      </c>
      <c r="G903" s="652">
        <f>SUM(G889:G902)</f>
        <v>1065300</v>
      </c>
      <c r="H903" s="652">
        <f>SUM(H889:H902)</f>
        <v>3640000</v>
      </c>
      <c r="I903" s="652">
        <f>SUM(I889:I902)</f>
        <v>1006440</v>
      </c>
      <c r="J903" s="391"/>
      <c r="K903" s="657">
        <f>3640000-H903</f>
        <v>0</v>
      </c>
    </row>
    <row r="904" spans="1:11" ht="12.75">
      <c r="A904" s="646"/>
      <c r="B904" s="646"/>
      <c r="C904" s="641"/>
      <c r="D904" s="641"/>
      <c r="E904" s="641"/>
      <c r="F904" s="641"/>
      <c r="G904" s="641"/>
      <c r="H904" s="641"/>
      <c r="I904" s="641"/>
      <c r="J904" s="391"/>
    </row>
    <row r="905" spans="1:11" ht="12.75">
      <c r="A905" s="653"/>
      <c r="B905" s="653" t="s">
        <v>1684</v>
      </c>
      <c r="C905" s="645">
        <f>+C903+C887</f>
        <v>13688884.25</v>
      </c>
      <c r="D905" s="645">
        <v>13000000</v>
      </c>
      <c r="E905" s="645">
        <v>13000000</v>
      </c>
      <c r="F905" s="645">
        <f>+F903+F887</f>
        <v>40544884.25</v>
      </c>
      <c r="G905" s="645">
        <f>+G903+G887</f>
        <v>6219258</v>
      </c>
      <c r="H905" s="645">
        <f>+H903+H887</f>
        <v>16440000</v>
      </c>
      <c r="I905" s="645" t="e">
        <f>+I903+I887</f>
        <v>#REF!</v>
      </c>
      <c r="J905" s="391"/>
    </row>
    <row r="906" spans="1:11" ht="12.75" customHeight="1">
      <c r="A906" s="391"/>
      <c r="B906" s="391"/>
      <c r="C906" s="647"/>
      <c r="D906" s="647"/>
      <c r="E906" s="647"/>
      <c r="F906" s="647"/>
      <c r="G906" s="647"/>
      <c r="H906" s="647"/>
      <c r="I906" s="391"/>
      <c r="J906" s="391"/>
    </row>
    <row r="907" spans="1:11" ht="12.75">
      <c r="A907" s="391"/>
      <c r="B907" s="391"/>
      <c r="C907" s="647"/>
      <c r="D907" s="308" t="s">
        <v>5434</v>
      </c>
      <c r="E907" s="647"/>
      <c r="F907" s="647"/>
      <c r="H907" s="647"/>
      <c r="I907" s="391"/>
      <c r="J907" s="391"/>
    </row>
    <row r="908" spans="1:11" ht="12.75">
      <c r="A908" s="655"/>
      <c r="B908" s="633"/>
      <c r="C908" s="655"/>
      <c r="D908" s="308" t="s">
        <v>716</v>
      </c>
      <c r="E908" s="655"/>
      <c r="F908" s="647"/>
      <c r="H908" s="655"/>
      <c r="I908" s="391"/>
      <c r="J908" s="391"/>
    </row>
    <row r="909" spans="1:11" ht="12.75">
      <c r="A909" s="655"/>
      <c r="B909" s="633"/>
      <c r="C909" s="655"/>
      <c r="D909" s="308" t="s">
        <v>1423</v>
      </c>
      <c r="E909" s="655"/>
      <c r="F909" s="647"/>
      <c r="H909" s="655"/>
      <c r="I909" s="391"/>
      <c r="J909" s="391"/>
    </row>
    <row r="910" spans="1:11" ht="12.75">
      <c r="A910" s="655"/>
      <c r="B910" s="655"/>
      <c r="C910" s="655"/>
      <c r="D910" s="307" t="s">
        <v>736</v>
      </c>
      <c r="E910" s="655"/>
      <c r="F910" s="647"/>
      <c r="H910" s="655"/>
      <c r="I910" s="391"/>
      <c r="J910" s="391"/>
    </row>
    <row r="911" spans="1:11" ht="15">
      <c r="A911" s="634" t="s">
        <v>1839</v>
      </c>
      <c r="B911" s="635" t="s">
        <v>903</v>
      </c>
      <c r="C911" s="1037" t="s">
        <v>4127</v>
      </c>
      <c r="D911" s="1038"/>
      <c r="E911" s="1039"/>
      <c r="F911" s="635" t="s">
        <v>1684</v>
      </c>
      <c r="G911" s="1037" t="s">
        <v>4132</v>
      </c>
      <c r="H911" s="1038"/>
      <c r="I911" s="1039"/>
      <c r="J911" s="391"/>
    </row>
    <row r="912" spans="1:11" ht="12.75">
      <c r="A912" s="636" t="s">
        <v>1620</v>
      </c>
      <c r="B912" s="637"/>
      <c r="C912" s="635" t="s">
        <v>1841</v>
      </c>
      <c r="D912" s="635" t="s">
        <v>4133</v>
      </c>
      <c r="E912" s="635" t="s">
        <v>4133</v>
      </c>
      <c r="F912" s="1056" t="s">
        <v>4200</v>
      </c>
      <c r="G912" s="1051" t="s">
        <v>4201</v>
      </c>
      <c r="H912" s="635" t="s">
        <v>1841</v>
      </c>
      <c r="I912" s="634" t="s">
        <v>4135</v>
      </c>
      <c r="J912" s="391"/>
    </row>
    <row r="913" spans="1:10" ht="12.75" customHeight="1">
      <c r="A913" s="638" t="s">
        <v>387</v>
      </c>
      <c r="B913" s="639"/>
      <c r="C913" s="638">
        <v>2015</v>
      </c>
      <c r="D913" s="638">
        <v>2016</v>
      </c>
      <c r="E913" s="638">
        <v>2017</v>
      </c>
      <c r="F913" s="1057"/>
      <c r="G913" s="1052"/>
      <c r="H913" s="638">
        <v>2014</v>
      </c>
      <c r="I913" s="638" t="s">
        <v>4303</v>
      </c>
      <c r="J913" s="391"/>
    </row>
    <row r="914" spans="1:10" ht="12.75">
      <c r="A914" s="646" t="s">
        <v>737</v>
      </c>
      <c r="B914" s="646" t="s">
        <v>1693</v>
      </c>
      <c r="C914" s="641">
        <v>823666019.10000002</v>
      </c>
      <c r="D914" s="641">
        <v>884000000</v>
      </c>
      <c r="E914" s="641">
        <v>884000000</v>
      </c>
      <c r="F914" s="647">
        <f>SUM(C914:E914)</f>
        <v>2591666019.0999999</v>
      </c>
      <c r="G914" s="641">
        <v>611079092</v>
      </c>
      <c r="H914" s="641">
        <v>884000000</v>
      </c>
      <c r="I914" s="641" t="e">
        <f>#REF!</f>
        <v>#REF!</v>
      </c>
      <c r="J914" s="391"/>
    </row>
    <row r="915" spans="1:10" ht="12.75">
      <c r="A915" s="646"/>
      <c r="B915" s="646"/>
      <c r="C915" s="641"/>
      <c r="D915" s="641"/>
      <c r="E915" s="641"/>
      <c r="F915" s="647"/>
      <c r="G915" s="641"/>
      <c r="H915" s="641"/>
      <c r="I915" s="641"/>
      <c r="J915" s="391"/>
    </row>
    <row r="916" spans="1:10" ht="12.75">
      <c r="A916" s="646">
        <v>2</v>
      </c>
      <c r="B916" s="646" t="s">
        <v>1695</v>
      </c>
      <c r="C916" s="641">
        <v>1000000</v>
      </c>
      <c r="D916" s="641">
        <v>1500000</v>
      </c>
      <c r="E916" s="641">
        <v>1500000</v>
      </c>
      <c r="F916" s="647">
        <f t="shared" ref="F916:F934" si="111">SUM(C916:E916)</f>
        <v>4000000</v>
      </c>
      <c r="G916" s="641">
        <v>332000</v>
      </c>
      <c r="H916" s="641">
        <v>1591200</v>
      </c>
      <c r="I916" s="641">
        <v>370000</v>
      </c>
      <c r="J916" s="391"/>
    </row>
    <row r="917" spans="1:10" ht="12.75">
      <c r="A917" s="646">
        <f t="shared" ref="A917:A935" si="112">A916+1</f>
        <v>3</v>
      </c>
      <c r="B917" s="646" t="s">
        <v>1696</v>
      </c>
      <c r="C917" s="641" t="s">
        <v>1386</v>
      </c>
      <c r="D917" s="641">
        <v>100000</v>
      </c>
      <c r="E917" s="641">
        <v>100000</v>
      </c>
      <c r="F917" s="647">
        <f t="shared" si="111"/>
        <v>200000</v>
      </c>
      <c r="G917" s="641">
        <v>98000</v>
      </c>
      <c r="H917" s="641">
        <v>106080</v>
      </c>
      <c r="I917" s="641">
        <v>0</v>
      </c>
      <c r="J917" s="391"/>
    </row>
    <row r="918" spans="1:10" ht="12.75">
      <c r="A918" s="646">
        <f t="shared" si="112"/>
        <v>4</v>
      </c>
      <c r="B918" s="646" t="s">
        <v>1701</v>
      </c>
      <c r="C918" s="642" t="s">
        <v>1386</v>
      </c>
      <c r="D918" s="642" t="s">
        <v>1386</v>
      </c>
      <c r="E918" s="642" t="s">
        <v>1386</v>
      </c>
      <c r="F918" s="647">
        <f t="shared" si="111"/>
        <v>0</v>
      </c>
      <c r="G918" s="641">
        <v>0</v>
      </c>
      <c r="H918" s="642" t="s">
        <v>1386</v>
      </c>
      <c r="I918" s="641" t="s">
        <v>1386</v>
      </c>
      <c r="J918" s="391"/>
    </row>
    <row r="919" spans="1:10" ht="12.75">
      <c r="A919" s="646">
        <f t="shared" si="112"/>
        <v>5</v>
      </c>
      <c r="B919" s="646" t="s">
        <v>1702</v>
      </c>
      <c r="C919" s="641">
        <v>500000</v>
      </c>
      <c r="D919" s="641">
        <v>500000</v>
      </c>
      <c r="E919" s="641">
        <v>500000</v>
      </c>
      <c r="F919" s="647">
        <f t="shared" si="111"/>
        <v>1500000</v>
      </c>
      <c r="G919" s="641">
        <v>280500</v>
      </c>
      <c r="H919" s="641">
        <v>530400</v>
      </c>
      <c r="I919" s="641">
        <v>310000</v>
      </c>
      <c r="J919" s="391"/>
    </row>
    <row r="920" spans="1:10" ht="12.75">
      <c r="A920" s="646">
        <f t="shared" si="112"/>
        <v>6</v>
      </c>
      <c r="B920" s="646" t="s">
        <v>1544</v>
      </c>
      <c r="C920" s="641">
        <v>600000</v>
      </c>
      <c r="D920" s="641">
        <v>600000</v>
      </c>
      <c r="E920" s="641">
        <v>600000</v>
      </c>
      <c r="F920" s="647">
        <f t="shared" si="111"/>
        <v>1800000</v>
      </c>
      <c r="G920" s="641">
        <v>285500</v>
      </c>
      <c r="H920" s="641">
        <v>636480</v>
      </c>
      <c r="I920" s="641">
        <v>190000</v>
      </c>
      <c r="J920" s="391"/>
    </row>
    <row r="921" spans="1:10" ht="12.75">
      <c r="A921" s="646">
        <f t="shared" si="112"/>
        <v>7</v>
      </c>
      <c r="B921" s="646" t="s">
        <v>897</v>
      </c>
      <c r="C921" s="641">
        <v>600000</v>
      </c>
      <c r="D921" s="641">
        <v>600000</v>
      </c>
      <c r="E921" s="641">
        <v>600000</v>
      </c>
      <c r="F921" s="647">
        <f t="shared" si="111"/>
        <v>1800000</v>
      </c>
      <c r="G921" s="641">
        <v>408000</v>
      </c>
      <c r="H921" s="641">
        <v>636480</v>
      </c>
      <c r="I921" s="641">
        <v>40000</v>
      </c>
      <c r="J921" s="391"/>
    </row>
    <row r="922" spans="1:10" ht="12.75">
      <c r="A922" s="646">
        <f t="shared" si="112"/>
        <v>8</v>
      </c>
      <c r="B922" s="646" t="s">
        <v>1385</v>
      </c>
      <c r="C922" s="642" t="s">
        <v>1386</v>
      </c>
      <c r="D922" s="642" t="s">
        <v>1386</v>
      </c>
      <c r="E922" s="642" t="s">
        <v>1386</v>
      </c>
      <c r="F922" s="647">
        <f t="shared" si="111"/>
        <v>0</v>
      </c>
      <c r="G922" s="641">
        <v>0</v>
      </c>
      <c r="H922" s="642" t="s">
        <v>1386</v>
      </c>
      <c r="I922" s="641" t="s">
        <v>1386</v>
      </c>
      <c r="J922" s="391"/>
    </row>
    <row r="923" spans="1:10" ht="12.75">
      <c r="A923" s="646">
        <f t="shared" si="112"/>
        <v>9</v>
      </c>
      <c r="B923" s="646" t="s">
        <v>2061</v>
      </c>
      <c r="C923" s="642" t="s">
        <v>1386</v>
      </c>
      <c r="D923" s="642" t="s">
        <v>1386</v>
      </c>
      <c r="E923" s="642" t="s">
        <v>1386</v>
      </c>
      <c r="F923" s="647">
        <f t="shared" si="111"/>
        <v>0</v>
      </c>
      <c r="G923" s="641">
        <v>0</v>
      </c>
      <c r="H923" s="642" t="s">
        <v>1386</v>
      </c>
      <c r="I923" s="641" t="s">
        <v>1386</v>
      </c>
      <c r="J923" s="391"/>
    </row>
    <row r="924" spans="1:10" ht="12.75">
      <c r="A924" s="646">
        <f t="shared" si="112"/>
        <v>10</v>
      </c>
      <c r="B924" s="646" t="s">
        <v>1680</v>
      </c>
      <c r="C924" s="641">
        <v>200000</v>
      </c>
      <c r="D924" s="641">
        <v>200000</v>
      </c>
      <c r="E924" s="641">
        <v>200000</v>
      </c>
      <c r="F924" s="647">
        <f t="shared" si="111"/>
        <v>600000</v>
      </c>
      <c r="G924" s="641">
        <v>0</v>
      </c>
      <c r="H924" s="641">
        <v>212160</v>
      </c>
      <c r="I924" s="641">
        <v>0</v>
      </c>
      <c r="J924" s="391"/>
    </row>
    <row r="925" spans="1:10" ht="12.75">
      <c r="A925" s="646">
        <f t="shared" si="112"/>
        <v>11</v>
      </c>
      <c r="B925" s="646" t="s">
        <v>1681</v>
      </c>
      <c r="C925" s="641">
        <v>100000</v>
      </c>
      <c r="D925" s="641">
        <v>100000</v>
      </c>
      <c r="E925" s="641">
        <v>100000</v>
      </c>
      <c r="F925" s="647">
        <f t="shared" si="111"/>
        <v>300000</v>
      </c>
      <c r="G925" s="641">
        <v>48000</v>
      </c>
      <c r="H925" s="641">
        <v>106080</v>
      </c>
      <c r="I925" s="641">
        <v>0</v>
      </c>
      <c r="J925" s="391"/>
    </row>
    <row r="926" spans="1:10" ht="12.75">
      <c r="A926" s="646">
        <f t="shared" si="112"/>
        <v>12</v>
      </c>
      <c r="B926" s="646" t="s">
        <v>1682</v>
      </c>
      <c r="C926" s="641">
        <v>3500000</v>
      </c>
      <c r="D926" s="641">
        <v>3500000</v>
      </c>
      <c r="E926" s="641">
        <v>3500000</v>
      </c>
      <c r="F926" s="647">
        <f t="shared" si="111"/>
        <v>10500000</v>
      </c>
      <c r="G926" s="641">
        <v>2092500</v>
      </c>
      <c r="H926" s="641">
        <v>3712800</v>
      </c>
      <c r="I926" s="641">
        <v>1330000</v>
      </c>
      <c r="J926" s="391"/>
    </row>
    <row r="927" spans="1:10" ht="12.75">
      <c r="A927" s="646">
        <f t="shared" si="112"/>
        <v>13</v>
      </c>
      <c r="B927" s="646" t="s">
        <v>2249</v>
      </c>
      <c r="C927" s="641">
        <v>100000</v>
      </c>
      <c r="D927" s="641">
        <v>100000</v>
      </c>
      <c r="E927" s="641">
        <v>100000</v>
      </c>
      <c r="F927" s="647">
        <f t="shared" si="111"/>
        <v>300000</v>
      </c>
      <c r="G927" s="641">
        <v>0</v>
      </c>
      <c r="H927" s="641">
        <v>106080</v>
      </c>
      <c r="I927" s="641">
        <v>0</v>
      </c>
      <c r="J927" s="391"/>
    </row>
    <row r="928" spans="1:10" ht="12.75">
      <c r="A928" s="646">
        <f t="shared" si="112"/>
        <v>14</v>
      </c>
      <c r="B928" s="646" t="s">
        <v>1683</v>
      </c>
      <c r="C928" s="641">
        <v>800000</v>
      </c>
      <c r="D928" s="641">
        <v>800000</v>
      </c>
      <c r="E928" s="641">
        <v>800000</v>
      </c>
      <c r="F928" s="647">
        <f t="shared" si="111"/>
        <v>2400000</v>
      </c>
      <c r="G928" s="641">
        <v>480000</v>
      </c>
      <c r="H928" s="641">
        <v>848640</v>
      </c>
      <c r="I928" s="641">
        <v>0</v>
      </c>
      <c r="J928" s="391"/>
    </row>
    <row r="929" spans="1:10" ht="12.75">
      <c r="A929" s="646">
        <f t="shared" si="112"/>
        <v>15</v>
      </c>
      <c r="B929" s="646" t="s">
        <v>349</v>
      </c>
      <c r="C929" s="641">
        <v>7000000</v>
      </c>
      <c r="D929" s="641">
        <v>7000000</v>
      </c>
      <c r="E929" s="641">
        <v>7000000</v>
      </c>
      <c r="F929" s="647">
        <f t="shared" si="111"/>
        <v>21000000</v>
      </c>
      <c r="G929" s="641">
        <v>6400000</v>
      </c>
      <c r="H929" s="641">
        <v>7425600</v>
      </c>
      <c r="I929" s="641">
        <v>0</v>
      </c>
      <c r="J929" s="391"/>
    </row>
    <row r="930" spans="1:10" ht="12.75">
      <c r="A930" s="646">
        <f t="shared" si="112"/>
        <v>16</v>
      </c>
      <c r="B930" s="646" t="s">
        <v>738</v>
      </c>
      <c r="C930" s="642">
        <v>90000000</v>
      </c>
      <c r="D930" s="642">
        <v>84000000</v>
      </c>
      <c r="E930" s="642">
        <v>84000000</v>
      </c>
      <c r="F930" s="647">
        <f t="shared" si="111"/>
        <v>258000000</v>
      </c>
      <c r="G930" s="641">
        <v>4432000</v>
      </c>
      <c r="H930" s="642">
        <f>130000000-1371200</f>
        <v>128628800</v>
      </c>
      <c r="I930" s="641">
        <f>42180915+8034460+8034460+6025845+8034460+6025845+6025845+8034460</f>
        <v>92396290</v>
      </c>
      <c r="J930" s="391"/>
    </row>
    <row r="931" spans="1:10" ht="12.75">
      <c r="A931" s="646">
        <f t="shared" si="112"/>
        <v>17</v>
      </c>
      <c r="B931" s="646" t="s">
        <v>367</v>
      </c>
      <c r="C931" s="641">
        <v>20000000</v>
      </c>
      <c r="D931" s="641">
        <v>20000000</v>
      </c>
      <c r="E931" s="641">
        <v>20000000</v>
      </c>
      <c r="F931" s="647">
        <f t="shared" si="111"/>
        <v>60000000</v>
      </c>
      <c r="G931" s="641">
        <v>52519373</v>
      </c>
      <c r="H931" s="641">
        <v>21216000</v>
      </c>
      <c r="I931" s="641">
        <v>0</v>
      </c>
      <c r="J931" s="391"/>
    </row>
    <row r="932" spans="1:10" ht="12.75">
      <c r="A932" s="646">
        <f t="shared" si="112"/>
        <v>18</v>
      </c>
      <c r="B932" s="646" t="s">
        <v>757</v>
      </c>
      <c r="C932" s="641">
        <v>1000000</v>
      </c>
      <c r="D932" s="641">
        <v>1000000</v>
      </c>
      <c r="E932" s="641">
        <v>1000000</v>
      </c>
      <c r="F932" s="647">
        <f t="shared" si="111"/>
        <v>3000000</v>
      </c>
      <c r="G932" s="641">
        <v>0</v>
      </c>
      <c r="H932" s="641">
        <v>1060800</v>
      </c>
      <c r="I932" s="641">
        <v>0</v>
      </c>
      <c r="J932" s="391"/>
    </row>
    <row r="933" spans="1:10" ht="12.75">
      <c r="A933" s="646">
        <f t="shared" si="112"/>
        <v>19</v>
      </c>
      <c r="B933" s="646" t="s">
        <v>350</v>
      </c>
      <c r="C933" s="641">
        <v>1000000</v>
      </c>
      <c r="D933" s="641">
        <v>1000000</v>
      </c>
      <c r="E933" s="641">
        <v>1000000</v>
      </c>
      <c r="F933" s="647">
        <f t="shared" si="111"/>
        <v>3000000</v>
      </c>
      <c r="G933" s="641">
        <v>0</v>
      </c>
      <c r="H933" s="641">
        <v>1060800</v>
      </c>
      <c r="I933" s="641">
        <v>0</v>
      </c>
      <c r="J933" s="391"/>
    </row>
    <row r="934" spans="1:10" ht="12.75">
      <c r="A934" s="646">
        <f t="shared" si="112"/>
        <v>20</v>
      </c>
      <c r="B934" s="646" t="s">
        <v>351</v>
      </c>
      <c r="C934" s="641">
        <v>2000000</v>
      </c>
      <c r="D934" s="641">
        <v>2000000</v>
      </c>
      <c r="E934" s="641">
        <v>2000000</v>
      </c>
      <c r="F934" s="647">
        <f t="shared" si="111"/>
        <v>6000000</v>
      </c>
      <c r="G934" s="641">
        <v>0</v>
      </c>
      <c r="H934" s="641">
        <v>2121600</v>
      </c>
      <c r="I934" s="641">
        <v>0</v>
      </c>
      <c r="J934" s="391"/>
    </row>
    <row r="935" spans="1:10" ht="12.75">
      <c r="A935" s="646">
        <f t="shared" si="112"/>
        <v>21</v>
      </c>
      <c r="B935" s="646" t="s">
        <v>4152</v>
      </c>
      <c r="C935" s="641">
        <v>2500000</v>
      </c>
      <c r="D935" s="641">
        <v>45000000</v>
      </c>
      <c r="E935" s="641">
        <v>45000000</v>
      </c>
      <c r="F935" s="647"/>
      <c r="G935" s="641"/>
      <c r="H935" s="641">
        <v>30000000</v>
      </c>
      <c r="I935" s="641"/>
      <c r="J935" s="391"/>
    </row>
    <row r="936" spans="1:10" ht="12.75">
      <c r="A936" s="646"/>
      <c r="B936" s="646"/>
      <c r="C936" s="641"/>
      <c r="D936" s="641"/>
      <c r="E936" s="641"/>
      <c r="F936" s="647"/>
      <c r="G936" s="641"/>
      <c r="H936" s="641"/>
      <c r="I936" s="641"/>
      <c r="J936" s="391"/>
    </row>
    <row r="937" spans="1:10" ht="12.75">
      <c r="A937" s="646" t="s">
        <v>735</v>
      </c>
      <c r="B937" s="651" t="s">
        <v>819</v>
      </c>
      <c r="C937" s="652">
        <f t="shared" ref="C937:I937" si="113">SUM(C916:C936)</f>
        <v>130900000</v>
      </c>
      <c r="D937" s="652">
        <f t="shared" si="113"/>
        <v>168000000</v>
      </c>
      <c r="E937" s="652">
        <f t="shared" si="113"/>
        <v>168000000</v>
      </c>
      <c r="F937" s="652">
        <f t="shared" si="113"/>
        <v>374400000</v>
      </c>
      <c r="G937" s="652">
        <f t="shared" si="113"/>
        <v>67375873</v>
      </c>
      <c r="H937" s="652">
        <f>SUM(H916:H936)</f>
        <v>200000000</v>
      </c>
      <c r="I937" s="652">
        <f t="shared" si="113"/>
        <v>94636290</v>
      </c>
      <c r="J937" s="391"/>
    </row>
    <row r="938" spans="1:10" ht="12.75">
      <c r="A938" s="646"/>
      <c r="B938" s="646"/>
      <c r="C938" s="641"/>
      <c r="D938" s="641"/>
      <c r="E938" s="641"/>
      <c r="F938" s="641"/>
      <c r="G938" s="641"/>
      <c r="H938" s="641"/>
      <c r="I938" s="641"/>
      <c r="J938" s="391"/>
    </row>
    <row r="939" spans="1:10" ht="12.75">
      <c r="A939" s="653"/>
      <c r="B939" s="653" t="s">
        <v>1684</v>
      </c>
      <c r="C939" s="645">
        <f t="shared" ref="C939:I939" si="114">+C937+C914</f>
        <v>954566019.10000002</v>
      </c>
      <c r="D939" s="645">
        <f t="shared" si="114"/>
        <v>1052000000</v>
      </c>
      <c r="E939" s="645">
        <f t="shared" si="114"/>
        <v>1052000000</v>
      </c>
      <c r="F939" s="645">
        <f t="shared" si="114"/>
        <v>2966066019.0999999</v>
      </c>
      <c r="G939" s="645">
        <f t="shared" si="114"/>
        <v>678454965</v>
      </c>
      <c r="H939" s="645">
        <f>+H937+H914</f>
        <v>1084000000</v>
      </c>
      <c r="I939" s="645" t="e">
        <f t="shared" si="114"/>
        <v>#REF!</v>
      </c>
      <c r="J939" s="391"/>
    </row>
    <row r="940" spans="1:10" ht="12.75" customHeight="1">
      <c r="A940" s="391"/>
      <c r="B940" s="391"/>
      <c r="C940" s="647"/>
      <c r="D940" s="647"/>
      <c r="E940" s="647"/>
      <c r="F940" s="647"/>
      <c r="G940" s="647"/>
      <c r="H940" s="647"/>
      <c r="I940" s="391"/>
      <c r="J940" s="391"/>
    </row>
    <row r="941" spans="1:10" ht="12.75" customHeight="1">
      <c r="A941" s="391"/>
      <c r="B941" s="391"/>
      <c r="C941" s="647"/>
      <c r="D941" s="308" t="s">
        <v>5434</v>
      </c>
      <c r="E941" s="647"/>
      <c r="F941" s="647"/>
      <c r="H941" s="647"/>
      <c r="I941" s="391"/>
      <c r="J941" s="391"/>
    </row>
    <row r="942" spans="1:10" ht="12.75" customHeight="1">
      <c r="A942" s="655"/>
      <c r="B942" s="633"/>
      <c r="C942" s="655"/>
      <c r="D942" s="308" t="s">
        <v>716</v>
      </c>
      <c r="E942" s="655"/>
      <c r="F942" s="647"/>
      <c r="H942" s="655"/>
      <c r="I942" s="391"/>
      <c r="J942" s="391"/>
    </row>
    <row r="943" spans="1:10" ht="12.75" customHeight="1">
      <c r="A943" s="655"/>
      <c r="B943" s="633"/>
      <c r="C943" s="655"/>
      <c r="D943" s="308" t="s">
        <v>1424</v>
      </c>
      <c r="E943" s="655"/>
      <c r="F943" s="647"/>
      <c r="H943" s="655"/>
      <c r="I943" s="391"/>
      <c r="J943" s="391"/>
    </row>
    <row r="944" spans="1:10" ht="12.75" customHeight="1">
      <c r="A944" s="655"/>
      <c r="B944" s="655"/>
      <c r="C944" s="655"/>
      <c r="D944" s="307" t="s">
        <v>758</v>
      </c>
      <c r="E944" s="655"/>
      <c r="F944" s="647"/>
      <c r="H944" s="655"/>
      <c r="I944" s="391"/>
      <c r="J944" s="391"/>
    </row>
    <row r="945" spans="1:10" ht="12.75" customHeight="1">
      <c r="A945" s="634" t="s">
        <v>1839</v>
      </c>
      <c r="B945" s="635" t="s">
        <v>903</v>
      </c>
      <c r="C945" s="1037" t="s">
        <v>4127</v>
      </c>
      <c r="D945" s="1038"/>
      <c r="E945" s="1039"/>
      <c r="F945" s="635" t="s">
        <v>1684</v>
      </c>
      <c r="G945" s="1037" t="s">
        <v>4132</v>
      </c>
      <c r="H945" s="1038"/>
      <c r="I945" s="1039"/>
      <c r="J945" s="391"/>
    </row>
    <row r="946" spans="1:10" ht="12.75" customHeight="1">
      <c r="A946" s="636" t="s">
        <v>1620</v>
      </c>
      <c r="B946" s="637"/>
      <c r="C946" s="635" t="s">
        <v>1841</v>
      </c>
      <c r="D946" s="635" t="s">
        <v>4133</v>
      </c>
      <c r="E946" s="635" t="s">
        <v>4133</v>
      </c>
      <c r="F946" s="1056" t="s">
        <v>4200</v>
      </c>
      <c r="G946" s="1051" t="s">
        <v>4201</v>
      </c>
      <c r="H946" s="635" t="s">
        <v>1841</v>
      </c>
      <c r="I946" s="634" t="s">
        <v>4135</v>
      </c>
      <c r="J946" s="391"/>
    </row>
    <row r="947" spans="1:10" ht="12.75" customHeight="1">
      <c r="A947" s="638" t="s">
        <v>387</v>
      </c>
      <c r="B947" s="639"/>
      <c r="C947" s="638">
        <v>2015</v>
      </c>
      <c r="D947" s="638">
        <v>2016</v>
      </c>
      <c r="E947" s="638">
        <v>2017</v>
      </c>
      <c r="F947" s="1057"/>
      <c r="G947" s="1052"/>
      <c r="H947" s="638">
        <v>2014</v>
      </c>
      <c r="I947" s="638" t="s">
        <v>4303</v>
      </c>
      <c r="J947" s="391"/>
    </row>
    <row r="948" spans="1:10" ht="12.75" customHeight="1">
      <c r="A948" s="646" t="s">
        <v>759</v>
      </c>
      <c r="B948" s="646" t="s">
        <v>1693</v>
      </c>
      <c r="C948" s="641">
        <v>28132701.449999999</v>
      </c>
      <c r="D948" s="641">
        <v>30284800</v>
      </c>
      <c r="E948" s="641">
        <v>30284800</v>
      </c>
      <c r="F948" s="647">
        <f>SUM(C948:E948)</f>
        <v>88702301.450000003</v>
      </c>
      <c r="G948" s="641">
        <v>12379917</v>
      </c>
      <c r="H948" s="641">
        <v>30284800</v>
      </c>
      <c r="I948" s="641" t="e">
        <f>#REF!</f>
        <v>#REF!</v>
      </c>
      <c r="J948" s="391"/>
    </row>
    <row r="949" spans="1:10" ht="12.75" customHeight="1">
      <c r="A949" s="646"/>
      <c r="B949" s="646"/>
      <c r="C949" s="641"/>
      <c r="D949" s="641"/>
      <c r="E949" s="641"/>
      <c r="F949" s="647"/>
      <c r="G949" s="641"/>
      <c r="H949" s="641"/>
      <c r="I949" s="641"/>
      <c r="J949" s="391"/>
    </row>
    <row r="950" spans="1:10" ht="12.75" customHeight="1">
      <c r="A950" s="646">
        <v>2</v>
      </c>
      <c r="B950" s="646" t="s">
        <v>1695</v>
      </c>
      <c r="C950" s="641">
        <v>1500000</v>
      </c>
      <c r="D950" s="641">
        <v>1560000</v>
      </c>
      <c r="E950" s="641">
        <v>1560000</v>
      </c>
      <c r="F950" s="647">
        <f t="shared" ref="F950:F961" si="115">SUM(C950:E950)</f>
        <v>4620000</v>
      </c>
      <c r="G950" s="641">
        <v>0</v>
      </c>
      <c r="H950" s="641">
        <v>1591200</v>
      </c>
      <c r="I950" s="641"/>
      <c r="J950" s="391"/>
    </row>
    <row r="951" spans="1:10" ht="12.75" customHeight="1">
      <c r="A951" s="646">
        <f t="shared" ref="A951:A963" si="116">A950+1</f>
        <v>3</v>
      </c>
      <c r="B951" s="646" t="s">
        <v>1696</v>
      </c>
      <c r="C951" s="641">
        <f t="shared" ref="C951:C957" si="117">E951*1.02</f>
        <v>0</v>
      </c>
      <c r="D951" s="641">
        <v>0</v>
      </c>
      <c r="E951" s="641">
        <v>0</v>
      </c>
      <c r="F951" s="647">
        <f t="shared" si="115"/>
        <v>0</v>
      </c>
      <c r="G951" s="642" t="s">
        <v>1386</v>
      </c>
      <c r="H951" s="641">
        <v>0</v>
      </c>
      <c r="I951" s="642"/>
      <c r="J951" s="391"/>
    </row>
    <row r="952" spans="1:10" ht="12.75" customHeight="1">
      <c r="A952" s="646">
        <f t="shared" si="116"/>
        <v>4</v>
      </c>
      <c r="B952" s="646" t="s">
        <v>1701</v>
      </c>
      <c r="C952" s="641">
        <f t="shared" si="117"/>
        <v>0</v>
      </c>
      <c r="D952" s="641">
        <v>0</v>
      </c>
      <c r="E952" s="641">
        <v>0</v>
      </c>
      <c r="F952" s="647">
        <f t="shared" si="115"/>
        <v>0</v>
      </c>
      <c r="G952" s="642" t="s">
        <v>1386</v>
      </c>
      <c r="H952" s="641">
        <v>0</v>
      </c>
      <c r="I952" s="642"/>
      <c r="J952" s="391"/>
    </row>
    <row r="953" spans="1:10" ht="12.75" customHeight="1">
      <c r="A953" s="646">
        <f t="shared" si="116"/>
        <v>5</v>
      </c>
      <c r="B953" s="646" t="s">
        <v>1702</v>
      </c>
      <c r="C953" s="641">
        <v>600000</v>
      </c>
      <c r="D953" s="641">
        <v>832000</v>
      </c>
      <c r="E953" s="641">
        <v>832000</v>
      </c>
      <c r="F953" s="647">
        <f t="shared" si="115"/>
        <v>2264000</v>
      </c>
      <c r="G953" s="641">
        <v>250000</v>
      </c>
      <c r="H953" s="641">
        <v>848640</v>
      </c>
      <c r="I953" s="641"/>
      <c r="J953" s="391"/>
    </row>
    <row r="954" spans="1:10" ht="12.75" customHeight="1">
      <c r="A954" s="646">
        <f t="shared" si="116"/>
        <v>6</v>
      </c>
      <c r="B954" s="646" t="s">
        <v>1544</v>
      </c>
      <c r="C954" s="641">
        <v>500000</v>
      </c>
      <c r="D954" s="641">
        <v>520000</v>
      </c>
      <c r="E954" s="641">
        <v>520000</v>
      </c>
      <c r="F954" s="647">
        <f t="shared" si="115"/>
        <v>1540000</v>
      </c>
      <c r="G954" s="641">
        <v>54050</v>
      </c>
      <c r="H954" s="641">
        <v>530400</v>
      </c>
      <c r="I954" s="641"/>
      <c r="J954" s="391"/>
    </row>
    <row r="955" spans="1:10" ht="12.75" customHeight="1">
      <c r="A955" s="646">
        <f t="shared" si="116"/>
        <v>7</v>
      </c>
      <c r="B955" s="646" t="s">
        <v>897</v>
      </c>
      <c r="C955" s="641">
        <v>700000</v>
      </c>
      <c r="D955" s="641">
        <v>728000</v>
      </c>
      <c r="E955" s="641">
        <v>728000</v>
      </c>
      <c r="F955" s="647">
        <f t="shared" si="115"/>
        <v>2156000</v>
      </c>
      <c r="G955" s="641">
        <v>254000</v>
      </c>
      <c r="H955" s="641">
        <v>742560</v>
      </c>
      <c r="I955" s="641"/>
      <c r="J955" s="391"/>
    </row>
    <row r="956" spans="1:10" ht="12.75" customHeight="1">
      <c r="A956" s="646">
        <f t="shared" si="116"/>
        <v>8</v>
      </c>
      <c r="B956" s="646" t="s">
        <v>1385</v>
      </c>
      <c r="C956" s="641">
        <f t="shared" si="117"/>
        <v>0</v>
      </c>
      <c r="D956" s="641">
        <v>0</v>
      </c>
      <c r="E956" s="641">
        <v>0</v>
      </c>
      <c r="F956" s="647">
        <f t="shared" si="115"/>
        <v>0</v>
      </c>
      <c r="G956" s="642" t="s">
        <v>1386</v>
      </c>
      <c r="H956" s="641">
        <v>0</v>
      </c>
      <c r="I956" s="642"/>
      <c r="J956" s="391"/>
    </row>
    <row r="957" spans="1:10" ht="12.75" customHeight="1">
      <c r="A957" s="646">
        <f t="shared" si="116"/>
        <v>9</v>
      </c>
      <c r="B957" s="646" t="s">
        <v>2061</v>
      </c>
      <c r="C957" s="641">
        <f t="shared" si="117"/>
        <v>0</v>
      </c>
      <c r="D957" s="641">
        <v>0</v>
      </c>
      <c r="E957" s="641">
        <v>0</v>
      </c>
      <c r="F957" s="647">
        <f t="shared" si="115"/>
        <v>0</v>
      </c>
      <c r="G957" s="642" t="s">
        <v>1386</v>
      </c>
      <c r="H957" s="641">
        <v>0</v>
      </c>
      <c r="I957" s="642"/>
      <c r="J957" s="391"/>
    </row>
    <row r="958" spans="1:10" ht="12.75" customHeight="1">
      <c r="A958" s="646">
        <f t="shared" si="116"/>
        <v>10</v>
      </c>
      <c r="B958" s="646" t="s">
        <v>1680</v>
      </c>
      <c r="C958" s="641">
        <v>300000</v>
      </c>
      <c r="D958" s="641">
        <v>520000</v>
      </c>
      <c r="E958" s="641">
        <v>520000</v>
      </c>
      <c r="F958" s="647">
        <f t="shared" si="115"/>
        <v>1340000</v>
      </c>
      <c r="G958" s="642">
        <v>150000</v>
      </c>
      <c r="H958" s="641">
        <v>530400</v>
      </c>
      <c r="I958" s="642"/>
      <c r="J958" s="391"/>
    </row>
    <row r="959" spans="1:10" ht="12.75" customHeight="1">
      <c r="A959" s="646">
        <f t="shared" si="116"/>
        <v>11</v>
      </c>
      <c r="B959" s="646" t="s">
        <v>1681</v>
      </c>
      <c r="C959" s="641">
        <v>100000</v>
      </c>
      <c r="D959" s="641">
        <v>104000</v>
      </c>
      <c r="E959" s="641">
        <v>104000</v>
      </c>
      <c r="F959" s="647">
        <f t="shared" si="115"/>
        <v>308000</v>
      </c>
      <c r="G959" s="641">
        <v>41000</v>
      </c>
      <c r="H959" s="641">
        <v>106080</v>
      </c>
      <c r="I959" s="641"/>
      <c r="J959" s="391"/>
    </row>
    <row r="960" spans="1:10" ht="12.75" customHeight="1">
      <c r="A960" s="646">
        <f t="shared" si="116"/>
        <v>12</v>
      </c>
      <c r="B960" s="646" t="s">
        <v>1682</v>
      </c>
      <c r="C960" s="641">
        <v>2500000</v>
      </c>
      <c r="D960" s="641">
        <v>3120000</v>
      </c>
      <c r="E960" s="641">
        <v>3120000</v>
      </c>
      <c r="F960" s="647">
        <f t="shared" si="115"/>
        <v>8740000</v>
      </c>
      <c r="G960" s="641">
        <v>684480.5</v>
      </c>
      <c r="H960" s="641">
        <f>3182400-149760</f>
        <v>3032640</v>
      </c>
      <c r="I960" s="641"/>
      <c r="J960" s="391"/>
    </row>
    <row r="961" spans="1:11" ht="12.75" customHeight="1">
      <c r="A961" s="646">
        <f t="shared" si="116"/>
        <v>13</v>
      </c>
      <c r="B961" s="646" t="s">
        <v>2249</v>
      </c>
      <c r="C961" s="641">
        <v>100000</v>
      </c>
      <c r="D961" s="641">
        <v>104000</v>
      </c>
      <c r="E961" s="641">
        <v>104000</v>
      </c>
      <c r="F961" s="647">
        <f t="shared" si="115"/>
        <v>308000</v>
      </c>
      <c r="G961" s="642">
        <v>0</v>
      </c>
      <c r="H961" s="641">
        <v>106080</v>
      </c>
      <c r="I961" s="642"/>
      <c r="J961" s="391"/>
    </row>
    <row r="962" spans="1:11" ht="12.75" customHeight="1">
      <c r="A962" s="646">
        <f t="shared" si="116"/>
        <v>14</v>
      </c>
      <c r="B962" s="646" t="s">
        <v>756</v>
      </c>
      <c r="C962" s="641">
        <v>200000</v>
      </c>
      <c r="D962" s="641"/>
      <c r="E962" s="641"/>
      <c r="F962" s="647"/>
      <c r="G962" s="641">
        <v>0</v>
      </c>
      <c r="H962" s="641"/>
      <c r="I962" s="641"/>
      <c r="J962" s="391"/>
    </row>
    <row r="963" spans="1:11" ht="12.75" customHeight="1">
      <c r="A963" s="646">
        <f t="shared" si="116"/>
        <v>15</v>
      </c>
      <c r="B963" s="646" t="s">
        <v>27</v>
      </c>
      <c r="C963" s="642"/>
      <c r="D963" s="642"/>
      <c r="E963" s="642"/>
      <c r="F963" s="647"/>
      <c r="G963" s="642">
        <v>592240</v>
      </c>
      <c r="H963" s="642"/>
      <c r="I963" s="642"/>
      <c r="J963" s="391"/>
    </row>
    <row r="964" spans="1:11" ht="12.75" customHeight="1">
      <c r="A964" s="646" t="s">
        <v>760</v>
      </c>
      <c r="B964" s="651" t="s">
        <v>819</v>
      </c>
      <c r="C964" s="652">
        <f t="shared" ref="C964:I964" si="118">SUM(C950:C963)</f>
        <v>6500000</v>
      </c>
      <c r="D964" s="652">
        <f t="shared" si="118"/>
        <v>7488000</v>
      </c>
      <c r="E964" s="652">
        <f t="shared" si="118"/>
        <v>7488000</v>
      </c>
      <c r="F964" s="652">
        <f t="shared" si="118"/>
        <v>21276000</v>
      </c>
      <c r="G964" s="652">
        <f t="shared" si="118"/>
        <v>2025770.5</v>
      </c>
      <c r="H964" s="652">
        <f>SUM(H950:H963)</f>
        <v>7488000</v>
      </c>
      <c r="I964" s="652">
        <f t="shared" si="118"/>
        <v>0</v>
      </c>
      <c r="J964" s="391"/>
      <c r="K964" s="657">
        <f>7488000-H964</f>
        <v>0</v>
      </c>
    </row>
    <row r="965" spans="1:11" ht="12.75" customHeight="1">
      <c r="A965" s="646"/>
      <c r="B965" s="646"/>
      <c r="C965" s="641"/>
      <c r="D965" s="641"/>
      <c r="E965" s="641"/>
      <c r="F965" s="641"/>
      <c r="G965" s="641"/>
      <c r="H965" s="641"/>
      <c r="I965" s="641"/>
      <c r="J965" s="391"/>
    </row>
    <row r="966" spans="1:11" ht="12.75" customHeight="1">
      <c r="A966" s="653"/>
      <c r="B966" s="653" t="s">
        <v>1684</v>
      </c>
      <c r="C966" s="645">
        <f t="shared" ref="C966:I966" si="119">+C964+C948</f>
        <v>34632701.450000003</v>
      </c>
      <c r="D966" s="645">
        <f t="shared" si="119"/>
        <v>37772800</v>
      </c>
      <c r="E966" s="645">
        <f t="shared" si="119"/>
        <v>37772800</v>
      </c>
      <c r="F966" s="645">
        <f t="shared" si="119"/>
        <v>109978301.45</v>
      </c>
      <c r="G966" s="645">
        <f t="shared" si="119"/>
        <v>14405687.5</v>
      </c>
      <c r="H966" s="645">
        <f>+H964+H948</f>
        <v>37772800</v>
      </c>
      <c r="I966" s="645" t="e">
        <f t="shared" si="119"/>
        <v>#REF!</v>
      </c>
      <c r="J966" s="391"/>
    </row>
    <row r="967" spans="1:11" ht="12.75" customHeight="1">
      <c r="A967" s="391"/>
      <c r="B967" s="391"/>
      <c r="C967" s="647"/>
      <c r="D967" s="647"/>
      <c r="E967" s="647"/>
      <c r="F967" s="647"/>
      <c r="G967" s="647"/>
      <c r="H967" s="647"/>
      <c r="I967" s="391"/>
      <c r="J967" s="391"/>
    </row>
    <row r="968" spans="1:11" ht="12.75" customHeight="1">
      <c r="A968" s="391"/>
      <c r="B968" s="391"/>
      <c r="C968" s="647"/>
      <c r="D968" s="308" t="s">
        <v>5434</v>
      </c>
      <c r="E968" s="647"/>
      <c r="F968" s="647"/>
      <c r="H968" s="647"/>
      <c r="I968" s="391"/>
      <c r="J968" s="391"/>
    </row>
    <row r="969" spans="1:11" ht="12.75" customHeight="1">
      <c r="A969" s="655"/>
      <c r="B969" s="633"/>
      <c r="C969" s="655"/>
      <c r="D969" s="308" t="s">
        <v>716</v>
      </c>
      <c r="E969" s="655"/>
      <c r="F969" s="647"/>
      <c r="H969" s="655"/>
      <c r="I969" s="391"/>
      <c r="J969" s="391"/>
    </row>
    <row r="970" spans="1:11" ht="12.75" customHeight="1">
      <c r="A970" s="655"/>
      <c r="B970" s="633"/>
      <c r="C970" s="655"/>
      <c r="D970" s="308" t="s">
        <v>585</v>
      </c>
      <c r="E970" s="655"/>
      <c r="F970" s="647"/>
      <c r="H970" s="655"/>
      <c r="I970" s="391"/>
      <c r="J970" s="391"/>
    </row>
    <row r="971" spans="1:11" ht="12.75" customHeight="1">
      <c r="A971" s="655"/>
      <c r="B971" s="655"/>
      <c r="C971" s="655"/>
      <c r="D971" s="307" t="s">
        <v>586</v>
      </c>
      <c r="E971" s="655"/>
      <c r="F971" s="647"/>
      <c r="H971" s="655"/>
      <c r="I971" s="391"/>
      <c r="J971" s="391"/>
    </row>
    <row r="972" spans="1:11" ht="12.75" customHeight="1">
      <c r="A972" s="634" t="s">
        <v>1839</v>
      </c>
      <c r="B972" s="635" t="s">
        <v>903</v>
      </c>
      <c r="C972" s="1037" t="s">
        <v>4127</v>
      </c>
      <c r="D972" s="1038"/>
      <c r="E972" s="1039"/>
      <c r="F972" s="635" t="s">
        <v>1684</v>
      </c>
      <c r="G972" s="1037" t="s">
        <v>4132</v>
      </c>
      <c r="H972" s="1038"/>
      <c r="I972" s="1039"/>
      <c r="J972" s="391"/>
    </row>
    <row r="973" spans="1:11" ht="12.75" customHeight="1">
      <c r="A973" s="636" t="s">
        <v>1620</v>
      </c>
      <c r="B973" s="637"/>
      <c r="C973" s="635" t="s">
        <v>1841</v>
      </c>
      <c r="D973" s="635" t="s">
        <v>4133</v>
      </c>
      <c r="E973" s="635" t="s">
        <v>4133</v>
      </c>
      <c r="F973" s="1056" t="s">
        <v>4200</v>
      </c>
      <c r="G973" s="1051" t="s">
        <v>4201</v>
      </c>
      <c r="H973" s="635" t="s">
        <v>1841</v>
      </c>
      <c r="I973" s="634" t="s">
        <v>4135</v>
      </c>
      <c r="J973" s="391"/>
    </row>
    <row r="974" spans="1:11" ht="12.75" customHeight="1">
      <c r="A974" s="638" t="s">
        <v>387</v>
      </c>
      <c r="B974" s="639"/>
      <c r="C974" s="638">
        <v>2015</v>
      </c>
      <c r="D974" s="638">
        <v>2016</v>
      </c>
      <c r="E974" s="638">
        <v>2017</v>
      </c>
      <c r="F974" s="1057"/>
      <c r="G974" s="1052"/>
      <c r="H974" s="638">
        <v>2014</v>
      </c>
      <c r="I974" s="638" t="s">
        <v>4303</v>
      </c>
      <c r="J974" s="391"/>
    </row>
    <row r="975" spans="1:11" ht="12.75" customHeight="1">
      <c r="A975" s="646" t="s">
        <v>587</v>
      </c>
      <c r="B975" s="646" t="s">
        <v>1693</v>
      </c>
      <c r="C975" s="641">
        <v>22662009.949999999</v>
      </c>
      <c r="D975" s="641">
        <v>11710400</v>
      </c>
      <c r="E975" s="641">
        <v>11710400</v>
      </c>
      <c r="F975" s="647">
        <f>SUM(C975:E975)</f>
        <v>46082809.950000003</v>
      </c>
      <c r="G975" s="641">
        <v>10960173</v>
      </c>
      <c r="H975" s="641">
        <v>25000000</v>
      </c>
      <c r="I975" s="641" t="e">
        <f>#REF!</f>
        <v>#REF!</v>
      </c>
      <c r="J975" s="391"/>
    </row>
    <row r="976" spans="1:11" ht="12.75" customHeight="1">
      <c r="A976" s="646"/>
      <c r="B976" s="646"/>
      <c r="C976" s="641"/>
      <c r="D976" s="641"/>
      <c r="E976" s="641"/>
      <c r="F976" s="647"/>
      <c r="G976" s="641"/>
      <c r="H976" s="641"/>
      <c r="I976" s="641"/>
      <c r="J976" s="391"/>
    </row>
    <row r="977" spans="1:10" ht="12.75" customHeight="1">
      <c r="A977" s="646">
        <v>2</v>
      </c>
      <c r="B977" s="646" t="s">
        <v>1695</v>
      </c>
      <c r="C977" s="641">
        <v>1500000</v>
      </c>
      <c r="D977" s="641">
        <v>1000000</v>
      </c>
      <c r="E977" s="641">
        <v>1000000</v>
      </c>
      <c r="F977" s="647">
        <f t="shared" ref="F977:F989" si="120">SUM(C977:E977)</f>
        <v>3500000</v>
      </c>
      <c r="G977" s="641">
        <v>191000</v>
      </c>
      <c r="H977" s="641">
        <v>1060800</v>
      </c>
      <c r="I977" s="641">
        <v>524000</v>
      </c>
      <c r="J977" s="391"/>
    </row>
    <row r="978" spans="1:10" ht="12.75" customHeight="1">
      <c r="A978" s="646">
        <f t="shared" ref="A978:A989" si="121">A977+1</f>
        <v>3</v>
      </c>
      <c r="B978" s="646" t="s">
        <v>1696</v>
      </c>
      <c r="C978" s="642" t="s">
        <v>1386</v>
      </c>
      <c r="D978" s="641">
        <v>100000</v>
      </c>
      <c r="E978" s="641">
        <v>100000</v>
      </c>
      <c r="F978" s="647">
        <f t="shared" si="120"/>
        <v>200000</v>
      </c>
      <c r="G978" s="642">
        <v>79000</v>
      </c>
      <c r="H978" s="641">
        <v>106080</v>
      </c>
      <c r="I978" s="641">
        <v>220800</v>
      </c>
      <c r="J978" s="391"/>
    </row>
    <row r="979" spans="1:10" ht="12.75" customHeight="1">
      <c r="A979" s="646">
        <f t="shared" si="121"/>
        <v>4</v>
      </c>
      <c r="B979" s="646" t="s">
        <v>1701</v>
      </c>
      <c r="C979" s="642" t="s">
        <v>1386</v>
      </c>
      <c r="D979" s="642" t="s">
        <v>1386</v>
      </c>
      <c r="E979" s="642" t="s">
        <v>1386</v>
      </c>
      <c r="F979" s="647">
        <f t="shared" si="120"/>
        <v>0</v>
      </c>
      <c r="G979" s="642" t="s">
        <v>1386</v>
      </c>
      <c r="H979" s="642" t="s">
        <v>1386</v>
      </c>
      <c r="I979" s="642"/>
      <c r="J979" s="391"/>
    </row>
    <row r="980" spans="1:10" ht="12.75" customHeight="1">
      <c r="A980" s="646">
        <f t="shared" si="121"/>
        <v>5</v>
      </c>
      <c r="B980" s="646" t="s">
        <v>1702</v>
      </c>
      <c r="C980" s="641">
        <v>600000</v>
      </c>
      <c r="D980" s="641">
        <v>600000</v>
      </c>
      <c r="E980" s="641">
        <v>600000</v>
      </c>
      <c r="F980" s="647">
        <f t="shared" si="120"/>
        <v>1800000</v>
      </c>
      <c r="G980" s="642">
        <v>198000</v>
      </c>
      <c r="H980" s="641">
        <v>636480</v>
      </c>
      <c r="I980" s="642">
        <v>248900</v>
      </c>
      <c r="J980" s="391"/>
    </row>
    <row r="981" spans="1:10" ht="12.75" customHeight="1">
      <c r="A981" s="646">
        <f t="shared" si="121"/>
        <v>6</v>
      </c>
      <c r="B981" s="646" t="s">
        <v>1544</v>
      </c>
      <c r="C981" s="641">
        <v>500000</v>
      </c>
      <c r="D981" s="641">
        <v>500000</v>
      </c>
      <c r="E981" s="641">
        <v>500000</v>
      </c>
      <c r="F981" s="647">
        <f t="shared" si="120"/>
        <v>1500000</v>
      </c>
      <c r="G981" s="642">
        <v>0</v>
      </c>
      <c r="H981" s="641">
        <v>530400</v>
      </c>
      <c r="I981" s="642">
        <v>335900</v>
      </c>
      <c r="J981" s="391"/>
    </row>
    <row r="982" spans="1:10" ht="12.75" customHeight="1">
      <c r="A982" s="646">
        <f t="shared" si="121"/>
        <v>7</v>
      </c>
      <c r="B982" s="646" t="s">
        <v>897</v>
      </c>
      <c r="C982" s="641">
        <v>1000000</v>
      </c>
      <c r="D982" s="641">
        <v>800000</v>
      </c>
      <c r="E982" s="641">
        <v>800000</v>
      </c>
      <c r="F982" s="647">
        <f t="shared" si="120"/>
        <v>2600000</v>
      </c>
      <c r="G982" s="642">
        <v>669200</v>
      </c>
      <c r="H982" s="641">
        <v>848640</v>
      </c>
      <c r="I982" s="642">
        <v>464800</v>
      </c>
      <c r="J982" s="391"/>
    </row>
    <row r="983" spans="1:10" ht="12.75" customHeight="1">
      <c r="A983" s="646">
        <f t="shared" si="121"/>
        <v>8</v>
      </c>
      <c r="B983" s="646" t="s">
        <v>1385</v>
      </c>
      <c r="C983" s="642" t="s">
        <v>1386</v>
      </c>
      <c r="D983" s="642" t="s">
        <v>1386</v>
      </c>
      <c r="E983" s="642" t="s">
        <v>1386</v>
      </c>
      <c r="F983" s="647">
        <f t="shared" si="120"/>
        <v>0</v>
      </c>
      <c r="G983" s="642" t="s">
        <v>1386</v>
      </c>
      <c r="H983" s="642" t="s">
        <v>1386</v>
      </c>
      <c r="I983" s="642"/>
      <c r="J983" s="391"/>
    </row>
    <row r="984" spans="1:10" ht="12.75" customHeight="1">
      <c r="A984" s="646">
        <f t="shared" si="121"/>
        <v>9</v>
      </c>
      <c r="B984" s="646" t="s">
        <v>2061</v>
      </c>
      <c r="C984" s="642" t="s">
        <v>1386</v>
      </c>
      <c r="D984" s="642" t="s">
        <v>1386</v>
      </c>
      <c r="E984" s="642" t="s">
        <v>1386</v>
      </c>
      <c r="F984" s="647">
        <f t="shared" si="120"/>
        <v>0</v>
      </c>
      <c r="G984" s="642" t="s">
        <v>1386</v>
      </c>
      <c r="H984" s="642" t="s">
        <v>1386</v>
      </c>
      <c r="I984" s="642"/>
      <c r="J984" s="391"/>
    </row>
    <row r="985" spans="1:10" ht="12.75" customHeight="1">
      <c r="A985" s="646">
        <f t="shared" si="121"/>
        <v>10</v>
      </c>
      <c r="B985" s="646" t="s">
        <v>2960</v>
      </c>
      <c r="C985" s="641">
        <v>200000</v>
      </c>
      <c r="D985" s="641">
        <v>500000</v>
      </c>
      <c r="E985" s="641">
        <v>500000</v>
      </c>
      <c r="F985" s="647">
        <f t="shared" si="120"/>
        <v>1200000</v>
      </c>
      <c r="G985" s="642">
        <v>0</v>
      </c>
      <c r="H985" s="641">
        <v>530400</v>
      </c>
      <c r="I985" s="642"/>
      <c r="J985" s="391"/>
    </row>
    <row r="986" spans="1:10" ht="12.75" customHeight="1">
      <c r="A986" s="646">
        <f t="shared" si="121"/>
        <v>11</v>
      </c>
      <c r="B986" s="646" t="s">
        <v>1681</v>
      </c>
      <c r="C986" s="641">
        <v>100000</v>
      </c>
      <c r="D986" s="641">
        <v>100000</v>
      </c>
      <c r="E986" s="641">
        <v>100000</v>
      </c>
      <c r="F986" s="647">
        <f t="shared" si="120"/>
        <v>300000</v>
      </c>
      <c r="G986" s="642">
        <v>100000</v>
      </c>
      <c r="H986" s="641">
        <v>106080</v>
      </c>
      <c r="I986" s="642">
        <v>53400</v>
      </c>
      <c r="J986" s="391"/>
    </row>
    <row r="987" spans="1:10" ht="12.75" customHeight="1">
      <c r="A987" s="646">
        <f t="shared" si="121"/>
        <v>12</v>
      </c>
      <c r="B987" s="646" t="s">
        <v>1682</v>
      </c>
      <c r="C987" s="641">
        <v>2000000</v>
      </c>
      <c r="D987" s="641">
        <v>3000000</v>
      </c>
      <c r="E987" s="641">
        <v>3000000</v>
      </c>
      <c r="F987" s="647">
        <f t="shared" si="120"/>
        <v>8000000</v>
      </c>
      <c r="G987" s="642">
        <v>163413.9</v>
      </c>
      <c r="H987" s="641">
        <f>3182400-156000</f>
        <v>3026400</v>
      </c>
      <c r="I987" s="642">
        <v>996157.7</v>
      </c>
      <c r="J987" s="391"/>
    </row>
    <row r="988" spans="1:10" ht="12.75" customHeight="1">
      <c r="A988" s="646">
        <f t="shared" si="121"/>
        <v>13</v>
      </c>
      <c r="B988" s="646" t="s">
        <v>352</v>
      </c>
      <c r="C988" s="641">
        <v>100000</v>
      </c>
      <c r="D988" s="641">
        <v>100000</v>
      </c>
      <c r="E988" s="641">
        <v>100000</v>
      </c>
      <c r="F988" s="647">
        <f t="shared" si="120"/>
        <v>300000</v>
      </c>
      <c r="G988" s="642">
        <v>0</v>
      </c>
      <c r="H988" s="641">
        <v>106080</v>
      </c>
      <c r="I988" s="642"/>
      <c r="J988" s="391"/>
    </row>
    <row r="989" spans="1:10" ht="12.75" customHeight="1">
      <c r="A989" s="646">
        <f t="shared" si="121"/>
        <v>14</v>
      </c>
      <c r="B989" s="646" t="s">
        <v>3018</v>
      </c>
      <c r="C989" s="641">
        <v>500000</v>
      </c>
      <c r="D989" s="641">
        <v>800000</v>
      </c>
      <c r="E989" s="641">
        <v>800000</v>
      </c>
      <c r="F989" s="647">
        <f t="shared" si="120"/>
        <v>2100000</v>
      </c>
      <c r="G989" s="642">
        <v>0</v>
      </c>
      <c r="H989" s="641">
        <v>848640</v>
      </c>
      <c r="I989" s="642"/>
      <c r="J989" s="391"/>
    </row>
    <row r="990" spans="1:10" ht="12.75" customHeight="1">
      <c r="A990" s="646"/>
      <c r="B990" s="646"/>
      <c r="C990" s="642"/>
      <c r="D990" s="642"/>
      <c r="E990" s="642"/>
      <c r="F990" s="647"/>
      <c r="G990" s="642"/>
      <c r="H990" s="642"/>
      <c r="I990" s="642"/>
      <c r="J990" s="391"/>
    </row>
    <row r="991" spans="1:10" ht="12.75" customHeight="1">
      <c r="A991" s="646" t="s">
        <v>588</v>
      </c>
      <c r="B991" s="651" t="s">
        <v>819</v>
      </c>
      <c r="C991" s="652">
        <f t="shared" ref="C991:I991" si="122">SUM(C977:C990)</f>
        <v>6500000</v>
      </c>
      <c r="D991" s="652">
        <f t="shared" si="122"/>
        <v>7500000</v>
      </c>
      <c r="E991" s="652">
        <f t="shared" si="122"/>
        <v>7500000</v>
      </c>
      <c r="F991" s="652">
        <f t="shared" si="122"/>
        <v>21500000</v>
      </c>
      <c r="G991" s="652">
        <f t="shared" si="122"/>
        <v>1400613.9</v>
      </c>
      <c r="H991" s="652">
        <f>SUM(H977:H990)</f>
        <v>7800000</v>
      </c>
      <c r="I991" s="652">
        <f t="shared" si="122"/>
        <v>2843957.7</v>
      </c>
      <c r="J991" s="391"/>
    </row>
    <row r="992" spans="1:10" ht="12.75" customHeight="1">
      <c r="A992" s="646"/>
      <c r="B992" s="646"/>
      <c r="C992" s="641"/>
      <c r="D992" s="641"/>
      <c r="E992" s="641"/>
      <c r="F992" s="641"/>
      <c r="G992" s="641"/>
      <c r="H992" s="641"/>
      <c r="I992" s="641"/>
      <c r="J992" s="391"/>
    </row>
    <row r="993" spans="1:10" ht="12.75" customHeight="1">
      <c r="A993" s="653"/>
      <c r="B993" s="653" t="s">
        <v>1684</v>
      </c>
      <c r="C993" s="645">
        <f t="shared" ref="C993:I993" si="123">+C991+C975</f>
        <v>29162009.949999999</v>
      </c>
      <c r="D993" s="645">
        <f t="shared" si="123"/>
        <v>19210400</v>
      </c>
      <c r="E993" s="645">
        <f t="shared" si="123"/>
        <v>19210400</v>
      </c>
      <c r="F993" s="645">
        <f t="shared" si="123"/>
        <v>67582809.950000003</v>
      </c>
      <c r="G993" s="645">
        <f t="shared" si="123"/>
        <v>12360786.9</v>
      </c>
      <c r="H993" s="645">
        <f>+H991+H975</f>
        <v>32800000</v>
      </c>
      <c r="I993" s="645" t="e">
        <f t="shared" si="123"/>
        <v>#REF!</v>
      </c>
      <c r="J993" s="391"/>
    </row>
    <row r="994" spans="1:10" ht="12.75" customHeight="1">
      <c r="A994" s="391"/>
      <c r="B994" s="391"/>
      <c r="C994" s="647"/>
      <c r="D994" s="647"/>
      <c r="E994" s="647"/>
      <c r="F994" s="647"/>
      <c r="G994" s="647"/>
      <c r="H994" s="647"/>
      <c r="I994" s="391"/>
      <c r="J994" s="391"/>
    </row>
    <row r="995" spans="1:10" ht="12.75" customHeight="1">
      <c r="A995" s="391"/>
      <c r="B995" s="391"/>
      <c r="C995" s="647"/>
      <c r="D995" s="308" t="s">
        <v>5434</v>
      </c>
      <c r="E995" s="647"/>
      <c r="F995" s="647"/>
      <c r="H995" s="647"/>
      <c r="I995" s="391"/>
      <c r="J995" s="391"/>
    </row>
    <row r="996" spans="1:10" ht="12.75" customHeight="1">
      <c r="A996" s="655"/>
      <c r="B996" s="633"/>
      <c r="C996" s="655"/>
      <c r="D996" s="308" t="s">
        <v>716</v>
      </c>
      <c r="E996" s="655"/>
      <c r="F996" s="647"/>
      <c r="H996" s="655"/>
      <c r="I996" s="391"/>
      <c r="J996" s="391"/>
    </row>
    <row r="997" spans="1:10" ht="12.75" customHeight="1">
      <c r="A997" s="655"/>
      <c r="B997" s="633"/>
      <c r="C997" s="655"/>
      <c r="D997" s="308" t="s">
        <v>589</v>
      </c>
      <c r="E997" s="655"/>
      <c r="F997" s="647"/>
      <c r="H997" s="655"/>
      <c r="I997" s="391"/>
      <c r="J997" s="391"/>
    </row>
    <row r="998" spans="1:10" ht="12.75" customHeight="1">
      <c r="A998" s="655"/>
      <c r="B998" s="655"/>
      <c r="C998" s="655"/>
      <c r="D998" s="307" t="s">
        <v>590</v>
      </c>
      <c r="E998" s="655"/>
      <c r="F998" s="647"/>
      <c r="H998" s="655"/>
      <c r="I998" s="391"/>
      <c r="J998" s="391"/>
    </row>
    <row r="999" spans="1:10" ht="12.75" customHeight="1">
      <c r="A999" s="634" t="s">
        <v>1839</v>
      </c>
      <c r="B999" s="635" t="s">
        <v>903</v>
      </c>
      <c r="C999" s="1037" t="s">
        <v>4127</v>
      </c>
      <c r="D999" s="1038"/>
      <c r="E999" s="1039"/>
      <c r="F999" s="635" t="s">
        <v>1684</v>
      </c>
      <c r="G999" s="1037" t="s">
        <v>4132</v>
      </c>
      <c r="H999" s="1038"/>
      <c r="I999" s="1039"/>
      <c r="J999" s="391"/>
    </row>
    <row r="1000" spans="1:10" ht="12.75" customHeight="1">
      <c r="A1000" s="636" t="s">
        <v>1620</v>
      </c>
      <c r="B1000" s="637"/>
      <c r="C1000" s="635" t="s">
        <v>1841</v>
      </c>
      <c r="D1000" s="635" t="s">
        <v>4133</v>
      </c>
      <c r="E1000" s="635" t="s">
        <v>4133</v>
      </c>
      <c r="F1000" s="1056" t="s">
        <v>4200</v>
      </c>
      <c r="G1000" s="1051" t="s">
        <v>4201</v>
      </c>
      <c r="H1000" s="635" t="s">
        <v>1841</v>
      </c>
      <c r="I1000" s="634" t="s">
        <v>4135</v>
      </c>
      <c r="J1000" s="391"/>
    </row>
    <row r="1001" spans="1:10" ht="12.75" customHeight="1">
      <c r="A1001" s="638" t="s">
        <v>387</v>
      </c>
      <c r="B1001" s="639"/>
      <c r="C1001" s="638">
        <v>2015</v>
      </c>
      <c r="D1001" s="638">
        <v>2016</v>
      </c>
      <c r="E1001" s="638">
        <v>2017</v>
      </c>
      <c r="F1001" s="1057"/>
      <c r="G1001" s="1052"/>
      <c r="H1001" s="638">
        <v>2014</v>
      </c>
      <c r="I1001" s="638" t="s">
        <v>4303</v>
      </c>
      <c r="J1001" s="391"/>
    </row>
    <row r="1002" spans="1:10" ht="12.75" customHeight="1">
      <c r="A1002" s="646" t="s">
        <v>591</v>
      </c>
      <c r="B1002" s="646" t="s">
        <v>1693</v>
      </c>
      <c r="C1002" s="641">
        <v>7949752.4000000004</v>
      </c>
      <c r="D1002" s="641">
        <v>10816000</v>
      </c>
      <c r="E1002" s="641">
        <v>10816000</v>
      </c>
      <c r="F1002" s="647">
        <f>SUM(C1002:E1002)</f>
        <v>29581752.399999999</v>
      </c>
      <c r="G1002" s="641">
        <v>3955522</v>
      </c>
      <c r="H1002" s="641">
        <v>10816000</v>
      </c>
      <c r="I1002" s="641" t="e">
        <f>#REF!</f>
        <v>#REF!</v>
      </c>
      <c r="J1002" s="391"/>
    </row>
    <row r="1003" spans="1:10" ht="12.75" customHeight="1">
      <c r="A1003" s="646"/>
      <c r="B1003" s="646"/>
      <c r="C1003" s="641"/>
      <c r="D1003" s="641"/>
      <c r="E1003" s="641"/>
      <c r="F1003" s="647"/>
      <c r="G1003" s="641"/>
      <c r="H1003" s="641"/>
      <c r="I1003" s="641"/>
      <c r="J1003" s="391"/>
    </row>
    <row r="1004" spans="1:10" ht="12.75" customHeight="1">
      <c r="A1004" s="646">
        <v>2</v>
      </c>
      <c r="B1004" s="646" t="s">
        <v>1695</v>
      </c>
      <c r="C1004" s="641">
        <v>300000</v>
      </c>
      <c r="D1004" s="641">
        <v>300000</v>
      </c>
      <c r="E1004" s="641">
        <v>300000</v>
      </c>
      <c r="F1004" s="647">
        <f t="shared" ref="F1004:F1017" si="124">SUM(C1004:E1004)</f>
        <v>900000</v>
      </c>
      <c r="G1004" s="641">
        <v>26500</v>
      </c>
      <c r="H1004" s="641">
        <v>318240</v>
      </c>
      <c r="I1004" s="641">
        <v>44000</v>
      </c>
      <c r="J1004" s="391"/>
    </row>
    <row r="1005" spans="1:10" ht="12.75" customHeight="1">
      <c r="A1005" s="646">
        <f t="shared" ref="A1005:A1019" si="125">A1004+1</f>
        <v>3</v>
      </c>
      <c r="B1005" s="646" t="s">
        <v>1696</v>
      </c>
      <c r="C1005" s="641">
        <v>600000</v>
      </c>
      <c r="D1005" s="641">
        <v>600000</v>
      </c>
      <c r="E1005" s="641">
        <v>600000</v>
      </c>
      <c r="F1005" s="647">
        <f t="shared" si="124"/>
        <v>1800000</v>
      </c>
      <c r="G1005" s="642">
        <v>26500</v>
      </c>
      <c r="H1005" s="641">
        <v>636480</v>
      </c>
      <c r="I1005" s="642">
        <v>95000</v>
      </c>
      <c r="J1005" s="391"/>
    </row>
    <row r="1006" spans="1:10" ht="12.75" customHeight="1">
      <c r="A1006" s="646">
        <f t="shared" si="125"/>
        <v>4</v>
      </c>
      <c r="B1006" s="646" t="s">
        <v>1701</v>
      </c>
      <c r="C1006" s="641" t="s">
        <v>1386</v>
      </c>
      <c r="D1006" s="641" t="s">
        <v>1386</v>
      </c>
      <c r="E1006" s="641" t="s">
        <v>1386</v>
      </c>
      <c r="F1006" s="647">
        <f t="shared" si="124"/>
        <v>0</v>
      </c>
      <c r="G1006" s="642" t="s">
        <v>1386</v>
      </c>
      <c r="H1006" s="641" t="s">
        <v>1386</v>
      </c>
      <c r="I1006" s="642" t="s">
        <v>1386</v>
      </c>
      <c r="J1006" s="391"/>
    </row>
    <row r="1007" spans="1:10" ht="12.75" customHeight="1">
      <c r="A1007" s="646">
        <f t="shared" si="125"/>
        <v>5</v>
      </c>
      <c r="B1007" s="646" t="s">
        <v>1702</v>
      </c>
      <c r="C1007" s="641">
        <v>200000</v>
      </c>
      <c r="D1007" s="641">
        <v>200000</v>
      </c>
      <c r="E1007" s="641">
        <v>200000</v>
      </c>
      <c r="F1007" s="647">
        <f t="shared" si="124"/>
        <v>600000</v>
      </c>
      <c r="G1007" s="641">
        <v>26500</v>
      </c>
      <c r="H1007" s="641">
        <v>212160</v>
      </c>
      <c r="I1007" s="641">
        <v>74000</v>
      </c>
      <c r="J1007" s="391"/>
    </row>
    <row r="1008" spans="1:10" ht="12.75" customHeight="1">
      <c r="A1008" s="646">
        <f t="shared" si="125"/>
        <v>6</v>
      </c>
      <c r="B1008" s="646" t="s">
        <v>1544</v>
      </c>
      <c r="C1008" s="641">
        <v>200000</v>
      </c>
      <c r="D1008" s="641">
        <v>200000</v>
      </c>
      <c r="E1008" s="641">
        <v>200000</v>
      </c>
      <c r="F1008" s="647">
        <f t="shared" si="124"/>
        <v>600000</v>
      </c>
      <c r="G1008" s="641">
        <v>162500</v>
      </c>
      <c r="H1008" s="641">
        <v>212160</v>
      </c>
      <c r="I1008" s="641">
        <v>144000</v>
      </c>
      <c r="J1008" s="391"/>
    </row>
    <row r="1009" spans="1:11" ht="12.75" customHeight="1">
      <c r="A1009" s="646">
        <f t="shared" si="125"/>
        <v>7</v>
      </c>
      <c r="B1009" s="646" t="s">
        <v>897</v>
      </c>
      <c r="C1009" s="641">
        <f>E1009*1.02</f>
        <v>0</v>
      </c>
      <c r="D1009" s="641">
        <v>0</v>
      </c>
      <c r="E1009" s="641">
        <v>0</v>
      </c>
      <c r="F1009" s="647">
        <f t="shared" si="124"/>
        <v>0</v>
      </c>
      <c r="G1009" s="641" t="s">
        <v>1386</v>
      </c>
      <c r="H1009" s="641">
        <v>0</v>
      </c>
      <c r="I1009" s="641" t="s">
        <v>1386</v>
      </c>
      <c r="J1009" s="391"/>
    </row>
    <row r="1010" spans="1:11" ht="12.75" customHeight="1">
      <c r="A1010" s="646">
        <f t="shared" si="125"/>
        <v>8</v>
      </c>
      <c r="B1010" s="646" t="s">
        <v>1385</v>
      </c>
      <c r="C1010" s="641" t="s">
        <v>1386</v>
      </c>
      <c r="D1010" s="641" t="s">
        <v>1386</v>
      </c>
      <c r="E1010" s="641" t="s">
        <v>1386</v>
      </c>
      <c r="F1010" s="647">
        <f t="shared" si="124"/>
        <v>0</v>
      </c>
      <c r="G1010" s="642" t="s">
        <v>1386</v>
      </c>
      <c r="H1010" s="641" t="s">
        <v>1386</v>
      </c>
      <c r="I1010" s="641" t="s">
        <v>1386</v>
      </c>
      <c r="J1010" s="391"/>
    </row>
    <row r="1011" spans="1:11" ht="12.75" customHeight="1">
      <c r="A1011" s="646">
        <f t="shared" si="125"/>
        <v>9</v>
      </c>
      <c r="B1011" s="646" t="s">
        <v>3153</v>
      </c>
      <c r="C1011" s="641" t="s">
        <v>1386</v>
      </c>
      <c r="D1011" s="641" t="s">
        <v>1386</v>
      </c>
      <c r="E1011" s="641" t="s">
        <v>1386</v>
      </c>
      <c r="F1011" s="647">
        <f t="shared" si="124"/>
        <v>0</v>
      </c>
      <c r="G1011" s="642" t="s">
        <v>1386</v>
      </c>
      <c r="H1011" s="641" t="s">
        <v>1386</v>
      </c>
      <c r="I1011" s="641" t="s">
        <v>1386</v>
      </c>
      <c r="J1011" s="391"/>
    </row>
    <row r="1012" spans="1:11" ht="12.75" customHeight="1">
      <c r="A1012" s="646">
        <f t="shared" si="125"/>
        <v>10</v>
      </c>
      <c r="B1012" s="646" t="s">
        <v>1680</v>
      </c>
      <c r="C1012" s="641">
        <v>200000</v>
      </c>
      <c r="D1012" s="641">
        <v>500000</v>
      </c>
      <c r="E1012" s="641">
        <v>500000</v>
      </c>
      <c r="F1012" s="647">
        <f t="shared" si="124"/>
        <v>1200000</v>
      </c>
      <c r="G1012" s="642">
        <v>0</v>
      </c>
      <c r="H1012" s="641">
        <v>530400</v>
      </c>
      <c r="I1012" s="642">
        <v>100000</v>
      </c>
      <c r="J1012" s="391"/>
    </row>
    <row r="1013" spans="1:11" ht="12.75" customHeight="1">
      <c r="A1013" s="646">
        <f t="shared" si="125"/>
        <v>11</v>
      </c>
      <c r="B1013" s="646" t="s">
        <v>1681</v>
      </c>
      <c r="C1013" s="641">
        <v>100000</v>
      </c>
      <c r="D1013" s="641">
        <v>100000</v>
      </c>
      <c r="E1013" s="641">
        <v>100000</v>
      </c>
      <c r="F1013" s="647">
        <f t="shared" si="124"/>
        <v>300000</v>
      </c>
      <c r="G1013" s="641">
        <v>0</v>
      </c>
      <c r="H1013" s="641">
        <v>106080</v>
      </c>
      <c r="I1013" s="641">
        <v>50000</v>
      </c>
      <c r="J1013" s="391"/>
    </row>
    <row r="1014" spans="1:11" ht="12.75" customHeight="1">
      <c r="A1014" s="646">
        <f t="shared" si="125"/>
        <v>12</v>
      </c>
      <c r="B1014" s="646" t="s">
        <v>1682</v>
      </c>
      <c r="C1014" s="641">
        <v>1300000</v>
      </c>
      <c r="D1014" s="641">
        <v>800000</v>
      </c>
      <c r="E1014" s="641">
        <v>800000</v>
      </c>
      <c r="F1014" s="647">
        <f t="shared" si="124"/>
        <v>2900000</v>
      </c>
      <c r="G1014" s="641">
        <v>326000</v>
      </c>
      <c r="H1014" s="641">
        <v>848640</v>
      </c>
      <c r="I1014" s="641">
        <v>165000</v>
      </c>
      <c r="J1014" s="391"/>
    </row>
    <row r="1015" spans="1:11" ht="12.75" customHeight="1">
      <c r="A1015" s="646">
        <f t="shared" si="125"/>
        <v>13</v>
      </c>
      <c r="B1015" s="646" t="s">
        <v>352</v>
      </c>
      <c r="C1015" s="641">
        <v>100000</v>
      </c>
      <c r="D1015" s="641">
        <v>100000</v>
      </c>
      <c r="E1015" s="641">
        <v>100000</v>
      </c>
      <c r="F1015" s="647">
        <f t="shared" si="124"/>
        <v>300000</v>
      </c>
      <c r="G1015" s="642">
        <v>0</v>
      </c>
      <c r="H1015" s="641">
        <v>0</v>
      </c>
      <c r="I1015" s="642">
        <v>0</v>
      </c>
      <c r="J1015" s="391"/>
    </row>
    <row r="1016" spans="1:11" ht="12.75" customHeight="1">
      <c r="A1016" s="646">
        <f t="shared" si="125"/>
        <v>14</v>
      </c>
      <c r="B1016" s="646" t="s">
        <v>2957</v>
      </c>
      <c r="C1016" s="641">
        <v>500000</v>
      </c>
      <c r="D1016" s="641">
        <v>500000</v>
      </c>
      <c r="E1016" s="641">
        <v>500000</v>
      </c>
      <c r="F1016" s="647">
        <f t="shared" si="124"/>
        <v>1500000</v>
      </c>
      <c r="G1016" s="641">
        <v>0</v>
      </c>
      <c r="H1016" s="641">
        <v>530400</v>
      </c>
      <c r="I1016" s="642">
        <v>45000</v>
      </c>
      <c r="J1016" s="391"/>
    </row>
    <row r="1017" spans="1:11" ht="12.75" customHeight="1">
      <c r="A1017" s="646">
        <f t="shared" si="125"/>
        <v>15</v>
      </c>
      <c r="B1017" s="646" t="s">
        <v>434</v>
      </c>
      <c r="C1017" s="641">
        <f>E1017*1.02</f>
        <v>0</v>
      </c>
      <c r="D1017" s="641">
        <v>0</v>
      </c>
      <c r="E1017" s="641">
        <v>0</v>
      </c>
      <c r="F1017" s="647">
        <f t="shared" si="124"/>
        <v>0</v>
      </c>
      <c r="G1017" s="641" t="s">
        <v>1386</v>
      </c>
      <c r="H1017" s="641">
        <v>0</v>
      </c>
      <c r="I1017" s="641" t="s">
        <v>1386</v>
      </c>
      <c r="J1017" s="391"/>
    </row>
    <row r="1018" spans="1:11" ht="12.75" customHeight="1">
      <c r="A1018" s="646">
        <f t="shared" si="125"/>
        <v>16</v>
      </c>
      <c r="B1018" s="646" t="s">
        <v>4153</v>
      </c>
      <c r="C1018" s="641">
        <v>1000000</v>
      </c>
      <c r="D1018" s="641">
        <v>2000000</v>
      </c>
      <c r="E1018" s="641">
        <v>2000000</v>
      </c>
      <c r="F1018" s="647"/>
      <c r="G1018" s="641"/>
      <c r="H1018" s="641">
        <f>2000000-66560</f>
        <v>1933440</v>
      </c>
      <c r="I1018" s="641"/>
      <c r="J1018" s="391"/>
    </row>
    <row r="1019" spans="1:11" ht="12.75" customHeight="1">
      <c r="A1019" s="646">
        <f t="shared" si="125"/>
        <v>17</v>
      </c>
      <c r="B1019" s="646" t="s">
        <v>4154</v>
      </c>
      <c r="C1019" s="641" t="s">
        <v>1386</v>
      </c>
      <c r="D1019" s="641" t="s">
        <v>1386</v>
      </c>
      <c r="E1019" s="641" t="s">
        <v>1386</v>
      </c>
      <c r="F1019" s="647"/>
      <c r="G1019" s="641"/>
      <c r="H1019" s="641">
        <v>2000000</v>
      </c>
      <c r="I1019" s="641"/>
      <c r="J1019" s="391"/>
    </row>
    <row r="1020" spans="1:11" ht="12.75" customHeight="1">
      <c r="A1020" s="646"/>
      <c r="B1020" s="646"/>
      <c r="C1020" s="642"/>
      <c r="D1020" s="642"/>
      <c r="E1020" s="642"/>
      <c r="F1020" s="647"/>
      <c r="G1020" s="642" t="s">
        <v>1386</v>
      </c>
      <c r="H1020" s="642"/>
      <c r="I1020" s="641" t="s">
        <v>1386</v>
      </c>
      <c r="J1020" s="391"/>
    </row>
    <row r="1021" spans="1:11" ht="12.75" customHeight="1">
      <c r="A1021" s="646" t="s">
        <v>435</v>
      </c>
      <c r="B1021" s="651" t="s">
        <v>819</v>
      </c>
      <c r="C1021" s="652">
        <f t="shared" ref="C1021:I1021" si="126">SUM(C1004:C1020)</f>
        <v>4500000</v>
      </c>
      <c r="D1021" s="652">
        <f t="shared" si="126"/>
        <v>5300000</v>
      </c>
      <c r="E1021" s="652">
        <f t="shared" si="126"/>
        <v>5300000</v>
      </c>
      <c r="F1021" s="652">
        <f t="shared" si="126"/>
        <v>10100000</v>
      </c>
      <c r="G1021" s="652">
        <f t="shared" si="126"/>
        <v>568000</v>
      </c>
      <c r="H1021" s="652">
        <f>SUM(H1004:H1020)</f>
        <v>7328000</v>
      </c>
      <c r="I1021" s="652">
        <f t="shared" si="126"/>
        <v>717000</v>
      </c>
      <c r="J1021" s="391"/>
      <c r="K1021" s="657">
        <f>7328000-H1021</f>
        <v>0</v>
      </c>
    </row>
    <row r="1022" spans="1:11" ht="12.75" customHeight="1">
      <c r="A1022" s="646"/>
      <c r="B1022" s="646"/>
      <c r="C1022" s="641"/>
      <c r="D1022" s="641"/>
      <c r="E1022" s="641"/>
      <c r="F1022" s="641"/>
      <c r="G1022" s="641"/>
      <c r="H1022" s="641"/>
      <c r="I1022" s="641"/>
      <c r="J1022" s="391"/>
    </row>
    <row r="1023" spans="1:11" ht="12.75" customHeight="1">
      <c r="A1023" s="653"/>
      <c r="B1023" s="653" t="s">
        <v>1684</v>
      </c>
      <c r="C1023" s="645">
        <f t="shared" ref="C1023:I1023" si="127">+C1021+C1002</f>
        <v>12449752.4</v>
      </c>
      <c r="D1023" s="645">
        <f t="shared" si="127"/>
        <v>16116000</v>
      </c>
      <c r="E1023" s="645">
        <f t="shared" si="127"/>
        <v>16116000</v>
      </c>
      <c r="F1023" s="645">
        <f t="shared" si="127"/>
        <v>39681752.399999999</v>
      </c>
      <c r="G1023" s="645">
        <f t="shared" si="127"/>
        <v>4523522</v>
      </c>
      <c r="H1023" s="645">
        <f>+H1021+H1002</f>
        <v>18144000</v>
      </c>
      <c r="I1023" s="645" t="e">
        <f t="shared" si="127"/>
        <v>#REF!</v>
      </c>
      <c r="J1023" s="391"/>
    </row>
    <row r="1024" spans="1:11" ht="12.75" customHeight="1">
      <c r="A1024" s="391"/>
      <c r="B1024" s="391"/>
      <c r="C1024" s="647"/>
      <c r="D1024" s="647"/>
      <c r="E1024" s="647"/>
      <c r="F1024" s="647"/>
      <c r="G1024" s="647"/>
      <c r="H1024" s="647"/>
      <c r="I1024" s="391"/>
      <c r="J1024" s="391"/>
    </row>
    <row r="1025" spans="1:10" ht="12.75">
      <c r="A1025" s="391"/>
      <c r="B1025" s="391"/>
      <c r="C1025" s="647"/>
      <c r="D1025" s="308" t="s">
        <v>5434</v>
      </c>
      <c r="E1025" s="647"/>
      <c r="F1025" s="647"/>
      <c r="H1025" s="647"/>
      <c r="I1025" s="391"/>
      <c r="J1025" s="391"/>
    </row>
    <row r="1026" spans="1:10" ht="12.75">
      <c r="A1026" s="655"/>
      <c r="B1026" s="633"/>
      <c r="C1026" s="655"/>
      <c r="D1026" s="308" t="s">
        <v>716</v>
      </c>
      <c r="E1026" s="655"/>
      <c r="F1026" s="647"/>
      <c r="H1026" s="655"/>
      <c r="I1026" s="391"/>
      <c r="J1026" s="391"/>
    </row>
    <row r="1027" spans="1:10" ht="12.75">
      <c r="A1027" s="655"/>
      <c r="B1027" s="633"/>
      <c r="C1027" s="655"/>
      <c r="D1027" s="308" t="s">
        <v>436</v>
      </c>
      <c r="E1027" s="655"/>
      <c r="F1027" s="647"/>
      <c r="H1027" s="655"/>
      <c r="I1027" s="391"/>
      <c r="J1027" s="391"/>
    </row>
    <row r="1028" spans="1:10" ht="12.75">
      <c r="A1028" s="655"/>
      <c r="B1028" s="655"/>
      <c r="C1028" s="655"/>
      <c r="D1028" s="307" t="s">
        <v>437</v>
      </c>
      <c r="E1028" s="655"/>
      <c r="F1028" s="647"/>
      <c r="H1028" s="655"/>
      <c r="I1028" s="391"/>
      <c r="J1028" s="391"/>
    </row>
    <row r="1029" spans="1:10" ht="15">
      <c r="A1029" s="634" t="s">
        <v>1839</v>
      </c>
      <c r="B1029" s="635" t="s">
        <v>903</v>
      </c>
      <c r="C1029" s="1037" t="s">
        <v>4127</v>
      </c>
      <c r="D1029" s="1038"/>
      <c r="E1029" s="1039"/>
      <c r="F1029" s="635" t="s">
        <v>1684</v>
      </c>
      <c r="G1029" s="1037" t="s">
        <v>4132</v>
      </c>
      <c r="H1029" s="1038"/>
      <c r="I1029" s="1039"/>
      <c r="J1029" s="391"/>
    </row>
    <row r="1030" spans="1:10" ht="12.75">
      <c r="A1030" s="636" t="s">
        <v>1620</v>
      </c>
      <c r="B1030" s="637"/>
      <c r="C1030" s="635" t="s">
        <v>1841</v>
      </c>
      <c r="D1030" s="635" t="s">
        <v>4133</v>
      </c>
      <c r="E1030" s="635" t="s">
        <v>4133</v>
      </c>
      <c r="F1030" s="1056" t="s">
        <v>4200</v>
      </c>
      <c r="G1030" s="1051" t="s">
        <v>4201</v>
      </c>
      <c r="H1030" s="635" t="s">
        <v>1841</v>
      </c>
      <c r="I1030" s="634" t="s">
        <v>4135</v>
      </c>
      <c r="J1030" s="391"/>
    </row>
    <row r="1031" spans="1:10" ht="12.75" customHeight="1">
      <c r="A1031" s="638" t="s">
        <v>387</v>
      </c>
      <c r="B1031" s="639"/>
      <c r="C1031" s="638">
        <v>2015</v>
      </c>
      <c r="D1031" s="638">
        <v>2016</v>
      </c>
      <c r="E1031" s="638">
        <v>2017</v>
      </c>
      <c r="F1031" s="1057"/>
      <c r="G1031" s="1052"/>
      <c r="H1031" s="638">
        <v>2014</v>
      </c>
      <c r="I1031" s="638" t="s">
        <v>4303</v>
      </c>
      <c r="J1031" s="391"/>
    </row>
    <row r="1032" spans="1:10" ht="12.75">
      <c r="A1032" s="646" t="s">
        <v>438</v>
      </c>
      <c r="B1032" s="646" t="s">
        <v>1693</v>
      </c>
      <c r="C1032" s="641">
        <v>69998824.400000006</v>
      </c>
      <c r="D1032" s="641">
        <v>98425600</v>
      </c>
      <c r="E1032" s="641">
        <v>98425600</v>
      </c>
      <c r="F1032" s="647">
        <f>SUM(C1032:E1032)</f>
        <v>266850024.40000001</v>
      </c>
      <c r="G1032" s="641">
        <v>51073392</v>
      </c>
      <c r="H1032" s="641">
        <v>65000000</v>
      </c>
      <c r="I1032" s="641" t="e">
        <f>#REF!</f>
        <v>#REF!</v>
      </c>
      <c r="J1032" s="391"/>
    </row>
    <row r="1033" spans="1:10" ht="12.75">
      <c r="A1033" s="646"/>
      <c r="B1033" s="646"/>
      <c r="C1033" s="641"/>
      <c r="D1033" s="641"/>
      <c r="E1033" s="641"/>
      <c r="F1033" s="647"/>
      <c r="G1033" s="641"/>
      <c r="H1033" s="641"/>
      <c r="I1033" s="641"/>
      <c r="J1033" s="391"/>
    </row>
    <row r="1034" spans="1:10" ht="12.75">
      <c r="A1034" s="646">
        <v>2</v>
      </c>
      <c r="B1034" s="646" t="s">
        <v>1695</v>
      </c>
      <c r="C1034" s="641">
        <v>3000000</v>
      </c>
      <c r="D1034" s="641">
        <v>2600000</v>
      </c>
      <c r="E1034" s="641">
        <v>2600000</v>
      </c>
      <c r="F1034" s="647">
        <f t="shared" ref="F1034:F1053" si="128">SUM(C1034:E1034)</f>
        <v>8200000</v>
      </c>
      <c r="G1034" s="641">
        <v>1548000</v>
      </c>
      <c r="H1034" s="641">
        <v>2652000</v>
      </c>
      <c r="I1034" s="641">
        <v>0</v>
      </c>
      <c r="J1034" s="391"/>
    </row>
    <row r="1035" spans="1:10" ht="12.75">
      <c r="A1035" s="646">
        <f t="shared" ref="A1035:A1053" si="129">A1034+1</f>
        <v>3</v>
      </c>
      <c r="B1035" s="646" t="s">
        <v>1696</v>
      </c>
      <c r="C1035" s="641">
        <v>100000</v>
      </c>
      <c r="D1035" s="641">
        <v>200000</v>
      </c>
      <c r="E1035" s="641">
        <v>200000</v>
      </c>
      <c r="F1035" s="647">
        <f t="shared" si="128"/>
        <v>500000</v>
      </c>
      <c r="G1035" s="642">
        <v>0</v>
      </c>
      <c r="H1035" s="641">
        <v>212160</v>
      </c>
      <c r="I1035" s="642">
        <v>0</v>
      </c>
      <c r="J1035" s="391"/>
    </row>
    <row r="1036" spans="1:10" ht="12.75">
      <c r="A1036" s="646">
        <f t="shared" si="129"/>
        <v>4</v>
      </c>
      <c r="B1036" s="646" t="s">
        <v>1701</v>
      </c>
      <c r="C1036" s="641" t="s">
        <v>1386</v>
      </c>
      <c r="D1036" s="641" t="s">
        <v>1386</v>
      </c>
      <c r="E1036" s="641" t="s">
        <v>1386</v>
      </c>
      <c r="F1036" s="647">
        <f t="shared" si="128"/>
        <v>0</v>
      </c>
      <c r="G1036" s="642">
        <v>0</v>
      </c>
      <c r="H1036" s="641" t="s">
        <v>1386</v>
      </c>
      <c r="I1036" s="642" t="s">
        <v>1386</v>
      </c>
      <c r="J1036" s="391"/>
    </row>
    <row r="1037" spans="1:10" ht="12.75">
      <c r="A1037" s="646">
        <f t="shared" si="129"/>
        <v>5</v>
      </c>
      <c r="B1037" s="646" t="s">
        <v>1702</v>
      </c>
      <c r="C1037" s="641">
        <v>1000000</v>
      </c>
      <c r="D1037" s="641">
        <v>800000</v>
      </c>
      <c r="E1037" s="641">
        <v>800000</v>
      </c>
      <c r="F1037" s="647">
        <f t="shared" si="128"/>
        <v>2600000</v>
      </c>
      <c r="G1037" s="642">
        <v>270000</v>
      </c>
      <c r="H1037" s="641">
        <v>848640</v>
      </c>
      <c r="I1037" s="642">
        <v>90000</v>
      </c>
      <c r="J1037" s="391"/>
    </row>
    <row r="1038" spans="1:10" ht="12.75">
      <c r="A1038" s="646">
        <f t="shared" si="129"/>
        <v>6</v>
      </c>
      <c r="B1038" s="646" t="s">
        <v>1544</v>
      </c>
      <c r="C1038" s="641">
        <v>2000000</v>
      </c>
      <c r="D1038" s="641">
        <v>2000000</v>
      </c>
      <c r="E1038" s="641">
        <v>2000000</v>
      </c>
      <c r="F1038" s="647">
        <f t="shared" si="128"/>
        <v>6000000</v>
      </c>
      <c r="G1038" s="642">
        <v>1557200</v>
      </c>
      <c r="H1038" s="641">
        <v>2652000</v>
      </c>
      <c r="I1038" s="642">
        <v>1143100</v>
      </c>
      <c r="J1038" s="391"/>
    </row>
    <row r="1039" spans="1:10" ht="12.75">
      <c r="A1039" s="646">
        <f t="shared" si="129"/>
        <v>7</v>
      </c>
      <c r="B1039" s="646" t="s">
        <v>897</v>
      </c>
      <c r="C1039" s="641">
        <v>2000000</v>
      </c>
      <c r="D1039" s="641">
        <v>2000000</v>
      </c>
      <c r="E1039" s="641">
        <v>2000000</v>
      </c>
      <c r="F1039" s="647">
        <f t="shared" si="128"/>
        <v>6000000</v>
      </c>
      <c r="G1039" s="642">
        <v>4111200</v>
      </c>
      <c r="H1039" s="641">
        <v>6364800</v>
      </c>
      <c r="I1039" s="642">
        <v>3836000</v>
      </c>
      <c r="J1039" s="391"/>
    </row>
    <row r="1040" spans="1:10" ht="12.75">
      <c r="A1040" s="646">
        <f t="shared" si="129"/>
        <v>8</v>
      </c>
      <c r="B1040" s="646" t="s">
        <v>1385</v>
      </c>
      <c r="C1040" s="641" t="s">
        <v>1386</v>
      </c>
      <c r="D1040" s="641" t="s">
        <v>1386</v>
      </c>
      <c r="E1040" s="641" t="s">
        <v>1386</v>
      </c>
      <c r="F1040" s="647">
        <f t="shared" si="128"/>
        <v>0</v>
      </c>
      <c r="G1040" s="642">
        <v>0</v>
      </c>
      <c r="H1040" s="641" t="s">
        <v>1386</v>
      </c>
      <c r="I1040" s="642" t="s">
        <v>1386</v>
      </c>
      <c r="J1040" s="391"/>
    </row>
    <row r="1041" spans="1:10" ht="12.75">
      <c r="A1041" s="646">
        <f t="shared" si="129"/>
        <v>9</v>
      </c>
      <c r="B1041" s="646" t="s">
        <v>2061</v>
      </c>
      <c r="C1041" s="641" t="s">
        <v>1386</v>
      </c>
      <c r="D1041" s="641" t="s">
        <v>1386</v>
      </c>
      <c r="E1041" s="641" t="s">
        <v>1386</v>
      </c>
      <c r="F1041" s="647">
        <f t="shared" si="128"/>
        <v>0</v>
      </c>
      <c r="G1041" s="642">
        <v>0</v>
      </c>
      <c r="H1041" s="641" t="s">
        <v>1386</v>
      </c>
      <c r="I1041" s="642" t="s">
        <v>1386</v>
      </c>
      <c r="J1041" s="391"/>
    </row>
    <row r="1042" spans="1:10" ht="12.75">
      <c r="A1042" s="646">
        <f t="shared" si="129"/>
        <v>10</v>
      </c>
      <c r="B1042" s="646" t="s">
        <v>1680</v>
      </c>
      <c r="C1042" s="641">
        <v>1700000</v>
      </c>
      <c r="D1042" s="641">
        <v>2600000</v>
      </c>
      <c r="E1042" s="641">
        <v>2600000</v>
      </c>
      <c r="F1042" s="647">
        <f t="shared" si="128"/>
        <v>6900000</v>
      </c>
      <c r="G1042" s="642">
        <v>0</v>
      </c>
      <c r="H1042" s="641">
        <v>2652000</v>
      </c>
      <c r="I1042" s="642">
        <v>450000</v>
      </c>
      <c r="J1042" s="391"/>
    </row>
    <row r="1043" spans="1:10" ht="12.75">
      <c r="A1043" s="646">
        <f t="shared" si="129"/>
        <v>11</v>
      </c>
      <c r="B1043" s="646" t="s">
        <v>1681</v>
      </c>
      <c r="C1043" s="641">
        <v>100000</v>
      </c>
      <c r="D1043" s="641">
        <v>100000</v>
      </c>
      <c r="E1043" s="641">
        <v>100000</v>
      </c>
      <c r="F1043" s="647">
        <f t="shared" si="128"/>
        <v>300000</v>
      </c>
      <c r="G1043" s="642">
        <v>0</v>
      </c>
      <c r="H1043" s="641">
        <v>106080</v>
      </c>
      <c r="I1043" s="642">
        <v>0</v>
      </c>
      <c r="J1043" s="391"/>
    </row>
    <row r="1044" spans="1:10" ht="12.75">
      <c r="A1044" s="646">
        <f t="shared" si="129"/>
        <v>12</v>
      </c>
      <c r="B1044" s="646" t="s">
        <v>1682</v>
      </c>
      <c r="C1044" s="641">
        <v>6000000</v>
      </c>
      <c r="D1044" s="641">
        <v>6200000</v>
      </c>
      <c r="E1044" s="641">
        <v>6200000</v>
      </c>
      <c r="F1044" s="647">
        <f t="shared" si="128"/>
        <v>18400000</v>
      </c>
      <c r="G1044" s="642">
        <v>4129697</v>
      </c>
      <c r="H1044" s="641">
        <v>6364800</v>
      </c>
      <c r="I1044" s="642">
        <v>2408020</v>
      </c>
      <c r="J1044" s="391"/>
    </row>
    <row r="1045" spans="1:10" ht="12.75">
      <c r="A1045" s="646">
        <f t="shared" si="129"/>
        <v>13</v>
      </c>
      <c r="B1045" s="646" t="s">
        <v>2249</v>
      </c>
      <c r="C1045" s="641">
        <v>100000</v>
      </c>
      <c r="D1045" s="641">
        <v>100000</v>
      </c>
      <c r="E1045" s="641">
        <v>100000</v>
      </c>
      <c r="F1045" s="647">
        <f t="shared" si="128"/>
        <v>300000</v>
      </c>
      <c r="G1045" s="642">
        <v>0</v>
      </c>
      <c r="H1045" s="641">
        <v>106080</v>
      </c>
      <c r="I1045" s="642">
        <v>0</v>
      </c>
      <c r="J1045" s="391"/>
    </row>
    <row r="1046" spans="1:10" ht="12.75">
      <c r="A1046" s="646">
        <f t="shared" si="129"/>
        <v>14</v>
      </c>
      <c r="B1046" s="646" t="s">
        <v>3018</v>
      </c>
      <c r="C1046" s="641">
        <v>1000000</v>
      </c>
      <c r="D1046" s="641">
        <v>800000</v>
      </c>
      <c r="E1046" s="641">
        <v>800000</v>
      </c>
      <c r="F1046" s="647">
        <f t="shared" si="128"/>
        <v>2600000</v>
      </c>
      <c r="G1046" s="642">
        <v>143000</v>
      </c>
      <c r="H1046" s="641">
        <v>848640</v>
      </c>
      <c r="I1046" s="642">
        <v>155000</v>
      </c>
      <c r="J1046" s="391"/>
    </row>
    <row r="1047" spans="1:10" ht="12.75">
      <c r="A1047" s="646">
        <f t="shared" si="129"/>
        <v>15</v>
      </c>
      <c r="B1047" s="646" t="s">
        <v>439</v>
      </c>
      <c r="C1047" s="641">
        <v>7000000</v>
      </c>
      <c r="D1047" s="641">
        <v>5000000</v>
      </c>
      <c r="E1047" s="641">
        <v>5000000</v>
      </c>
      <c r="F1047" s="647">
        <f t="shared" si="128"/>
        <v>17000000</v>
      </c>
      <c r="G1047" s="642">
        <v>3600000</v>
      </c>
      <c r="H1047" s="641">
        <v>5304000</v>
      </c>
      <c r="I1047" s="642">
        <v>2400000</v>
      </c>
      <c r="J1047" s="391"/>
    </row>
    <row r="1048" spans="1:10" ht="12.75">
      <c r="A1048" s="646">
        <f t="shared" si="129"/>
        <v>16</v>
      </c>
      <c r="B1048" s="646" t="s">
        <v>440</v>
      </c>
      <c r="C1048" s="641">
        <v>2000000</v>
      </c>
      <c r="D1048" s="641">
        <v>2000000</v>
      </c>
      <c r="E1048" s="641">
        <v>2000000</v>
      </c>
      <c r="F1048" s="647">
        <f t="shared" si="128"/>
        <v>6000000</v>
      </c>
      <c r="G1048" s="642">
        <v>1029600</v>
      </c>
      <c r="H1048" s="641">
        <v>2121000</v>
      </c>
      <c r="I1048" s="642">
        <v>302800</v>
      </c>
      <c r="J1048" s="391"/>
    </row>
    <row r="1049" spans="1:10" ht="12.75">
      <c r="A1049" s="646">
        <f t="shared" si="129"/>
        <v>17</v>
      </c>
      <c r="B1049" s="646" t="s">
        <v>441</v>
      </c>
      <c r="C1049" s="641">
        <v>18000000</v>
      </c>
      <c r="D1049" s="641">
        <v>18000000</v>
      </c>
      <c r="E1049" s="641">
        <v>18000000</v>
      </c>
      <c r="F1049" s="647">
        <f t="shared" si="128"/>
        <v>54000000</v>
      </c>
      <c r="G1049" s="642">
        <v>13500000</v>
      </c>
      <c r="H1049" s="641">
        <v>17760000</v>
      </c>
      <c r="I1049" s="642">
        <v>9000000</v>
      </c>
      <c r="J1049" s="391"/>
    </row>
    <row r="1050" spans="1:10" ht="12.75">
      <c r="A1050" s="646">
        <f t="shared" si="129"/>
        <v>18</v>
      </c>
      <c r="B1050" s="646" t="s">
        <v>442</v>
      </c>
      <c r="C1050" s="641">
        <v>12000000</v>
      </c>
      <c r="D1050" s="641">
        <v>7000000</v>
      </c>
      <c r="E1050" s="641">
        <v>7000000</v>
      </c>
      <c r="F1050" s="647">
        <f t="shared" si="128"/>
        <v>26000000</v>
      </c>
      <c r="G1050" s="642">
        <v>5400000</v>
      </c>
      <c r="H1050" s="641">
        <v>7637760</v>
      </c>
      <c r="I1050" s="642">
        <v>3500000</v>
      </c>
      <c r="J1050" s="391"/>
    </row>
    <row r="1051" spans="1:10" ht="12.75">
      <c r="A1051" s="646">
        <f t="shared" si="129"/>
        <v>19</v>
      </c>
      <c r="B1051" s="646" t="s">
        <v>3562</v>
      </c>
      <c r="C1051" s="641" t="s">
        <v>3007</v>
      </c>
      <c r="D1051" s="641">
        <v>0</v>
      </c>
      <c r="E1051" s="641">
        <v>0</v>
      </c>
      <c r="F1051" s="647">
        <f t="shared" si="128"/>
        <v>0</v>
      </c>
      <c r="G1051" s="642">
        <v>0</v>
      </c>
      <c r="H1051" s="641">
        <v>0</v>
      </c>
      <c r="I1051" s="642" t="s">
        <v>1386</v>
      </c>
      <c r="J1051" s="391"/>
    </row>
    <row r="1052" spans="1:10" ht="12.75">
      <c r="A1052" s="646">
        <f t="shared" si="129"/>
        <v>20</v>
      </c>
      <c r="B1052" s="646" t="s">
        <v>30</v>
      </c>
      <c r="C1052" s="641">
        <v>3000000</v>
      </c>
      <c r="D1052" s="641">
        <v>1000000</v>
      </c>
      <c r="E1052" s="641">
        <v>1000000</v>
      </c>
      <c r="F1052" s="647">
        <f t="shared" si="128"/>
        <v>5000000</v>
      </c>
      <c r="G1052" s="642">
        <v>92800</v>
      </c>
      <c r="H1052" s="641">
        <v>1200000</v>
      </c>
      <c r="I1052" s="642">
        <v>0</v>
      </c>
      <c r="J1052" s="391"/>
    </row>
    <row r="1053" spans="1:10" ht="12.75">
      <c r="A1053" s="646">
        <f t="shared" si="129"/>
        <v>21</v>
      </c>
      <c r="B1053" s="646" t="s">
        <v>443</v>
      </c>
      <c r="C1053" s="641">
        <v>2000000</v>
      </c>
      <c r="D1053" s="641">
        <v>2000000</v>
      </c>
      <c r="E1053" s="641">
        <v>2000000</v>
      </c>
      <c r="F1053" s="647">
        <f t="shared" si="128"/>
        <v>6000000</v>
      </c>
      <c r="G1053" s="642">
        <v>0</v>
      </c>
      <c r="H1053" s="641">
        <v>2970040</v>
      </c>
      <c r="I1053" s="642">
        <v>781580</v>
      </c>
      <c r="J1053" s="391"/>
    </row>
    <row r="1054" spans="1:10" ht="12.75">
      <c r="A1054" s="646"/>
      <c r="B1054" s="646"/>
      <c r="C1054" s="641"/>
      <c r="D1054" s="641"/>
      <c r="E1054" s="641"/>
      <c r="F1054" s="647"/>
      <c r="G1054" s="641"/>
      <c r="H1054" s="641"/>
      <c r="I1054" s="641"/>
      <c r="J1054" s="391"/>
    </row>
    <row r="1055" spans="1:10" ht="12.75">
      <c r="A1055" s="646" t="s">
        <v>444</v>
      </c>
      <c r="B1055" s="651" t="s">
        <v>819</v>
      </c>
      <c r="C1055" s="652">
        <f t="shared" ref="C1055:I1055" si="130">SUM(C1034:C1054)</f>
        <v>61000000</v>
      </c>
      <c r="D1055" s="652">
        <f t="shared" si="130"/>
        <v>52400000</v>
      </c>
      <c r="E1055" s="652">
        <f t="shared" si="130"/>
        <v>52400000</v>
      </c>
      <c r="F1055" s="652">
        <f t="shared" si="130"/>
        <v>165800000</v>
      </c>
      <c r="G1055" s="652">
        <f t="shared" si="130"/>
        <v>35381497</v>
      </c>
      <c r="H1055" s="652">
        <f>SUM(H1034:H1054)</f>
        <v>59800000</v>
      </c>
      <c r="I1055" s="652">
        <f t="shared" si="130"/>
        <v>24066500</v>
      </c>
      <c r="J1055" s="391"/>
    </row>
    <row r="1056" spans="1:10" ht="12.75">
      <c r="A1056" s="646"/>
      <c r="B1056" s="646"/>
      <c r="C1056" s="641"/>
      <c r="D1056" s="641"/>
      <c r="E1056" s="641"/>
      <c r="F1056" s="641"/>
      <c r="G1056" s="641"/>
      <c r="H1056" s="641"/>
      <c r="I1056" s="641"/>
      <c r="J1056" s="391"/>
    </row>
    <row r="1057" spans="1:10" ht="12.75">
      <c r="A1057" s="653"/>
      <c r="B1057" s="653" t="s">
        <v>1684</v>
      </c>
      <c r="C1057" s="645">
        <f t="shared" ref="C1057:I1057" si="131">+C1055+C1032</f>
        <v>130998824.40000001</v>
      </c>
      <c r="D1057" s="645">
        <f t="shared" si="131"/>
        <v>150825600</v>
      </c>
      <c r="E1057" s="645">
        <f t="shared" si="131"/>
        <v>150825600</v>
      </c>
      <c r="F1057" s="645">
        <f t="shared" si="131"/>
        <v>432650024.39999998</v>
      </c>
      <c r="G1057" s="645">
        <f t="shared" si="131"/>
        <v>86454889</v>
      </c>
      <c r="H1057" s="645">
        <f>+H1055+H1032</f>
        <v>124800000</v>
      </c>
      <c r="I1057" s="645" t="e">
        <f t="shared" si="131"/>
        <v>#REF!</v>
      </c>
      <c r="J1057" s="391"/>
    </row>
    <row r="1058" spans="1:10" ht="12.75">
      <c r="A1058" s="391"/>
      <c r="B1058" s="391"/>
      <c r="C1058" s="647"/>
      <c r="D1058" s="647"/>
      <c r="E1058" s="647"/>
      <c r="F1058" s="647"/>
      <c r="G1058" s="647"/>
      <c r="H1058" s="647"/>
      <c r="I1058" s="391"/>
      <c r="J1058" s="391"/>
    </row>
    <row r="1059" spans="1:10" ht="12.75">
      <c r="A1059" s="391"/>
      <c r="B1059" s="391"/>
      <c r="C1059" s="647"/>
      <c r="D1059" s="308" t="s">
        <v>5434</v>
      </c>
      <c r="E1059" s="647"/>
      <c r="F1059" s="647"/>
      <c r="H1059" s="647"/>
      <c r="I1059" s="391"/>
      <c r="J1059" s="391"/>
    </row>
    <row r="1060" spans="1:10" ht="12.75">
      <c r="A1060" s="655"/>
      <c r="B1060" s="633"/>
      <c r="C1060" s="655"/>
      <c r="D1060" s="308" t="s">
        <v>716</v>
      </c>
      <c r="E1060" s="655"/>
      <c r="F1060" s="647"/>
      <c r="H1060" s="655"/>
      <c r="I1060" s="391"/>
      <c r="J1060" s="391"/>
    </row>
    <row r="1061" spans="1:10" ht="12.75">
      <c r="A1061" s="655"/>
      <c r="B1061" s="633"/>
      <c r="C1061" s="655"/>
      <c r="D1061" s="308" t="s">
        <v>3832</v>
      </c>
      <c r="E1061" s="655"/>
      <c r="F1061" s="647"/>
      <c r="H1061" s="655"/>
      <c r="I1061" s="391"/>
      <c r="J1061" s="391"/>
    </row>
    <row r="1062" spans="1:10" ht="12.75">
      <c r="A1062" s="655"/>
      <c r="B1062" s="655"/>
      <c r="C1062" s="655"/>
      <c r="D1062" s="307" t="s">
        <v>445</v>
      </c>
      <c r="E1062" s="655"/>
      <c r="F1062" s="647"/>
      <c r="H1062" s="655"/>
      <c r="I1062" s="391"/>
      <c r="J1062" s="391"/>
    </row>
    <row r="1063" spans="1:10" ht="15">
      <c r="A1063" s="634" t="s">
        <v>1839</v>
      </c>
      <c r="B1063" s="635" t="s">
        <v>903</v>
      </c>
      <c r="C1063" s="1037" t="s">
        <v>4127</v>
      </c>
      <c r="D1063" s="1038"/>
      <c r="E1063" s="1039"/>
      <c r="F1063" s="635" t="s">
        <v>1684</v>
      </c>
      <c r="G1063" s="1037" t="s">
        <v>4132</v>
      </c>
      <c r="H1063" s="1038"/>
      <c r="I1063" s="1039"/>
      <c r="J1063" s="391"/>
    </row>
    <row r="1064" spans="1:10" ht="12.75">
      <c r="A1064" s="636" t="s">
        <v>1620</v>
      </c>
      <c r="B1064" s="637"/>
      <c r="C1064" s="635" t="s">
        <v>1841</v>
      </c>
      <c r="D1064" s="635" t="s">
        <v>4133</v>
      </c>
      <c r="E1064" s="635" t="s">
        <v>4133</v>
      </c>
      <c r="F1064" s="1056" t="s">
        <v>4200</v>
      </c>
      <c r="G1064" s="1051" t="s">
        <v>4201</v>
      </c>
      <c r="H1064" s="635" t="s">
        <v>1841</v>
      </c>
      <c r="I1064" s="634" t="s">
        <v>4135</v>
      </c>
      <c r="J1064" s="391"/>
    </row>
    <row r="1065" spans="1:10" ht="12.75" customHeight="1">
      <c r="A1065" s="638" t="s">
        <v>387</v>
      </c>
      <c r="B1065" s="639"/>
      <c r="C1065" s="638">
        <v>2015</v>
      </c>
      <c r="D1065" s="638">
        <v>2016</v>
      </c>
      <c r="E1065" s="638">
        <v>2017</v>
      </c>
      <c r="F1065" s="1057"/>
      <c r="G1065" s="1052"/>
      <c r="H1065" s="638">
        <v>2014</v>
      </c>
      <c r="I1065" s="638" t="s">
        <v>4303</v>
      </c>
      <c r="J1065" s="391"/>
    </row>
    <row r="1066" spans="1:10" ht="12.75">
      <c r="A1066" s="646" t="s">
        <v>446</v>
      </c>
      <c r="B1066" s="646" t="s">
        <v>1693</v>
      </c>
      <c r="C1066" s="641">
        <v>202687704.55000001</v>
      </c>
      <c r="D1066" s="641">
        <v>229879552.24000001</v>
      </c>
      <c r="E1066" s="641">
        <v>229879552.24000001</v>
      </c>
      <c r="F1066" s="647">
        <f>SUM(C1066:E1066)</f>
        <v>662446809.02999997</v>
      </c>
      <c r="G1066" s="641">
        <v>125971320</v>
      </c>
      <c r="H1066" s="641">
        <v>205000000</v>
      </c>
      <c r="I1066" s="641" t="e">
        <f>#REF!</f>
        <v>#REF!</v>
      </c>
      <c r="J1066" s="391"/>
    </row>
    <row r="1067" spans="1:10" ht="12.75">
      <c r="A1067" s="646"/>
      <c r="B1067" s="646"/>
      <c r="C1067" s="641"/>
      <c r="D1067" s="641"/>
      <c r="E1067" s="641"/>
      <c r="F1067" s="647"/>
      <c r="G1067" s="641"/>
      <c r="H1067" s="641"/>
      <c r="I1067" s="641"/>
      <c r="J1067" s="391"/>
    </row>
    <row r="1068" spans="1:10" ht="12.75">
      <c r="A1068" s="646">
        <v>2</v>
      </c>
      <c r="B1068" s="646" t="s">
        <v>1695</v>
      </c>
      <c r="C1068" s="641">
        <v>3000000</v>
      </c>
      <c r="D1068" s="641">
        <v>5304000</v>
      </c>
      <c r="E1068" s="641">
        <v>5304000</v>
      </c>
      <c r="F1068" s="647">
        <f t="shared" ref="F1068:F1082" si="132">SUM(C1068:E1068)</f>
        <v>13608000</v>
      </c>
      <c r="G1068" s="641">
        <v>267400</v>
      </c>
      <c r="H1068" s="641">
        <v>5410080</v>
      </c>
      <c r="I1068" s="641">
        <v>30000</v>
      </c>
      <c r="J1068" s="391"/>
    </row>
    <row r="1069" spans="1:10" ht="12.75">
      <c r="A1069" s="646">
        <f t="shared" ref="A1069:A1082" si="133">A1068+1</f>
        <v>3</v>
      </c>
      <c r="B1069" s="646" t="s">
        <v>1696</v>
      </c>
      <c r="C1069" s="641" t="s">
        <v>1386</v>
      </c>
      <c r="D1069" s="641">
        <v>104000</v>
      </c>
      <c r="E1069" s="641">
        <v>104000</v>
      </c>
      <c r="F1069" s="647">
        <f t="shared" si="132"/>
        <v>208000</v>
      </c>
      <c r="G1069" s="642">
        <v>98000</v>
      </c>
      <c r="H1069" s="641">
        <v>106080</v>
      </c>
      <c r="I1069" s="642">
        <v>0</v>
      </c>
      <c r="J1069" s="391"/>
    </row>
    <row r="1070" spans="1:10" ht="12.75">
      <c r="A1070" s="646">
        <f t="shared" si="133"/>
        <v>4</v>
      </c>
      <c r="B1070" s="646" t="s">
        <v>1701</v>
      </c>
      <c r="C1070" s="641" t="s">
        <v>1386</v>
      </c>
      <c r="D1070" s="641" t="s">
        <v>1386</v>
      </c>
      <c r="E1070" s="641" t="s">
        <v>1386</v>
      </c>
      <c r="F1070" s="647">
        <f t="shared" si="132"/>
        <v>0</v>
      </c>
      <c r="G1070" s="642">
        <v>0</v>
      </c>
      <c r="H1070" s="641" t="s">
        <v>1386</v>
      </c>
      <c r="I1070" s="642" t="s">
        <v>1386</v>
      </c>
      <c r="J1070" s="391"/>
    </row>
    <row r="1071" spans="1:10" ht="12.75">
      <c r="A1071" s="646">
        <f t="shared" si="133"/>
        <v>5</v>
      </c>
      <c r="B1071" s="646" t="s">
        <v>1702</v>
      </c>
      <c r="C1071" s="641">
        <v>3000000</v>
      </c>
      <c r="D1071" s="641">
        <v>3640000</v>
      </c>
      <c r="E1071" s="641">
        <v>3640000</v>
      </c>
      <c r="F1071" s="647">
        <f t="shared" si="132"/>
        <v>10280000</v>
      </c>
      <c r="G1071" s="642">
        <v>1101495</v>
      </c>
      <c r="H1071" s="641">
        <v>3712800</v>
      </c>
      <c r="I1071" s="642">
        <v>1180000</v>
      </c>
      <c r="J1071" s="391"/>
    </row>
    <row r="1072" spans="1:10" ht="12.75">
      <c r="A1072" s="646">
        <f t="shared" si="133"/>
        <v>6</v>
      </c>
      <c r="B1072" s="646" t="s">
        <v>1544</v>
      </c>
      <c r="C1072" s="641">
        <v>1000000</v>
      </c>
      <c r="D1072" s="641">
        <v>2860000</v>
      </c>
      <c r="E1072" s="641">
        <v>2860000</v>
      </c>
      <c r="F1072" s="647">
        <f t="shared" si="132"/>
        <v>6720000</v>
      </c>
      <c r="G1072" s="641">
        <v>973987</v>
      </c>
      <c r="H1072" s="641">
        <v>2917200</v>
      </c>
      <c r="I1072" s="641">
        <v>1035000</v>
      </c>
      <c r="J1072" s="391"/>
    </row>
    <row r="1073" spans="1:11" ht="12.75">
      <c r="A1073" s="646">
        <f t="shared" si="133"/>
        <v>7</v>
      </c>
      <c r="B1073" s="646" t="s">
        <v>897</v>
      </c>
      <c r="C1073" s="641">
        <v>2600000</v>
      </c>
      <c r="D1073" s="641">
        <v>2600000</v>
      </c>
      <c r="E1073" s="641">
        <v>2600000</v>
      </c>
      <c r="F1073" s="647">
        <f t="shared" si="132"/>
        <v>7800000</v>
      </c>
      <c r="G1073" s="641">
        <v>651150</v>
      </c>
      <c r="H1073" s="641">
        <v>2652000</v>
      </c>
      <c r="I1073" s="641">
        <v>24500</v>
      </c>
      <c r="J1073" s="391"/>
    </row>
    <row r="1074" spans="1:11" ht="12.75">
      <c r="A1074" s="646">
        <f t="shared" si="133"/>
        <v>8</v>
      </c>
      <c r="B1074" s="646" t="s">
        <v>1385</v>
      </c>
      <c r="C1074" s="641" t="s">
        <v>1386</v>
      </c>
      <c r="D1074" s="641" t="s">
        <v>1386</v>
      </c>
      <c r="E1074" s="641" t="s">
        <v>1386</v>
      </c>
      <c r="F1074" s="647">
        <f t="shared" si="132"/>
        <v>0</v>
      </c>
      <c r="G1074" s="641">
        <v>0</v>
      </c>
      <c r="H1074" s="641" t="s">
        <v>1386</v>
      </c>
      <c r="I1074" s="641" t="s">
        <v>1386</v>
      </c>
      <c r="J1074" s="391"/>
    </row>
    <row r="1075" spans="1:11" ht="12.75">
      <c r="A1075" s="646">
        <f t="shared" si="133"/>
        <v>9</v>
      </c>
      <c r="B1075" s="646" t="s">
        <v>3153</v>
      </c>
      <c r="C1075" s="641" t="s">
        <v>1386</v>
      </c>
      <c r="D1075" s="641" t="s">
        <v>1386</v>
      </c>
      <c r="E1075" s="641" t="s">
        <v>1386</v>
      </c>
      <c r="F1075" s="647">
        <f t="shared" si="132"/>
        <v>0</v>
      </c>
      <c r="G1075" s="642">
        <v>0</v>
      </c>
      <c r="H1075" s="641" t="s">
        <v>1386</v>
      </c>
      <c r="I1075" s="641" t="s">
        <v>1386</v>
      </c>
      <c r="J1075" s="391"/>
    </row>
    <row r="1076" spans="1:11" ht="12.75">
      <c r="A1076" s="646">
        <f t="shared" si="133"/>
        <v>10</v>
      </c>
      <c r="B1076" s="646" t="s">
        <v>1680</v>
      </c>
      <c r="C1076" s="641">
        <v>1000000</v>
      </c>
      <c r="D1076" s="641">
        <v>1040000</v>
      </c>
      <c r="E1076" s="641">
        <v>1040000</v>
      </c>
      <c r="F1076" s="647">
        <f t="shared" si="132"/>
        <v>3080000</v>
      </c>
      <c r="G1076" s="642">
        <v>420000</v>
      </c>
      <c r="H1076" s="641">
        <v>1060800</v>
      </c>
      <c r="I1076" s="642">
        <v>0</v>
      </c>
      <c r="J1076" s="391"/>
    </row>
    <row r="1077" spans="1:11" ht="12.75">
      <c r="A1077" s="646">
        <f t="shared" si="133"/>
        <v>11</v>
      </c>
      <c r="B1077" s="646" t="s">
        <v>1681</v>
      </c>
      <c r="C1077" s="641">
        <v>100000</v>
      </c>
      <c r="D1077" s="641">
        <v>104000</v>
      </c>
      <c r="E1077" s="641">
        <v>104000</v>
      </c>
      <c r="F1077" s="647">
        <f t="shared" si="132"/>
        <v>308000</v>
      </c>
      <c r="G1077" s="642">
        <v>80000</v>
      </c>
      <c r="H1077" s="641">
        <v>106080</v>
      </c>
      <c r="I1077" s="642">
        <v>100000</v>
      </c>
      <c r="J1077" s="391"/>
    </row>
    <row r="1078" spans="1:11" ht="12.75">
      <c r="A1078" s="646">
        <f t="shared" si="133"/>
        <v>12</v>
      </c>
      <c r="B1078" s="646" t="s">
        <v>1682</v>
      </c>
      <c r="C1078" s="641">
        <v>7000000</v>
      </c>
      <c r="D1078" s="641">
        <v>7280000</v>
      </c>
      <c r="E1078" s="641">
        <v>7280000</v>
      </c>
      <c r="F1078" s="647">
        <f t="shared" si="132"/>
        <v>21560000</v>
      </c>
      <c r="G1078" s="641">
        <v>2325968</v>
      </c>
      <c r="H1078" s="641">
        <f>7425600-552240</f>
        <v>6873360</v>
      </c>
      <c r="I1078" s="641">
        <v>679412.72</v>
      </c>
      <c r="J1078" s="391"/>
    </row>
    <row r="1079" spans="1:11" ht="12.75">
      <c r="A1079" s="646">
        <f t="shared" si="133"/>
        <v>13</v>
      </c>
      <c r="B1079" s="646" t="s">
        <v>2249</v>
      </c>
      <c r="C1079" s="642" t="s">
        <v>1386</v>
      </c>
      <c r="D1079" s="642" t="s">
        <v>1386</v>
      </c>
      <c r="E1079" s="642" t="s">
        <v>1386</v>
      </c>
      <c r="F1079" s="647">
        <f t="shared" si="132"/>
        <v>0</v>
      </c>
      <c r="G1079" s="642">
        <v>0</v>
      </c>
      <c r="H1079" s="642" t="s">
        <v>1386</v>
      </c>
      <c r="I1079" s="642">
        <v>0</v>
      </c>
      <c r="J1079" s="391"/>
    </row>
    <row r="1080" spans="1:11" ht="12.75">
      <c r="A1080" s="646">
        <f t="shared" si="133"/>
        <v>14</v>
      </c>
      <c r="B1080" s="646" t="s">
        <v>1336</v>
      </c>
      <c r="C1080" s="641">
        <v>1500000</v>
      </c>
      <c r="D1080" s="641">
        <v>1560000</v>
      </c>
      <c r="E1080" s="641">
        <v>1560000</v>
      </c>
      <c r="F1080" s="647">
        <f t="shared" si="132"/>
        <v>4620000</v>
      </c>
      <c r="G1080" s="642">
        <v>680000</v>
      </c>
      <c r="H1080" s="641">
        <v>1591200</v>
      </c>
      <c r="I1080" s="642">
        <v>0</v>
      </c>
      <c r="J1080" s="391"/>
    </row>
    <row r="1081" spans="1:11" ht="12.75">
      <c r="A1081" s="646">
        <f t="shared" si="133"/>
        <v>15</v>
      </c>
      <c r="B1081" s="646" t="s">
        <v>447</v>
      </c>
      <c r="C1081" s="641">
        <v>2000000</v>
      </c>
      <c r="D1081" s="641">
        <v>1040000</v>
      </c>
      <c r="E1081" s="641">
        <v>1040000</v>
      </c>
      <c r="F1081" s="647">
        <f t="shared" si="132"/>
        <v>4080000</v>
      </c>
      <c r="G1081" s="642">
        <v>715800</v>
      </c>
      <c r="H1081" s="641">
        <v>1060800</v>
      </c>
      <c r="I1081" s="642">
        <v>0</v>
      </c>
      <c r="J1081" s="391"/>
    </row>
    <row r="1082" spans="1:11" ht="12.75">
      <c r="A1082" s="646">
        <f t="shared" si="133"/>
        <v>16</v>
      </c>
      <c r="B1082" s="646" t="s">
        <v>448</v>
      </c>
      <c r="C1082" s="641">
        <v>3000000</v>
      </c>
      <c r="D1082" s="641">
        <v>2080000</v>
      </c>
      <c r="E1082" s="641">
        <v>2080000</v>
      </c>
      <c r="F1082" s="647">
        <f t="shared" si="132"/>
        <v>7160000</v>
      </c>
      <c r="G1082" s="641">
        <v>60000</v>
      </c>
      <c r="H1082" s="641">
        <v>2121600</v>
      </c>
      <c r="I1082" s="641">
        <v>945500</v>
      </c>
      <c r="J1082" s="391"/>
    </row>
    <row r="1083" spans="1:11" ht="12.75">
      <c r="A1083" s="646"/>
      <c r="B1083" s="646"/>
      <c r="C1083" s="642"/>
      <c r="D1083" s="642"/>
      <c r="E1083" s="642"/>
      <c r="F1083" s="647"/>
      <c r="G1083" s="642"/>
      <c r="H1083" s="642"/>
      <c r="I1083" s="642"/>
      <c r="J1083" s="391"/>
    </row>
    <row r="1084" spans="1:11" ht="12.75">
      <c r="A1084" s="646" t="s">
        <v>449</v>
      </c>
      <c r="B1084" s="651" t="s">
        <v>819</v>
      </c>
      <c r="C1084" s="652">
        <f t="shared" ref="C1084:I1084" si="134">SUM(C1068:C1083)</f>
        <v>24200000</v>
      </c>
      <c r="D1084" s="652">
        <f t="shared" si="134"/>
        <v>27612000</v>
      </c>
      <c r="E1084" s="652">
        <f t="shared" si="134"/>
        <v>27612000</v>
      </c>
      <c r="F1084" s="652">
        <f t="shared" si="134"/>
        <v>79424000</v>
      </c>
      <c r="G1084" s="652">
        <f t="shared" si="134"/>
        <v>7373800</v>
      </c>
      <c r="H1084" s="652">
        <f>SUM(H1068:H1083)</f>
        <v>27612000</v>
      </c>
      <c r="I1084" s="652">
        <f t="shared" si="134"/>
        <v>3994412.7199999997</v>
      </c>
      <c r="J1084" s="391"/>
      <c r="K1084" s="657">
        <f>27612000-H1084</f>
        <v>0</v>
      </c>
    </row>
    <row r="1085" spans="1:11" ht="12.75">
      <c r="A1085" s="646"/>
      <c r="B1085" s="646"/>
      <c r="C1085" s="641"/>
      <c r="D1085" s="641"/>
      <c r="E1085" s="641"/>
      <c r="F1085" s="641"/>
      <c r="G1085" s="641"/>
      <c r="H1085" s="641"/>
      <c r="I1085" s="641"/>
      <c r="J1085" s="391"/>
    </row>
    <row r="1086" spans="1:11" ht="12.75">
      <c r="A1086" s="653"/>
      <c r="B1086" s="653" t="s">
        <v>1684</v>
      </c>
      <c r="C1086" s="645">
        <f t="shared" ref="C1086:I1086" si="135">+C1084+C1066</f>
        <v>226887704.55000001</v>
      </c>
      <c r="D1086" s="645">
        <f t="shared" si="135"/>
        <v>257491552.24000001</v>
      </c>
      <c r="E1086" s="645">
        <f t="shared" si="135"/>
        <v>257491552.24000001</v>
      </c>
      <c r="F1086" s="645">
        <f t="shared" si="135"/>
        <v>741870809.02999997</v>
      </c>
      <c r="G1086" s="645">
        <f t="shared" si="135"/>
        <v>133345120</v>
      </c>
      <c r="H1086" s="645">
        <f>+H1084+H1066</f>
        <v>232612000</v>
      </c>
      <c r="I1086" s="645" t="e">
        <f t="shared" si="135"/>
        <v>#REF!</v>
      </c>
      <c r="J1086" s="391"/>
    </row>
    <row r="1087" spans="1:11" ht="12.75" customHeight="1">
      <c r="A1087" s="391"/>
      <c r="B1087" s="391"/>
      <c r="C1087" s="647"/>
      <c r="D1087" s="647"/>
      <c r="E1087" s="647"/>
      <c r="F1087" s="647"/>
      <c r="G1087" s="647"/>
      <c r="H1087" s="647"/>
      <c r="I1087" s="391"/>
      <c r="J1087" s="391"/>
    </row>
    <row r="1088" spans="1:11" ht="12.75" customHeight="1">
      <c r="A1088" s="391"/>
      <c r="B1088" s="391"/>
      <c r="C1088" s="647"/>
      <c r="D1088" s="308" t="s">
        <v>5434</v>
      </c>
      <c r="E1088" s="647"/>
      <c r="F1088" s="647"/>
      <c r="H1088" s="647"/>
      <c r="I1088" s="391"/>
      <c r="J1088" s="391"/>
    </row>
    <row r="1089" spans="1:10" ht="12.75" customHeight="1">
      <c r="A1089" s="655"/>
      <c r="B1089" s="633"/>
      <c r="C1089" s="655"/>
      <c r="D1089" s="308" t="s">
        <v>716</v>
      </c>
      <c r="E1089" s="655"/>
      <c r="F1089" s="647"/>
      <c r="H1089" s="655"/>
      <c r="I1089" s="391"/>
      <c r="J1089" s="391"/>
    </row>
    <row r="1090" spans="1:10" ht="12.75" customHeight="1">
      <c r="A1090" s="655"/>
      <c r="B1090" s="633"/>
      <c r="C1090" s="655"/>
      <c r="D1090" s="308" t="s">
        <v>450</v>
      </c>
      <c r="E1090" s="655"/>
      <c r="F1090" s="647"/>
      <c r="H1090" s="655"/>
      <c r="I1090" s="391"/>
      <c r="J1090" s="391"/>
    </row>
    <row r="1091" spans="1:10" ht="12.75" customHeight="1">
      <c r="A1091" s="655"/>
      <c r="B1091" s="655"/>
      <c r="C1091" s="655"/>
      <c r="D1091" s="307" t="s">
        <v>451</v>
      </c>
      <c r="E1091" s="655"/>
      <c r="F1091" s="647"/>
      <c r="H1091" s="655"/>
      <c r="I1091" s="391"/>
      <c r="J1091" s="391"/>
    </row>
    <row r="1092" spans="1:10" ht="12.75" customHeight="1">
      <c r="A1092" s="634" t="s">
        <v>1839</v>
      </c>
      <c r="B1092" s="635" t="s">
        <v>903</v>
      </c>
      <c r="C1092" s="1037" t="s">
        <v>4127</v>
      </c>
      <c r="D1092" s="1038"/>
      <c r="E1092" s="1039"/>
      <c r="F1092" s="635" t="s">
        <v>1684</v>
      </c>
      <c r="G1092" s="1037" t="s">
        <v>4132</v>
      </c>
      <c r="H1092" s="1038"/>
      <c r="I1092" s="1039"/>
      <c r="J1092" s="391"/>
    </row>
    <row r="1093" spans="1:10" ht="12.75" customHeight="1">
      <c r="A1093" s="636" t="s">
        <v>1620</v>
      </c>
      <c r="B1093" s="637"/>
      <c r="C1093" s="635" t="s">
        <v>1841</v>
      </c>
      <c r="D1093" s="635" t="s">
        <v>4133</v>
      </c>
      <c r="E1093" s="635" t="s">
        <v>4133</v>
      </c>
      <c r="F1093" s="1056" t="s">
        <v>4200</v>
      </c>
      <c r="G1093" s="1051" t="s">
        <v>4201</v>
      </c>
      <c r="H1093" s="635" t="s">
        <v>1841</v>
      </c>
      <c r="I1093" s="634" t="s">
        <v>4135</v>
      </c>
      <c r="J1093" s="391"/>
    </row>
    <row r="1094" spans="1:10" ht="12.75" customHeight="1">
      <c r="A1094" s="638" t="s">
        <v>387</v>
      </c>
      <c r="B1094" s="639"/>
      <c r="C1094" s="638">
        <v>2015</v>
      </c>
      <c r="D1094" s="638">
        <v>2016</v>
      </c>
      <c r="E1094" s="638">
        <v>2017</v>
      </c>
      <c r="F1094" s="1057"/>
      <c r="G1094" s="1052"/>
      <c r="H1094" s="638">
        <v>2014</v>
      </c>
      <c r="I1094" s="638" t="s">
        <v>4303</v>
      </c>
      <c r="J1094" s="391"/>
    </row>
    <row r="1095" spans="1:10" ht="12.75" customHeight="1">
      <c r="A1095" s="646" t="s">
        <v>452</v>
      </c>
      <c r="B1095" s="646" t="s">
        <v>1693</v>
      </c>
      <c r="C1095" s="641">
        <v>50997706.5</v>
      </c>
      <c r="D1095" s="641">
        <v>38937600</v>
      </c>
      <c r="E1095" s="641">
        <v>38937600</v>
      </c>
      <c r="F1095" s="647">
        <f>SUM(C1095:E1095)</f>
        <v>128872906.5</v>
      </c>
      <c r="G1095" s="641">
        <v>23665404</v>
      </c>
      <c r="H1095" s="641">
        <v>50300000</v>
      </c>
      <c r="I1095" s="641" t="e">
        <f>#REF!</f>
        <v>#REF!</v>
      </c>
      <c r="J1095" s="391"/>
    </row>
    <row r="1096" spans="1:10" ht="12.75" customHeight="1">
      <c r="A1096" s="646"/>
      <c r="B1096" s="646"/>
      <c r="C1096" s="641"/>
      <c r="D1096" s="641"/>
      <c r="E1096" s="641"/>
      <c r="F1096" s="647"/>
      <c r="G1096" s="641"/>
      <c r="H1096" s="641"/>
      <c r="I1096" s="641"/>
      <c r="J1096" s="391"/>
    </row>
    <row r="1097" spans="1:10" ht="12.75" customHeight="1">
      <c r="A1097" s="646">
        <v>2</v>
      </c>
      <c r="B1097" s="646" t="s">
        <v>1695</v>
      </c>
      <c r="C1097" s="641">
        <v>1000000</v>
      </c>
      <c r="D1097" s="641">
        <v>1000000</v>
      </c>
      <c r="E1097" s="641">
        <v>1000000</v>
      </c>
      <c r="F1097" s="647">
        <f t="shared" ref="F1097:F1110" si="136">SUM(C1097:E1097)</f>
        <v>3000000</v>
      </c>
      <c r="G1097" s="641">
        <v>296000</v>
      </c>
      <c r="H1097" s="641">
        <v>1060800</v>
      </c>
      <c r="I1097" s="641">
        <v>428000</v>
      </c>
      <c r="J1097" s="391"/>
    </row>
    <row r="1098" spans="1:10" ht="12.75" customHeight="1">
      <c r="A1098" s="646">
        <f t="shared" ref="A1098:A1110" si="137">A1097+1</f>
        <v>3</v>
      </c>
      <c r="B1098" s="646" t="s">
        <v>1696</v>
      </c>
      <c r="C1098" s="642" t="s">
        <v>1386</v>
      </c>
      <c r="D1098" s="642" t="s">
        <v>1386</v>
      </c>
      <c r="E1098" s="642" t="s">
        <v>1386</v>
      </c>
      <c r="F1098" s="647">
        <f t="shared" si="136"/>
        <v>0</v>
      </c>
      <c r="G1098" s="642">
        <v>0</v>
      </c>
      <c r="H1098" s="642" t="s">
        <v>1386</v>
      </c>
      <c r="I1098" s="641" t="s">
        <v>1386</v>
      </c>
      <c r="J1098" s="391"/>
    </row>
    <row r="1099" spans="1:10" ht="12.75" customHeight="1">
      <c r="A1099" s="646">
        <f t="shared" si="137"/>
        <v>4</v>
      </c>
      <c r="B1099" s="646" t="s">
        <v>1701</v>
      </c>
      <c r="C1099" s="642" t="s">
        <v>1386</v>
      </c>
      <c r="D1099" s="642" t="s">
        <v>1386</v>
      </c>
      <c r="E1099" s="642" t="s">
        <v>1386</v>
      </c>
      <c r="F1099" s="647">
        <f t="shared" si="136"/>
        <v>0</v>
      </c>
      <c r="G1099" s="642">
        <v>0</v>
      </c>
      <c r="H1099" s="642" t="s">
        <v>1386</v>
      </c>
      <c r="I1099" s="641" t="s">
        <v>1386</v>
      </c>
      <c r="J1099" s="391"/>
    </row>
    <row r="1100" spans="1:10" ht="12.75" customHeight="1">
      <c r="A1100" s="646">
        <f t="shared" si="137"/>
        <v>5</v>
      </c>
      <c r="B1100" s="646" t="s">
        <v>1702</v>
      </c>
      <c r="C1100" s="641">
        <v>500000</v>
      </c>
      <c r="D1100" s="641">
        <v>500000</v>
      </c>
      <c r="E1100" s="641">
        <v>500000</v>
      </c>
      <c r="F1100" s="647">
        <f t="shared" si="136"/>
        <v>1500000</v>
      </c>
      <c r="G1100" s="641">
        <v>215570</v>
      </c>
      <c r="H1100" s="641">
        <v>530400</v>
      </c>
      <c r="I1100" s="641">
        <v>148000</v>
      </c>
      <c r="J1100" s="391"/>
    </row>
    <row r="1101" spans="1:10" ht="12.75" customHeight="1">
      <c r="A1101" s="646">
        <f t="shared" si="137"/>
        <v>6</v>
      </c>
      <c r="B1101" s="646" t="s">
        <v>1544</v>
      </c>
      <c r="C1101" s="641">
        <v>500000</v>
      </c>
      <c r="D1101" s="641">
        <v>500000</v>
      </c>
      <c r="E1101" s="641">
        <v>500000</v>
      </c>
      <c r="F1101" s="647">
        <f t="shared" si="136"/>
        <v>1500000</v>
      </c>
      <c r="G1101" s="641">
        <v>508680</v>
      </c>
      <c r="H1101" s="641">
        <v>530400</v>
      </c>
      <c r="I1101" s="641">
        <v>396000</v>
      </c>
      <c r="J1101" s="391"/>
    </row>
    <row r="1102" spans="1:10" ht="12.75" customHeight="1">
      <c r="A1102" s="646">
        <f t="shared" si="137"/>
        <v>7</v>
      </c>
      <c r="B1102" s="646" t="s">
        <v>897</v>
      </c>
      <c r="C1102" s="641">
        <v>1000000</v>
      </c>
      <c r="D1102" s="641">
        <v>1000000</v>
      </c>
      <c r="E1102" s="641">
        <v>1000000</v>
      </c>
      <c r="F1102" s="647">
        <f t="shared" si="136"/>
        <v>3000000</v>
      </c>
      <c r="G1102" s="641">
        <v>74750</v>
      </c>
      <c r="H1102" s="641">
        <v>1060800</v>
      </c>
      <c r="I1102" s="641">
        <v>375000</v>
      </c>
      <c r="J1102" s="391"/>
    </row>
    <row r="1103" spans="1:10" ht="12.75" customHeight="1">
      <c r="A1103" s="646">
        <f t="shared" si="137"/>
        <v>8</v>
      </c>
      <c r="B1103" s="646" t="s">
        <v>1385</v>
      </c>
      <c r="C1103" s="642" t="s">
        <v>1386</v>
      </c>
      <c r="D1103" s="642" t="s">
        <v>1386</v>
      </c>
      <c r="E1103" s="642" t="s">
        <v>1386</v>
      </c>
      <c r="F1103" s="647">
        <f t="shared" si="136"/>
        <v>0</v>
      </c>
      <c r="G1103" s="642">
        <v>0</v>
      </c>
      <c r="H1103" s="642" t="s">
        <v>1386</v>
      </c>
      <c r="I1103" s="641" t="s">
        <v>1386</v>
      </c>
      <c r="J1103" s="391"/>
    </row>
    <row r="1104" spans="1:10" ht="12.75" customHeight="1">
      <c r="A1104" s="646">
        <f t="shared" si="137"/>
        <v>9</v>
      </c>
      <c r="B1104" s="646" t="s">
        <v>2061</v>
      </c>
      <c r="C1104" s="642" t="s">
        <v>1386</v>
      </c>
      <c r="D1104" s="642" t="s">
        <v>1386</v>
      </c>
      <c r="E1104" s="642" t="s">
        <v>1386</v>
      </c>
      <c r="F1104" s="647">
        <f t="shared" si="136"/>
        <v>0</v>
      </c>
      <c r="G1104" s="642">
        <v>0</v>
      </c>
      <c r="H1104" s="642" t="s">
        <v>1386</v>
      </c>
      <c r="I1104" s="641" t="s">
        <v>1386</v>
      </c>
      <c r="J1104" s="391"/>
    </row>
    <row r="1105" spans="1:11" ht="12.75" customHeight="1">
      <c r="A1105" s="646">
        <f t="shared" si="137"/>
        <v>10</v>
      </c>
      <c r="B1105" s="646" t="s">
        <v>1680</v>
      </c>
      <c r="C1105" s="641">
        <v>800000</v>
      </c>
      <c r="D1105" s="641">
        <v>500000</v>
      </c>
      <c r="E1105" s="641">
        <v>500000</v>
      </c>
      <c r="F1105" s="647">
        <f t="shared" si="136"/>
        <v>1800000</v>
      </c>
      <c r="G1105" s="642">
        <v>0</v>
      </c>
      <c r="H1105" s="641">
        <v>318240</v>
      </c>
      <c r="I1105" s="642">
        <v>0</v>
      </c>
      <c r="J1105" s="391"/>
    </row>
    <row r="1106" spans="1:11" ht="12.75" customHeight="1">
      <c r="A1106" s="646">
        <f t="shared" si="137"/>
        <v>11</v>
      </c>
      <c r="B1106" s="646" t="s">
        <v>1681</v>
      </c>
      <c r="C1106" s="641">
        <v>100000</v>
      </c>
      <c r="D1106" s="641">
        <v>100000</v>
      </c>
      <c r="E1106" s="641">
        <v>100000</v>
      </c>
      <c r="F1106" s="647">
        <f t="shared" si="136"/>
        <v>300000</v>
      </c>
      <c r="G1106" s="641">
        <v>0</v>
      </c>
      <c r="H1106" s="641">
        <v>106080</v>
      </c>
      <c r="I1106" s="641">
        <v>0</v>
      </c>
      <c r="J1106" s="391"/>
    </row>
    <row r="1107" spans="1:11" ht="12.75" customHeight="1">
      <c r="A1107" s="646">
        <f t="shared" si="137"/>
        <v>12</v>
      </c>
      <c r="B1107" s="646" t="s">
        <v>1682</v>
      </c>
      <c r="C1107" s="641">
        <v>2500000</v>
      </c>
      <c r="D1107" s="641">
        <v>2600000</v>
      </c>
      <c r="E1107" s="641">
        <v>2600000</v>
      </c>
      <c r="F1107" s="647">
        <f t="shared" si="136"/>
        <v>7700000</v>
      </c>
      <c r="G1107" s="641">
        <v>1745950</v>
      </c>
      <c r="H1107" s="641">
        <f>2652000-271200</f>
        <v>2380800</v>
      </c>
      <c r="I1107" s="641">
        <v>3944402</v>
      </c>
      <c r="J1107" s="391"/>
    </row>
    <row r="1108" spans="1:11" ht="12.75" customHeight="1">
      <c r="A1108" s="646">
        <f t="shared" si="137"/>
        <v>13</v>
      </c>
      <c r="B1108" s="646" t="s">
        <v>2249</v>
      </c>
      <c r="C1108" s="641">
        <v>100000</v>
      </c>
      <c r="D1108" s="641">
        <v>100000</v>
      </c>
      <c r="E1108" s="641">
        <v>100000</v>
      </c>
      <c r="F1108" s="647">
        <f t="shared" si="136"/>
        <v>300000</v>
      </c>
      <c r="G1108" s="641">
        <v>0</v>
      </c>
      <c r="H1108" s="641">
        <v>106080</v>
      </c>
      <c r="I1108" s="641">
        <v>0</v>
      </c>
      <c r="J1108" s="391"/>
    </row>
    <row r="1109" spans="1:11" ht="12.75" customHeight="1">
      <c r="A1109" s="646">
        <f t="shared" si="137"/>
        <v>14</v>
      </c>
      <c r="B1109" s="646" t="s">
        <v>1336</v>
      </c>
      <c r="C1109" s="641">
        <v>4000000</v>
      </c>
      <c r="D1109" s="641">
        <v>7200000</v>
      </c>
      <c r="E1109" s="641">
        <v>7200000</v>
      </c>
      <c r="F1109" s="647">
        <f t="shared" si="136"/>
        <v>18400000</v>
      </c>
      <c r="G1109" s="641">
        <v>6500000</v>
      </c>
      <c r="H1109" s="641">
        <v>7425600</v>
      </c>
      <c r="I1109" s="641">
        <v>8500000</v>
      </c>
      <c r="J1109" s="391"/>
    </row>
    <row r="1110" spans="1:11" ht="12.75" customHeight="1">
      <c r="A1110" s="646">
        <f t="shared" si="137"/>
        <v>15</v>
      </c>
      <c r="B1110" s="646" t="s">
        <v>401</v>
      </c>
      <c r="C1110" s="641">
        <v>1500000</v>
      </c>
      <c r="D1110" s="641">
        <v>1000000</v>
      </c>
      <c r="E1110" s="641">
        <v>1000000</v>
      </c>
      <c r="F1110" s="647">
        <f t="shared" si="136"/>
        <v>3500000</v>
      </c>
      <c r="G1110" s="642">
        <v>0</v>
      </c>
      <c r="H1110" s="641">
        <v>1060800</v>
      </c>
      <c r="I1110" s="642">
        <v>79000</v>
      </c>
      <c r="J1110" s="391"/>
    </row>
    <row r="1111" spans="1:11" ht="12.75" customHeight="1">
      <c r="A1111" s="646"/>
      <c r="B1111" s="646"/>
      <c r="C1111" s="641"/>
      <c r="D1111" s="641"/>
      <c r="E1111" s="641"/>
      <c r="F1111" s="647"/>
      <c r="G1111" s="641"/>
      <c r="H1111" s="641"/>
      <c r="I1111" s="641"/>
      <c r="J1111" s="391"/>
    </row>
    <row r="1112" spans="1:11" ht="12.75" customHeight="1">
      <c r="A1112" s="646" t="s">
        <v>453</v>
      </c>
      <c r="B1112" s="651" t="s">
        <v>819</v>
      </c>
      <c r="C1112" s="652">
        <f t="shared" ref="C1112:I1112" si="138">SUM(C1097:C1111)</f>
        <v>12000000</v>
      </c>
      <c r="D1112" s="652">
        <f t="shared" si="138"/>
        <v>14500000</v>
      </c>
      <c r="E1112" s="652">
        <f t="shared" si="138"/>
        <v>14500000</v>
      </c>
      <c r="F1112" s="652">
        <f t="shared" si="138"/>
        <v>41000000</v>
      </c>
      <c r="G1112" s="652">
        <f t="shared" si="138"/>
        <v>9340950</v>
      </c>
      <c r="H1112" s="652">
        <f>SUM(H1097:H1111)</f>
        <v>14580000</v>
      </c>
      <c r="I1112" s="652">
        <f t="shared" si="138"/>
        <v>13870402</v>
      </c>
      <c r="J1112" s="391"/>
      <c r="K1112" s="657">
        <f>14580000-H1112</f>
        <v>0</v>
      </c>
    </row>
    <row r="1113" spans="1:11" ht="12.75" customHeight="1">
      <c r="A1113" s="646"/>
      <c r="B1113" s="646"/>
      <c r="C1113" s="641"/>
      <c r="D1113" s="641"/>
      <c r="E1113" s="641"/>
      <c r="F1113" s="641"/>
      <c r="G1113" s="641"/>
      <c r="H1113" s="641"/>
      <c r="I1113" s="641"/>
      <c r="J1113" s="391"/>
    </row>
    <row r="1114" spans="1:11" ht="12.75" customHeight="1">
      <c r="A1114" s="653"/>
      <c r="B1114" s="653" t="s">
        <v>1684</v>
      </c>
      <c r="C1114" s="645">
        <f t="shared" ref="C1114:I1114" si="139">+C1112+C1095</f>
        <v>62997706.5</v>
      </c>
      <c r="D1114" s="645">
        <f t="shared" si="139"/>
        <v>53437600</v>
      </c>
      <c r="E1114" s="645">
        <f t="shared" si="139"/>
        <v>53437600</v>
      </c>
      <c r="F1114" s="645">
        <f t="shared" si="139"/>
        <v>169872906.5</v>
      </c>
      <c r="G1114" s="645">
        <f t="shared" si="139"/>
        <v>33006354</v>
      </c>
      <c r="H1114" s="645">
        <f>+H1112+H1095</f>
        <v>64880000</v>
      </c>
      <c r="I1114" s="645" t="e">
        <f t="shared" si="139"/>
        <v>#REF!</v>
      </c>
      <c r="J1114" s="391"/>
    </row>
    <row r="1115" spans="1:11" ht="12.75" customHeight="1">
      <c r="A1115" s="391"/>
      <c r="B1115" s="391"/>
      <c r="C1115" s="647"/>
      <c r="D1115" s="647"/>
      <c r="E1115" s="647"/>
      <c r="F1115" s="647"/>
      <c r="G1115" s="647"/>
      <c r="H1115" s="647"/>
      <c r="I1115" s="391"/>
      <c r="J1115" s="391"/>
    </row>
    <row r="1116" spans="1:11" ht="12.75" customHeight="1">
      <c r="A1116" s="391"/>
      <c r="B1116" s="391"/>
      <c r="C1116" s="647"/>
      <c r="D1116" s="308" t="s">
        <v>5434</v>
      </c>
      <c r="E1116" s="647"/>
      <c r="F1116" s="647"/>
      <c r="H1116" s="647"/>
      <c r="I1116" s="391"/>
      <c r="J1116" s="391"/>
    </row>
    <row r="1117" spans="1:11" ht="12.75" customHeight="1">
      <c r="A1117" s="391"/>
      <c r="B1117" s="391"/>
      <c r="C1117" s="647"/>
      <c r="D1117" s="308" t="s">
        <v>716</v>
      </c>
      <c r="E1117" s="647"/>
      <c r="F1117" s="647"/>
      <c r="H1117" s="647"/>
      <c r="I1117" s="391"/>
      <c r="J1117" s="391"/>
    </row>
    <row r="1118" spans="1:11" ht="12.75" customHeight="1">
      <c r="A1118" s="391"/>
      <c r="B1118" s="391"/>
      <c r="C1118" s="647"/>
      <c r="D1118" s="308" t="s">
        <v>4017</v>
      </c>
      <c r="E1118" s="647"/>
      <c r="F1118" s="647"/>
      <c r="H1118" s="647"/>
      <c r="I1118" s="391"/>
      <c r="J1118" s="391"/>
    </row>
    <row r="1119" spans="1:11" ht="12.75" customHeight="1">
      <c r="A1119" s="391"/>
      <c r="B1119" s="391"/>
      <c r="C1119" s="647"/>
      <c r="D1119" s="307" t="s">
        <v>454</v>
      </c>
      <c r="E1119" s="647"/>
      <c r="F1119" s="647"/>
      <c r="H1119" s="647"/>
      <c r="I1119" s="391"/>
      <c r="J1119" s="391"/>
    </row>
    <row r="1120" spans="1:11" ht="12.75" customHeight="1">
      <c r="A1120" s="634" t="s">
        <v>1839</v>
      </c>
      <c r="B1120" s="635" t="s">
        <v>903</v>
      </c>
      <c r="C1120" s="1037" t="s">
        <v>4127</v>
      </c>
      <c r="D1120" s="1038"/>
      <c r="E1120" s="1039"/>
      <c r="F1120" s="635" t="s">
        <v>1684</v>
      </c>
      <c r="G1120" s="1037" t="s">
        <v>4132</v>
      </c>
      <c r="H1120" s="1038"/>
      <c r="I1120" s="1039"/>
      <c r="J1120" s="391"/>
    </row>
    <row r="1121" spans="1:10" ht="12.75" customHeight="1">
      <c r="A1121" s="636" t="s">
        <v>1620</v>
      </c>
      <c r="B1121" s="637"/>
      <c r="C1121" s="635" t="s">
        <v>1841</v>
      </c>
      <c r="D1121" s="635" t="s">
        <v>4133</v>
      </c>
      <c r="E1121" s="635" t="s">
        <v>4133</v>
      </c>
      <c r="F1121" s="1056" t="s">
        <v>4200</v>
      </c>
      <c r="G1121" s="1051" t="s">
        <v>4201</v>
      </c>
      <c r="H1121" s="635" t="s">
        <v>1841</v>
      </c>
      <c r="I1121" s="634" t="s">
        <v>4135</v>
      </c>
      <c r="J1121" s="391"/>
    </row>
    <row r="1122" spans="1:10" ht="12.75" customHeight="1">
      <c r="A1122" s="638" t="s">
        <v>387</v>
      </c>
      <c r="B1122" s="639"/>
      <c r="C1122" s="638">
        <v>2015</v>
      </c>
      <c r="D1122" s="638">
        <v>2016</v>
      </c>
      <c r="E1122" s="638">
        <v>2017</v>
      </c>
      <c r="F1122" s="1057"/>
      <c r="G1122" s="1052"/>
      <c r="H1122" s="638">
        <v>2014</v>
      </c>
      <c r="I1122" s="638" t="s">
        <v>4303</v>
      </c>
      <c r="J1122" s="391"/>
    </row>
    <row r="1123" spans="1:10" ht="12.75" customHeight="1">
      <c r="A1123" s="669" t="s">
        <v>455</v>
      </c>
      <c r="B1123" s="669" t="s">
        <v>1693</v>
      </c>
      <c r="C1123" s="641">
        <v>203520277.19999999</v>
      </c>
      <c r="D1123" s="641">
        <v>198764800</v>
      </c>
      <c r="E1123" s="641">
        <v>198764800</v>
      </c>
      <c r="F1123" s="647">
        <f>SUM(C1123:E1123)</f>
        <v>601049877.20000005</v>
      </c>
      <c r="G1123" s="670">
        <v>191120000</v>
      </c>
      <c r="H1123" s="641">
        <v>200000000</v>
      </c>
      <c r="I1123" s="670" t="e">
        <f>#REF!</f>
        <v>#REF!</v>
      </c>
      <c r="J1123" s="391"/>
    </row>
    <row r="1124" spans="1:10" ht="12.75" customHeight="1">
      <c r="A1124" s="669"/>
      <c r="B1124" s="669"/>
      <c r="C1124" s="671"/>
      <c r="D1124" s="671"/>
      <c r="E1124" s="671"/>
      <c r="F1124" s="647"/>
      <c r="G1124" s="670"/>
      <c r="H1124" s="671"/>
      <c r="I1124" s="670"/>
      <c r="J1124" s="391"/>
    </row>
    <row r="1125" spans="1:10" ht="12.75" customHeight="1">
      <c r="A1125" s="672">
        <v>2</v>
      </c>
      <c r="B1125" s="646" t="s">
        <v>1695</v>
      </c>
      <c r="C1125" s="641">
        <v>2000000</v>
      </c>
      <c r="D1125" s="641">
        <v>2000000</v>
      </c>
      <c r="E1125" s="641">
        <v>2000000</v>
      </c>
      <c r="F1125" s="647">
        <f t="shared" ref="F1125:F1137" si="140">SUM(C1125:E1125)</f>
        <v>6000000</v>
      </c>
      <c r="G1125" s="642">
        <v>1000000</v>
      </c>
      <c r="H1125" s="641">
        <v>2060800</v>
      </c>
      <c r="I1125" s="642">
        <v>1076650</v>
      </c>
      <c r="J1125" s="391"/>
    </row>
    <row r="1126" spans="1:10" ht="12.75" customHeight="1">
      <c r="A1126" s="672">
        <v>3</v>
      </c>
      <c r="B1126" s="646" t="s">
        <v>1696</v>
      </c>
      <c r="C1126" s="641">
        <f t="shared" ref="C1126:C1132" si="141">E1126*1.02</f>
        <v>0</v>
      </c>
      <c r="D1126" s="641">
        <v>0</v>
      </c>
      <c r="E1126" s="641">
        <v>0</v>
      </c>
      <c r="F1126" s="647">
        <f t="shared" si="140"/>
        <v>0</v>
      </c>
      <c r="G1126" s="641" t="s">
        <v>1386</v>
      </c>
      <c r="H1126" s="641"/>
      <c r="I1126" s="641" t="s">
        <v>1386</v>
      </c>
      <c r="J1126" s="391"/>
    </row>
    <row r="1127" spans="1:10" ht="12.75" customHeight="1">
      <c r="A1127" s="672">
        <v>4</v>
      </c>
      <c r="B1127" s="646" t="s">
        <v>1701</v>
      </c>
      <c r="C1127" s="641">
        <f t="shared" si="141"/>
        <v>0</v>
      </c>
      <c r="D1127" s="641">
        <v>0</v>
      </c>
      <c r="E1127" s="641">
        <v>0</v>
      </c>
      <c r="F1127" s="647">
        <f t="shared" si="140"/>
        <v>0</v>
      </c>
      <c r="G1127" s="641" t="s">
        <v>1386</v>
      </c>
      <c r="H1127" s="641"/>
      <c r="I1127" s="641" t="s">
        <v>1386</v>
      </c>
      <c r="J1127" s="391"/>
    </row>
    <row r="1128" spans="1:10" ht="12.75" customHeight="1">
      <c r="A1128" s="672">
        <v>5</v>
      </c>
      <c r="B1128" s="646" t="s">
        <v>1702</v>
      </c>
      <c r="C1128" s="641">
        <v>800000</v>
      </c>
      <c r="D1128" s="641">
        <v>1000000</v>
      </c>
      <c r="E1128" s="641">
        <v>1000000</v>
      </c>
      <c r="F1128" s="647">
        <f t="shared" si="140"/>
        <v>2800000</v>
      </c>
      <c r="G1128" s="642">
        <v>500000</v>
      </c>
      <c r="H1128" s="641"/>
      <c r="I1128" s="642">
        <v>4400</v>
      </c>
      <c r="J1128" s="391"/>
    </row>
    <row r="1129" spans="1:10" ht="12.75" customHeight="1">
      <c r="A1129" s="672">
        <v>6</v>
      </c>
      <c r="B1129" s="646" t="s">
        <v>1544</v>
      </c>
      <c r="C1129" s="641">
        <v>300000</v>
      </c>
      <c r="D1129" s="641">
        <v>300000</v>
      </c>
      <c r="E1129" s="641">
        <v>300000</v>
      </c>
      <c r="F1129" s="647">
        <f t="shared" si="140"/>
        <v>900000</v>
      </c>
      <c r="G1129" s="642">
        <v>300000</v>
      </c>
      <c r="H1129" s="641"/>
      <c r="I1129" s="642">
        <v>315240</v>
      </c>
      <c r="J1129" s="391"/>
    </row>
    <row r="1130" spans="1:10" ht="12.75" customHeight="1">
      <c r="A1130" s="672">
        <v>7</v>
      </c>
      <c r="B1130" s="646" t="s">
        <v>897</v>
      </c>
      <c r="C1130" s="641">
        <v>2800000</v>
      </c>
      <c r="D1130" s="641">
        <v>2000000</v>
      </c>
      <c r="E1130" s="641">
        <v>2000000</v>
      </c>
      <c r="F1130" s="647">
        <f t="shared" si="140"/>
        <v>6800000</v>
      </c>
      <c r="G1130" s="642">
        <v>800000</v>
      </c>
      <c r="H1130" s="641">
        <v>1848640</v>
      </c>
      <c r="I1130" s="642">
        <v>800000</v>
      </c>
      <c r="J1130" s="391"/>
    </row>
    <row r="1131" spans="1:10" ht="12.75" customHeight="1">
      <c r="A1131" s="672">
        <f>+A1130+1</f>
        <v>8</v>
      </c>
      <c r="B1131" s="646" t="s">
        <v>1385</v>
      </c>
      <c r="C1131" s="641">
        <f t="shared" si="141"/>
        <v>0</v>
      </c>
      <c r="D1131" s="641">
        <v>0</v>
      </c>
      <c r="E1131" s="641">
        <v>0</v>
      </c>
      <c r="F1131" s="647">
        <f t="shared" si="140"/>
        <v>0</v>
      </c>
      <c r="G1131" s="641" t="s">
        <v>1386</v>
      </c>
      <c r="H1131" s="641"/>
      <c r="I1131" s="641" t="s">
        <v>1386</v>
      </c>
      <c r="J1131" s="391"/>
    </row>
    <row r="1132" spans="1:10" ht="12.75" customHeight="1">
      <c r="A1132" s="672">
        <f>+A1131+1</f>
        <v>9</v>
      </c>
      <c r="B1132" s="646" t="s">
        <v>2061</v>
      </c>
      <c r="C1132" s="641">
        <f t="shared" si="141"/>
        <v>0</v>
      </c>
      <c r="D1132" s="641">
        <v>0</v>
      </c>
      <c r="E1132" s="641">
        <v>0</v>
      </c>
      <c r="F1132" s="647">
        <f t="shared" si="140"/>
        <v>0</v>
      </c>
      <c r="G1132" s="641" t="s">
        <v>1386</v>
      </c>
      <c r="H1132" s="641"/>
      <c r="I1132" s="641" t="s">
        <v>1386</v>
      </c>
      <c r="J1132" s="391"/>
    </row>
    <row r="1133" spans="1:10" ht="12.75" customHeight="1">
      <c r="A1133" s="672">
        <f>+A1132+1</f>
        <v>10</v>
      </c>
      <c r="B1133" s="646" t="s">
        <v>1680</v>
      </c>
      <c r="C1133" s="641">
        <v>200000</v>
      </c>
      <c r="D1133" s="641">
        <v>300000</v>
      </c>
      <c r="E1133" s="641">
        <v>300000</v>
      </c>
      <c r="F1133" s="647">
        <f t="shared" si="140"/>
        <v>800000</v>
      </c>
      <c r="G1133" s="642">
        <v>200000</v>
      </c>
      <c r="H1133" s="641"/>
      <c r="I1133" s="642">
        <v>212160</v>
      </c>
      <c r="J1133" s="391"/>
    </row>
    <row r="1134" spans="1:10" ht="12.75" customHeight="1">
      <c r="A1134" s="672">
        <f>+A1133+1</f>
        <v>11</v>
      </c>
      <c r="B1134" s="646" t="s">
        <v>1681</v>
      </c>
      <c r="C1134" s="641">
        <v>100000</v>
      </c>
      <c r="D1134" s="641">
        <v>100000</v>
      </c>
      <c r="E1134" s="641">
        <v>100000</v>
      </c>
      <c r="F1134" s="647">
        <f t="shared" si="140"/>
        <v>300000</v>
      </c>
      <c r="G1134" s="642">
        <v>100000</v>
      </c>
      <c r="H1134" s="641"/>
      <c r="I1134" s="642">
        <v>1060080</v>
      </c>
      <c r="J1134" s="391"/>
    </row>
    <row r="1135" spans="1:10" ht="12.75" customHeight="1">
      <c r="A1135" s="672">
        <f>+A1134+1</f>
        <v>12</v>
      </c>
      <c r="B1135" s="646" t="s">
        <v>1682</v>
      </c>
      <c r="C1135" s="641">
        <v>3000000</v>
      </c>
      <c r="D1135" s="641">
        <v>3000000</v>
      </c>
      <c r="E1135" s="641">
        <v>3000000</v>
      </c>
      <c r="F1135" s="647">
        <f t="shared" si="140"/>
        <v>9000000</v>
      </c>
      <c r="G1135" s="642">
        <v>2500000</v>
      </c>
      <c r="H1135" s="641">
        <f>2700000+175040-336480</f>
        <v>2538560</v>
      </c>
      <c r="I1135" s="642">
        <v>1704190</v>
      </c>
      <c r="J1135" s="391"/>
    </row>
    <row r="1136" spans="1:10" ht="12.75" customHeight="1">
      <c r="A1136" s="646">
        <f>A1135+1</f>
        <v>13</v>
      </c>
      <c r="B1136" s="646" t="s">
        <v>2249</v>
      </c>
      <c r="C1136" s="642">
        <v>100000</v>
      </c>
      <c r="D1136" s="642">
        <v>100000</v>
      </c>
      <c r="E1136" s="642">
        <v>100000</v>
      </c>
      <c r="F1136" s="647">
        <f t="shared" si="140"/>
        <v>300000</v>
      </c>
      <c r="G1136" s="642">
        <v>100000</v>
      </c>
      <c r="H1136" s="642"/>
      <c r="I1136" s="642">
        <v>0</v>
      </c>
      <c r="J1136" s="391"/>
    </row>
    <row r="1137" spans="1:11" ht="12.75" customHeight="1">
      <c r="A1137" s="646">
        <f>A1136+1</f>
        <v>14</v>
      </c>
      <c r="B1137" s="646" t="s">
        <v>1336</v>
      </c>
      <c r="C1137" s="642">
        <v>700000</v>
      </c>
      <c r="D1137" s="642">
        <v>1000000</v>
      </c>
      <c r="E1137" s="642">
        <v>1000000</v>
      </c>
      <c r="F1137" s="647">
        <f t="shared" si="140"/>
        <v>2700000</v>
      </c>
      <c r="G1137" s="642">
        <v>700000</v>
      </c>
      <c r="H1137" s="642"/>
      <c r="I1137" s="642">
        <v>596560</v>
      </c>
      <c r="J1137" s="391"/>
    </row>
    <row r="1138" spans="1:11" ht="12.75" customHeight="1">
      <c r="A1138" s="672"/>
      <c r="B1138" s="672"/>
      <c r="C1138" s="642"/>
      <c r="D1138" s="642"/>
      <c r="E1138" s="642"/>
      <c r="F1138" s="647"/>
      <c r="G1138" s="642"/>
      <c r="H1138" s="642"/>
      <c r="I1138" s="642"/>
      <c r="J1138" s="391"/>
    </row>
    <row r="1139" spans="1:11" ht="12.75" customHeight="1">
      <c r="A1139" s="672" t="s">
        <v>456</v>
      </c>
      <c r="B1139" s="673" t="s">
        <v>819</v>
      </c>
      <c r="C1139" s="674">
        <f t="shared" ref="C1139:H1139" si="142">SUM(C1125:C1138)</f>
        <v>10000000</v>
      </c>
      <c r="D1139" s="674">
        <f t="shared" si="142"/>
        <v>9800000</v>
      </c>
      <c r="E1139" s="674">
        <f t="shared" si="142"/>
        <v>9800000</v>
      </c>
      <c r="F1139" s="674">
        <f t="shared" si="142"/>
        <v>29600000</v>
      </c>
      <c r="G1139" s="674">
        <f t="shared" si="142"/>
        <v>6200000</v>
      </c>
      <c r="H1139" s="674">
        <f t="shared" si="142"/>
        <v>6448000</v>
      </c>
      <c r="I1139" s="674">
        <f>SUM(I1125:I1137)</f>
        <v>5769280</v>
      </c>
      <c r="J1139" s="391"/>
      <c r="K1139" s="657">
        <f>6448000-H1139</f>
        <v>0</v>
      </c>
    </row>
    <row r="1140" spans="1:11" ht="12.75" customHeight="1">
      <c r="A1140" s="672"/>
      <c r="B1140" s="672"/>
      <c r="C1140" s="642"/>
      <c r="D1140" s="642"/>
      <c r="E1140" s="642"/>
      <c r="F1140" s="642"/>
      <c r="G1140" s="642"/>
      <c r="H1140" s="642"/>
      <c r="I1140" s="642"/>
      <c r="J1140" s="391"/>
    </row>
    <row r="1141" spans="1:11" ht="12.75" customHeight="1">
      <c r="A1141" s="675"/>
      <c r="B1141" s="675" t="s">
        <v>2241</v>
      </c>
      <c r="C1141" s="645">
        <f t="shared" ref="C1141:I1141" si="143">+C1139+C1123</f>
        <v>213520277.19999999</v>
      </c>
      <c r="D1141" s="645">
        <f t="shared" si="143"/>
        <v>208564800</v>
      </c>
      <c r="E1141" s="645">
        <f t="shared" si="143"/>
        <v>208564800</v>
      </c>
      <c r="F1141" s="645">
        <f t="shared" si="143"/>
        <v>630649877.20000005</v>
      </c>
      <c r="G1141" s="645">
        <f t="shared" si="143"/>
        <v>197320000</v>
      </c>
      <c r="H1141" s="645">
        <f>+H1139+H1123</f>
        <v>206448000</v>
      </c>
      <c r="I1141" s="645" t="e">
        <f t="shared" si="143"/>
        <v>#REF!</v>
      </c>
      <c r="J1141" s="391"/>
    </row>
    <row r="1142" spans="1:11" ht="12.75" customHeight="1">
      <c r="A1142" s="391"/>
      <c r="B1142" s="391"/>
      <c r="C1142" s="647"/>
      <c r="D1142" s="647"/>
      <c r="E1142" s="647"/>
      <c r="F1142" s="647"/>
      <c r="G1142" s="647"/>
      <c r="H1142" s="647"/>
      <c r="I1142" s="391"/>
      <c r="J1142" s="391"/>
    </row>
    <row r="1143" spans="1:11" ht="12.75" customHeight="1">
      <c r="A1143" s="391"/>
      <c r="B1143" s="391"/>
      <c r="C1143" s="647"/>
      <c r="D1143" s="308" t="s">
        <v>5434</v>
      </c>
      <c r="E1143" s="647"/>
      <c r="F1143" s="647"/>
      <c r="H1143" s="647"/>
      <c r="I1143" s="391"/>
      <c r="J1143" s="391"/>
    </row>
    <row r="1144" spans="1:11" ht="12.75" customHeight="1">
      <c r="A1144" s="655"/>
      <c r="B1144" s="663"/>
      <c r="C1144" s="664"/>
      <c r="D1144" s="308" t="s">
        <v>716</v>
      </c>
      <c r="E1144" s="655"/>
      <c r="F1144" s="647"/>
      <c r="H1144" s="664"/>
      <c r="I1144" s="391"/>
      <c r="J1144" s="391"/>
    </row>
    <row r="1145" spans="1:11" ht="12.75" customHeight="1">
      <c r="A1145" s="655"/>
      <c r="B1145" s="633"/>
      <c r="C1145" s="655"/>
      <c r="D1145" s="308" t="s">
        <v>4018</v>
      </c>
      <c r="E1145" s="655"/>
      <c r="F1145" s="647"/>
      <c r="H1145" s="655"/>
      <c r="I1145" s="391"/>
      <c r="J1145" s="391"/>
    </row>
    <row r="1146" spans="1:11" ht="12.75" customHeight="1">
      <c r="A1146" s="655"/>
      <c r="B1146" s="655"/>
      <c r="C1146" s="655"/>
      <c r="D1146" s="307" t="s">
        <v>457</v>
      </c>
      <c r="E1146" s="655"/>
      <c r="F1146" s="647"/>
      <c r="H1146" s="655"/>
      <c r="I1146" s="391"/>
      <c r="J1146" s="391"/>
    </row>
    <row r="1147" spans="1:11" ht="12.75" customHeight="1">
      <c r="A1147" s="634" t="s">
        <v>1839</v>
      </c>
      <c r="B1147" s="635" t="s">
        <v>903</v>
      </c>
      <c r="C1147" s="1037" t="s">
        <v>4127</v>
      </c>
      <c r="D1147" s="1038"/>
      <c r="E1147" s="1039"/>
      <c r="F1147" s="635" t="s">
        <v>1684</v>
      </c>
      <c r="G1147" s="1037" t="s">
        <v>4132</v>
      </c>
      <c r="H1147" s="1038"/>
      <c r="I1147" s="1039"/>
      <c r="J1147" s="391"/>
    </row>
    <row r="1148" spans="1:11" ht="12.75" customHeight="1">
      <c r="A1148" s="636" t="s">
        <v>1620</v>
      </c>
      <c r="B1148" s="637"/>
      <c r="C1148" s="635" t="s">
        <v>1841</v>
      </c>
      <c r="D1148" s="635" t="s">
        <v>4133</v>
      </c>
      <c r="E1148" s="635" t="s">
        <v>4133</v>
      </c>
      <c r="F1148" s="1056" t="s">
        <v>4200</v>
      </c>
      <c r="G1148" s="1051" t="s">
        <v>4201</v>
      </c>
      <c r="H1148" s="635" t="s">
        <v>1841</v>
      </c>
      <c r="I1148" s="634" t="s">
        <v>4135</v>
      </c>
      <c r="J1148" s="391"/>
    </row>
    <row r="1149" spans="1:11" ht="12.75" customHeight="1">
      <c r="A1149" s="638" t="s">
        <v>387</v>
      </c>
      <c r="B1149" s="639"/>
      <c r="C1149" s="638">
        <v>2015</v>
      </c>
      <c r="D1149" s="638">
        <v>2016</v>
      </c>
      <c r="E1149" s="638">
        <v>2017</v>
      </c>
      <c r="F1149" s="1057"/>
      <c r="G1149" s="1052"/>
      <c r="H1149" s="638">
        <v>2014</v>
      </c>
      <c r="I1149" s="638" t="s">
        <v>4303</v>
      </c>
      <c r="J1149" s="391"/>
    </row>
    <row r="1150" spans="1:11" ht="12.75" customHeight="1">
      <c r="A1150" s="646" t="s">
        <v>458</v>
      </c>
      <c r="B1150" s="646" t="s">
        <v>1693</v>
      </c>
      <c r="C1150" s="641">
        <v>9622626.1999999993</v>
      </c>
      <c r="D1150" s="641">
        <v>19676800</v>
      </c>
      <c r="E1150" s="641">
        <v>19676800</v>
      </c>
      <c r="F1150" s="647">
        <f>SUM(C1150:E1150)</f>
        <v>48976226.200000003</v>
      </c>
      <c r="G1150" s="641">
        <v>6042412</v>
      </c>
      <c r="H1150" s="641">
        <v>11000000</v>
      </c>
      <c r="I1150" s="641" t="e">
        <f>#REF!</f>
        <v>#REF!</v>
      </c>
      <c r="J1150" s="391"/>
    </row>
    <row r="1151" spans="1:11" ht="12.75" customHeight="1">
      <c r="A1151" s="646"/>
      <c r="B1151" s="646"/>
      <c r="C1151" s="641"/>
      <c r="D1151" s="641"/>
      <c r="E1151" s="641"/>
      <c r="F1151" s="647"/>
      <c r="G1151" s="641"/>
      <c r="H1151" s="641"/>
      <c r="I1151" s="641"/>
      <c r="J1151" s="391"/>
    </row>
    <row r="1152" spans="1:11" ht="12.75" customHeight="1">
      <c r="A1152" s="646">
        <v>2</v>
      </c>
      <c r="B1152" s="646" t="s">
        <v>1695</v>
      </c>
      <c r="C1152" s="641">
        <v>500000</v>
      </c>
      <c r="D1152" s="641">
        <v>1500000</v>
      </c>
      <c r="E1152" s="641">
        <v>1500000</v>
      </c>
      <c r="F1152" s="647">
        <f t="shared" ref="F1152:F1166" si="144">SUM(C1152:E1152)</f>
        <v>3500000</v>
      </c>
      <c r="G1152" s="641">
        <v>0</v>
      </c>
      <c r="H1152" s="641">
        <v>1591200</v>
      </c>
      <c r="I1152" s="641"/>
      <c r="J1152" s="391"/>
    </row>
    <row r="1153" spans="1:10" ht="12.75" customHeight="1">
      <c r="A1153" s="646">
        <f t="shared" ref="A1153:A1166" si="145">A1152+1</f>
        <v>3</v>
      </c>
      <c r="B1153" s="646" t="s">
        <v>1696</v>
      </c>
      <c r="C1153" s="642" t="s">
        <v>1386</v>
      </c>
      <c r="D1153" s="642" t="s">
        <v>1386</v>
      </c>
      <c r="E1153" s="642" t="s">
        <v>1386</v>
      </c>
      <c r="F1153" s="647">
        <f t="shared" si="144"/>
        <v>0</v>
      </c>
      <c r="G1153" s="641">
        <v>0</v>
      </c>
      <c r="H1153" s="641">
        <v>106080</v>
      </c>
      <c r="I1153" s="641"/>
      <c r="J1153" s="391"/>
    </row>
    <row r="1154" spans="1:10" ht="12.75" customHeight="1">
      <c r="A1154" s="646">
        <f t="shared" si="145"/>
        <v>4</v>
      </c>
      <c r="B1154" s="646" t="s">
        <v>1701</v>
      </c>
      <c r="C1154" s="642" t="s">
        <v>1386</v>
      </c>
      <c r="D1154" s="642" t="s">
        <v>1386</v>
      </c>
      <c r="E1154" s="642" t="s">
        <v>1386</v>
      </c>
      <c r="F1154" s="647">
        <f t="shared" si="144"/>
        <v>0</v>
      </c>
      <c r="G1154" s="641" t="s">
        <v>1386</v>
      </c>
      <c r="H1154" s="642" t="s">
        <v>1386</v>
      </c>
      <c r="I1154" s="641"/>
      <c r="J1154" s="391"/>
    </row>
    <row r="1155" spans="1:10" ht="12.75" customHeight="1">
      <c r="A1155" s="646">
        <f t="shared" si="145"/>
        <v>5</v>
      </c>
      <c r="B1155" s="646" t="s">
        <v>1702</v>
      </c>
      <c r="C1155" s="641">
        <v>300000</v>
      </c>
      <c r="D1155" s="641">
        <v>400000</v>
      </c>
      <c r="E1155" s="641">
        <v>400000</v>
      </c>
      <c r="F1155" s="647">
        <f t="shared" si="144"/>
        <v>1100000</v>
      </c>
      <c r="G1155" s="641">
        <v>0</v>
      </c>
      <c r="H1155" s="641">
        <v>318240</v>
      </c>
      <c r="I1155" s="641"/>
      <c r="J1155" s="391"/>
    </row>
    <row r="1156" spans="1:10" ht="12.75" customHeight="1">
      <c r="A1156" s="646">
        <f t="shared" si="145"/>
        <v>6</v>
      </c>
      <c r="B1156" s="646" t="s">
        <v>1544</v>
      </c>
      <c r="C1156" s="641">
        <v>200000</v>
      </c>
      <c r="D1156" s="641">
        <v>300000</v>
      </c>
      <c r="E1156" s="641">
        <v>300000</v>
      </c>
      <c r="F1156" s="647">
        <f t="shared" si="144"/>
        <v>800000</v>
      </c>
      <c r="G1156" s="641">
        <v>0</v>
      </c>
      <c r="H1156" s="641">
        <v>318240</v>
      </c>
      <c r="I1156" s="641"/>
      <c r="J1156" s="391"/>
    </row>
    <row r="1157" spans="1:10" ht="12.75" customHeight="1">
      <c r="A1157" s="646">
        <f t="shared" si="145"/>
        <v>7</v>
      </c>
      <c r="B1157" s="646" t="s">
        <v>897</v>
      </c>
      <c r="C1157" s="641">
        <v>200000</v>
      </c>
      <c r="D1157" s="641">
        <v>1500000</v>
      </c>
      <c r="E1157" s="641">
        <v>1500000</v>
      </c>
      <c r="F1157" s="647">
        <f t="shared" si="144"/>
        <v>3200000</v>
      </c>
      <c r="G1157" s="641">
        <v>0</v>
      </c>
      <c r="H1157" s="641">
        <v>1591200</v>
      </c>
      <c r="I1157" s="641"/>
      <c r="J1157" s="391"/>
    </row>
    <row r="1158" spans="1:10" ht="12.75" customHeight="1">
      <c r="A1158" s="646">
        <f t="shared" si="145"/>
        <v>8</v>
      </c>
      <c r="B1158" s="646" t="s">
        <v>1385</v>
      </c>
      <c r="C1158" s="642" t="s">
        <v>1386</v>
      </c>
      <c r="D1158" s="642" t="s">
        <v>1386</v>
      </c>
      <c r="E1158" s="642" t="s">
        <v>1386</v>
      </c>
      <c r="F1158" s="647">
        <f t="shared" si="144"/>
        <v>0</v>
      </c>
      <c r="G1158" s="641" t="s">
        <v>1386</v>
      </c>
      <c r="H1158" s="642" t="s">
        <v>1386</v>
      </c>
      <c r="I1158" s="642"/>
      <c r="J1158" s="391"/>
    </row>
    <row r="1159" spans="1:10" ht="12.75" customHeight="1">
      <c r="A1159" s="646">
        <f t="shared" si="145"/>
        <v>9</v>
      </c>
      <c r="B1159" s="646" t="s">
        <v>2061</v>
      </c>
      <c r="C1159" s="642" t="s">
        <v>1386</v>
      </c>
      <c r="D1159" s="642" t="s">
        <v>1386</v>
      </c>
      <c r="E1159" s="642" t="s">
        <v>1386</v>
      </c>
      <c r="F1159" s="647">
        <f t="shared" si="144"/>
        <v>0</v>
      </c>
      <c r="G1159" s="641" t="s">
        <v>1386</v>
      </c>
      <c r="H1159" s="642" t="s">
        <v>1386</v>
      </c>
      <c r="I1159" s="641"/>
      <c r="J1159" s="391"/>
    </row>
    <row r="1160" spans="1:10" ht="12.75" customHeight="1">
      <c r="A1160" s="646">
        <f t="shared" si="145"/>
        <v>10</v>
      </c>
      <c r="B1160" s="646" t="s">
        <v>1680</v>
      </c>
      <c r="C1160" s="641">
        <v>800000</v>
      </c>
      <c r="D1160" s="641">
        <v>800000</v>
      </c>
      <c r="E1160" s="641">
        <v>800000</v>
      </c>
      <c r="F1160" s="647">
        <f t="shared" si="144"/>
        <v>2400000</v>
      </c>
      <c r="G1160" s="641">
        <v>0</v>
      </c>
      <c r="H1160" s="641">
        <v>106080</v>
      </c>
      <c r="I1160" s="641"/>
      <c r="J1160" s="391"/>
    </row>
    <row r="1161" spans="1:10" ht="12.75" customHeight="1">
      <c r="A1161" s="646">
        <f t="shared" si="145"/>
        <v>11</v>
      </c>
      <c r="B1161" s="646" t="s">
        <v>214</v>
      </c>
      <c r="C1161" s="641">
        <v>100000</v>
      </c>
      <c r="D1161" s="641">
        <v>100000</v>
      </c>
      <c r="E1161" s="641">
        <v>100000</v>
      </c>
      <c r="F1161" s="647">
        <f t="shared" si="144"/>
        <v>300000</v>
      </c>
      <c r="G1161" s="641">
        <v>0</v>
      </c>
      <c r="H1161" s="641">
        <v>106080</v>
      </c>
      <c r="I1161" s="641"/>
      <c r="J1161" s="391"/>
    </row>
    <row r="1162" spans="1:10" ht="12.75" customHeight="1">
      <c r="A1162" s="646">
        <f t="shared" si="145"/>
        <v>12</v>
      </c>
      <c r="B1162" s="646" t="s">
        <v>1682</v>
      </c>
      <c r="C1162" s="641">
        <v>1000000</v>
      </c>
      <c r="D1162" s="641">
        <v>2000000</v>
      </c>
      <c r="E1162" s="641">
        <v>2000000</v>
      </c>
      <c r="F1162" s="647">
        <f t="shared" si="144"/>
        <v>5000000</v>
      </c>
      <c r="G1162" s="641">
        <v>0</v>
      </c>
      <c r="H1162" s="641">
        <f>2121600-176800</f>
        <v>1944800</v>
      </c>
      <c r="I1162" s="641"/>
      <c r="J1162" s="391"/>
    </row>
    <row r="1163" spans="1:10" ht="12.75" customHeight="1">
      <c r="A1163" s="646">
        <f t="shared" si="145"/>
        <v>13</v>
      </c>
      <c r="B1163" s="646" t="s">
        <v>2249</v>
      </c>
      <c r="C1163" s="641">
        <v>100000</v>
      </c>
      <c r="D1163" s="641">
        <v>100000</v>
      </c>
      <c r="E1163" s="641">
        <v>100000</v>
      </c>
      <c r="F1163" s="647">
        <f t="shared" si="144"/>
        <v>300000</v>
      </c>
      <c r="G1163" s="641">
        <v>0</v>
      </c>
      <c r="H1163" s="641">
        <v>106080</v>
      </c>
      <c r="I1163" s="641"/>
      <c r="J1163" s="391"/>
    </row>
    <row r="1164" spans="1:10" ht="12.75" customHeight="1">
      <c r="A1164" s="646">
        <f t="shared" si="145"/>
        <v>14</v>
      </c>
      <c r="B1164" s="646" t="s">
        <v>3018</v>
      </c>
      <c r="C1164" s="641">
        <v>800000</v>
      </c>
      <c r="D1164" s="641">
        <v>800000</v>
      </c>
      <c r="E1164" s="641">
        <v>800000</v>
      </c>
      <c r="F1164" s="647">
        <f t="shared" si="144"/>
        <v>2400000</v>
      </c>
      <c r="G1164" s="641">
        <v>0</v>
      </c>
      <c r="H1164" s="641">
        <v>530400</v>
      </c>
      <c r="I1164" s="641"/>
      <c r="J1164" s="391"/>
    </row>
    <row r="1165" spans="1:10" ht="12.75" customHeight="1">
      <c r="A1165" s="646">
        <f t="shared" si="145"/>
        <v>15</v>
      </c>
      <c r="B1165" s="646" t="s">
        <v>3115</v>
      </c>
      <c r="C1165" s="641">
        <v>2000000</v>
      </c>
      <c r="D1165" s="641">
        <v>1500000</v>
      </c>
      <c r="E1165" s="641">
        <v>1500000</v>
      </c>
      <c r="F1165" s="647">
        <f t="shared" si="144"/>
        <v>5000000</v>
      </c>
      <c r="G1165" s="641">
        <v>0</v>
      </c>
      <c r="H1165" s="641">
        <v>1591200</v>
      </c>
      <c r="I1165" s="641"/>
      <c r="J1165" s="391"/>
    </row>
    <row r="1166" spans="1:10" ht="12.75" customHeight="1">
      <c r="A1166" s="646">
        <f t="shared" si="145"/>
        <v>16</v>
      </c>
      <c r="B1166" s="646" t="s">
        <v>402</v>
      </c>
      <c r="C1166" s="641">
        <v>2000000</v>
      </c>
      <c r="D1166" s="641">
        <v>500000</v>
      </c>
      <c r="E1166" s="641">
        <v>500000</v>
      </c>
      <c r="F1166" s="647">
        <f t="shared" si="144"/>
        <v>3000000</v>
      </c>
      <c r="G1166" s="641">
        <v>0</v>
      </c>
      <c r="H1166" s="641">
        <v>530400</v>
      </c>
      <c r="I1166" s="641"/>
      <c r="J1166" s="391"/>
    </row>
    <row r="1167" spans="1:10" ht="12.75" customHeight="1">
      <c r="A1167" s="646"/>
      <c r="B1167" s="646"/>
      <c r="C1167" s="641"/>
      <c r="D1167" s="641"/>
      <c r="E1167" s="641"/>
      <c r="F1167" s="647"/>
      <c r="G1167" s="641"/>
      <c r="H1167" s="641"/>
      <c r="I1167" s="641"/>
      <c r="J1167" s="391"/>
    </row>
    <row r="1168" spans="1:10" ht="12.75" customHeight="1">
      <c r="A1168" s="646"/>
      <c r="B1168" s="646"/>
      <c r="C1168" s="642"/>
      <c r="D1168" s="642"/>
      <c r="E1168" s="642"/>
      <c r="F1168" s="647"/>
      <c r="G1168" s="642"/>
      <c r="H1168" s="642"/>
      <c r="I1168" s="642"/>
      <c r="J1168" s="391"/>
    </row>
    <row r="1169" spans="1:11" ht="12.75" customHeight="1">
      <c r="A1169" s="646" t="s">
        <v>459</v>
      </c>
      <c r="B1169" s="651" t="s">
        <v>819</v>
      </c>
      <c r="C1169" s="652">
        <f t="shared" ref="C1169:I1169" si="146">SUM(C1152:C1168)</f>
        <v>8000000</v>
      </c>
      <c r="D1169" s="652">
        <f t="shared" si="146"/>
        <v>9500000</v>
      </c>
      <c r="E1169" s="652">
        <f t="shared" si="146"/>
        <v>9500000</v>
      </c>
      <c r="F1169" s="652">
        <f t="shared" si="146"/>
        <v>27000000</v>
      </c>
      <c r="G1169" s="652">
        <f t="shared" si="146"/>
        <v>0</v>
      </c>
      <c r="H1169" s="652">
        <f>SUM(H1152:H1168)</f>
        <v>8840000</v>
      </c>
      <c r="I1169" s="652">
        <f t="shared" si="146"/>
        <v>0</v>
      </c>
      <c r="J1169" s="391"/>
      <c r="K1169" s="657">
        <f>8840000-H1169</f>
        <v>0</v>
      </c>
    </row>
    <row r="1170" spans="1:11" ht="12.75" customHeight="1">
      <c r="A1170" s="646"/>
      <c r="B1170" s="646"/>
      <c r="C1170" s="641"/>
      <c r="D1170" s="641"/>
      <c r="E1170" s="641"/>
      <c r="F1170" s="641"/>
      <c r="G1170" s="641"/>
      <c r="H1170" s="641"/>
      <c r="I1170" s="641"/>
      <c r="J1170" s="391"/>
    </row>
    <row r="1171" spans="1:11" ht="12.75" customHeight="1">
      <c r="A1171" s="653"/>
      <c r="B1171" s="653" t="s">
        <v>1684</v>
      </c>
      <c r="C1171" s="645">
        <f t="shared" ref="C1171:I1171" si="147">+C1169+C1150</f>
        <v>17622626.199999999</v>
      </c>
      <c r="D1171" s="645">
        <f t="shared" si="147"/>
        <v>29176800</v>
      </c>
      <c r="E1171" s="645">
        <f t="shared" si="147"/>
        <v>29176800</v>
      </c>
      <c r="F1171" s="645">
        <f t="shared" si="147"/>
        <v>75976226.200000003</v>
      </c>
      <c r="G1171" s="645">
        <f t="shared" si="147"/>
        <v>6042412</v>
      </c>
      <c r="H1171" s="645">
        <f>+H1169+H1150</f>
        <v>19840000</v>
      </c>
      <c r="I1171" s="645" t="e">
        <f t="shared" si="147"/>
        <v>#REF!</v>
      </c>
      <c r="J1171" s="391"/>
    </row>
    <row r="1172" spans="1:11" ht="12.75" customHeight="1">
      <c r="A1172" s="391"/>
      <c r="B1172" s="391"/>
      <c r="C1172" s="647"/>
      <c r="D1172" s="647"/>
      <c r="E1172" s="647"/>
      <c r="F1172" s="647"/>
      <c r="G1172" s="647"/>
      <c r="H1172" s="647"/>
      <c r="I1172" s="391"/>
      <c r="J1172" s="391"/>
    </row>
    <row r="1173" spans="1:11" ht="12.75" customHeight="1">
      <c r="A1173" s="391"/>
      <c r="B1173" s="391"/>
      <c r="C1173" s="647"/>
      <c r="D1173" s="647"/>
      <c r="E1173" s="647"/>
      <c r="F1173" s="647"/>
      <c r="G1173" s="647"/>
      <c r="H1173" s="647"/>
      <c r="I1173" s="391"/>
      <c r="J1173" s="391"/>
    </row>
    <row r="1174" spans="1:11" ht="12.75">
      <c r="A1174" s="391"/>
      <c r="B1174" s="391"/>
      <c r="C1174" s="647"/>
      <c r="D1174" s="308" t="s">
        <v>5434</v>
      </c>
      <c r="E1174" s="647"/>
      <c r="F1174" s="647"/>
      <c r="H1174" s="647"/>
      <c r="I1174" s="391"/>
      <c r="J1174" s="391"/>
    </row>
    <row r="1175" spans="1:11" ht="12.75">
      <c r="A1175" s="655"/>
      <c r="B1175" s="633"/>
      <c r="C1175" s="655"/>
      <c r="D1175" s="308" t="s">
        <v>716</v>
      </c>
      <c r="E1175" s="655"/>
      <c r="F1175" s="647"/>
      <c r="H1175" s="655"/>
      <c r="I1175" s="391"/>
      <c r="J1175" s="391"/>
    </row>
    <row r="1176" spans="1:11" ht="12.75">
      <c r="A1176" s="655"/>
      <c r="B1176" s="633"/>
      <c r="C1176" s="655"/>
      <c r="D1176" s="308" t="s">
        <v>460</v>
      </c>
      <c r="E1176" s="655"/>
      <c r="F1176" s="647"/>
      <c r="H1176" s="655"/>
      <c r="I1176" s="391"/>
      <c r="J1176" s="391"/>
    </row>
    <row r="1177" spans="1:11" ht="12.75">
      <c r="A1177" s="655"/>
      <c r="B1177" s="655"/>
      <c r="C1177" s="655"/>
      <c r="D1177" s="307" t="s">
        <v>461</v>
      </c>
      <c r="E1177" s="655"/>
      <c r="F1177" s="647"/>
      <c r="H1177" s="655"/>
      <c r="I1177" s="391"/>
      <c r="J1177" s="391"/>
    </row>
    <row r="1178" spans="1:11" ht="15">
      <c r="A1178" s="634" t="s">
        <v>1839</v>
      </c>
      <c r="B1178" s="635" t="s">
        <v>903</v>
      </c>
      <c r="C1178" s="1037" t="s">
        <v>4127</v>
      </c>
      <c r="D1178" s="1038"/>
      <c r="E1178" s="1039"/>
      <c r="F1178" s="635" t="s">
        <v>1684</v>
      </c>
      <c r="G1178" s="1037" t="s">
        <v>4132</v>
      </c>
      <c r="H1178" s="1038"/>
      <c r="I1178" s="1039"/>
      <c r="J1178" s="391"/>
    </row>
    <row r="1179" spans="1:11" ht="12.75">
      <c r="A1179" s="636" t="s">
        <v>1620</v>
      </c>
      <c r="B1179" s="637"/>
      <c r="C1179" s="635" t="s">
        <v>1841</v>
      </c>
      <c r="D1179" s="635" t="s">
        <v>4133</v>
      </c>
      <c r="E1179" s="635" t="s">
        <v>4133</v>
      </c>
      <c r="F1179" s="1056" t="s">
        <v>4200</v>
      </c>
      <c r="G1179" s="1051" t="s">
        <v>4201</v>
      </c>
      <c r="H1179" s="635" t="s">
        <v>1841</v>
      </c>
      <c r="I1179" s="634" t="s">
        <v>4135</v>
      </c>
      <c r="J1179" s="391"/>
    </row>
    <row r="1180" spans="1:11" ht="12.75" customHeight="1">
      <c r="A1180" s="638" t="s">
        <v>387</v>
      </c>
      <c r="B1180" s="639"/>
      <c r="C1180" s="638">
        <v>2015</v>
      </c>
      <c r="D1180" s="638">
        <v>2016</v>
      </c>
      <c r="E1180" s="638">
        <v>2017</v>
      </c>
      <c r="F1180" s="1057"/>
      <c r="G1180" s="1052"/>
      <c r="H1180" s="638">
        <v>2014</v>
      </c>
      <c r="I1180" s="638" t="s">
        <v>4303</v>
      </c>
      <c r="J1180" s="391"/>
    </row>
    <row r="1181" spans="1:11" ht="12.75">
      <c r="A1181" s="646" t="s">
        <v>462</v>
      </c>
      <c r="B1181" s="646" t="s">
        <v>1693</v>
      </c>
      <c r="C1181" s="641">
        <v>0</v>
      </c>
      <c r="D1181" s="641">
        <v>12979199.999999998</v>
      </c>
      <c r="E1181" s="641">
        <v>12979199.999999998</v>
      </c>
      <c r="F1181" s="647"/>
      <c r="G1181" s="641"/>
      <c r="H1181" s="641">
        <v>12979200</v>
      </c>
      <c r="I1181" s="641" t="e">
        <f>#REF!</f>
        <v>#REF!</v>
      </c>
      <c r="J1181" s="391"/>
    </row>
    <row r="1182" spans="1:11" ht="12.75">
      <c r="A1182" s="646"/>
      <c r="B1182" s="646"/>
      <c r="C1182" s="641"/>
      <c r="D1182" s="641"/>
      <c r="E1182" s="641"/>
      <c r="F1182" s="647"/>
      <c r="G1182" s="641"/>
      <c r="H1182" s="641"/>
      <c r="I1182" s="641">
        <f t="shared" ref="I1182:I1196" ca="1" si="148">SUM(F1182:J1182)</f>
        <v>0</v>
      </c>
      <c r="J1182" s="391"/>
    </row>
    <row r="1183" spans="1:11" ht="12.75">
      <c r="A1183" s="646">
        <v>2</v>
      </c>
      <c r="B1183" s="646" t="s">
        <v>1695</v>
      </c>
      <c r="C1183" s="641" t="s">
        <v>1386</v>
      </c>
      <c r="D1183" s="641" t="s">
        <v>1386</v>
      </c>
      <c r="E1183" s="641" t="s">
        <v>1386</v>
      </c>
      <c r="F1183" s="647"/>
      <c r="G1183" s="641"/>
      <c r="H1183" s="641" t="s">
        <v>1386</v>
      </c>
      <c r="I1183" s="641">
        <f t="shared" ca="1" si="148"/>
        <v>0</v>
      </c>
      <c r="J1183" s="391"/>
    </row>
    <row r="1184" spans="1:11" ht="12.75">
      <c r="A1184" s="646">
        <f t="shared" ref="A1184:A1195" si="149">A1183+1</f>
        <v>3</v>
      </c>
      <c r="B1184" s="646" t="s">
        <v>1696</v>
      </c>
      <c r="C1184" s="641" t="s">
        <v>1386</v>
      </c>
      <c r="D1184" s="641" t="s">
        <v>1386</v>
      </c>
      <c r="E1184" s="641" t="s">
        <v>1386</v>
      </c>
      <c r="F1184" s="647"/>
      <c r="G1184" s="642"/>
      <c r="H1184" s="641" t="s">
        <v>1386</v>
      </c>
      <c r="I1184" s="641">
        <f t="shared" ca="1" si="148"/>
        <v>0</v>
      </c>
      <c r="J1184" s="391"/>
    </row>
    <row r="1185" spans="1:10" ht="12.75">
      <c r="A1185" s="646">
        <f t="shared" si="149"/>
        <v>4</v>
      </c>
      <c r="B1185" s="646" t="s">
        <v>1701</v>
      </c>
      <c r="C1185" s="641" t="s">
        <v>1386</v>
      </c>
      <c r="D1185" s="641" t="s">
        <v>1386</v>
      </c>
      <c r="E1185" s="641" t="s">
        <v>1386</v>
      </c>
      <c r="F1185" s="647"/>
      <c r="G1185" s="642"/>
      <c r="H1185" s="641" t="s">
        <v>1386</v>
      </c>
      <c r="I1185" s="641">
        <f t="shared" ca="1" si="148"/>
        <v>0</v>
      </c>
      <c r="J1185" s="391"/>
    </row>
    <row r="1186" spans="1:10" ht="12.75">
      <c r="A1186" s="646">
        <f t="shared" si="149"/>
        <v>5</v>
      </c>
      <c r="B1186" s="646" t="s">
        <v>1702</v>
      </c>
      <c r="C1186" s="641" t="s">
        <v>1386</v>
      </c>
      <c r="D1186" s="641" t="s">
        <v>1386</v>
      </c>
      <c r="E1186" s="641" t="s">
        <v>1386</v>
      </c>
      <c r="F1186" s="647"/>
      <c r="G1186" s="641"/>
      <c r="H1186" s="641" t="s">
        <v>1386</v>
      </c>
      <c r="I1186" s="641">
        <f t="shared" ca="1" si="148"/>
        <v>0</v>
      </c>
      <c r="J1186" s="391"/>
    </row>
    <row r="1187" spans="1:10" ht="12.75">
      <c r="A1187" s="646">
        <f t="shared" si="149"/>
        <v>6</v>
      </c>
      <c r="B1187" s="646" t="s">
        <v>1544</v>
      </c>
      <c r="C1187" s="641" t="s">
        <v>1386</v>
      </c>
      <c r="D1187" s="641" t="s">
        <v>1386</v>
      </c>
      <c r="E1187" s="641" t="s">
        <v>1386</v>
      </c>
      <c r="F1187" s="647"/>
      <c r="G1187" s="641"/>
      <c r="H1187" s="641" t="s">
        <v>1386</v>
      </c>
      <c r="I1187" s="641">
        <f t="shared" ca="1" si="148"/>
        <v>0</v>
      </c>
      <c r="J1187" s="391"/>
    </row>
    <row r="1188" spans="1:10" ht="12.75">
      <c r="A1188" s="646">
        <f t="shared" si="149"/>
        <v>7</v>
      </c>
      <c r="B1188" s="646" t="s">
        <v>897</v>
      </c>
      <c r="C1188" s="641" t="s">
        <v>1386</v>
      </c>
      <c r="D1188" s="641" t="s">
        <v>1386</v>
      </c>
      <c r="E1188" s="641" t="s">
        <v>1386</v>
      </c>
      <c r="F1188" s="647"/>
      <c r="G1188" s="641"/>
      <c r="H1188" s="641" t="s">
        <v>1386</v>
      </c>
      <c r="I1188" s="641">
        <f t="shared" ca="1" si="148"/>
        <v>0</v>
      </c>
      <c r="J1188" s="391"/>
    </row>
    <row r="1189" spans="1:10" ht="12.75">
      <c r="A1189" s="646">
        <f t="shared" si="149"/>
        <v>8</v>
      </c>
      <c r="B1189" s="646" t="s">
        <v>1385</v>
      </c>
      <c r="C1189" s="641" t="s">
        <v>1386</v>
      </c>
      <c r="D1189" s="641" t="s">
        <v>1386</v>
      </c>
      <c r="E1189" s="641" t="s">
        <v>1386</v>
      </c>
      <c r="F1189" s="647"/>
      <c r="G1189" s="642"/>
      <c r="H1189" s="641" t="s">
        <v>1386</v>
      </c>
      <c r="I1189" s="641">
        <f t="shared" ca="1" si="148"/>
        <v>0</v>
      </c>
      <c r="J1189" s="391"/>
    </row>
    <row r="1190" spans="1:10" ht="12.75">
      <c r="A1190" s="646">
        <f t="shared" si="149"/>
        <v>9</v>
      </c>
      <c r="B1190" s="646" t="s">
        <v>2061</v>
      </c>
      <c r="C1190" s="641" t="s">
        <v>1386</v>
      </c>
      <c r="D1190" s="641" t="s">
        <v>1386</v>
      </c>
      <c r="E1190" s="641" t="s">
        <v>1386</v>
      </c>
      <c r="F1190" s="647"/>
      <c r="G1190" s="642"/>
      <c r="H1190" s="641" t="s">
        <v>1386</v>
      </c>
      <c r="I1190" s="641">
        <f t="shared" ca="1" si="148"/>
        <v>0</v>
      </c>
      <c r="J1190" s="391"/>
    </row>
    <row r="1191" spans="1:10" ht="12.75">
      <c r="A1191" s="646">
        <f t="shared" si="149"/>
        <v>10</v>
      </c>
      <c r="B1191" s="646" t="s">
        <v>1680</v>
      </c>
      <c r="C1191" s="641" t="s">
        <v>1386</v>
      </c>
      <c r="D1191" s="641" t="s">
        <v>1386</v>
      </c>
      <c r="E1191" s="641" t="s">
        <v>1386</v>
      </c>
      <c r="F1191" s="647"/>
      <c r="G1191" s="642"/>
      <c r="H1191" s="641" t="s">
        <v>1386</v>
      </c>
      <c r="I1191" s="641">
        <f t="shared" ca="1" si="148"/>
        <v>0</v>
      </c>
      <c r="J1191" s="391"/>
    </row>
    <row r="1192" spans="1:10" ht="12.75">
      <c r="A1192" s="646">
        <f t="shared" si="149"/>
        <v>11</v>
      </c>
      <c r="B1192" s="646" t="s">
        <v>1681</v>
      </c>
      <c r="C1192" s="641" t="s">
        <v>1386</v>
      </c>
      <c r="D1192" s="641" t="s">
        <v>1386</v>
      </c>
      <c r="E1192" s="641" t="s">
        <v>1386</v>
      </c>
      <c r="F1192" s="647"/>
      <c r="G1192" s="641"/>
      <c r="H1192" s="641" t="s">
        <v>1386</v>
      </c>
      <c r="I1192" s="641">
        <f t="shared" ca="1" si="148"/>
        <v>0</v>
      </c>
      <c r="J1192" s="391"/>
    </row>
    <row r="1193" spans="1:10" ht="12.75">
      <c r="A1193" s="646">
        <f t="shared" si="149"/>
        <v>12</v>
      </c>
      <c r="B1193" s="646" t="s">
        <v>1682</v>
      </c>
      <c r="C1193" s="641" t="s">
        <v>1386</v>
      </c>
      <c r="D1193" s="641" t="s">
        <v>1386</v>
      </c>
      <c r="E1193" s="641" t="s">
        <v>1386</v>
      </c>
      <c r="F1193" s="647"/>
      <c r="G1193" s="641"/>
      <c r="H1193" s="641" t="s">
        <v>1386</v>
      </c>
      <c r="I1193" s="641">
        <f t="shared" ca="1" si="148"/>
        <v>0</v>
      </c>
      <c r="J1193" s="391"/>
    </row>
    <row r="1194" spans="1:10" ht="12.75">
      <c r="A1194" s="646">
        <f t="shared" si="149"/>
        <v>13</v>
      </c>
      <c r="B1194" s="646" t="s">
        <v>2249</v>
      </c>
      <c r="C1194" s="641" t="s">
        <v>1386</v>
      </c>
      <c r="D1194" s="641" t="s">
        <v>1386</v>
      </c>
      <c r="E1194" s="641" t="s">
        <v>1386</v>
      </c>
      <c r="F1194" s="647"/>
      <c r="G1194" s="642"/>
      <c r="H1194" s="641" t="s">
        <v>1386</v>
      </c>
      <c r="I1194" s="641">
        <f t="shared" ca="1" si="148"/>
        <v>0</v>
      </c>
      <c r="J1194" s="391"/>
    </row>
    <row r="1195" spans="1:10" ht="12.75">
      <c r="A1195" s="646">
        <f t="shared" si="149"/>
        <v>14</v>
      </c>
      <c r="B1195" s="646" t="s">
        <v>3018</v>
      </c>
      <c r="C1195" s="641" t="s">
        <v>1386</v>
      </c>
      <c r="D1195" s="641" t="s">
        <v>1386</v>
      </c>
      <c r="E1195" s="641" t="s">
        <v>1386</v>
      </c>
      <c r="F1195" s="647"/>
      <c r="G1195" s="641"/>
      <c r="H1195" s="641" t="s">
        <v>1386</v>
      </c>
      <c r="I1195" s="641">
        <f t="shared" ca="1" si="148"/>
        <v>0</v>
      </c>
      <c r="J1195" s="391"/>
    </row>
    <row r="1196" spans="1:10" ht="12.75">
      <c r="A1196" s="646"/>
      <c r="B1196" s="646"/>
      <c r="C1196" s="642"/>
      <c r="D1196" s="642"/>
      <c r="E1196" s="642"/>
      <c r="F1196" s="647"/>
      <c r="G1196" s="642"/>
      <c r="H1196" s="642"/>
      <c r="I1196" s="641">
        <f t="shared" ca="1" si="148"/>
        <v>0</v>
      </c>
      <c r="J1196" s="391"/>
    </row>
    <row r="1197" spans="1:10" ht="12.75">
      <c r="A1197" s="646" t="s">
        <v>463</v>
      </c>
      <c r="B1197" s="651" t="s">
        <v>819</v>
      </c>
      <c r="C1197" s="652">
        <f>SUM(C1183:C1196)</f>
        <v>0</v>
      </c>
      <c r="D1197" s="652">
        <v>0</v>
      </c>
      <c r="E1197" s="652">
        <v>0</v>
      </c>
      <c r="F1197" s="647"/>
      <c r="G1197" s="652">
        <f>SUM(G1183:G1196)</f>
        <v>0</v>
      </c>
      <c r="H1197" s="652">
        <f>SUM(H1183:H1196)</f>
        <v>0</v>
      </c>
      <c r="I1197" s="641">
        <f ca="1">SUM(I1183:I1196)</f>
        <v>0</v>
      </c>
      <c r="J1197" s="391"/>
    </row>
    <row r="1198" spans="1:10" ht="12.75">
      <c r="A1198" s="646"/>
      <c r="B1198" s="646"/>
      <c r="C1198" s="641"/>
      <c r="D1198" s="641"/>
      <c r="E1198" s="641"/>
      <c r="F1198" s="647"/>
      <c r="G1198" s="641"/>
      <c r="H1198" s="641"/>
      <c r="I1198" s="641"/>
      <c r="J1198" s="391"/>
    </row>
    <row r="1199" spans="1:10" ht="12.75">
      <c r="A1199" s="653"/>
      <c r="B1199" s="653" t="s">
        <v>1684</v>
      </c>
      <c r="C1199" s="645">
        <f>+C1197+C1181</f>
        <v>0</v>
      </c>
      <c r="D1199" s="645">
        <f t="shared" ref="D1199:I1199" si="150">D1181+D1197</f>
        <v>12979199.999999998</v>
      </c>
      <c r="E1199" s="645">
        <f t="shared" si="150"/>
        <v>12979199.999999998</v>
      </c>
      <c r="F1199" s="645">
        <f t="shared" si="150"/>
        <v>0</v>
      </c>
      <c r="G1199" s="645">
        <f t="shared" si="150"/>
        <v>0</v>
      </c>
      <c r="H1199" s="645">
        <f t="shared" si="150"/>
        <v>12979200</v>
      </c>
      <c r="I1199" s="645">
        <f t="shared" ca="1" si="150"/>
        <v>0</v>
      </c>
      <c r="J1199" s="391"/>
    </row>
    <row r="1200" spans="1:10" ht="12.75">
      <c r="A1200" s="391"/>
      <c r="B1200" s="391"/>
      <c r="C1200" s="647"/>
      <c r="D1200" s="647"/>
      <c r="E1200" s="647"/>
      <c r="F1200" s="647"/>
      <c r="G1200" s="647"/>
      <c r="H1200" s="647"/>
      <c r="I1200" s="391"/>
      <c r="J1200" s="391"/>
    </row>
    <row r="1201" spans="1:10" ht="12.75" customHeight="1">
      <c r="A1201" s="391"/>
      <c r="B1201" s="391"/>
      <c r="C1201" s="647"/>
      <c r="D1201" s="647"/>
      <c r="E1201" s="647"/>
      <c r="F1201" s="647"/>
      <c r="G1201" s="647"/>
      <c r="H1201" s="647"/>
      <c r="I1201" s="391"/>
      <c r="J1201" s="391"/>
    </row>
    <row r="1202" spans="1:10" ht="12.75">
      <c r="A1202" s="391"/>
      <c r="B1202" s="391"/>
      <c r="C1202" s="647"/>
      <c r="D1202" s="308" t="s">
        <v>5434</v>
      </c>
      <c r="E1202" s="647"/>
      <c r="F1202" s="647"/>
      <c r="H1202" s="647"/>
      <c r="I1202" s="391"/>
      <c r="J1202" s="391"/>
    </row>
    <row r="1203" spans="1:10" ht="12.75">
      <c r="A1203" s="655"/>
      <c r="B1203" s="633"/>
      <c r="C1203" s="655"/>
      <c r="D1203" s="308" t="s">
        <v>716</v>
      </c>
      <c r="E1203" s="655"/>
      <c r="F1203" s="647"/>
      <c r="H1203" s="655"/>
      <c r="I1203" s="391"/>
      <c r="J1203" s="391"/>
    </row>
    <row r="1204" spans="1:10" ht="12.75">
      <c r="A1204" s="655"/>
      <c r="B1204" s="633"/>
      <c r="C1204" s="655"/>
      <c r="D1204" s="308" t="s">
        <v>464</v>
      </c>
      <c r="E1204" s="655"/>
      <c r="F1204" s="647"/>
      <c r="H1204" s="655"/>
      <c r="I1204" s="391"/>
      <c r="J1204" s="391"/>
    </row>
    <row r="1205" spans="1:10" ht="12.75">
      <c r="A1205" s="655"/>
      <c r="B1205" s="655"/>
      <c r="C1205" s="655"/>
      <c r="D1205" s="307" t="s">
        <v>465</v>
      </c>
      <c r="E1205" s="655"/>
      <c r="F1205" s="647"/>
      <c r="H1205" s="655"/>
      <c r="I1205" s="391"/>
      <c r="J1205" s="391"/>
    </row>
    <row r="1206" spans="1:10" ht="15">
      <c r="A1206" s="634" t="s">
        <v>1839</v>
      </c>
      <c r="B1206" s="635" t="s">
        <v>903</v>
      </c>
      <c r="C1206" s="1037" t="s">
        <v>4127</v>
      </c>
      <c r="D1206" s="1038"/>
      <c r="E1206" s="1039"/>
      <c r="F1206" s="635" t="s">
        <v>1684</v>
      </c>
      <c r="G1206" s="1037" t="s">
        <v>4132</v>
      </c>
      <c r="H1206" s="1038"/>
      <c r="I1206" s="1039"/>
      <c r="J1206" s="391"/>
    </row>
    <row r="1207" spans="1:10" ht="12.75">
      <c r="A1207" s="636" t="s">
        <v>1620</v>
      </c>
      <c r="B1207" s="637"/>
      <c r="C1207" s="635" t="s">
        <v>1841</v>
      </c>
      <c r="D1207" s="635" t="s">
        <v>4133</v>
      </c>
      <c r="E1207" s="635" t="s">
        <v>4133</v>
      </c>
      <c r="F1207" s="1056" t="s">
        <v>4200</v>
      </c>
      <c r="G1207" s="1051" t="s">
        <v>4201</v>
      </c>
      <c r="H1207" s="635" t="s">
        <v>1841</v>
      </c>
      <c r="I1207" s="634" t="s">
        <v>4135</v>
      </c>
      <c r="J1207" s="391"/>
    </row>
    <row r="1208" spans="1:10" ht="12.75" customHeight="1">
      <c r="A1208" s="638" t="s">
        <v>387</v>
      </c>
      <c r="B1208" s="639"/>
      <c r="C1208" s="638">
        <v>2015</v>
      </c>
      <c r="D1208" s="638">
        <v>2016</v>
      </c>
      <c r="E1208" s="638">
        <v>2017</v>
      </c>
      <c r="F1208" s="1057"/>
      <c r="G1208" s="1052"/>
      <c r="H1208" s="638">
        <v>2014</v>
      </c>
      <c r="I1208" s="638" t="s">
        <v>4303</v>
      </c>
      <c r="J1208" s="391"/>
    </row>
    <row r="1209" spans="1:10" ht="12.75">
      <c r="A1209" s="646" t="s">
        <v>466</v>
      </c>
      <c r="B1209" s="646" t="s">
        <v>1693</v>
      </c>
      <c r="C1209" s="641">
        <v>63835427.670000002</v>
      </c>
      <c r="D1209" s="641">
        <v>66643200</v>
      </c>
      <c r="E1209" s="641">
        <v>66643200</v>
      </c>
      <c r="F1209" s="647">
        <f>SUM(C1209:E1209)</f>
        <v>197121827.67000002</v>
      </c>
      <c r="G1209" s="641">
        <v>62000000</v>
      </c>
      <c r="H1209" s="641">
        <v>66643200</v>
      </c>
      <c r="I1209" s="641" t="e">
        <f>#REF!</f>
        <v>#REF!</v>
      </c>
      <c r="J1209" s="391"/>
    </row>
    <row r="1210" spans="1:10" ht="12.75">
      <c r="A1210" s="646"/>
      <c r="B1210" s="646"/>
      <c r="C1210" s="641"/>
      <c r="D1210" s="641"/>
      <c r="E1210" s="641"/>
      <c r="F1210" s="647"/>
      <c r="G1210" s="641"/>
      <c r="H1210" s="641"/>
      <c r="I1210" s="391"/>
      <c r="J1210" s="391"/>
    </row>
    <row r="1211" spans="1:10" ht="12.75">
      <c r="A1211" s="646">
        <v>2</v>
      </c>
      <c r="B1211" s="646" t="s">
        <v>1695</v>
      </c>
      <c r="C1211" s="641">
        <v>1000000</v>
      </c>
      <c r="D1211" s="641">
        <v>1000000</v>
      </c>
      <c r="E1211" s="641">
        <v>1000000</v>
      </c>
      <c r="F1211" s="647">
        <f>SUM(C1211:E1211)</f>
        <v>3000000</v>
      </c>
      <c r="G1211" s="641">
        <v>1000000</v>
      </c>
      <c r="H1211" s="641">
        <v>1000000</v>
      </c>
      <c r="I1211" s="641"/>
      <c r="J1211" s="391"/>
    </row>
    <row r="1212" spans="1:10" ht="12.75">
      <c r="A1212" s="646">
        <f t="shared" ref="A1212:A1223" si="151">A1211+1</f>
        <v>3</v>
      </c>
      <c r="B1212" s="646" t="s">
        <v>1696</v>
      </c>
      <c r="C1212" s="641" t="s">
        <v>1386</v>
      </c>
      <c r="D1212" s="641" t="s">
        <v>1386</v>
      </c>
      <c r="E1212" s="641" t="s">
        <v>1386</v>
      </c>
      <c r="F1212" s="647">
        <f t="shared" ref="F1212:F1225" si="152">SUM(C1212:E1212)</f>
        <v>0</v>
      </c>
      <c r="G1212" s="642" t="s">
        <v>1386</v>
      </c>
      <c r="H1212" s="641" t="s">
        <v>1386</v>
      </c>
      <c r="I1212" s="641"/>
      <c r="J1212" s="391"/>
    </row>
    <row r="1213" spans="1:10" ht="12.75">
      <c r="A1213" s="646">
        <f t="shared" si="151"/>
        <v>4</v>
      </c>
      <c r="B1213" s="646" t="s">
        <v>1701</v>
      </c>
      <c r="C1213" s="641" t="s">
        <v>1386</v>
      </c>
      <c r="D1213" s="641" t="s">
        <v>1386</v>
      </c>
      <c r="E1213" s="641" t="s">
        <v>1386</v>
      </c>
      <c r="F1213" s="647">
        <f t="shared" si="152"/>
        <v>0</v>
      </c>
      <c r="G1213" s="642" t="s">
        <v>1386</v>
      </c>
      <c r="H1213" s="641" t="s">
        <v>1386</v>
      </c>
      <c r="I1213" s="641"/>
      <c r="J1213" s="391"/>
    </row>
    <row r="1214" spans="1:10" ht="12.75">
      <c r="A1214" s="646">
        <f t="shared" si="151"/>
        <v>5</v>
      </c>
      <c r="B1214" s="646" t="s">
        <v>1702</v>
      </c>
      <c r="C1214" s="641">
        <v>200000</v>
      </c>
      <c r="D1214" s="641">
        <v>200000</v>
      </c>
      <c r="E1214" s="641">
        <v>200000</v>
      </c>
      <c r="F1214" s="647">
        <f t="shared" si="152"/>
        <v>600000</v>
      </c>
      <c r="G1214" s="641">
        <v>200000</v>
      </c>
      <c r="H1214" s="641">
        <v>200000</v>
      </c>
      <c r="I1214" s="641"/>
      <c r="J1214" s="391"/>
    </row>
    <row r="1215" spans="1:10" ht="12.75">
      <c r="A1215" s="646">
        <f t="shared" si="151"/>
        <v>6</v>
      </c>
      <c r="B1215" s="646" t="s">
        <v>1544</v>
      </c>
      <c r="C1215" s="641">
        <v>700000</v>
      </c>
      <c r="D1215" s="641">
        <v>700000</v>
      </c>
      <c r="E1215" s="641">
        <v>700000</v>
      </c>
      <c r="F1215" s="647">
        <f t="shared" si="152"/>
        <v>2100000</v>
      </c>
      <c r="G1215" s="641">
        <v>700000</v>
      </c>
      <c r="H1215" s="641">
        <v>700000</v>
      </c>
      <c r="I1215" s="641"/>
      <c r="J1215" s="391"/>
    </row>
    <row r="1216" spans="1:10" ht="12.75">
      <c r="A1216" s="646">
        <f t="shared" si="151"/>
        <v>7</v>
      </c>
      <c r="B1216" s="646" t="s">
        <v>897</v>
      </c>
      <c r="C1216" s="641">
        <v>1200000</v>
      </c>
      <c r="D1216" s="641">
        <v>3500000</v>
      </c>
      <c r="E1216" s="641">
        <v>3500000</v>
      </c>
      <c r="F1216" s="647">
        <f t="shared" si="152"/>
        <v>8200000</v>
      </c>
      <c r="G1216" s="641">
        <v>3500000</v>
      </c>
      <c r="H1216" s="641">
        <v>3500000</v>
      </c>
      <c r="I1216" s="641"/>
      <c r="J1216" s="391"/>
    </row>
    <row r="1217" spans="1:10" ht="12.75">
      <c r="A1217" s="646">
        <f t="shared" si="151"/>
        <v>8</v>
      </c>
      <c r="B1217" s="646" t="s">
        <v>1385</v>
      </c>
      <c r="C1217" s="641" t="s">
        <v>1386</v>
      </c>
      <c r="D1217" s="641" t="s">
        <v>1386</v>
      </c>
      <c r="E1217" s="641" t="s">
        <v>1386</v>
      </c>
      <c r="F1217" s="647">
        <f t="shared" si="152"/>
        <v>0</v>
      </c>
      <c r="G1217" s="642" t="s">
        <v>1386</v>
      </c>
      <c r="H1217" s="641" t="s">
        <v>1386</v>
      </c>
      <c r="I1217" s="641"/>
      <c r="J1217" s="391"/>
    </row>
    <row r="1218" spans="1:10" ht="12.75">
      <c r="A1218" s="646">
        <f t="shared" si="151"/>
        <v>9</v>
      </c>
      <c r="B1218" s="646" t="s">
        <v>2061</v>
      </c>
      <c r="C1218" s="641" t="s">
        <v>1386</v>
      </c>
      <c r="D1218" s="641" t="s">
        <v>1386</v>
      </c>
      <c r="E1218" s="641" t="s">
        <v>1386</v>
      </c>
      <c r="F1218" s="647">
        <f t="shared" si="152"/>
        <v>0</v>
      </c>
      <c r="G1218" s="642" t="s">
        <v>1386</v>
      </c>
      <c r="H1218" s="641" t="s">
        <v>1386</v>
      </c>
      <c r="I1218" s="641"/>
      <c r="J1218" s="391"/>
    </row>
    <row r="1219" spans="1:10" ht="12.75">
      <c r="A1219" s="646">
        <f t="shared" si="151"/>
        <v>10</v>
      </c>
      <c r="B1219" s="646" t="s">
        <v>1680</v>
      </c>
      <c r="C1219" s="641">
        <v>100000</v>
      </c>
      <c r="D1219" s="641">
        <v>100000</v>
      </c>
      <c r="E1219" s="641">
        <v>100000</v>
      </c>
      <c r="F1219" s="647">
        <f t="shared" si="152"/>
        <v>300000</v>
      </c>
      <c r="G1219" s="642">
        <v>100000</v>
      </c>
      <c r="H1219" s="641">
        <v>100000</v>
      </c>
      <c r="I1219" s="641"/>
      <c r="J1219" s="391"/>
    </row>
    <row r="1220" spans="1:10" ht="12.75">
      <c r="A1220" s="646">
        <f t="shared" si="151"/>
        <v>11</v>
      </c>
      <c r="B1220" s="646" t="s">
        <v>1681</v>
      </c>
      <c r="C1220" s="641">
        <v>100000</v>
      </c>
      <c r="D1220" s="641">
        <v>100000</v>
      </c>
      <c r="E1220" s="641">
        <v>100000</v>
      </c>
      <c r="F1220" s="647">
        <f t="shared" si="152"/>
        <v>300000</v>
      </c>
      <c r="G1220" s="641">
        <v>100000</v>
      </c>
      <c r="H1220" s="641">
        <v>100000</v>
      </c>
      <c r="I1220" s="641"/>
      <c r="J1220" s="391"/>
    </row>
    <row r="1221" spans="1:10" ht="12.75">
      <c r="A1221" s="646">
        <f t="shared" si="151"/>
        <v>12</v>
      </c>
      <c r="B1221" s="646" t="s">
        <v>1682</v>
      </c>
      <c r="C1221" s="641">
        <v>2500000</v>
      </c>
      <c r="D1221" s="641">
        <v>3500000</v>
      </c>
      <c r="E1221" s="641">
        <v>3500000</v>
      </c>
      <c r="F1221" s="647">
        <f t="shared" si="152"/>
        <v>9500000</v>
      </c>
      <c r="G1221" s="641">
        <v>3500000</v>
      </c>
      <c r="H1221" s="641">
        <v>3500000</v>
      </c>
      <c r="I1221" s="641"/>
      <c r="J1221" s="391"/>
    </row>
    <row r="1222" spans="1:10" ht="12.75">
      <c r="A1222" s="646">
        <f t="shared" si="151"/>
        <v>13</v>
      </c>
      <c r="B1222" s="646" t="s">
        <v>2249</v>
      </c>
      <c r="C1222" s="641">
        <v>100000</v>
      </c>
      <c r="D1222" s="641">
        <v>100000</v>
      </c>
      <c r="E1222" s="641">
        <v>100000</v>
      </c>
      <c r="F1222" s="647">
        <f t="shared" si="152"/>
        <v>300000</v>
      </c>
      <c r="G1222" s="642">
        <v>100000</v>
      </c>
      <c r="H1222" s="641">
        <v>100000</v>
      </c>
      <c r="I1222" s="641"/>
      <c r="J1222" s="391"/>
    </row>
    <row r="1223" spans="1:10" ht="12.75">
      <c r="A1223" s="646">
        <f t="shared" si="151"/>
        <v>14</v>
      </c>
      <c r="B1223" s="646" t="s">
        <v>3018</v>
      </c>
      <c r="C1223" s="641">
        <v>600000</v>
      </c>
      <c r="D1223" s="641">
        <v>600000</v>
      </c>
      <c r="E1223" s="641">
        <v>600000</v>
      </c>
      <c r="F1223" s="647">
        <f t="shared" si="152"/>
        <v>1800000</v>
      </c>
      <c r="G1223" s="641">
        <v>600000</v>
      </c>
      <c r="H1223" s="641">
        <v>600000</v>
      </c>
      <c r="I1223" s="641"/>
      <c r="J1223" s="391"/>
    </row>
    <row r="1224" spans="1:10" ht="12.75">
      <c r="A1224" s="646">
        <f>A1223+1</f>
        <v>15</v>
      </c>
      <c r="B1224" s="646" t="s">
        <v>467</v>
      </c>
      <c r="C1224" s="641" t="s">
        <v>1386</v>
      </c>
      <c r="D1224" s="641" t="s">
        <v>1386</v>
      </c>
      <c r="E1224" s="641" t="s">
        <v>1386</v>
      </c>
      <c r="F1224" s="647">
        <f t="shared" si="152"/>
        <v>0</v>
      </c>
      <c r="G1224" s="641" t="s">
        <v>1386</v>
      </c>
      <c r="H1224" s="641" t="s">
        <v>1386</v>
      </c>
      <c r="I1224" s="641"/>
      <c r="J1224" s="391"/>
    </row>
    <row r="1225" spans="1:10" ht="12.75">
      <c r="A1225" s="646">
        <f>A1224+1</f>
        <v>16</v>
      </c>
      <c r="B1225" s="646" t="s">
        <v>447</v>
      </c>
      <c r="C1225" s="641" t="s">
        <v>1386</v>
      </c>
      <c r="D1225" s="641" t="s">
        <v>1386</v>
      </c>
      <c r="E1225" s="641" t="s">
        <v>1386</v>
      </c>
      <c r="F1225" s="647">
        <f t="shared" si="152"/>
        <v>0</v>
      </c>
      <c r="G1225" s="641" t="s">
        <v>1386</v>
      </c>
      <c r="H1225" s="641" t="s">
        <v>1386</v>
      </c>
      <c r="I1225" s="641"/>
      <c r="J1225" s="391"/>
    </row>
    <row r="1226" spans="1:10" ht="12.75">
      <c r="A1226" s="646"/>
      <c r="B1226" s="646"/>
      <c r="C1226" s="642"/>
      <c r="D1226" s="642"/>
      <c r="E1226" s="642"/>
      <c r="F1226" s="647"/>
      <c r="G1226" s="642"/>
      <c r="H1226" s="642"/>
      <c r="I1226" s="642"/>
      <c r="J1226" s="391"/>
    </row>
    <row r="1227" spans="1:10" ht="12.75">
      <c r="A1227" s="646" t="s">
        <v>468</v>
      </c>
      <c r="B1227" s="651" t="s">
        <v>819</v>
      </c>
      <c r="C1227" s="652">
        <f t="shared" ref="C1227:H1227" si="153">SUM(C1211:C1226)</f>
        <v>6500000</v>
      </c>
      <c r="D1227" s="652">
        <f t="shared" si="153"/>
        <v>9800000</v>
      </c>
      <c r="E1227" s="652">
        <f t="shared" si="153"/>
        <v>9800000</v>
      </c>
      <c r="F1227" s="652">
        <f t="shared" si="153"/>
        <v>26100000</v>
      </c>
      <c r="G1227" s="652">
        <f t="shared" si="153"/>
        <v>9800000</v>
      </c>
      <c r="H1227" s="652">
        <f t="shared" si="153"/>
        <v>9800000</v>
      </c>
      <c r="I1227" s="652"/>
      <c r="J1227" s="391"/>
    </row>
    <row r="1228" spans="1:10" ht="12.75">
      <c r="A1228" s="646"/>
      <c r="B1228" s="646"/>
      <c r="C1228" s="641"/>
      <c r="D1228" s="641"/>
      <c r="E1228" s="641"/>
      <c r="F1228" s="641"/>
      <c r="G1228" s="641"/>
      <c r="H1228" s="641"/>
      <c r="I1228" s="641"/>
      <c r="J1228" s="391"/>
    </row>
    <row r="1229" spans="1:10" ht="12.75">
      <c r="A1229" s="653"/>
      <c r="B1229" s="653" t="s">
        <v>1684</v>
      </c>
      <c r="C1229" s="645">
        <f>C1227+C1209</f>
        <v>70335427.670000002</v>
      </c>
      <c r="D1229" s="645">
        <f t="shared" ref="D1229:I1229" si="154">D1227+D1209</f>
        <v>76443200</v>
      </c>
      <c r="E1229" s="645">
        <f t="shared" si="154"/>
        <v>76443200</v>
      </c>
      <c r="F1229" s="645">
        <f t="shared" si="154"/>
        <v>223221827.67000002</v>
      </c>
      <c r="G1229" s="645">
        <f t="shared" si="154"/>
        <v>71800000</v>
      </c>
      <c r="H1229" s="645">
        <f t="shared" si="154"/>
        <v>76443200</v>
      </c>
      <c r="I1229" s="645" t="e">
        <f t="shared" si="154"/>
        <v>#REF!</v>
      </c>
      <c r="J1229" s="391"/>
    </row>
    <row r="1230" spans="1:10" ht="12.75" customHeight="1">
      <c r="A1230" s="391"/>
      <c r="B1230" s="391"/>
      <c r="C1230" s="647"/>
      <c r="D1230" s="647"/>
      <c r="E1230" s="647"/>
      <c r="F1230" s="647"/>
      <c r="G1230" s="647"/>
      <c r="H1230" s="647"/>
      <c r="I1230" s="391"/>
      <c r="J1230" s="391"/>
    </row>
    <row r="1231" spans="1:10" ht="12.75" customHeight="1">
      <c r="A1231" s="391"/>
      <c r="B1231" s="391"/>
      <c r="C1231" s="647"/>
      <c r="D1231" s="308" t="s">
        <v>5434</v>
      </c>
      <c r="E1231" s="647"/>
      <c r="F1231" s="647"/>
      <c r="H1231" s="647"/>
      <c r="I1231" s="391"/>
      <c r="J1231" s="391"/>
    </row>
    <row r="1232" spans="1:10" ht="12.75" customHeight="1">
      <c r="A1232" s="655"/>
      <c r="B1232" s="633"/>
      <c r="C1232" s="655"/>
      <c r="D1232" s="308" t="s">
        <v>716</v>
      </c>
      <c r="E1232" s="655"/>
      <c r="F1232" s="647"/>
      <c r="H1232" s="655"/>
      <c r="I1232" s="391"/>
      <c r="J1232" s="391"/>
    </row>
    <row r="1233" spans="1:10" ht="12.75" customHeight="1">
      <c r="A1233" s="655"/>
      <c r="B1233" s="633"/>
      <c r="C1233" s="655"/>
      <c r="D1233" s="308" t="s">
        <v>469</v>
      </c>
      <c r="E1233" s="655"/>
      <c r="F1233" s="647"/>
      <c r="H1233" s="655"/>
      <c r="I1233" s="391"/>
      <c r="J1233" s="391"/>
    </row>
    <row r="1234" spans="1:10" ht="12.75" customHeight="1">
      <c r="A1234" s="655"/>
      <c r="B1234" s="655"/>
      <c r="C1234" s="655"/>
      <c r="D1234" s="307" t="s">
        <v>470</v>
      </c>
      <c r="E1234" s="655"/>
      <c r="F1234" s="647"/>
      <c r="H1234" s="655"/>
      <c r="I1234" s="391"/>
      <c r="J1234" s="391"/>
    </row>
    <row r="1235" spans="1:10" ht="12.75" customHeight="1">
      <c r="A1235" s="634" t="s">
        <v>1839</v>
      </c>
      <c r="B1235" s="635" t="s">
        <v>903</v>
      </c>
      <c r="C1235" s="1037" t="s">
        <v>4127</v>
      </c>
      <c r="D1235" s="1038"/>
      <c r="E1235" s="1039"/>
      <c r="F1235" s="635" t="s">
        <v>1684</v>
      </c>
      <c r="G1235" s="1037" t="s">
        <v>4132</v>
      </c>
      <c r="H1235" s="1038"/>
      <c r="I1235" s="1039"/>
      <c r="J1235" s="391"/>
    </row>
    <row r="1236" spans="1:10" ht="12.75" customHeight="1">
      <c r="A1236" s="636" t="s">
        <v>1620</v>
      </c>
      <c r="B1236" s="637"/>
      <c r="C1236" s="635" t="s">
        <v>1841</v>
      </c>
      <c r="D1236" s="635" t="s">
        <v>4133</v>
      </c>
      <c r="E1236" s="635" t="s">
        <v>4133</v>
      </c>
      <c r="F1236" s="1056" t="s">
        <v>4200</v>
      </c>
      <c r="G1236" s="1051" t="s">
        <v>4201</v>
      </c>
      <c r="H1236" s="635" t="s">
        <v>1841</v>
      </c>
      <c r="I1236" s="634" t="s">
        <v>4135</v>
      </c>
      <c r="J1236" s="391"/>
    </row>
    <row r="1237" spans="1:10" ht="12.75" customHeight="1">
      <c r="A1237" s="638" t="s">
        <v>387</v>
      </c>
      <c r="B1237" s="639"/>
      <c r="C1237" s="638">
        <v>2015</v>
      </c>
      <c r="D1237" s="638">
        <v>2016</v>
      </c>
      <c r="E1237" s="638">
        <v>2017</v>
      </c>
      <c r="F1237" s="1057"/>
      <c r="G1237" s="1052"/>
      <c r="H1237" s="638">
        <v>2014</v>
      </c>
      <c r="I1237" s="638" t="s">
        <v>4303</v>
      </c>
      <c r="J1237" s="391"/>
    </row>
    <row r="1238" spans="1:10" ht="12.75" customHeight="1">
      <c r="A1238" s="646" t="s">
        <v>471</v>
      </c>
      <c r="B1238" s="646" t="s">
        <v>1693</v>
      </c>
      <c r="C1238" s="641">
        <v>398859717.80000001</v>
      </c>
      <c r="D1238" s="641">
        <v>434720000</v>
      </c>
      <c r="E1238" s="641">
        <v>434720000</v>
      </c>
      <c r="F1238" s="647">
        <f>SUM(C1238:E1238)</f>
        <v>1268299717.8</v>
      </c>
      <c r="G1238" s="641">
        <v>284854117</v>
      </c>
      <c r="H1238" s="641">
        <v>400000000</v>
      </c>
      <c r="I1238" s="641" t="e">
        <f>#REF!</f>
        <v>#REF!</v>
      </c>
      <c r="J1238" s="391"/>
    </row>
    <row r="1239" spans="1:10" ht="12.75" customHeight="1">
      <c r="A1239" s="646"/>
      <c r="B1239" s="646"/>
      <c r="C1239" s="641"/>
      <c r="D1239" s="641"/>
      <c r="E1239" s="641"/>
      <c r="F1239" s="647"/>
      <c r="G1239" s="641"/>
      <c r="H1239" s="641"/>
      <c r="I1239" s="641"/>
      <c r="J1239" s="391"/>
    </row>
    <row r="1240" spans="1:10" ht="12.75" customHeight="1">
      <c r="A1240" s="646">
        <v>2</v>
      </c>
      <c r="B1240" s="646" t="s">
        <v>1695</v>
      </c>
      <c r="C1240" s="641">
        <v>2000000</v>
      </c>
      <c r="D1240" s="641">
        <v>2000000</v>
      </c>
      <c r="E1240" s="641">
        <v>2000000</v>
      </c>
      <c r="F1240" s="647">
        <f t="shared" ref="F1240:F1257" si="155">SUM(C1240:E1240)</f>
        <v>6000000</v>
      </c>
      <c r="G1240" s="641">
        <v>0</v>
      </c>
      <c r="H1240" s="641">
        <v>2121600</v>
      </c>
      <c r="I1240" s="641">
        <v>1800000</v>
      </c>
      <c r="J1240" s="391"/>
    </row>
    <row r="1241" spans="1:10" ht="12.75" customHeight="1">
      <c r="A1241" s="646">
        <f t="shared" ref="A1241:A1257" si="156">A1240+1</f>
        <v>3</v>
      </c>
      <c r="B1241" s="646" t="s">
        <v>1696</v>
      </c>
      <c r="C1241" s="641">
        <v>500000</v>
      </c>
      <c r="D1241" s="641">
        <v>500000</v>
      </c>
      <c r="E1241" s="641">
        <v>500000</v>
      </c>
      <c r="F1241" s="647">
        <f t="shared" si="155"/>
        <v>1500000</v>
      </c>
      <c r="G1241" s="642">
        <v>0</v>
      </c>
      <c r="H1241" s="641">
        <v>530400</v>
      </c>
      <c r="I1241" s="642">
        <v>420000</v>
      </c>
      <c r="J1241" s="391"/>
    </row>
    <row r="1242" spans="1:10" ht="12.75" customHeight="1">
      <c r="A1242" s="646">
        <f t="shared" si="156"/>
        <v>4</v>
      </c>
      <c r="B1242" s="646" t="s">
        <v>1701</v>
      </c>
      <c r="C1242" s="641" t="s">
        <v>1386</v>
      </c>
      <c r="D1242" s="641" t="s">
        <v>1386</v>
      </c>
      <c r="E1242" s="641" t="s">
        <v>1386</v>
      </c>
      <c r="F1242" s="647">
        <f t="shared" si="155"/>
        <v>0</v>
      </c>
      <c r="G1242" s="642">
        <v>0</v>
      </c>
      <c r="H1242" s="641" t="s">
        <v>1386</v>
      </c>
      <c r="I1242" s="642" t="s">
        <v>1386</v>
      </c>
      <c r="J1242" s="391"/>
    </row>
    <row r="1243" spans="1:10" ht="12.75" customHeight="1">
      <c r="A1243" s="646">
        <f t="shared" si="156"/>
        <v>5</v>
      </c>
      <c r="B1243" s="646" t="s">
        <v>1702</v>
      </c>
      <c r="C1243" s="641">
        <v>1000000</v>
      </c>
      <c r="D1243" s="641">
        <v>1500000</v>
      </c>
      <c r="E1243" s="641">
        <v>1500000</v>
      </c>
      <c r="F1243" s="647">
        <f t="shared" si="155"/>
        <v>4000000</v>
      </c>
      <c r="G1243" s="642">
        <v>0</v>
      </c>
      <c r="H1243" s="641">
        <v>1060800</v>
      </c>
      <c r="I1243" s="642">
        <v>880000</v>
      </c>
      <c r="J1243" s="391"/>
    </row>
    <row r="1244" spans="1:10" ht="12.75" customHeight="1">
      <c r="A1244" s="646">
        <f t="shared" si="156"/>
        <v>6</v>
      </c>
      <c r="B1244" s="646" t="s">
        <v>1544</v>
      </c>
      <c r="C1244" s="641">
        <v>1500000</v>
      </c>
      <c r="D1244" s="641">
        <v>1500000</v>
      </c>
      <c r="E1244" s="641">
        <v>1500000</v>
      </c>
      <c r="F1244" s="647">
        <f t="shared" si="155"/>
        <v>4500000</v>
      </c>
      <c r="G1244" s="642">
        <v>0</v>
      </c>
      <c r="H1244" s="641">
        <v>1591200</v>
      </c>
      <c r="I1244" s="642">
        <v>1200000</v>
      </c>
      <c r="J1244" s="391"/>
    </row>
    <row r="1245" spans="1:10" ht="12.75" customHeight="1">
      <c r="A1245" s="646">
        <f t="shared" si="156"/>
        <v>7</v>
      </c>
      <c r="B1245" s="646" t="s">
        <v>897</v>
      </c>
      <c r="C1245" s="641">
        <v>1500000</v>
      </c>
      <c r="D1245" s="641">
        <v>2000000</v>
      </c>
      <c r="E1245" s="641">
        <v>2000000</v>
      </c>
      <c r="F1245" s="647">
        <f t="shared" si="155"/>
        <v>5500000</v>
      </c>
      <c r="G1245" s="642">
        <v>0</v>
      </c>
      <c r="H1245" s="641">
        <v>1591200</v>
      </c>
      <c r="I1245" s="642">
        <v>1250000</v>
      </c>
      <c r="J1245" s="391"/>
    </row>
    <row r="1246" spans="1:10" ht="12.75" customHeight="1">
      <c r="A1246" s="646">
        <f t="shared" si="156"/>
        <v>8</v>
      </c>
      <c r="B1246" s="646" t="s">
        <v>1385</v>
      </c>
      <c r="C1246" s="641" t="s">
        <v>1386</v>
      </c>
      <c r="D1246" s="641" t="s">
        <v>1386</v>
      </c>
      <c r="E1246" s="641" t="s">
        <v>1386</v>
      </c>
      <c r="F1246" s="647">
        <f t="shared" si="155"/>
        <v>0</v>
      </c>
      <c r="G1246" s="642">
        <v>0</v>
      </c>
      <c r="H1246" s="641" t="s">
        <v>1386</v>
      </c>
      <c r="I1246" s="642" t="s">
        <v>1386</v>
      </c>
      <c r="J1246" s="391"/>
    </row>
    <row r="1247" spans="1:10" ht="12.75" customHeight="1">
      <c r="A1247" s="646">
        <f t="shared" si="156"/>
        <v>9</v>
      </c>
      <c r="B1247" s="646" t="s">
        <v>2061</v>
      </c>
      <c r="C1247" s="641" t="s">
        <v>1386</v>
      </c>
      <c r="D1247" s="641" t="s">
        <v>1386</v>
      </c>
      <c r="E1247" s="641" t="s">
        <v>1386</v>
      </c>
      <c r="F1247" s="647">
        <f t="shared" si="155"/>
        <v>0</v>
      </c>
      <c r="G1247" s="642">
        <v>0</v>
      </c>
      <c r="H1247" s="641" t="s">
        <v>1386</v>
      </c>
      <c r="I1247" s="642" t="s">
        <v>1386</v>
      </c>
      <c r="J1247" s="391"/>
    </row>
    <row r="1248" spans="1:10" ht="12.75" customHeight="1">
      <c r="A1248" s="646">
        <f t="shared" si="156"/>
        <v>10</v>
      </c>
      <c r="B1248" s="646" t="s">
        <v>1680</v>
      </c>
      <c r="C1248" s="641">
        <v>500000</v>
      </c>
      <c r="D1248" s="641">
        <v>800000</v>
      </c>
      <c r="E1248" s="641">
        <v>800000</v>
      </c>
      <c r="F1248" s="647">
        <f t="shared" si="155"/>
        <v>2100000</v>
      </c>
      <c r="G1248" s="642">
        <v>0</v>
      </c>
      <c r="H1248" s="641">
        <v>530400</v>
      </c>
      <c r="I1248" s="642">
        <v>410000</v>
      </c>
      <c r="J1248" s="391"/>
    </row>
    <row r="1249" spans="1:11" ht="12.75" customHeight="1">
      <c r="A1249" s="646">
        <f t="shared" si="156"/>
        <v>11</v>
      </c>
      <c r="B1249" s="646" t="s">
        <v>1681</v>
      </c>
      <c r="C1249" s="641">
        <v>100000</v>
      </c>
      <c r="D1249" s="641">
        <v>100000</v>
      </c>
      <c r="E1249" s="641">
        <v>100000</v>
      </c>
      <c r="F1249" s="647">
        <f t="shared" si="155"/>
        <v>300000</v>
      </c>
      <c r="G1249" s="642">
        <v>0</v>
      </c>
      <c r="H1249" s="641">
        <v>106080</v>
      </c>
      <c r="I1249" s="642">
        <v>102000</v>
      </c>
      <c r="J1249" s="391"/>
    </row>
    <row r="1250" spans="1:11" ht="12.75" customHeight="1">
      <c r="A1250" s="646">
        <f t="shared" si="156"/>
        <v>12</v>
      </c>
      <c r="B1250" s="646" t="s">
        <v>1682</v>
      </c>
      <c r="C1250" s="641">
        <v>5000000</v>
      </c>
      <c r="D1250" s="641">
        <v>5000000</v>
      </c>
      <c r="E1250" s="641">
        <v>5000000</v>
      </c>
      <c r="F1250" s="647">
        <f t="shared" si="155"/>
        <v>15000000</v>
      </c>
      <c r="G1250" s="642">
        <v>0</v>
      </c>
      <c r="H1250" s="641">
        <f>5304000-384800</f>
        <v>4919200</v>
      </c>
      <c r="I1250" s="642">
        <v>3800000</v>
      </c>
      <c r="J1250" s="391"/>
    </row>
    <row r="1251" spans="1:11" ht="12.75" customHeight="1">
      <c r="A1251" s="646">
        <f t="shared" si="156"/>
        <v>13</v>
      </c>
      <c r="B1251" s="646" t="s">
        <v>2249</v>
      </c>
      <c r="C1251" s="641">
        <v>100000</v>
      </c>
      <c r="D1251" s="641">
        <v>100000</v>
      </c>
      <c r="E1251" s="641">
        <v>100000</v>
      </c>
      <c r="F1251" s="647">
        <f t="shared" si="155"/>
        <v>300000</v>
      </c>
      <c r="G1251" s="642">
        <v>0</v>
      </c>
      <c r="H1251" s="641">
        <v>106080</v>
      </c>
      <c r="I1251" s="642">
        <v>95000</v>
      </c>
      <c r="J1251" s="391"/>
    </row>
    <row r="1252" spans="1:11" ht="12.75" customHeight="1">
      <c r="A1252" s="646">
        <f t="shared" si="156"/>
        <v>14</v>
      </c>
      <c r="B1252" s="646" t="s">
        <v>474</v>
      </c>
      <c r="C1252" s="641">
        <v>1000000</v>
      </c>
      <c r="D1252" s="641">
        <v>1000000</v>
      </c>
      <c r="E1252" s="641">
        <v>1000000</v>
      </c>
      <c r="F1252" s="647">
        <f t="shared" si="155"/>
        <v>3000000</v>
      </c>
      <c r="G1252" s="642">
        <v>0</v>
      </c>
      <c r="H1252" s="641">
        <v>1060800</v>
      </c>
      <c r="I1252" s="642">
        <v>780000</v>
      </c>
      <c r="J1252" s="391"/>
    </row>
    <row r="1253" spans="1:11" ht="12.75" customHeight="1">
      <c r="A1253" s="646">
        <f t="shared" si="156"/>
        <v>15</v>
      </c>
      <c r="B1253" s="646" t="s">
        <v>473</v>
      </c>
      <c r="C1253" s="641">
        <f>E1253*1.02</f>
        <v>0</v>
      </c>
      <c r="D1253" s="641">
        <v>0</v>
      </c>
      <c r="E1253" s="641">
        <v>0</v>
      </c>
      <c r="F1253" s="647">
        <f t="shared" si="155"/>
        <v>0</v>
      </c>
      <c r="G1253" s="642">
        <v>0</v>
      </c>
      <c r="H1253" s="641">
        <v>0</v>
      </c>
      <c r="I1253" s="642" t="s">
        <v>1386</v>
      </c>
      <c r="J1253" s="391"/>
    </row>
    <row r="1254" spans="1:11" ht="12.75" customHeight="1">
      <c r="A1254" s="646">
        <f t="shared" si="156"/>
        <v>16</v>
      </c>
      <c r="B1254" s="646" t="s">
        <v>475</v>
      </c>
      <c r="C1254" s="641">
        <v>500000</v>
      </c>
      <c r="D1254" s="641">
        <v>500000</v>
      </c>
      <c r="E1254" s="641">
        <v>500000</v>
      </c>
      <c r="F1254" s="647">
        <f t="shared" si="155"/>
        <v>1500000</v>
      </c>
      <c r="G1254" s="642">
        <v>0</v>
      </c>
      <c r="H1254" s="641">
        <v>530400</v>
      </c>
      <c r="I1254" s="642">
        <v>370000</v>
      </c>
      <c r="J1254" s="391"/>
    </row>
    <row r="1255" spans="1:11" ht="12.75" customHeight="1">
      <c r="A1255" s="646">
        <f t="shared" si="156"/>
        <v>17</v>
      </c>
      <c r="B1255" s="646" t="s">
        <v>476</v>
      </c>
      <c r="C1255" s="641">
        <v>800000</v>
      </c>
      <c r="D1255" s="641">
        <v>800000</v>
      </c>
      <c r="E1255" s="641">
        <v>800000</v>
      </c>
      <c r="F1255" s="647">
        <f t="shared" si="155"/>
        <v>2400000</v>
      </c>
      <c r="G1255" s="642">
        <v>0</v>
      </c>
      <c r="H1255" s="641">
        <v>848640</v>
      </c>
      <c r="I1255" s="642">
        <v>680000</v>
      </c>
      <c r="J1255" s="391"/>
    </row>
    <row r="1256" spans="1:11" ht="12.75" customHeight="1">
      <c r="A1256" s="646">
        <f t="shared" si="156"/>
        <v>18</v>
      </c>
      <c r="B1256" s="646" t="s">
        <v>472</v>
      </c>
      <c r="C1256" s="641">
        <v>2000000</v>
      </c>
      <c r="D1256" s="641">
        <v>2000000</v>
      </c>
      <c r="E1256" s="641">
        <v>2000000</v>
      </c>
      <c r="F1256" s="647">
        <f t="shared" si="155"/>
        <v>6000000</v>
      </c>
      <c r="G1256" s="642">
        <v>0</v>
      </c>
      <c r="H1256" s="641">
        <v>2121600</v>
      </c>
      <c r="I1256" s="642">
        <v>182000</v>
      </c>
      <c r="J1256" s="391"/>
    </row>
    <row r="1257" spans="1:11" ht="12.75" customHeight="1">
      <c r="A1257" s="646">
        <f t="shared" si="156"/>
        <v>19</v>
      </c>
      <c r="B1257" s="646" t="s">
        <v>403</v>
      </c>
      <c r="C1257" s="641">
        <v>2500000</v>
      </c>
      <c r="D1257" s="641">
        <v>2500000</v>
      </c>
      <c r="E1257" s="641">
        <v>2500000</v>
      </c>
      <c r="F1257" s="647">
        <f t="shared" si="155"/>
        <v>7500000</v>
      </c>
      <c r="G1257" s="642">
        <v>0</v>
      </c>
      <c r="H1257" s="641">
        <v>2121600</v>
      </c>
      <c r="I1257" s="642">
        <v>1920000</v>
      </c>
      <c r="J1257" s="391"/>
    </row>
    <row r="1258" spans="1:11" ht="12.75" customHeight="1">
      <c r="A1258" s="646"/>
      <c r="B1258" s="646"/>
      <c r="C1258" s="641"/>
      <c r="D1258" s="641"/>
      <c r="E1258" s="641"/>
      <c r="F1258" s="647"/>
      <c r="G1258" s="642"/>
      <c r="H1258" s="641"/>
      <c r="I1258" s="641"/>
      <c r="J1258" s="391"/>
    </row>
    <row r="1259" spans="1:11" ht="12.75" customHeight="1">
      <c r="A1259" s="646" t="s">
        <v>626</v>
      </c>
      <c r="B1259" s="651" t="s">
        <v>819</v>
      </c>
      <c r="C1259" s="652">
        <f t="shared" ref="C1259:I1259" si="157">SUM(C1240:C1258)</f>
        <v>19000000</v>
      </c>
      <c r="D1259" s="652">
        <f t="shared" si="157"/>
        <v>20300000</v>
      </c>
      <c r="E1259" s="652">
        <f t="shared" si="157"/>
        <v>20300000</v>
      </c>
      <c r="F1259" s="652">
        <f t="shared" si="157"/>
        <v>59600000</v>
      </c>
      <c r="G1259" s="652">
        <f t="shared" si="157"/>
        <v>0</v>
      </c>
      <c r="H1259" s="652">
        <f>SUM(H1240:H1258)</f>
        <v>19240000</v>
      </c>
      <c r="I1259" s="652">
        <f t="shared" si="157"/>
        <v>13889000</v>
      </c>
      <c r="J1259" s="391"/>
      <c r="K1259" s="657">
        <f>19240000-H1259</f>
        <v>0</v>
      </c>
    </row>
    <row r="1260" spans="1:11" ht="12.75" customHeight="1">
      <c r="A1260" s="646"/>
      <c r="B1260" s="646"/>
      <c r="C1260" s="641"/>
      <c r="D1260" s="641"/>
      <c r="E1260" s="641"/>
      <c r="F1260" s="641"/>
      <c r="G1260" s="641"/>
      <c r="H1260" s="641"/>
      <c r="I1260" s="641"/>
      <c r="J1260" s="391"/>
    </row>
    <row r="1261" spans="1:11" ht="12.75" customHeight="1">
      <c r="A1261" s="653"/>
      <c r="B1261" s="653" t="s">
        <v>1684</v>
      </c>
      <c r="C1261" s="645">
        <f t="shared" ref="C1261:I1261" si="158">+C1259+C1238</f>
        <v>417859717.80000001</v>
      </c>
      <c r="D1261" s="645">
        <f t="shared" si="158"/>
        <v>455020000</v>
      </c>
      <c r="E1261" s="645">
        <f t="shared" si="158"/>
        <v>455020000</v>
      </c>
      <c r="F1261" s="645">
        <f t="shared" si="158"/>
        <v>1327899717.8</v>
      </c>
      <c r="G1261" s="645">
        <f t="shared" si="158"/>
        <v>284854117</v>
      </c>
      <c r="H1261" s="645">
        <f>+H1259+H1238</f>
        <v>419240000</v>
      </c>
      <c r="I1261" s="645" t="e">
        <f t="shared" si="158"/>
        <v>#REF!</v>
      </c>
      <c r="J1261" s="391"/>
    </row>
    <row r="1262" spans="1:11" ht="12.75" customHeight="1">
      <c r="A1262" s="391"/>
      <c r="B1262" s="391"/>
      <c r="C1262" s="647"/>
      <c r="D1262" s="647"/>
      <c r="E1262" s="647"/>
      <c r="F1262" s="647"/>
      <c r="G1262" s="647"/>
      <c r="H1262" s="647"/>
      <c r="I1262" s="391"/>
      <c r="J1262" s="391"/>
    </row>
    <row r="1263" spans="1:11" ht="12.75" customHeight="1">
      <c r="A1263" s="391"/>
      <c r="B1263" s="676"/>
      <c r="C1263" s="647"/>
      <c r="D1263" s="308" t="s">
        <v>5434</v>
      </c>
      <c r="E1263" s="647"/>
      <c r="F1263" s="647"/>
      <c r="H1263" s="647"/>
      <c r="I1263" s="391"/>
      <c r="J1263" s="391"/>
    </row>
    <row r="1264" spans="1:11" ht="12.75" customHeight="1">
      <c r="A1264" s="655"/>
      <c r="B1264" s="633"/>
      <c r="C1264" s="655"/>
      <c r="D1264" s="308" t="s">
        <v>716</v>
      </c>
      <c r="E1264" s="655"/>
      <c r="F1264" s="647"/>
      <c r="H1264" s="655"/>
      <c r="I1264" s="391"/>
      <c r="J1264" s="391"/>
    </row>
    <row r="1265" spans="1:10" ht="12.75" customHeight="1">
      <c r="A1265" s="655"/>
      <c r="B1265" s="633"/>
      <c r="C1265" s="655"/>
      <c r="D1265" s="308" t="s">
        <v>627</v>
      </c>
      <c r="E1265" s="655"/>
      <c r="F1265" s="647"/>
      <c r="H1265" s="655"/>
      <c r="I1265" s="391"/>
      <c r="J1265" s="391"/>
    </row>
    <row r="1266" spans="1:10" ht="12.75" customHeight="1">
      <c r="A1266" s="655"/>
      <c r="B1266" s="655"/>
      <c r="C1266" s="655"/>
      <c r="D1266" s="307" t="s">
        <v>628</v>
      </c>
      <c r="E1266" s="655"/>
      <c r="F1266" s="647"/>
      <c r="H1266" s="655"/>
      <c r="I1266" s="391"/>
      <c r="J1266" s="391"/>
    </row>
    <row r="1267" spans="1:10" ht="12.75" customHeight="1">
      <c r="A1267" s="634" t="s">
        <v>1839</v>
      </c>
      <c r="B1267" s="635" t="s">
        <v>903</v>
      </c>
      <c r="C1267" s="1037" t="s">
        <v>4127</v>
      </c>
      <c r="D1267" s="1038"/>
      <c r="E1267" s="1039"/>
      <c r="F1267" s="635" t="s">
        <v>1684</v>
      </c>
      <c r="G1267" s="1037" t="s">
        <v>4132</v>
      </c>
      <c r="H1267" s="1038"/>
      <c r="I1267" s="1039"/>
      <c r="J1267" s="391"/>
    </row>
    <row r="1268" spans="1:10" ht="12.75" customHeight="1">
      <c r="A1268" s="636" t="s">
        <v>1620</v>
      </c>
      <c r="B1268" s="637"/>
      <c r="C1268" s="635" t="s">
        <v>1841</v>
      </c>
      <c r="D1268" s="635" t="s">
        <v>4133</v>
      </c>
      <c r="E1268" s="635" t="s">
        <v>4133</v>
      </c>
      <c r="F1268" s="1056" t="s">
        <v>4200</v>
      </c>
      <c r="G1268" s="1051" t="s">
        <v>4201</v>
      </c>
      <c r="H1268" s="635" t="s">
        <v>1841</v>
      </c>
      <c r="I1268" s="634" t="s">
        <v>4135</v>
      </c>
      <c r="J1268" s="391"/>
    </row>
    <row r="1269" spans="1:10" ht="12.75" customHeight="1">
      <c r="A1269" s="638" t="s">
        <v>387</v>
      </c>
      <c r="B1269" s="639"/>
      <c r="C1269" s="638">
        <v>2015</v>
      </c>
      <c r="D1269" s="638">
        <v>2016</v>
      </c>
      <c r="E1269" s="638">
        <v>2017</v>
      </c>
      <c r="F1269" s="1057"/>
      <c r="G1269" s="1052"/>
      <c r="H1269" s="638">
        <v>2014</v>
      </c>
      <c r="I1269" s="638" t="s">
        <v>4303</v>
      </c>
      <c r="J1269" s="391"/>
    </row>
    <row r="1270" spans="1:10" ht="12.75" customHeight="1">
      <c r="A1270" s="646" t="s">
        <v>801</v>
      </c>
      <c r="B1270" s="646" t="s">
        <v>1693</v>
      </c>
      <c r="C1270" s="641">
        <f>E1270*1.02</f>
        <v>0</v>
      </c>
      <c r="D1270" s="641">
        <v>0</v>
      </c>
      <c r="E1270" s="641">
        <v>0</v>
      </c>
      <c r="F1270" s="647">
        <f>SUM(C1270:E1270)</f>
        <v>0</v>
      </c>
      <c r="G1270" s="641"/>
      <c r="H1270" s="641">
        <v>0</v>
      </c>
      <c r="I1270" s="641" t="e">
        <f>#REF!</f>
        <v>#REF!</v>
      </c>
      <c r="J1270" s="391"/>
    </row>
    <row r="1271" spans="1:10" ht="12.75" customHeight="1">
      <c r="A1271" s="646"/>
      <c r="B1271" s="646"/>
      <c r="C1271" s="641"/>
      <c r="D1271" s="641"/>
      <c r="E1271" s="641"/>
      <c r="F1271" s="647"/>
      <c r="G1271" s="641"/>
      <c r="H1271" s="641"/>
      <c r="I1271" s="641"/>
      <c r="J1271" s="391"/>
    </row>
    <row r="1272" spans="1:10" ht="12.75" customHeight="1">
      <c r="A1272" s="646">
        <v>2</v>
      </c>
      <c r="B1272" s="646" t="s">
        <v>1695</v>
      </c>
      <c r="C1272" s="641">
        <v>800000</v>
      </c>
      <c r="D1272" s="641">
        <v>800000</v>
      </c>
      <c r="E1272" s="641">
        <v>800000</v>
      </c>
      <c r="F1272" s="647">
        <f t="shared" ref="F1272:F1284" si="159">SUM(C1272:E1272)</f>
        <v>2400000</v>
      </c>
      <c r="G1272" s="641">
        <v>284000</v>
      </c>
      <c r="H1272" s="641">
        <v>848640</v>
      </c>
      <c r="I1272" s="641"/>
      <c r="J1272" s="391"/>
    </row>
    <row r="1273" spans="1:10" ht="12.75" customHeight="1">
      <c r="A1273" s="646">
        <f t="shared" ref="A1273:A1282" si="160">A1272+1</f>
        <v>3</v>
      </c>
      <c r="B1273" s="646" t="s">
        <v>1696</v>
      </c>
      <c r="C1273" s="641">
        <f t="shared" ref="C1273:C1279" si="161">E1273*1.02</f>
        <v>0</v>
      </c>
      <c r="D1273" s="641">
        <v>0</v>
      </c>
      <c r="E1273" s="641">
        <v>0</v>
      </c>
      <c r="F1273" s="647">
        <f t="shared" si="159"/>
        <v>0</v>
      </c>
      <c r="G1273" s="642" t="s">
        <v>1386</v>
      </c>
      <c r="H1273" s="641">
        <v>0</v>
      </c>
      <c r="I1273" s="642"/>
      <c r="J1273" s="391"/>
    </row>
    <row r="1274" spans="1:10" ht="12.75" customHeight="1">
      <c r="A1274" s="646">
        <f t="shared" si="160"/>
        <v>4</v>
      </c>
      <c r="B1274" s="646" t="s">
        <v>1701</v>
      </c>
      <c r="C1274" s="641">
        <f t="shared" si="161"/>
        <v>0</v>
      </c>
      <c r="D1274" s="641">
        <v>0</v>
      </c>
      <c r="E1274" s="641">
        <v>0</v>
      </c>
      <c r="F1274" s="647">
        <f t="shared" si="159"/>
        <v>0</v>
      </c>
      <c r="G1274" s="642" t="s">
        <v>1386</v>
      </c>
      <c r="H1274" s="641">
        <v>0</v>
      </c>
      <c r="I1274" s="642"/>
      <c r="J1274" s="391"/>
    </row>
    <row r="1275" spans="1:10" ht="12.75" customHeight="1">
      <c r="A1275" s="646">
        <f t="shared" si="160"/>
        <v>5</v>
      </c>
      <c r="B1275" s="646" t="s">
        <v>1702</v>
      </c>
      <c r="C1275" s="641">
        <v>200000</v>
      </c>
      <c r="D1275" s="641">
        <v>500000</v>
      </c>
      <c r="E1275" s="641">
        <v>500000</v>
      </c>
      <c r="F1275" s="647">
        <f t="shared" si="159"/>
        <v>1200000</v>
      </c>
      <c r="G1275" s="641">
        <v>24500</v>
      </c>
      <c r="H1275" s="641">
        <v>530400</v>
      </c>
      <c r="I1275" s="641"/>
      <c r="J1275" s="391"/>
    </row>
    <row r="1276" spans="1:10" ht="12.75" customHeight="1">
      <c r="A1276" s="646">
        <f t="shared" si="160"/>
        <v>6</v>
      </c>
      <c r="B1276" s="646" t="s">
        <v>1544</v>
      </c>
      <c r="C1276" s="641">
        <v>200000</v>
      </c>
      <c r="D1276" s="641">
        <v>600000</v>
      </c>
      <c r="E1276" s="641">
        <v>600000</v>
      </c>
      <c r="F1276" s="647">
        <f t="shared" si="159"/>
        <v>1400000</v>
      </c>
      <c r="G1276" s="641">
        <v>48000</v>
      </c>
      <c r="H1276" s="641">
        <v>636480</v>
      </c>
      <c r="I1276" s="641"/>
      <c r="J1276" s="391"/>
    </row>
    <row r="1277" spans="1:10" ht="12.75" customHeight="1">
      <c r="A1277" s="646">
        <f>A1276+1</f>
        <v>7</v>
      </c>
      <c r="B1277" s="646" t="s">
        <v>897</v>
      </c>
      <c r="C1277" s="641">
        <v>300000</v>
      </c>
      <c r="D1277" s="641">
        <v>800000</v>
      </c>
      <c r="E1277" s="641">
        <v>800000</v>
      </c>
      <c r="F1277" s="647">
        <f t="shared" si="159"/>
        <v>1900000</v>
      </c>
      <c r="G1277" s="641">
        <v>195800</v>
      </c>
      <c r="H1277" s="641">
        <v>848640</v>
      </c>
      <c r="I1277" s="641"/>
      <c r="J1277" s="391"/>
    </row>
    <row r="1278" spans="1:10" ht="12.75" customHeight="1">
      <c r="A1278" s="646">
        <f t="shared" si="160"/>
        <v>8</v>
      </c>
      <c r="B1278" s="646" t="s">
        <v>1385</v>
      </c>
      <c r="C1278" s="641">
        <f t="shared" si="161"/>
        <v>0</v>
      </c>
      <c r="D1278" s="641">
        <v>0</v>
      </c>
      <c r="E1278" s="641">
        <v>0</v>
      </c>
      <c r="F1278" s="647">
        <f t="shared" si="159"/>
        <v>0</v>
      </c>
      <c r="G1278" s="642" t="s">
        <v>1386</v>
      </c>
      <c r="H1278" s="641">
        <v>0</v>
      </c>
      <c r="I1278" s="642"/>
      <c r="J1278" s="391"/>
    </row>
    <row r="1279" spans="1:10" ht="12.75" customHeight="1">
      <c r="A1279" s="646">
        <f>A1278+1</f>
        <v>9</v>
      </c>
      <c r="B1279" s="646" t="s">
        <v>2061</v>
      </c>
      <c r="C1279" s="641">
        <f t="shared" si="161"/>
        <v>0</v>
      </c>
      <c r="D1279" s="641">
        <v>0</v>
      </c>
      <c r="E1279" s="641">
        <v>0</v>
      </c>
      <c r="F1279" s="647">
        <f t="shared" si="159"/>
        <v>0</v>
      </c>
      <c r="G1279" s="642" t="s">
        <v>1386</v>
      </c>
      <c r="H1279" s="641">
        <v>0</v>
      </c>
      <c r="I1279" s="642"/>
      <c r="J1279" s="391"/>
    </row>
    <row r="1280" spans="1:10" ht="12.75" customHeight="1">
      <c r="A1280" s="646">
        <f t="shared" si="160"/>
        <v>10</v>
      </c>
      <c r="B1280" s="646" t="s">
        <v>1680</v>
      </c>
      <c r="C1280" s="641">
        <v>300000</v>
      </c>
      <c r="D1280" s="641">
        <v>700000</v>
      </c>
      <c r="E1280" s="641">
        <v>700000</v>
      </c>
      <c r="F1280" s="647">
        <f t="shared" si="159"/>
        <v>1700000</v>
      </c>
      <c r="G1280" s="642">
        <v>0</v>
      </c>
      <c r="H1280" s="641">
        <v>742560</v>
      </c>
      <c r="I1280" s="642"/>
      <c r="J1280" s="391"/>
    </row>
    <row r="1281" spans="1:11" ht="12.75" customHeight="1">
      <c r="A1281" s="646">
        <f t="shared" si="160"/>
        <v>11</v>
      </c>
      <c r="B1281" s="646" t="s">
        <v>1681</v>
      </c>
      <c r="C1281" s="641">
        <v>100000</v>
      </c>
      <c r="D1281" s="641">
        <v>100000</v>
      </c>
      <c r="E1281" s="641">
        <v>100000</v>
      </c>
      <c r="F1281" s="647">
        <f t="shared" si="159"/>
        <v>300000</v>
      </c>
      <c r="G1281" s="641">
        <v>0</v>
      </c>
      <c r="H1281" s="641">
        <v>106080</v>
      </c>
      <c r="I1281" s="641"/>
      <c r="J1281" s="391"/>
    </row>
    <row r="1282" spans="1:11" ht="12.75" customHeight="1">
      <c r="A1282" s="646">
        <f t="shared" si="160"/>
        <v>12</v>
      </c>
      <c r="B1282" s="646" t="s">
        <v>1682</v>
      </c>
      <c r="C1282" s="641">
        <v>1500000</v>
      </c>
      <c r="D1282" s="641">
        <v>900000</v>
      </c>
      <c r="E1282" s="641">
        <v>900000</v>
      </c>
      <c r="F1282" s="647">
        <f t="shared" si="159"/>
        <v>3300000</v>
      </c>
      <c r="G1282" s="641">
        <v>301274.28999999998</v>
      </c>
      <c r="H1282" s="641">
        <f>848640-89440</f>
        <v>759200</v>
      </c>
      <c r="I1282" s="641"/>
      <c r="J1282" s="391"/>
    </row>
    <row r="1283" spans="1:11" ht="12.75" customHeight="1">
      <c r="A1283" s="646">
        <v>13</v>
      </c>
      <c r="B1283" s="646" t="s">
        <v>2249</v>
      </c>
      <c r="C1283" s="642">
        <v>100000</v>
      </c>
      <c r="D1283" s="642">
        <v>100000</v>
      </c>
      <c r="E1283" s="642">
        <v>100000</v>
      </c>
      <c r="F1283" s="647">
        <f t="shared" si="159"/>
        <v>300000</v>
      </c>
      <c r="G1283" s="642">
        <v>0</v>
      </c>
      <c r="H1283" s="642"/>
      <c r="I1283" s="642"/>
      <c r="J1283" s="391"/>
    </row>
    <row r="1284" spans="1:11" ht="12.75" customHeight="1">
      <c r="A1284" s="646">
        <v>14</v>
      </c>
      <c r="B1284" s="646" t="s">
        <v>474</v>
      </c>
      <c r="C1284" s="641">
        <v>500000</v>
      </c>
      <c r="D1284" s="641">
        <v>500000</v>
      </c>
      <c r="E1284" s="641">
        <v>500000</v>
      </c>
      <c r="F1284" s="647">
        <f t="shared" si="159"/>
        <v>1500000</v>
      </c>
      <c r="G1284" s="641">
        <v>0</v>
      </c>
      <c r="H1284" s="641"/>
      <c r="I1284" s="641"/>
      <c r="J1284" s="391"/>
    </row>
    <row r="1285" spans="1:11" ht="12.75" customHeight="1">
      <c r="A1285" s="646"/>
      <c r="B1285" s="646"/>
      <c r="C1285" s="642"/>
      <c r="D1285" s="642"/>
      <c r="E1285" s="642"/>
      <c r="F1285" s="647"/>
      <c r="G1285" s="642"/>
      <c r="H1285" s="642"/>
      <c r="I1285" s="642"/>
      <c r="J1285" s="391"/>
    </row>
    <row r="1286" spans="1:11" ht="12.75" customHeight="1">
      <c r="A1286" s="646" t="s">
        <v>802</v>
      </c>
      <c r="B1286" s="651" t="s">
        <v>819</v>
      </c>
      <c r="C1286" s="652">
        <f t="shared" ref="C1286:I1286" si="162">SUM(C1272:C1285)</f>
        <v>4000000</v>
      </c>
      <c r="D1286" s="652">
        <f t="shared" si="162"/>
        <v>5000000</v>
      </c>
      <c r="E1286" s="652">
        <f t="shared" si="162"/>
        <v>5000000</v>
      </c>
      <c r="F1286" s="652">
        <f t="shared" si="162"/>
        <v>14000000</v>
      </c>
      <c r="G1286" s="652">
        <f t="shared" si="162"/>
        <v>853574.29</v>
      </c>
      <c r="H1286" s="652">
        <f>SUM(H1272:H1285)</f>
        <v>4472000</v>
      </c>
      <c r="I1286" s="652">
        <f t="shared" si="162"/>
        <v>0</v>
      </c>
      <c r="J1286" s="391"/>
      <c r="K1286" s="657">
        <f>4472000-H1286</f>
        <v>0</v>
      </c>
    </row>
    <row r="1287" spans="1:11" ht="12.75" customHeight="1">
      <c r="A1287" s="646"/>
      <c r="B1287" s="646"/>
      <c r="C1287" s="641"/>
      <c r="D1287" s="641"/>
      <c r="E1287" s="641"/>
      <c r="F1287" s="641"/>
      <c r="G1287" s="641"/>
      <c r="H1287" s="641"/>
      <c r="I1287" s="641"/>
      <c r="J1287" s="391"/>
    </row>
    <row r="1288" spans="1:11" ht="12.75" customHeight="1">
      <c r="A1288" s="653"/>
      <c r="B1288" s="653" t="s">
        <v>1684</v>
      </c>
      <c r="C1288" s="645">
        <f t="shared" ref="C1288:I1288" si="163">+C1286+C1270</f>
        <v>4000000</v>
      </c>
      <c r="D1288" s="645">
        <f t="shared" si="163"/>
        <v>5000000</v>
      </c>
      <c r="E1288" s="645">
        <f t="shared" si="163"/>
        <v>5000000</v>
      </c>
      <c r="F1288" s="645">
        <f t="shared" si="163"/>
        <v>14000000</v>
      </c>
      <c r="G1288" s="645">
        <f t="shared" si="163"/>
        <v>853574.29</v>
      </c>
      <c r="H1288" s="645">
        <f>+H1286+H1270</f>
        <v>4472000</v>
      </c>
      <c r="I1288" s="645" t="e">
        <f t="shared" si="163"/>
        <v>#REF!</v>
      </c>
      <c r="J1288" s="391"/>
    </row>
    <row r="1289" spans="1:11" ht="12.75" customHeight="1">
      <c r="A1289" s="391"/>
      <c r="B1289" s="391"/>
      <c r="C1289" s="647"/>
      <c r="D1289" s="647"/>
      <c r="E1289" s="647"/>
      <c r="F1289" s="647"/>
      <c r="G1289" s="647"/>
      <c r="H1289" s="647"/>
      <c r="I1289" s="391"/>
      <c r="J1289" s="391"/>
    </row>
    <row r="1290" spans="1:11" ht="12.75" customHeight="1">
      <c r="A1290" s="391"/>
      <c r="B1290" s="391"/>
      <c r="C1290" s="647"/>
      <c r="D1290" s="308" t="s">
        <v>5434</v>
      </c>
      <c r="E1290" s="647"/>
      <c r="F1290" s="647"/>
      <c r="H1290" s="647"/>
      <c r="I1290" s="391"/>
      <c r="J1290" s="391"/>
    </row>
    <row r="1291" spans="1:11" ht="12.75" customHeight="1">
      <c r="A1291" s="655"/>
      <c r="B1291" s="633"/>
      <c r="C1291" s="655"/>
      <c r="D1291" s="308" t="s">
        <v>716</v>
      </c>
      <c r="E1291" s="655"/>
      <c r="F1291" s="647"/>
      <c r="H1291" s="655"/>
      <c r="I1291" s="391"/>
      <c r="J1291" s="391"/>
    </row>
    <row r="1292" spans="1:11" ht="12.75" customHeight="1">
      <c r="A1292" s="655"/>
      <c r="B1292" s="633"/>
      <c r="C1292" s="655"/>
      <c r="D1292" s="308" t="s">
        <v>696</v>
      </c>
      <c r="E1292" s="655"/>
      <c r="F1292" s="647"/>
      <c r="H1292" s="655"/>
      <c r="I1292" s="391"/>
      <c r="J1292" s="391"/>
    </row>
    <row r="1293" spans="1:11" ht="12.75" customHeight="1">
      <c r="A1293" s="655"/>
      <c r="B1293" s="655"/>
      <c r="C1293" s="655"/>
      <c r="D1293" s="307" t="s">
        <v>803</v>
      </c>
      <c r="E1293" s="655"/>
      <c r="F1293" s="647"/>
      <c r="H1293" s="655"/>
      <c r="I1293" s="391"/>
      <c r="J1293" s="391"/>
    </row>
    <row r="1294" spans="1:11" ht="12.75" customHeight="1">
      <c r="A1294" s="634" t="s">
        <v>1839</v>
      </c>
      <c r="B1294" s="635" t="s">
        <v>903</v>
      </c>
      <c r="C1294" s="1037" t="s">
        <v>4127</v>
      </c>
      <c r="D1294" s="1038"/>
      <c r="E1294" s="1039"/>
      <c r="F1294" s="635" t="s">
        <v>1684</v>
      </c>
      <c r="G1294" s="1037" t="s">
        <v>4132</v>
      </c>
      <c r="H1294" s="1038"/>
      <c r="I1294" s="1039"/>
      <c r="J1294" s="391"/>
    </row>
    <row r="1295" spans="1:11" ht="12.75" customHeight="1">
      <c r="A1295" s="636" t="s">
        <v>1620</v>
      </c>
      <c r="B1295" s="637"/>
      <c r="C1295" s="635" t="s">
        <v>1841</v>
      </c>
      <c r="D1295" s="635" t="s">
        <v>4133</v>
      </c>
      <c r="E1295" s="635" t="s">
        <v>4133</v>
      </c>
      <c r="F1295" s="1056" t="s">
        <v>4200</v>
      </c>
      <c r="G1295" s="1051" t="s">
        <v>4201</v>
      </c>
      <c r="H1295" s="635" t="s">
        <v>1841</v>
      </c>
      <c r="I1295" s="634" t="s">
        <v>4135</v>
      </c>
      <c r="J1295" s="391"/>
    </row>
    <row r="1296" spans="1:11" ht="12.75" customHeight="1">
      <c r="A1296" s="638" t="s">
        <v>387</v>
      </c>
      <c r="B1296" s="639"/>
      <c r="C1296" s="638">
        <v>2015</v>
      </c>
      <c r="D1296" s="638">
        <v>2016</v>
      </c>
      <c r="E1296" s="638">
        <v>2017</v>
      </c>
      <c r="F1296" s="1057"/>
      <c r="G1296" s="1052"/>
      <c r="H1296" s="638">
        <v>2014</v>
      </c>
      <c r="I1296" s="638" t="s">
        <v>4303</v>
      </c>
      <c r="J1296" s="391"/>
    </row>
    <row r="1297" spans="1:10" ht="12.75" customHeight="1">
      <c r="A1297" s="646" t="s">
        <v>804</v>
      </c>
      <c r="B1297" s="646" t="s">
        <v>1693</v>
      </c>
      <c r="C1297" s="641">
        <f>E1297*1.02</f>
        <v>0</v>
      </c>
      <c r="D1297" s="641">
        <v>0</v>
      </c>
      <c r="E1297" s="641">
        <v>0</v>
      </c>
      <c r="F1297" s="647">
        <f>SUM(C1297:E1297)</f>
        <v>0</v>
      </c>
      <c r="G1297" s="641"/>
      <c r="H1297" s="641">
        <v>0</v>
      </c>
      <c r="I1297" s="641" t="e">
        <f>#REF!</f>
        <v>#REF!</v>
      </c>
      <c r="J1297" s="391"/>
    </row>
    <row r="1298" spans="1:10" ht="12.75" customHeight="1">
      <c r="A1298" s="646"/>
      <c r="B1298" s="646"/>
      <c r="C1298" s="641"/>
      <c r="D1298" s="641"/>
      <c r="E1298" s="641"/>
      <c r="F1298" s="647"/>
      <c r="G1298" s="641"/>
      <c r="H1298" s="641"/>
      <c r="I1298" s="641"/>
      <c r="J1298" s="391"/>
    </row>
    <row r="1299" spans="1:10" ht="12.75" customHeight="1">
      <c r="A1299" s="646">
        <v>2</v>
      </c>
      <c r="B1299" s="646" t="s">
        <v>1695</v>
      </c>
      <c r="C1299" s="641">
        <v>500000</v>
      </c>
      <c r="D1299" s="641">
        <v>500000</v>
      </c>
      <c r="E1299" s="641">
        <v>500000</v>
      </c>
      <c r="F1299" s="647">
        <f t="shared" ref="F1299:F1311" si="164">SUM(C1299:E1299)</f>
        <v>1500000</v>
      </c>
      <c r="G1299" s="641">
        <v>142500</v>
      </c>
      <c r="H1299" s="641">
        <v>500000</v>
      </c>
      <c r="I1299" s="641"/>
      <c r="J1299" s="391"/>
    </row>
    <row r="1300" spans="1:10" ht="12.75" customHeight="1">
      <c r="A1300" s="646">
        <f t="shared" ref="A1300:A1309" si="165">A1299+1</f>
        <v>3</v>
      </c>
      <c r="B1300" s="646" t="s">
        <v>1696</v>
      </c>
      <c r="C1300" s="641">
        <f t="shared" ref="C1300:C1308" si="166">E1300*1.02</f>
        <v>0</v>
      </c>
      <c r="D1300" s="641">
        <v>0</v>
      </c>
      <c r="E1300" s="641">
        <v>0</v>
      </c>
      <c r="F1300" s="647">
        <f t="shared" si="164"/>
        <v>0</v>
      </c>
      <c r="G1300" s="642" t="s">
        <v>1386</v>
      </c>
      <c r="H1300" s="641">
        <v>0</v>
      </c>
      <c r="I1300" s="642"/>
      <c r="J1300" s="391"/>
    </row>
    <row r="1301" spans="1:10" ht="12.75" customHeight="1">
      <c r="A1301" s="646">
        <f t="shared" si="165"/>
        <v>4</v>
      </c>
      <c r="B1301" s="646" t="s">
        <v>1701</v>
      </c>
      <c r="C1301" s="641">
        <f t="shared" si="166"/>
        <v>0</v>
      </c>
      <c r="D1301" s="641">
        <v>0</v>
      </c>
      <c r="E1301" s="641">
        <v>0</v>
      </c>
      <c r="F1301" s="647">
        <f t="shared" si="164"/>
        <v>0</v>
      </c>
      <c r="G1301" s="642" t="s">
        <v>1386</v>
      </c>
      <c r="H1301" s="641">
        <v>0</v>
      </c>
      <c r="I1301" s="642"/>
      <c r="J1301" s="391"/>
    </row>
    <row r="1302" spans="1:10" ht="12.75" customHeight="1">
      <c r="A1302" s="646">
        <f t="shared" si="165"/>
        <v>5</v>
      </c>
      <c r="B1302" s="646" t="s">
        <v>1702</v>
      </c>
      <c r="C1302" s="641">
        <v>300000</v>
      </c>
      <c r="D1302" s="641">
        <v>300000</v>
      </c>
      <c r="E1302" s="641">
        <v>300000</v>
      </c>
      <c r="F1302" s="647">
        <f t="shared" si="164"/>
        <v>900000</v>
      </c>
      <c r="G1302" s="641">
        <v>42000</v>
      </c>
      <c r="H1302" s="641">
        <v>400000</v>
      </c>
      <c r="I1302" s="641"/>
      <c r="J1302" s="391"/>
    </row>
    <row r="1303" spans="1:10" ht="12.75" customHeight="1">
      <c r="A1303" s="646">
        <f t="shared" si="165"/>
        <v>6</v>
      </c>
      <c r="B1303" s="646" t="s">
        <v>1544</v>
      </c>
      <c r="C1303" s="641">
        <v>400000</v>
      </c>
      <c r="D1303" s="641">
        <v>400000</v>
      </c>
      <c r="E1303" s="641">
        <v>400000</v>
      </c>
      <c r="F1303" s="647">
        <f t="shared" si="164"/>
        <v>1200000</v>
      </c>
      <c r="G1303" s="641"/>
      <c r="H1303" s="641">
        <v>400000</v>
      </c>
      <c r="I1303" s="641"/>
      <c r="J1303" s="391"/>
    </row>
    <row r="1304" spans="1:10" ht="12.75" customHeight="1">
      <c r="A1304" s="646">
        <f t="shared" si="165"/>
        <v>7</v>
      </c>
      <c r="B1304" s="646" t="s">
        <v>897</v>
      </c>
      <c r="C1304" s="641">
        <v>500000</v>
      </c>
      <c r="D1304" s="641">
        <v>500000</v>
      </c>
      <c r="E1304" s="641">
        <v>500000</v>
      </c>
      <c r="F1304" s="647">
        <f t="shared" si="164"/>
        <v>1500000</v>
      </c>
      <c r="G1304" s="641"/>
      <c r="H1304" s="641">
        <v>500000</v>
      </c>
      <c r="I1304" s="641"/>
      <c r="J1304" s="391"/>
    </row>
    <row r="1305" spans="1:10" ht="12.75" customHeight="1">
      <c r="A1305" s="646">
        <f t="shared" si="165"/>
        <v>8</v>
      </c>
      <c r="B1305" s="646" t="s">
        <v>1385</v>
      </c>
      <c r="C1305" s="641">
        <f t="shared" si="166"/>
        <v>0</v>
      </c>
      <c r="D1305" s="641">
        <v>0</v>
      </c>
      <c r="E1305" s="641">
        <v>0</v>
      </c>
      <c r="F1305" s="647">
        <f t="shared" si="164"/>
        <v>0</v>
      </c>
      <c r="G1305" s="642" t="s">
        <v>1386</v>
      </c>
      <c r="H1305" s="641">
        <v>0</v>
      </c>
      <c r="I1305" s="642"/>
      <c r="J1305" s="391"/>
    </row>
    <row r="1306" spans="1:10" ht="12.75" customHeight="1">
      <c r="A1306" s="646">
        <f t="shared" si="165"/>
        <v>9</v>
      </c>
      <c r="B1306" s="646" t="s">
        <v>2061</v>
      </c>
      <c r="C1306" s="641">
        <f t="shared" si="166"/>
        <v>0</v>
      </c>
      <c r="D1306" s="641">
        <v>0</v>
      </c>
      <c r="E1306" s="641">
        <v>0</v>
      </c>
      <c r="F1306" s="647">
        <f t="shared" si="164"/>
        <v>0</v>
      </c>
      <c r="G1306" s="642" t="s">
        <v>1386</v>
      </c>
      <c r="H1306" s="641">
        <v>0</v>
      </c>
      <c r="I1306" s="642"/>
      <c r="J1306" s="391"/>
    </row>
    <row r="1307" spans="1:10" ht="12.75" customHeight="1">
      <c r="A1307" s="646">
        <f t="shared" si="165"/>
        <v>10</v>
      </c>
      <c r="B1307" s="646" t="s">
        <v>1680</v>
      </c>
      <c r="C1307" s="641">
        <v>400000</v>
      </c>
      <c r="D1307" s="641">
        <v>400000</v>
      </c>
      <c r="E1307" s="641">
        <v>400000</v>
      </c>
      <c r="F1307" s="647">
        <f t="shared" si="164"/>
        <v>1200000</v>
      </c>
      <c r="G1307" s="642">
        <v>332500</v>
      </c>
      <c r="H1307" s="641">
        <v>400000</v>
      </c>
      <c r="I1307" s="642"/>
      <c r="J1307" s="391"/>
    </row>
    <row r="1308" spans="1:10" ht="12.75" customHeight="1">
      <c r="A1308" s="646">
        <f t="shared" si="165"/>
        <v>11</v>
      </c>
      <c r="B1308" s="646" t="s">
        <v>1681</v>
      </c>
      <c r="C1308" s="641">
        <f t="shared" si="166"/>
        <v>0</v>
      </c>
      <c r="D1308" s="641">
        <v>0</v>
      </c>
      <c r="E1308" s="641">
        <v>0</v>
      </c>
      <c r="F1308" s="647">
        <f t="shared" si="164"/>
        <v>0</v>
      </c>
      <c r="G1308" s="641" t="s">
        <v>1386</v>
      </c>
      <c r="H1308" s="641">
        <v>0</v>
      </c>
      <c r="I1308" s="641"/>
      <c r="J1308" s="391"/>
    </row>
    <row r="1309" spans="1:10" ht="12.75" customHeight="1">
      <c r="A1309" s="646">
        <f t="shared" si="165"/>
        <v>12</v>
      </c>
      <c r="B1309" s="646" t="s">
        <v>1682</v>
      </c>
      <c r="C1309" s="641">
        <v>600000</v>
      </c>
      <c r="D1309" s="641">
        <v>600000</v>
      </c>
      <c r="E1309" s="641">
        <v>600000</v>
      </c>
      <c r="F1309" s="647">
        <f t="shared" si="164"/>
        <v>1800000</v>
      </c>
      <c r="G1309" s="641">
        <v>472500</v>
      </c>
      <c r="H1309" s="641">
        <v>584000</v>
      </c>
      <c r="I1309" s="641"/>
      <c r="J1309" s="391"/>
    </row>
    <row r="1310" spans="1:10" ht="12.75" customHeight="1">
      <c r="A1310" s="646">
        <v>13</v>
      </c>
      <c r="B1310" s="646" t="s">
        <v>2249</v>
      </c>
      <c r="C1310" s="642">
        <v>100000</v>
      </c>
      <c r="D1310" s="642">
        <v>100000</v>
      </c>
      <c r="E1310" s="642">
        <v>100000</v>
      </c>
      <c r="F1310" s="647">
        <f t="shared" si="164"/>
        <v>300000</v>
      </c>
      <c r="G1310" s="642">
        <v>0</v>
      </c>
      <c r="H1310" s="642">
        <v>100000</v>
      </c>
      <c r="I1310" s="642"/>
      <c r="J1310" s="391"/>
    </row>
    <row r="1311" spans="1:10" ht="12.75" customHeight="1">
      <c r="A1311" s="646">
        <v>14</v>
      </c>
      <c r="B1311" s="646" t="s">
        <v>474</v>
      </c>
      <c r="C1311" s="641">
        <v>200000</v>
      </c>
      <c r="D1311" s="641">
        <v>1000000</v>
      </c>
      <c r="E1311" s="641">
        <v>1000000</v>
      </c>
      <c r="F1311" s="647">
        <f t="shared" si="164"/>
        <v>2200000</v>
      </c>
      <c r="G1311" s="641">
        <v>435000</v>
      </c>
      <c r="H1311" s="641">
        <v>400000</v>
      </c>
      <c r="I1311" s="641"/>
      <c r="J1311" s="391"/>
    </row>
    <row r="1312" spans="1:10" ht="12.75" customHeight="1">
      <c r="A1312" s="646"/>
      <c r="B1312" s="646"/>
      <c r="C1312" s="642"/>
      <c r="D1312" s="642"/>
      <c r="E1312" s="642"/>
      <c r="F1312" s="647"/>
      <c r="G1312" s="642"/>
      <c r="H1312" s="642"/>
      <c r="I1312" s="642"/>
      <c r="J1312" s="391"/>
    </row>
    <row r="1313" spans="1:10" ht="12.75" customHeight="1">
      <c r="A1313" s="646" t="s">
        <v>805</v>
      </c>
      <c r="B1313" s="651" t="s">
        <v>819</v>
      </c>
      <c r="C1313" s="652">
        <f t="shared" ref="C1313:I1313" si="167">SUM(C1299:C1312)</f>
        <v>3000000</v>
      </c>
      <c r="D1313" s="652">
        <f t="shared" si="167"/>
        <v>3800000</v>
      </c>
      <c r="E1313" s="652">
        <f t="shared" si="167"/>
        <v>3800000</v>
      </c>
      <c r="F1313" s="652">
        <f t="shared" si="167"/>
        <v>10600000</v>
      </c>
      <c r="G1313" s="652">
        <f t="shared" si="167"/>
        <v>1424500</v>
      </c>
      <c r="H1313" s="652">
        <f>SUM(H1299:H1312)</f>
        <v>3284000</v>
      </c>
      <c r="I1313" s="652">
        <f t="shared" si="167"/>
        <v>0</v>
      </c>
      <c r="J1313" s="391"/>
    </row>
    <row r="1314" spans="1:10" ht="12.75" customHeight="1">
      <c r="A1314" s="646"/>
      <c r="B1314" s="646"/>
      <c r="C1314" s="641"/>
      <c r="D1314" s="641"/>
      <c r="E1314" s="641"/>
      <c r="F1314" s="641"/>
      <c r="G1314" s="641"/>
      <c r="H1314" s="641"/>
      <c r="I1314" s="641"/>
      <c r="J1314" s="391"/>
    </row>
    <row r="1315" spans="1:10" ht="12.75" customHeight="1">
      <c r="A1315" s="653"/>
      <c r="B1315" s="653" t="s">
        <v>1684</v>
      </c>
      <c r="C1315" s="645">
        <f t="shared" ref="C1315:I1315" si="168">+C1313+C1297</f>
        <v>3000000</v>
      </c>
      <c r="D1315" s="645">
        <f t="shared" si="168"/>
        <v>3800000</v>
      </c>
      <c r="E1315" s="645">
        <f t="shared" si="168"/>
        <v>3800000</v>
      </c>
      <c r="F1315" s="645">
        <f t="shared" si="168"/>
        <v>10600000</v>
      </c>
      <c r="G1315" s="645">
        <f t="shared" si="168"/>
        <v>1424500</v>
      </c>
      <c r="H1315" s="645">
        <f>+H1313+H1297</f>
        <v>3284000</v>
      </c>
      <c r="I1315" s="645" t="e">
        <f t="shared" si="168"/>
        <v>#REF!</v>
      </c>
      <c r="J1315" s="391"/>
    </row>
    <row r="1316" spans="1:10" ht="12.75" customHeight="1">
      <c r="A1316" s="391"/>
      <c r="B1316" s="391"/>
      <c r="C1316" s="647"/>
      <c r="D1316" s="647"/>
      <c r="E1316" s="647"/>
      <c r="F1316" s="647"/>
      <c r="G1316" s="647"/>
      <c r="H1316" s="647"/>
      <c r="I1316" s="391"/>
      <c r="J1316" s="391"/>
    </row>
    <row r="1317" spans="1:10" ht="12.75" customHeight="1">
      <c r="A1317" s="391"/>
      <c r="B1317" s="391"/>
      <c r="C1317" s="647"/>
      <c r="D1317" s="308" t="s">
        <v>5434</v>
      </c>
      <c r="E1317" s="647"/>
      <c r="F1317" s="391"/>
      <c r="H1317" s="647"/>
      <c r="J1317" s="391"/>
    </row>
    <row r="1318" spans="1:10" ht="12.75" customHeight="1">
      <c r="A1318" s="655"/>
      <c r="B1318" s="633"/>
      <c r="C1318" s="655"/>
      <c r="D1318" s="308" t="s">
        <v>716</v>
      </c>
      <c r="E1318" s="654"/>
      <c r="F1318" s="391"/>
      <c r="H1318" s="655"/>
      <c r="J1318" s="391"/>
    </row>
    <row r="1319" spans="1:10" ht="12.75" customHeight="1">
      <c r="A1319" s="655"/>
      <c r="B1319" s="633"/>
      <c r="C1319" s="655"/>
      <c r="D1319" s="308" t="s">
        <v>697</v>
      </c>
      <c r="E1319" s="654"/>
      <c r="F1319" s="391"/>
      <c r="H1319" s="655"/>
      <c r="J1319" s="391"/>
    </row>
    <row r="1320" spans="1:10" ht="12.75" customHeight="1">
      <c r="A1320" s="655"/>
      <c r="B1320" s="655"/>
      <c r="C1320" s="655"/>
      <c r="D1320" s="307" t="s">
        <v>806</v>
      </c>
      <c r="E1320" s="654"/>
      <c r="F1320" s="391"/>
      <c r="H1320" s="655"/>
      <c r="J1320" s="391"/>
    </row>
    <row r="1321" spans="1:10" ht="12.75" customHeight="1">
      <c r="A1321" s="634" t="s">
        <v>1839</v>
      </c>
      <c r="B1321" s="635" t="s">
        <v>903</v>
      </c>
      <c r="C1321" s="1037" t="s">
        <v>4127</v>
      </c>
      <c r="D1321" s="1038"/>
      <c r="E1321" s="1039"/>
      <c r="F1321" s="635" t="s">
        <v>1684</v>
      </c>
      <c r="G1321" s="1037" t="s">
        <v>4132</v>
      </c>
      <c r="H1321" s="1038"/>
      <c r="I1321" s="1039"/>
      <c r="J1321" s="391"/>
    </row>
    <row r="1322" spans="1:10" ht="12.75" customHeight="1">
      <c r="A1322" s="636" t="s">
        <v>1620</v>
      </c>
      <c r="B1322" s="637"/>
      <c r="C1322" s="635" t="s">
        <v>1841</v>
      </c>
      <c r="D1322" s="635" t="s">
        <v>4133</v>
      </c>
      <c r="E1322" s="635" t="s">
        <v>4133</v>
      </c>
      <c r="F1322" s="1056" t="s">
        <v>4200</v>
      </c>
      <c r="G1322" s="1051" t="s">
        <v>4201</v>
      </c>
      <c r="H1322" s="635" t="s">
        <v>1841</v>
      </c>
      <c r="I1322" s="634" t="s">
        <v>4135</v>
      </c>
      <c r="J1322" s="391"/>
    </row>
    <row r="1323" spans="1:10" ht="12.75" customHeight="1">
      <c r="A1323" s="638" t="s">
        <v>387</v>
      </c>
      <c r="B1323" s="639"/>
      <c r="C1323" s="638">
        <v>2015</v>
      </c>
      <c r="D1323" s="638">
        <v>2016</v>
      </c>
      <c r="E1323" s="638">
        <v>2017</v>
      </c>
      <c r="F1323" s="1057"/>
      <c r="G1323" s="1052"/>
      <c r="H1323" s="638">
        <v>2014</v>
      </c>
      <c r="I1323" s="638" t="s">
        <v>4303</v>
      </c>
      <c r="J1323" s="391"/>
    </row>
    <row r="1324" spans="1:10" ht="12.75" customHeight="1">
      <c r="A1324" s="646" t="s">
        <v>807</v>
      </c>
      <c r="B1324" s="646" t="s">
        <v>1693</v>
      </c>
      <c r="C1324" s="641">
        <v>29307531.850000001</v>
      </c>
      <c r="D1324" s="641">
        <v>37440000</v>
      </c>
      <c r="E1324" s="641">
        <v>37440000</v>
      </c>
      <c r="F1324" s="647">
        <f>SUM(C1324:E1324)</f>
        <v>104187531.84999999</v>
      </c>
      <c r="G1324" s="641">
        <v>12591564</v>
      </c>
      <c r="H1324" s="641">
        <v>29000000</v>
      </c>
      <c r="I1324" s="641" t="e">
        <f>#REF!</f>
        <v>#REF!</v>
      </c>
      <c r="J1324" s="391"/>
    </row>
    <row r="1325" spans="1:10" ht="12.75" customHeight="1">
      <c r="A1325" s="646"/>
      <c r="B1325" s="646"/>
      <c r="C1325" s="641"/>
      <c r="D1325" s="641"/>
      <c r="E1325" s="641"/>
      <c r="F1325" s="647"/>
      <c r="G1325" s="641"/>
      <c r="H1325" s="641"/>
      <c r="I1325" s="641"/>
      <c r="J1325" s="391"/>
    </row>
    <row r="1326" spans="1:10" ht="12.75" customHeight="1">
      <c r="A1326" s="646">
        <v>2</v>
      </c>
      <c r="B1326" s="646" t="s">
        <v>1695</v>
      </c>
      <c r="C1326" s="641">
        <v>1000000</v>
      </c>
      <c r="D1326" s="641">
        <v>1000000</v>
      </c>
      <c r="E1326" s="641">
        <v>1000000</v>
      </c>
      <c r="F1326" s="647">
        <f t="shared" ref="F1326:F1339" si="169">SUM(C1326:E1326)</f>
        <v>3000000</v>
      </c>
      <c r="G1326" s="641">
        <v>242000</v>
      </c>
      <c r="H1326" s="641">
        <v>1060800</v>
      </c>
      <c r="I1326" s="641">
        <v>11770</v>
      </c>
      <c r="J1326" s="391"/>
    </row>
    <row r="1327" spans="1:10" ht="12.75" customHeight="1">
      <c r="A1327" s="646">
        <f t="shared" ref="A1327:A1339" si="170">A1326+1</f>
        <v>3</v>
      </c>
      <c r="B1327" s="646" t="s">
        <v>1696</v>
      </c>
      <c r="C1327" s="641">
        <v>200000</v>
      </c>
      <c r="D1327" s="641">
        <v>100000</v>
      </c>
      <c r="E1327" s="641">
        <v>100000</v>
      </c>
      <c r="F1327" s="647">
        <f t="shared" si="169"/>
        <v>400000</v>
      </c>
      <c r="G1327" s="642">
        <v>10000</v>
      </c>
      <c r="H1327" s="641">
        <v>106080</v>
      </c>
      <c r="I1327" s="642">
        <v>0</v>
      </c>
      <c r="J1327" s="391"/>
    </row>
    <row r="1328" spans="1:10" ht="12.75" customHeight="1">
      <c r="A1328" s="646">
        <f t="shared" si="170"/>
        <v>4</v>
      </c>
      <c r="B1328" s="646" t="s">
        <v>1701</v>
      </c>
      <c r="C1328" s="641">
        <f t="shared" ref="C1328:C1333" si="171">E1328*1.02</f>
        <v>0</v>
      </c>
      <c r="D1328" s="641">
        <v>0</v>
      </c>
      <c r="E1328" s="641">
        <v>0</v>
      </c>
      <c r="F1328" s="647">
        <f t="shared" si="169"/>
        <v>0</v>
      </c>
      <c r="G1328" s="642" t="s">
        <v>1386</v>
      </c>
      <c r="H1328" s="641">
        <v>0</v>
      </c>
      <c r="I1328" s="642" t="s">
        <v>1386</v>
      </c>
      <c r="J1328" s="391"/>
    </row>
    <row r="1329" spans="1:11" ht="12.75" customHeight="1">
      <c r="A1329" s="646">
        <f t="shared" si="170"/>
        <v>5</v>
      </c>
      <c r="B1329" s="646" t="s">
        <v>1702</v>
      </c>
      <c r="C1329" s="641">
        <v>800000</v>
      </c>
      <c r="D1329" s="641">
        <v>700000</v>
      </c>
      <c r="E1329" s="641">
        <v>700000</v>
      </c>
      <c r="F1329" s="647">
        <f t="shared" si="169"/>
        <v>2200000</v>
      </c>
      <c r="G1329" s="642">
        <v>153600</v>
      </c>
      <c r="H1329" s="641">
        <v>742560</v>
      </c>
      <c r="I1329" s="642">
        <v>185000</v>
      </c>
      <c r="J1329" s="391"/>
    </row>
    <row r="1330" spans="1:11" ht="12.75" customHeight="1">
      <c r="A1330" s="646">
        <f t="shared" si="170"/>
        <v>6</v>
      </c>
      <c r="B1330" s="646" t="s">
        <v>1544</v>
      </c>
      <c r="C1330" s="641">
        <v>800000</v>
      </c>
      <c r="D1330" s="641">
        <v>800000</v>
      </c>
      <c r="E1330" s="641">
        <v>800000</v>
      </c>
      <c r="F1330" s="647">
        <f t="shared" si="169"/>
        <v>2400000</v>
      </c>
      <c r="G1330" s="641">
        <v>0</v>
      </c>
      <c r="H1330" s="641">
        <v>848640</v>
      </c>
      <c r="I1330" s="641">
        <v>34330</v>
      </c>
      <c r="J1330" s="391"/>
    </row>
    <row r="1331" spans="1:11" ht="12.75" customHeight="1">
      <c r="A1331" s="646">
        <f t="shared" si="170"/>
        <v>7</v>
      </c>
      <c r="B1331" s="646" t="s">
        <v>897</v>
      </c>
      <c r="C1331" s="641">
        <v>700000</v>
      </c>
      <c r="D1331" s="641">
        <v>500000</v>
      </c>
      <c r="E1331" s="641">
        <v>500000</v>
      </c>
      <c r="F1331" s="647">
        <f t="shared" si="169"/>
        <v>1700000</v>
      </c>
      <c r="G1331" s="641">
        <v>83000</v>
      </c>
      <c r="H1331" s="641">
        <v>530400</v>
      </c>
      <c r="I1331" s="641">
        <v>38400</v>
      </c>
      <c r="J1331" s="391"/>
    </row>
    <row r="1332" spans="1:11" ht="12.75" customHeight="1">
      <c r="A1332" s="646">
        <f t="shared" si="170"/>
        <v>8</v>
      </c>
      <c r="B1332" s="646" t="s">
        <v>1385</v>
      </c>
      <c r="C1332" s="641">
        <f t="shared" si="171"/>
        <v>0</v>
      </c>
      <c r="D1332" s="641">
        <v>0</v>
      </c>
      <c r="E1332" s="641">
        <v>0</v>
      </c>
      <c r="F1332" s="647">
        <f t="shared" si="169"/>
        <v>0</v>
      </c>
      <c r="G1332" s="642" t="s">
        <v>1386</v>
      </c>
      <c r="H1332" s="641">
        <v>0</v>
      </c>
      <c r="I1332" s="642" t="s">
        <v>1386</v>
      </c>
      <c r="J1332" s="391"/>
    </row>
    <row r="1333" spans="1:11" ht="12.75" customHeight="1">
      <c r="A1333" s="646">
        <f t="shared" si="170"/>
        <v>9</v>
      </c>
      <c r="B1333" s="646" t="s">
        <v>2061</v>
      </c>
      <c r="C1333" s="641">
        <f t="shared" si="171"/>
        <v>0</v>
      </c>
      <c r="D1333" s="641">
        <v>0</v>
      </c>
      <c r="E1333" s="641">
        <v>0</v>
      </c>
      <c r="F1333" s="647">
        <f t="shared" si="169"/>
        <v>0</v>
      </c>
      <c r="G1333" s="642" t="s">
        <v>1386</v>
      </c>
      <c r="H1333" s="641">
        <v>0</v>
      </c>
      <c r="I1333" s="642" t="s">
        <v>1386</v>
      </c>
      <c r="J1333" s="391"/>
    </row>
    <row r="1334" spans="1:11" ht="12.75" customHeight="1">
      <c r="A1334" s="646">
        <f t="shared" si="170"/>
        <v>10</v>
      </c>
      <c r="B1334" s="646" t="s">
        <v>1680</v>
      </c>
      <c r="C1334" s="641">
        <v>700000</v>
      </c>
      <c r="D1334" s="641">
        <v>800000</v>
      </c>
      <c r="E1334" s="656">
        <v>800000</v>
      </c>
      <c r="F1334" s="647">
        <f t="shared" si="169"/>
        <v>2300000</v>
      </c>
      <c r="G1334" s="642">
        <v>0</v>
      </c>
      <c r="H1334" s="641">
        <v>848640</v>
      </c>
      <c r="I1334" s="642">
        <v>0</v>
      </c>
      <c r="J1334" s="391"/>
    </row>
    <row r="1335" spans="1:11" ht="12.75" customHeight="1">
      <c r="A1335" s="646">
        <f t="shared" si="170"/>
        <v>11</v>
      </c>
      <c r="B1335" s="646" t="s">
        <v>1681</v>
      </c>
      <c r="C1335" s="641">
        <v>200000</v>
      </c>
      <c r="D1335" s="641">
        <v>100000</v>
      </c>
      <c r="E1335" s="677">
        <v>100000</v>
      </c>
      <c r="F1335" s="647">
        <f t="shared" si="169"/>
        <v>400000</v>
      </c>
      <c r="G1335" s="641">
        <v>0</v>
      </c>
      <c r="H1335" s="641">
        <v>106080</v>
      </c>
      <c r="I1335" s="641">
        <v>0</v>
      </c>
      <c r="J1335" s="391"/>
    </row>
    <row r="1336" spans="1:11" ht="12.75" customHeight="1">
      <c r="A1336" s="646">
        <f t="shared" si="170"/>
        <v>12</v>
      </c>
      <c r="B1336" s="646" t="s">
        <v>1682</v>
      </c>
      <c r="C1336" s="641">
        <v>3300000</v>
      </c>
      <c r="D1336" s="641">
        <v>3000000</v>
      </c>
      <c r="E1336" s="677">
        <v>3000000</v>
      </c>
      <c r="F1336" s="647">
        <f t="shared" si="169"/>
        <v>9300000</v>
      </c>
      <c r="G1336" s="641">
        <v>568032</v>
      </c>
      <c r="H1336" s="641">
        <f>3182400-474240</f>
        <v>2708160</v>
      </c>
      <c r="I1336" s="641">
        <v>828992</v>
      </c>
      <c r="J1336" s="391"/>
    </row>
    <row r="1337" spans="1:11" ht="12.75" customHeight="1">
      <c r="A1337" s="646">
        <f t="shared" si="170"/>
        <v>13</v>
      </c>
      <c r="B1337" s="646" t="s">
        <v>2249</v>
      </c>
      <c r="C1337" s="641">
        <v>100000</v>
      </c>
      <c r="D1337" s="641">
        <v>100000</v>
      </c>
      <c r="E1337" s="677">
        <v>100000</v>
      </c>
      <c r="F1337" s="647">
        <f t="shared" si="169"/>
        <v>300000</v>
      </c>
      <c r="G1337" s="642">
        <v>0</v>
      </c>
      <c r="H1337" s="641">
        <v>100000</v>
      </c>
      <c r="I1337" s="642">
        <v>0</v>
      </c>
      <c r="J1337" s="391"/>
    </row>
    <row r="1338" spans="1:11" ht="12.75" customHeight="1">
      <c r="A1338" s="646">
        <f t="shared" si="170"/>
        <v>14</v>
      </c>
      <c r="B1338" s="646" t="s">
        <v>3018</v>
      </c>
      <c r="C1338" s="641">
        <v>600000</v>
      </c>
      <c r="D1338" s="641">
        <v>800000</v>
      </c>
      <c r="E1338" s="677">
        <v>800000</v>
      </c>
      <c r="F1338" s="647">
        <f t="shared" si="169"/>
        <v>2200000</v>
      </c>
      <c r="G1338" s="641">
        <v>0</v>
      </c>
      <c r="H1338" s="641">
        <v>848640</v>
      </c>
      <c r="I1338" s="641">
        <v>0</v>
      </c>
      <c r="J1338" s="391"/>
    </row>
    <row r="1339" spans="1:11" ht="12.75" customHeight="1">
      <c r="A1339" s="646">
        <f t="shared" si="170"/>
        <v>15</v>
      </c>
      <c r="B1339" s="646" t="s">
        <v>3612</v>
      </c>
      <c r="C1339" s="641">
        <v>16000000</v>
      </c>
      <c r="D1339" s="641">
        <v>15600000</v>
      </c>
      <c r="E1339" s="677">
        <v>15600000</v>
      </c>
      <c r="F1339" s="647">
        <f t="shared" si="169"/>
        <v>47200000</v>
      </c>
      <c r="G1339" s="642">
        <v>6000000</v>
      </c>
      <c r="H1339" s="641">
        <v>15912000</v>
      </c>
      <c r="I1339" s="642">
        <v>6005000</v>
      </c>
      <c r="J1339" s="391"/>
      <c r="K1339" s="657">
        <f>23812000-H1341</f>
        <v>0</v>
      </c>
    </row>
    <row r="1340" spans="1:11" ht="12.75" customHeight="1">
      <c r="A1340" s="646"/>
      <c r="B1340" s="646"/>
      <c r="C1340" s="641"/>
      <c r="D1340" s="641"/>
      <c r="E1340" s="641"/>
      <c r="F1340" s="647"/>
      <c r="G1340" s="642"/>
      <c r="H1340" s="641"/>
      <c r="I1340" s="641"/>
      <c r="J1340" s="391"/>
    </row>
    <row r="1341" spans="1:11" ht="12.75" customHeight="1">
      <c r="A1341" s="646" t="s">
        <v>286</v>
      </c>
      <c r="B1341" s="651" t="s">
        <v>819</v>
      </c>
      <c r="C1341" s="652">
        <f t="shared" ref="C1341:I1341" si="172">SUM(C1326:C1340)</f>
        <v>24400000</v>
      </c>
      <c r="D1341" s="652">
        <f t="shared" si="172"/>
        <v>23500000</v>
      </c>
      <c r="E1341" s="652">
        <f t="shared" si="172"/>
        <v>23500000</v>
      </c>
      <c r="F1341" s="652">
        <f t="shared" si="172"/>
        <v>71400000</v>
      </c>
      <c r="G1341" s="652">
        <f t="shared" si="172"/>
        <v>7056632</v>
      </c>
      <c r="H1341" s="652">
        <f>SUM(H1326:H1340)</f>
        <v>23812000</v>
      </c>
      <c r="I1341" s="652">
        <f t="shared" si="172"/>
        <v>7103492</v>
      </c>
      <c r="J1341" s="391"/>
    </row>
    <row r="1342" spans="1:11" ht="12.75" customHeight="1">
      <c r="A1342" s="646"/>
      <c r="B1342" s="646"/>
      <c r="C1342" s="641"/>
      <c r="D1342" s="641"/>
      <c r="E1342" s="641"/>
      <c r="F1342" s="641"/>
      <c r="G1342" s="641"/>
      <c r="H1342" s="641"/>
      <c r="I1342" s="641"/>
      <c r="J1342" s="391"/>
    </row>
    <row r="1343" spans="1:11" ht="12.75" customHeight="1">
      <c r="A1343" s="653"/>
      <c r="B1343" s="653" t="s">
        <v>1684</v>
      </c>
      <c r="C1343" s="645">
        <f t="shared" ref="C1343:I1343" si="173">+C1341+C1324</f>
        <v>53707531.850000001</v>
      </c>
      <c r="D1343" s="645">
        <f t="shared" si="173"/>
        <v>60940000</v>
      </c>
      <c r="E1343" s="645">
        <f t="shared" si="173"/>
        <v>60940000</v>
      </c>
      <c r="F1343" s="645">
        <f t="shared" si="173"/>
        <v>175587531.84999999</v>
      </c>
      <c r="G1343" s="645">
        <f t="shared" si="173"/>
        <v>19648196</v>
      </c>
      <c r="H1343" s="645">
        <f>+H1341+H1324</f>
        <v>52812000</v>
      </c>
      <c r="I1343" s="645" t="e">
        <f t="shared" si="173"/>
        <v>#REF!</v>
      </c>
      <c r="J1343" s="391"/>
    </row>
    <row r="1344" spans="1:11" ht="12.75" customHeight="1">
      <c r="A1344" s="391"/>
      <c r="B1344" s="391"/>
      <c r="C1344" s="647"/>
      <c r="D1344" s="647"/>
      <c r="E1344" s="647"/>
      <c r="F1344" s="647"/>
      <c r="G1344" s="647"/>
      <c r="H1344" s="647"/>
      <c r="I1344" s="391"/>
      <c r="J1344" s="391"/>
    </row>
    <row r="1345" spans="1:10" ht="12.75" customHeight="1">
      <c r="A1345" s="391"/>
      <c r="B1345" s="391"/>
      <c r="C1345" s="647"/>
      <c r="D1345" s="308" t="s">
        <v>5434</v>
      </c>
      <c r="E1345" s="647"/>
      <c r="F1345" s="647"/>
      <c r="H1345" s="647"/>
      <c r="I1345" s="391"/>
      <c r="J1345" s="391"/>
    </row>
    <row r="1346" spans="1:10" ht="12.75" customHeight="1">
      <c r="A1346" s="655"/>
      <c r="B1346" s="633"/>
      <c r="C1346" s="655"/>
      <c r="D1346" s="308" t="s">
        <v>716</v>
      </c>
      <c r="E1346" s="655"/>
      <c r="F1346" s="647"/>
      <c r="H1346" s="655"/>
      <c r="I1346" s="391"/>
      <c r="J1346" s="391"/>
    </row>
    <row r="1347" spans="1:10" ht="12.75" customHeight="1">
      <c r="A1347" s="655"/>
      <c r="B1347" s="678"/>
      <c r="C1347" s="655"/>
      <c r="D1347" s="308" t="s">
        <v>698</v>
      </c>
      <c r="E1347" s="655"/>
      <c r="F1347" s="647"/>
      <c r="H1347" s="655"/>
      <c r="I1347" s="391"/>
      <c r="J1347" s="391"/>
    </row>
    <row r="1348" spans="1:10" ht="12.75" customHeight="1">
      <c r="A1348" s="655"/>
      <c r="B1348" s="655"/>
      <c r="C1348" s="655"/>
      <c r="D1348" s="307" t="s">
        <v>287</v>
      </c>
      <c r="E1348" s="655"/>
      <c r="F1348" s="647"/>
      <c r="H1348" s="655"/>
      <c r="I1348" s="391"/>
      <c r="J1348" s="391"/>
    </row>
    <row r="1349" spans="1:10" ht="12.75" customHeight="1">
      <c r="A1349" s="634" t="s">
        <v>1839</v>
      </c>
      <c r="B1349" s="635" t="s">
        <v>903</v>
      </c>
      <c r="C1349" s="1037" t="s">
        <v>4127</v>
      </c>
      <c r="D1349" s="1038"/>
      <c r="E1349" s="1039"/>
      <c r="F1349" s="635" t="s">
        <v>1684</v>
      </c>
      <c r="G1349" s="1037" t="s">
        <v>4132</v>
      </c>
      <c r="H1349" s="1038"/>
      <c r="I1349" s="1039"/>
      <c r="J1349" s="391"/>
    </row>
    <row r="1350" spans="1:10" ht="12.75" customHeight="1">
      <c r="A1350" s="636" t="s">
        <v>1620</v>
      </c>
      <c r="B1350" s="637"/>
      <c r="C1350" s="635" t="s">
        <v>1841</v>
      </c>
      <c r="D1350" s="635" t="s">
        <v>4133</v>
      </c>
      <c r="E1350" s="635" t="s">
        <v>4133</v>
      </c>
      <c r="F1350" s="1056" t="s">
        <v>4200</v>
      </c>
      <c r="G1350" s="1051" t="s">
        <v>4201</v>
      </c>
      <c r="H1350" s="635" t="s">
        <v>1841</v>
      </c>
      <c r="I1350" s="634" t="s">
        <v>4135</v>
      </c>
      <c r="J1350" s="391"/>
    </row>
    <row r="1351" spans="1:10" ht="12.75" customHeight="1">
      <c r="A1351" s="638" t="s">
        <v>387</v>
      </c>
      <c r="B1351" s="639"/>
      <c r="C1351" s="638">
        <v>2015</v>
      </c>
      <c r="D1351" s="638">
        <v>2016</v>
      </c>
      <c r="E1351" s="638">
        <v>2017</v>
      </c>
      <c r="F1351" s="1057"/>
      <c r="G1351" s="1052"/>
      <c r="H1351" s="638">
        <v>2014</v>
      </c>
      <c r="I1351" s="638" t="s">
        <v>4303</v>
      </c>
      <c r="J1351" s="391"/>
    </row>
    <row r="1352" spans="1:10" ht="12.75" customHeight="1">
      <c r="A1352" s="646" t="s">
        <v>288</v>
      </c>
      <c r="B1352" s="646" t="s">
        <v>1693</v>
      </c>
      <c r="C1352" s="641">
        <v>6936863.7999999998</v>
      </c>
      <c r="D1352" s="641">
        <v>12480000</v>
      </c>
      <c r="E1352" s="641">
        <v>12480000</v>
      </c>
      <c r="F1352" s="647">
        <f>SUM(C1352:E1352)</f>
        <v>31896863.800000001</v>
      </c>
      <c r="G1352" s="641">
        <v>5303612</v>
      </c>
      <c r="H1352" s="641">
        <v>12480000</v>
      </c>
      <c r="I1352" s="641" t="e">
        <f>#REF!</f>
        <v>#REF!</v>
      </c>
      <c r="J1352" s="391"/>
    </row>
    <row r="1353" spans="1:10" ht="12.75" customHeight="1">
      <c r="A1353" s="646"/>
      <c r="B1353" s="646"/>
      <c r="C1353" s="641"/>
      <c r="D1353" s="641"/>
      <c r="E1353" s="641"/>
      <c r="F1353" s="647"/>
      <c r="G1353" s="641"/>
      <c r="H1353" s="641"/>
      <c r="I1353" s="641"/>
      <c r="J1353" s="391"/>
    </row>
    <row r="1354" spans="1:10" ht="12.75" customHeight="1">
      <c r="A1354" s="646">
        <v>2</v>
      </c>
      <c r="B1354" s="646" t="s">
        <v>1695</v>
      </c>
      <c r="C1354" s="641">
        <v>800000</v>
      </c>
      <c r="D1354" s="641">
        <v>800000</v>
      </c>
      <c r="E1354" s="641">
        <v>800000</v>
      </c>
      <c r="F1354" s="647">
        <f t="shared" ref="F1354:F1365" si="174">SUM(C1354:E1354)</f>
        <v>2400000</v>
      </c>
      <c r="G1354" s="641">
        <v>187000</v>
      </c>
      <c r="H1354" s="641">
        <v>500000</v>
      </c>
      <c r="I1354" s="641">
        <v>164600</v>
      </c>
      <c r="J1354" s="391"/>
    </row>
    <row r="1355" spans="1:10" ht="12.75" customHeight="1">
      <c r="A1355" s="646">
        <f t="shared" ref="A1355:A1366" si="175">A1354+1</f>
        <v>3</v>
      </c>
      <c r="B1355" s="646" t="s">
        <v>1696</v>
      </c>
      <c r="C1355" s="641">
        <v>100000</v>
      </c>
      <c r="D1355" s="641">
        <v>100000</v>
      </c>
      <c r="E1355" s="641">
        <v>100000</v>
      </c>
      <c r="F1355" s="647">
        <f t="shared" si="174"/>
        <v>300000</v>
      </c>
      <c r="G1355" s="641"/>
      <c r="H1355" s="641">
        <v>100000</v>
      </c>
      <c r="I1355" s="641">
        <v>0</v>
      </c>
      <c r="J1355" s="391"/>
    </row>
    <row r="1356" spans="1:10" ht="12.75" customHeight="1">
      <c r="A1356" s="646">
        <f t="shared" si="175"/>
        <v>4</v>
      </c>
      <c r="B1356" s="646" t="s">
        <v>1701</v>
      </c>
      <c r="C1356" s="641" t="s">
        <v>3007</v>
      </c>
      <c r="D1356" s="641" t="s">
        <v>3007</v>
      </c>
      <c r="E1356" s="641" t="s">
        <v>3007</v>
      </c>
      <c r="F1356" s="647">
        <f t="shared" si="174"/>
        <v>0</v>
      </c>
      <c r="G1356" s="641">
        <v>0</v>
      </c>
      <c r="H1356" s="641" t="s">
        <v>3007</v>
      </c>
      <c r="I1356" s="641" t="s">
        <v>1386</v>
      </c>
      <c r="J1356" s="391"/>
    </row>
    <row r="1357" spans="1:10" ht="12.75" customHeight="1">
      <c r="A1357" s="646">
        <f t="shared" si="175"/>
        <v>5</v>
      </c>
      <c r="B1357" s="646" t="s">
        <v>1702</v>
      </c>
      <c r="C1357" s="641">
        <v>300000</v>
      </c>
      <c r="D1357" s="641">
        <v>300000</v>
      </c>
      <c r="E1357" s="641">
        <v>300000</v>
      </c>
      <c r="F1357" s="647">
        <f t="shared" si="174"/>
        <v>900000</v>
      </c>
      <c r="G1357" s="641">
        <v>275000</v>
      </c>
      <c r="H1357" s="641">
        <v>300000</v>
      </c>
      <c r="I1357" s="641">
        <v>264900</v>
      </c>
      <c r="J1357" s="391"/>
    </row>
    <row r="1358" spans="1:10" ht="12.75" customHeight="1">
      <c r="A1358" s="646">
        <f t="shared" si="175"/>
        <v>6</v>
      </c>
      <c r="B1358" s="646" t="s">
        <v>1544</v>
      </c>
      <c r="C1358" s="641">
        <v>400000</v>
      </c>
      <c r="D1358" s="641">
        <v>400000</v>
      </c>
      <c r="E1358" s="641">
        <v>400000</v>
      </c>
      <c r="F1358" s="647">
        <f t="shared" si="174"/>
        <v>1200000</v>
      </c>
      <c r="G1358" s="641">
        <v>341550</v>
      </c>
      <c r="H1358" s="641">
        <v>200000</v>
      </c>
      <c r="I1358" s="641">
        <v>380000</v>
      </c>
      <c r="J1358" s="391"/>
    </row>
    <row r="1359" spans="1:10" ht="12.75" customHeight="1">
      <c r="A1359" s="646">
        <f t="shared" si="175"/>
        <v>7</v>
      </c>
      <c r="B1359" s="646" t="s">
        <v>897</v>
      </c>
      <c r="C1359" s="641">
        <v>500000</v>
      </c>
      <c r="D1359" s="641">
        <v>500000</v>
      </c>
      <c r="E1359" s="641">
        <v>500000</v>
      </c>
      <c r="F1359" s="647">
        <f t="shared" si="174"/>
        <v>1500000</v>
      </c>
      <c r="G1359" s="641">
        <v>468780</v>
      </c>
      <c r="H1359" s="641">
        <v>300000</v>
      </c>
      <c r="I1359" s="641">
        <v>0</v>
      </c>
      <c r="J1359" s="391"/>
    </row>
    <row r="1360" spans="1:10" ht="12.75" customHeight="1">
      <c r="A1360" s="646">
        <f t="shared" si="175"/>
        <v>8</v>
      </c>
      <c r="B1360" s="646" t="s">
        <v>1385</v>
      </c>
      <c r="C1360" s="641" t="s">
        <v>3007</v>
      </c>
      <c r="D1360" s="641" t="s">
        <v>3007</v>
      </c>
      <c r="E1360" s="641" t="s">
        <v>3007</v>
      </c>
      <c r="F1360" s="647">
        <f t="shared" si="174"/>
        <v>0</v>
      </c>
      <c r="G1360" s="641"/>
      <c r="H1360" s="641" t="s">
        <v>3007</v>
      </c>
      <c r="I1360" s="641" t="s">
        <v>1386</v>
      </c>
      <c r="J1360" s="391"/>
    </row>
    <row r="1361" spans="1:10" ht="12.75" customHeight="1">
      <c r="A1361" s="646">
        <f t="shared" si="175"/>
        <v>9</v>
      </c>
      <c r="B1361" s="646" t="s">
        <v>2061</v>
      </c>
      <c r="C1361" s="641" t="s">
        <v>3007</v>
      </c>
      <c r="D1361" s="641" t="s">
        <v>3007</v>
      </c>
      <c r="E1361" s="641" t="s">
        <v>3007</v>
      </c>
      <c r="F1361" s="647">
        <f t="shared" si="174"/>
        <v>0</v>
      </c>
      <c r="G1361" s="641"/>
      <c r="H1361" s="641" t="s">
        <v>3007</v>
      </c>
      <c r="I1361" s="641" t="s">
        <v>1386</v>
      </c>
      <c r="J1361" s="391"/>
    </row>
    <row r="1362" spans="1:10" ht="12.75" customHeight="1">
      <c r="A1362" s="646">
        <f t="shared" si="175"/>
        <v>10</v>
      </c>
      <c r="B1362" s="646" t="s">
        <v>1680</v>
      </c>
      <c r="C1362" s="641">
        <v>200000</v>
      </c>
      <c r="D1362" s="641">
        <v>600000</v>
      </c>
      <c r="E1362" s="641">
        <v>600000</v>
      </c>
      <c r="F1362" s="647">
        <f t="shared" si="174"/>
        <v>1400000</v>
      </c>
      <c r="G1362" s="641"/>
      <c r="H1362" s="641">
        <f>600000-80000</f>
        <v>520000</v>
      </c>
      <c r="I1362" s="641">
        <v>0</v>
      </c>
      <c r="J1362" s="391"/>
    </row>
    <row r="1363" spans="1:10" ht="12.75" customHeight="1">
      <c r="A1363" s="646">
        <f t="shared" si="175"/>
        <v>11</v>
      </c>
      <c r="B1363" s="646" t="s">
        <v>1681</v>
      </c>
      <c r="C1363" s="641">
        <v>100000</v>
      </c>
      <c r="D1363" s="641">
        <v>100000</v>
      </c>
      <c r="E1363" s="641">
        <v>100000</v>
      </c>
      <c r="F1363" s="647">
        <f t="shared" si="174"/>
        <v>300000</v>
      </c>
      <c r="G1363" s="641">
        <v>87500</v>
      </c>
      <c r="H1363" s="641">
        <v>100000</v>
      </c>
      <c r="I1363" s="641">
        <v>4550</v>
      </c>
      <c r="J1363" s="391"/>
    </row>
    <row r="1364" spans="1:10" ht="12.75" customHeight="1">
      <c r="A1364" s="646">
        <f t="shared" si="175"/>
        <v>12</v>
      </c>
      <c r="B1364" s="646" t="s">
        <v>1682</v>
      </c>
      <c r="C1364" s="641">
        <v>500000</v>
      </c>
      <c r="D1364" s="641">
        <v>500000</v>
      </c>
      <c r="E1364" s="641">
        <v>500000</v>
      </c>
      <c r="F1364" s="647">
        <f t="shared" si="174"/>
        <v>1500000</v>
      </c>
      <c r="G1364" s="641">
        <v>344940</v>
      </c>
      <c r="H1364" s="641">
        <v>500000</v>
      </c>
      <c r="I1364" s="641">
        <v>190000</v>
      </c>
      <c r="J1364" s="391"/>
    </row>
    <row r="1365" spans="1:10" ht="12.75" customHeight="1">
      <c r="A1365" s="646">
        <f t="shared" si="175"/>
        <v>13</v>
      </c>
      <c r="B1365" s="646" t="s">
        <v>2249</v>
      </c>
      <c r="C1365" s="641">
        <v>100000</v>
      </c>
      <c r="D1365" s="641">
        <v>100000</v>
      </c>
      <c r="E1365" s="641">
        <v>100000</v>
      </c>
      <c r="F1365" s="647">
        <f t="shared" si="174"/>
        <v>300000</v>
      </c>
      <c r="G1365" s="641"/>
      <c r="H1365" s="641">
        <v>100000</v>
      </c>
      <c r="I1365" s="641">
        <v>0</v>
      </c>
      <c r="J1365" s="391"/>
    </row>
    <row r="1366" spans="1:10" ht="12.75" customHeight="1">
      <c r="A1366" s="646">
        <f t="shared" si="175"/>
        <v>14</v>
      </c>
      <c r="B1366" s="646" t="s">
        <v>3018</v>
      </c>
      <c r="C1366" s="641">
        <v>100000</v>
      </c>
      <c r="D1366" s="641">
        <v>600000</v>
      </c>
      <c r="E1366" s="641">
        <v>600000</v>
      </c>
      <c r="F1366" s="647"/>
      <c r="G1366" s="641"/>
      <c r="H1366" s="641">
        <v>600000</v>
      </c>
      <c r="I1366" s="641"/>
      <c r="J1366" s="391"/>
    </row>
    <row r="1367" spans="1:10" ht="12.75" customHeight="1">
      <c r="A1367" s="646"/>
      <c r="B1367" s="646"/>
      <c r="C1367" s="642"/>
      <c r="D1367" s="642"/>
      <c r="E1367" s="642"/>
      <c r="F1367" s="647"/>
      <c r="G1367" s="642"/>
      <c r="H1367" s="642"/>
      <c r="I1367" s="642"/>
      <c r="J1367" s="391"/>
    </row>
    <row r="1368" spans="1:10" ht="12.75" customHeight="1">
      <c r="A1368" s="646" t="s">
        <v>289</v>
      </c>
      <c r="B1368" s="651" t="s">
        <v>819</v>
      </c>
      <c r="C1368" s="652">
        <f t="shared" ref="C1368:I1368" si="176">SUM(C1354:C1367)</f>
        <v>3100000</v>
      </c>
      <c r="D1368" s="652">
        <f t="shared" si="176"/>
        <v>4000000</v>
      </c>
      <c r="E1368" s="652">
        <f t="shared" si="176"/>
        <v>4000000</v>
      </c>
      <c r="F1368" s="652">
        <f t="shared" si="176"/>
        <v>9800000</v>
      </c>
      <c r="G1368" s="652">
        <f t="shared" si="176"/>
        <v>1704770</v>
      </c>
      <c r="H1368" s="652">
        <f>SUM(H1354:H1367)</f>
        <v>3220000</v>
      </c>
      <c r="I1368" s="652">
        <f t="shared" si="176"/>
        <v>1004050</v>
      </c>
      <c r="J1368" s="391"/>
    </row>
    <row r="1369" spans="1:10" ht="12.75" customHeight="1">
      <c r="A1369" s="646"/>
      <c r="B1369" s="646"/>
      <c r="C1369" s="641"/>
      <c r="D1369" s="641"/>
      <c r="E1369" s="641"/>
      <c r="F1369" s="641"/>
      <c r="G1369" s="641"/>
      <c r="H1369" s="641"/>
      <c r="I1369" s="641"/>
      <c r="J1369" s="391"/>
    </row>
    <row r="1370" spans="1:10" ht="12.75" customHeight="1">
      <c r="A1370" s="653"/>
      <c r="B1370" s="653" t="s">
        <v>1684</v>
      </c>
      <c r="C1370" s="645">
        <f t="shared" ref="C1370:I1370" si="177">+C1368+C1352</f>
        <v>10036863.800000001</v>
      </c>
      <c r="D1370" s="645">
        <f t="shared" si="177"/>
        <v>16480000</v>
      </c>
      <c r="E1370" s="645">
        <f t="shared" si="177"/>
        <v>16480000</v>
      </c>
      <c r="F1370" s="645">
        <f t="shared" si="177"/>
        <v>41696863.799999997</v>
      </c>
      <c r="G1370" s="645">
        <f t="shared" si="177"/>
        <v>7008382</v>
      </c>
      <c r="H1370" s="645">
        <f>+H1368+H1352</f>
        <v>15700000</v>
      </c>
      <c r="I1370" s="645" t="e">
        <f t="shared" si="177"/>
        <v>#REF!</v>
      </c>
      <c r="J1370" s="391"/>
    </row>
    <row r="1371" spans="1:10" ht="12.75" customHeight="1">
      <c r="A1371" s="391"/>
      <c r="B1371" s="391"/>
      <c r="C1371" s="647"/>
      <c r="D1371" s="647"/>
      <c r="E1371" s="647"/>
      <c r="F1371" s="647"/>
      <c r="G1371" s="647"/>
      <c r="H1371" s="647"/>
      <c r="I1371" s="391"/>
      <c r="J1371" s="391"/>
    </row>
    <row r="1372" spans="1:10" ht="12.75" customHeight="1">
      <c r="A1372" s="391"/>
      <c r="B1372" s="391"/>
      <c r="C1372" s="647"/>
      <c r="D1372" s="308" t="s">
        <v>5434</v>
      </c>
      <c r="E1372" s="647"/>
      <c r="F1372" s="647"/>
      <c r="H1372" s="647"/>
      <c r="I1372" s="391"/>
      <c r="J1372" s="391"/>
    </row>
    <row r="1373" spans="1:10" ht="12.75" customHeight="1">
      <c r="A1373" s="655"/>
      <c r="B1373" s="633"/>
      <c r="C1373" s="655"/>
      <c r="D1373" s="308" t="s">
        <v>716</v>
      </c>
      <c r="E1373" s="655"/>
      <c r="F1373" s="647"/>
      <c r="H1373" s="655"/>
      <c r="I1373" s="391"/>
      <c r="J1373" s="391"/>
    </row>
    <row r="1374" spans="1:10" ht="12.75" customHeight="1">
      <c r="A1374" s="655"/>
      <c r="B1374" s="633"/>
      <c r="C1374" s="655"/>
      <c r="D1374" s="308" t="s">
        <v>290</v>
      </c>
      <c r="E1374" s="655"/>
      <c r="F1374" s="647"/>
      <c r="H1374" s="655"/>
      <c r="I1374" s="391"/>
      <c r="J1374" s="391"/>
    </row>
    <row r="1375" spans="1:10" ht="12.75" customHeight="1">
      <c r="A1375" s="655"/>
      <c r="B1375" s="655"/>
      <c r="C1375" s="655"/>
      <c r="D1375" s="307" t="s">
        <v>291</v>
      </c>
      <c r="E1375" s="655"/>
      <c r="F1375" s="647"/>
      <c r="H1375" s="655"/>
      <c r="I1375" s="391"/>
      <c r="J1375" s="391"/>
    </row>
    <row r="1376" spans="1:10" ht="12.75" customHeight="1">
      <c r="A1376" s="634" t="s">
        <v>1839</v>
      </c>
      <c r="B1376" s="635" t="s">
        <v>903</v>
      </c>
      <c r="C1376" s="1037" t="s">
        <v>4127</v>
      </c>
      <c r="D1376" s="1038"/>
      <c r="E1376" s="1039"/>
      <c r="F1376" s="635" t="s">
        <v>1684</v>
      </c>
      <c r="G1376" s="1037" t="s">
        <v>4132</v>
      </c>
      <c r="H1376" s="1038"/>
      <c r="I1376" s="1039"/>
      <c r="J1376" s="391"/>
    </row>
    <row r="1377" spans="1:10" ht="12.75" customHeight="1">
      <c r="A1377" s="636" t="s">
        <v>1620</v>
      </c>
      <c r="B1377" s="637"/>
      <c r="C1377" s="635" t="s">
        <v>1841</v>
      </c>
      <c r="D1377" s="635" t="s">
        <v>4133</v>
      </c>
      <c r="E1377" s="635" t="s">
        <v>4133</v>
      </c>
      <c r="F1377" s="1056" t="s">
        <v>4200</v>
      </c>
      <c r="G1377" s="1051" t="s">
        <v>4201</v>
      </c>
      <c r="H1377" s="635" t="s">
        <v>1841</v>
      </c>
      <c r="I1377" s="634" t="s">
        <v>4135</v>
      </c>
      <c r="J1377" s="391"/>
    </row>
    <row r="1378" spans="1:10" ht="12.75" customHeight="1">
      <c r="A1378" s="638" t="s">
        <v>387</v>
      </c>
      <c r="B1378" s="639"/>
      <c r="C1378" s="638">
        <v>2015</v>
      </c>
      <c r="D1378" s="638">
        <v>2016</v>
      </c>
      <c r="E1378" s="638">
        <v>2017</v>
      </c>
      <c r="F1378" s="1057"/>
      <c r="G1378" s="1052"/>
      <c r="H1378" s="638">
        <v>2014</v>
      </c>
      <c r="I1378" s="638" t="s">
        <v>4303</v>
      </c>
      <c r="J1378" s="391"/>
    </row>
    <row r="1379" spans="1:10" ht="12.75" customHeight="1">
      <c r="A1379" s="646" t="s">
        <v>292</v>
      </c>
      <c r="B1379" s="646" t="s">
        <v>1693</v>
      </c>
      <c r="C1379" s="641">
        <v>72271339.599999994</v>
      </c>
      <c r="D1379" s="641">
        <v>85280000</v>
      </c>
      <c r="E1379" s="641">
        <v>85280000</v>
      </c>
      <c r="F1379" s="647">
        <f>SUM(C1379:E1379)</f>
        <v>242831339.59999999</v>
      </c>
      <c r="G1379" s="641">
        <v>27510303</v>
      </c>
      <c r="H1379" s="641">
        <v>73000000</v>
      </c>
      <c r="I1379" s="641" t="e">
        <f>#REF!</f>
        <v>#REF!</v>
      </c>
      <c r="J1379" s="391"/>
    </row>
    <row r="1380" spans="1:10" ht="12.75" customHeight="1">
      <c r="A1380" s="646"/>
      <c r="B1380" s="646"/>
      <c r="C1380" s="641"/>
      <c r="D1380" s="641"/>
      <c r="E1380" s="641"/>
      <c r="F1380" s="647"/>
      <c r="G1380" s="641"/>
      <c r="H1380" s="641"/>
      <c r="I1380" s="641"/>
      <c r="J1380" s="391"/>
    </row>
    <row r="1381" spans="1:10" ht="12.75" customHeight="1">
      <c r="A1381" s="646">
        <v>2</v>
      </c>
      <c r="B1381" s="646" t="s">
        <v>1695</v>
      </c>
      <c r="C1381" s="641">
        <v>1500000</v>
      </c>
      <c r="D1381" s="641">
        <v>1500000</v>
      </c>
      <c r="E1381" s="641">
        <v>1500000</v>
      </c>
      <c r="F1381" s="647">
        <f t="shared" ref="F1381:F1396" si="178">SUM(C1381:E1381)</f>
        <v>4500000</v>
      </c>
      <c r="G1381" s="641">
        <v>270000</v>
      </c>
      <c r="H1381" s="641">
        <v>1591200</v>
      </c>
      <c r="I1381" s="641">
        <v>738000</v>
      </c>
      <c r="J1381" s="391"/>
    </row>
    <row r="1382" spans="1:10" ht="12.75" customHeight="1">
      <c r="A1382" s="646">
        <f t="shared" ref="A1382:A1397" si="179">A1381+1</f>
        <v>3</v>
      </c>
      <c r="B1382" s="646" t="s">
        <v>1696</v>
      </c>
      <c r="C1382" s="642" t="s">
        <v>1386</v>
      </c>
      <c r="D1382" s="642" t="s">
        <v>1386</v>
      </c>
      <c r="E1382" s="642" t="s">
        <v>1386</v>
      </c>
      <c r="F1382" s="647">
        <f t="shared" si="178"/>
        <v>0</v>
      </c>
      <c r="G1382" s="642" t="s">
        <v>1386</v>
      </c>
      <c r="H1382" s="642" t="s">
        <v>1386</v>
      </c>
      <c r="I1382" s="642" t="s">
        <v>1386</v>
      </c>
      <c r="J1382" s="391"/>
    </row>
    <row r="1383" spans="1:10" ht="12.75" customHeight="1">
      <c r="A1383" s="646">
        <f t="shared" si="179"/>
        <v>4</v>
      </c>
      <c r="B1383" s="646" t="s">
        <v>1701</v>
      </c>
      <c r="C1383" s="642" t="s">
        <v>1386</v>
      </c>
      <c r="D1383" s="642" t="s">
        <v>1386</v>
      </c>
      <c r="E1383" s="642" t="s">
        <v>1386</v>
      </c>
      <c r="F1383" s="647">
        <f t="shared" si="178"/>
        <v>0</v>
      </c>
      <c r="G1383" s="642" t="s">
        <v>1386</v>
      </c>
      <c r="H1383" s="642" t="s">
        <v>1386</v>
      </c>
      <c r="I1383" s="642" t="s">
        <v>1386</v>
      </c>
      <c r="J1383" s="391"/>
    </row>
    <row r="1384" spans="1:10" ht="12.75" customHeight="1">
      <c r="A1384" s="646">
        <f t="shared" si="179"/>
        <v>5</v>
      </c>
      <c r="B1384" s="646" t="s">
        <v>1702</v>
      </c>
      <c r="C1384" s="641">
        <v>800000</v>
      </c>
      <c r="D1384" s="641">
        <v>800000</v>
      </c>
      <c r="E1384" s="641">
        <v>800000</v>
      </c>
      <c r="F1384" s="647">
        <f t="shared" si="178"/>
        <v>2400000</v>
      </c>
      <c r="G1384" s="641">
        <v>524000</v>
      </c>
      <c r="H1384" s="641">
        <v>848640</v>
      </c>
      <c r="I1384" s="641">
        <v>173000</v>
      </c>
      <c r="J1384" s="391"/>
    </row>
    <row r="1385" spans="1:10" ht="12.75" customHeight="1">
      <c r="A1385" s="646">
        <f t="shared" si="179"/>
        <v>6</v>
      </c>
      <c r="B1385" s="646" t="s">
        <v>1544</v>
      </c>
      <c r="C1385" s="641">
        <v>600000</v>
      </c>
      <c r="D1385" s="641">
        <v>600000</v>
      </c>
      <c r="E1385" s="641">
        <v>600000</v>
      </c>
      <c r="F1385" s="647">
        <f t="shared" si="178"/>
        <v>1800000</v>
      </c>
      <c r="G1385" s="641">
        <v>270000</v>
      </c>
      <c r="H1385" s="641">
        <v>636480</v>
      </c>
      <c r="I1385" s="641">
        <v>400000</v>
      </c>
      <c r="J1385" s="391"/>
    </row>
    <row r="1386" spans="1:10" ht="12.75" customHeight="1">
      <c r="A1386" s="646">
        <f t="shared" si="179"/>
        <v>7</v>
      </c>
      <c r="B1386" s="646" t="s">
        <v>897</v>
      </c>
      <c r="C1386" s="641">
        <v>800000</v>
      </c>
      <c r="D1386" s="641">
        <v>800000</v>
      </c>
      <c r="E1386" s="641">
        <v>800000</v>
      </c>
      <c r="F1386" s="647">
        <f t="shared" si="178"/>
        <v>2400000</v>
      </c>
      <c r="G1386" s="641">
        <v>75000</v>
      </c>
      <c r="H1386" s="641">
        <v>848640</v>
      </c>
      <c r="I1386" s="641">
        <v>225000</v>
      </c>
      <c r="J1386" s="391"/>
    </row>
    <row r="1387" spans="1:10" ht="12.75" customHeight="1">
      <c r="A1387" s="646">
        <f t="shared" si="179"/>
        <v>8</v>
      </c>
      <c r="B1387" s="646" t="s">
        <v>1385</v>
      </c>
      <c r="C1387" s="642" t="s">
        <v>1386</v>
      </c>
      <c r="D1387" s="642" t="s">
        <v>1386</v>
      </c>
      <c r="E1387" s="642" t="s">
        <v>1386</v>
      </c>
      <c r="F1387" s="647">
        <f t="shared" si="178"/>
        <v>0</v>
      </c>
      <c r="G1387" s="642" t="s">
        <v>1386</v>
      </c>
      <c r="H1387" s="642" t="s">
        <v>1386</v>
      </c>
      <c r="I1387" s="642" t="s">
        <v>1386</v>
      </c>
      <c r="J1387" s="391"/>
    </row>
    <row r="1388" spans="1:10" ht="12.75" customHeight="1">
      <c r="A1388" s="646">
        <f t="shared" si="179"/>
        <v>9</v>
      </c>
      <c r="B1388" s="646" t="s">
        <v>3153</v>
      </c>
      <c r="C1388" s="642" t="s">
        <v>1386</v>
      </c>
      <c r="D1388" s="642" t="s">
        <v>1386</v>
      </c>
      <c r="E1388" s="642" t="s">
        <v>1386</v>
      </c>
      <c r="F1388" s="647">
        <f t="shared" si="178"/>
        <v>0</v>
      </c>
      <c r="G1388" s="642" t="s">
        <v>1386</v>
      </c>
      <c r="H1388" s="642" t="s">
        <v>1386</v>
      </c>
      <c r="I1388" s="642" t="s">
        <v>1386</v>
      </c>
      <c r="J1388" s="391"/>
    </row>
    <row r="1389" spans="1:10" ht="12.75" customHeight="1">
      <c r="A1389" s="646">
        <f t="shared" si="179"/>
        <v>10</v>
      </c>
      <c r="B1389" s="646" t="s">
        <v>404</v>
      </c>
      <c r="C1389" s="641">
        <v>2000000</v>
      </c>
      <c r="D1389" s="641">
        <v>2000000</v>
      </c>
      <c r="E1389" s="641">
        <v>2000000</v>
      </c>
      <c r="F1389" s="647">
        <f t="shared" si="178"/>
        <v>6000000</v>
      </c>
      <c r="G1389" s="642">
        <v>1580000</v>
      </c>
      <c r="H1389" s="641">
        <v>2121600</v>
      </c>
      <c r="I1389" s="642">
        <f>1405000+10920000</f>
        <v>12325000</v>
      </c>
      <c r="J1389" s="391"/>
    </row>
    <row r="1390" spans="1:10" ht="12.75" customHeight="1">
      <c r="A1390" s="646">
        <f t="shared" si="179"/>
        <v>11</v>
      </c>
      <c r="B1390" s="646" t="s">
        <v>1681</v>
      </c>
      <c r="C1390" s="642">
        <v>100000</v>
      </c>
      <c r="D1390" s="642">
        <v>100000</v>
      </c>
      <c r="E1390" s="642">
        <v>100000</v>
      </c>
      <c r="F1390" s="647">
        <f t="shared" si="178"/>
        <v>300000</v>
      </c>
      <c r="G1390" s="641">
        <v>0</v>
      </c>
      <c r="H1390" s="642">
        <v>100000</v>
      </c>
      <c r="I1390" s="641">
        <v>0</v>
      </c>
      <c r="J1390" s="391"/>
    </row>
    <row r="1391" spans="1:10" ht="12.75" customHeight="1">
      <c r="A1391" s="646">
        <f t="shared" si="179"/>
        <v>12</v>
      </c>
      <c r="B1391" s="646" t="s">
        <v>1682</v>
      </c>
      <c r="C1391" s="641">
        <v>2500000</v>
      </c>
      <c r="D1391" s="641">
        <v>2500000</v>
      </c>
      <c r="E1391" s="641">
        <v>2500000</v>
      </c>
      <c r="F1391" s="647">
        <f t="shared" si="178"/>
        <v>7500000</v>
      </c>
      <c r="G1391" s="641">
        <v>1771000</v>
      </c>
      <c r="H1391" s="641">
        <v>2652000</v>
      </c>
      <c r="I1391" s="641">
        <v>928120.27</v>
      </c>
      <c r="J1391" s="391"/>
    </row>
    <row r="1392" spans="1:10" ht="12.75" customHeight="1">
      <c r="A1392" s="646">
        <f t="shared" si="179"/>
        <v>13</v>
      </c>
      <c r="B1392" s="646" t="s">
        <v>2249</v>
      </c>
      <c r="C1392" s="641">
        <v>100000</v>
      </c>
      <c r="D1392" s="641">
        <v>100000</v>
      </c>
      <c r="E1392" s="641">
        <v>100000</v>
      </c>
      <c r="F1392" s="647">
        <f t="shared" si="178"/>
        <v>300000</v>
      </c>
      <c r="G1392" s="642">
        <v>0</v>
      </c>
      <c r="H1392" s="641">
        <v>106080</v>
      </c>
      <c r="I1392" s="642">
        <v>0</v>
      </c>
      <c r="J1392" s="391"/>
    </row>
    <row r="1393" spans="1:11" ht="12.75" customHeight="1">
      <c r="A1393" s="646">
        <f t="shared" si="179"/>
        <v>14</v>
      </c>
      <c r="B1393" s="646" t="s">
        <v>293</v>
      </c>
      <c r="C1393" s="641">
        <v>700000</v>
      </c>
      <c r="D1393" s="641">
        <v>700000</v>
      </c>
      <c r="E1393" s="641">
        <v>700000</v>
      </c>
      <c r="F1393" s="647">
        <f t="shared" si="178"/>
        <v>2100000</v>
      </c>
      <c r="G1393" s="642">
        <v>0</v>
      </c>
      <c r="H1393" s="641">
        <v>742560</v>
      </c>
      <c r="I1393" s="642">
        <v>400000</v>
      </c>
      <c r="J1393" s="391"/>
    </row>
    <row r="1394" spans="1:11" ht="12.75" customHeight="1">
      <c r="A1394" s="646">
        <f t="shared" si="179"/>
        <v>15</v>
      </c>
      <c r="B1394" s="646" t="s">
        <v>3307</v>
      </c>
      <c r="C1394" s="641">
        <v>8500000</v>
      </c>
      <c r="D1394" s="641">
        <v>8000000</v>
      </c>
      <c r="E1394" s="641">
        <v>10000000</v>
      </c>
      <c r="F1394" s="647">
        <f t="shared" si="178"/>
        <v>26500000</v>
      </c>
      <c r="G1394" s="642">
        <v>15000000</v>
      </c>
      <c r="H1394" s="641">
        <v>8486400</v>
      </c>
      <c r="I1394" s="642">
        <v>250000</v>
      </c>
      <c r="J1394" s="391"/>
    </row>
    <row r="1395" spans="1:11" ht="12.75" customHeight="1">
      <c r="A1395" s="646">
        <f t="shared" si="179"/>
        <v>16</v>
      </c>
      <c r="B1395" s="646" t="s">
        <v>3308</v>
      </c>
      <c r="C1395" s="641">
        <v>16000000</v>
      </c>
      <c r="D1395" s="641">
        <v>15600000</v>
      </c>
      <c r="E1395" s="641">
        <v>15600000</v>
      </c>
      <c r="F1395" s="647">
        <f t="shared" si="178"/>
        <v>47200000</v>
      </c>
      <c r="G1395" s="641">
        <v>7700000</v>
      </c>
      <c r="H1395" s="641">
        <f>15912000+126400</f>
        <v>16038400</v>
      </c>
      <c r="I1395" s="641">
        <v>10220000</v>
      </c>
      <c r="J1395" s="391"/>
    </row>
    <row r="1396" spans="1:11" ht="12.75" customHeight="1">
      <c r="A1396" s="646">
        <f t="shared" si="179"/>
        <v>17</v>
      </c>
      <c r="B1396" s="646" t="s">
        <v>3309</v>
      </c>
      <c r="C1396" s="641">
        <v>11000000</v>
      </c>
      <c r="D1396" s="641">
        <v>10400000</v>
      </c>
      <c r="E1396" s="641">
        <v>10400000</v>
      </c>
      <c r="F1396" s="647">
        <f t="shared" si="178"/>
        <v>31800000</v>
      </c>
      <c r="G1396" s="642">
        <v>0</v>
      </c>
      <c r="H1396" s="641">
        <v>10608000</v>
      </c>
      <c r="I1396" s="642">
        <v>0</v>
      </c>
      <c r="J1396" s="391"/>
    </row>
    <row r="1397" spans="1:11" ht="12.75" customHeight="1">
      <c r="A1397" s="646">
        <f t="shared" si="179"/>
        <v>18</v>
      </c>
      <c r="B1397" s="646" t="s">
        <v>4142</v>
      </c>
      <c r="C1397" s="641">
        <v>2100000</v>
      </c>
      <c r="D1397" s="641">
        <v>3500000</v>
      </c>
      <c r="E1397" s="641">
        <v>4000000</v>
      </c>
      <c r="F1397" s="647"/>
      <c r="G1397" s="642"/>
      <c r="H1397" s="641">
        <v>3000000</v>
      </c>
      <c r="I1397" s="642"/>
      <c r="J1397" s="391"/>
    </row>
    <row r="1398" spans="1:11" ht="12.75" customHeight="1">
      <c r="A1398" s="646"/>
      <c r="B1398" s="646"/>
      <c r="C1398" s="642"/>
      <c r="D1398" s="642"/>
      <c r="E1398" s="642"/>
      <c r="F1398" s="647"/>
      <c r="G1398" s="642">
        <v>0</v>
      </c>
      <c r="H1398" s="642"/>
      <c r="I1398" s="642">
        <v>0</v>
      </c>
      <c r="J1398" s="391"/>
    </row>
    <row r="1399" spans="1:11" ht="12.75" customHeight="1">
      <c r="A1399" s="646" t="s">
        <v>294</v>
      </c>
      <c r="B1399" s="651" t="s">
        <v>819</v>
      </c>
      <c r="C1399" s="674">
        <f t="shared" ref="C1399:I1399" si="180">SUM(C1381:C1398)</f>
        <v>46700000</v>
      </c>
      <c r="D1399" s="674">
        <f t="shared" si="180"/>
        <v>46600000</v>
      </c>
      <c r="E1399" s="674">
        <f t="shared" si="180"/>
        <v>49100000</v>
      </c>
      <c r="F1399" s="674">
        <f t="shared" si="180"/>
        <v>132800000</v>
      </c>
      <c r="G1399" s="674">
        <f t="shared" si="180"/>
        <v>27190000</v>
      </c>
      <c r="H1399" s="674">
        <f>SUM(H1381:H1398)</f>
        <v>47780000</v>
      </c>
      <c r="I1399" s="674">
        <f t="shared" si="180"/>
        <v>25659120.27</v>
      </c>
      <c r="J1399" s="391"/>
      <c r="K1399" s="657">
        <f>47780000-H1399</f>
        <v>0</v>
      </c>
    </row>
    <row r="1400" spans="1:11" ht="12.75" customHeight="1">
      <c r="A1400" s="646"/>
      <c r="B1400" s="646"/>
      <c r="C1400" s="641"/>
      <c r="D1400" s="641"/>
      <c r="E1400" s="641"/>
      <c r="F1400" s="641"/>
      <c r="G1400" s="641"/>
      <c r="H1400" s="641"/>
      <c r="I1400" s="641"/>
      <c r="J1400" s="391"/>
    </row>
    <row r="1401" spans="1:11" ht="12.75" customHeight="1">
      <c r="A1401" s="653"/>
      <c r="B1401" s="653" t="s">
        <v>1684</v>
      </c>
      <c r="C1401" s="645">
        <f t="shared" ref="C1401:I1401" si="181">+C1399+C1379</f>
        <v>118971339.59999999</v>
      </c>
      <c r="D1401" s="645">
        <f t="shared" si="181"/>
        <v>131880000</v>
      </c>
      <c r="E1401" s="645">
        <f t="shared" si="181"/>
        <v>134380000</v>
      </c>
      <c r="F1401" s="645">
        <f t="shared" si="181"/>
        <v>375631339.60000002</v>
      </c>
      <c r="G1401" s="645">
        <f t="shared" si="181"/>
        <v>54700303</v>
      </c>
      <c r="H1401" s="645">
        <f>+H1399+H1379</f>
        <v>120780000</v>
      </c>
      <c r="I1401" s="645" t="e">
        <f t="shared" si="181"/>
        <v>#REF!</v>
      </c>
      <c r="J1401" s="391"/>
    </row>
    <row r="1402" spans="1:11" ht="12.75" customHeight="1">
      <c r="A1402" s="391"/>
      <c r="B1402" s="391"/>
      <c r="C1402" s="647"/>
      <c r="D1402" s="647"/>
      <c r="E1402" s="647"/>
      <c r="F1402" s="647"/>
      <c r="G1402" s="647"/>
      <c r="H1402" s="647"/>
      <c r="I1402" s="391"/>
      <c r="J1402" s="391"/>
    </row>
    <row r="1403" spans="1:11" ht="12.75" customHeight="1">
      <c r="A1403" s="391"/>
      <c r="B1403" s="391"/>
      <c r="C1403" s="647"/>
      <c r="D1403" s="308" t="s">
        <v>5434</v>
      </c>
      <c r="E1403" s="647"/>
      <c r="F1403" s="647"/>
      <c r="H1403" s="647"/>
      <c r="I1403" s="391"/>
      <c r="J1403" s="391"/>
    </row>
    <row r="1404" spans="1:11" ht="12.75" customHeight="1">
      <c r="A1404" s="655"/>
      <c r="B1404" s="633"/>
      <c r="C1404" s="655"/>
      <c r="D1404" s="308" t="s">
        <v>716</v>
      </c>
      <c r="E1404" s="655"/>
      <c r="F1404" s="647"/>
      <c r="H1404" s="655"/>
      <c r="I1404" s="391"/>
      <c r="J1404" s="391"/>
    </row>
    <row r="1405" spans="1:11" ht="12.75" customHeight="1">
      <c r="A1405" s="655"/>
      <c r="B1405" s="633"/>
      <c r="C1405" s="655"/>
      <c r="D1405" s="308" t="s">
        <v>2187</v>
      </c>
      <c r="E1405" s="655"/>
      <c r="F1405" s="647"/>
      <c r="H1405" s="655"/>
      <c r="I1405" s="391"/>
      <c r="J1405" s="391"/>
    </row>
    <row r="1406" spans="1:11" ht="12.75" customHeight="1">
      <c r="A1406" s="655"/>
      <c r="B1406" s="655"/>
      <c r="C1406" s="655"/>
      <c r="D1406" s="307" t="s">
        <v>295</v>
      </c>
      <c r="E1406" s="655"/>
      <c r="F1406" s="647"/>
      <c r="H1406" s="655"/>
      <c r="I1406" s="391"/>
      <c r="J1406" s="391"/>
    </row>
    <row r="1407" spans="1:11" ht="12.75" customHeight="1">
      <c r="A1407" s="634" t="s">
        <v>1839</v>
      </c>
      <c r="B1407" s="635" t="s">
        <v>903</v>
      </c>
      <c r="C1407" s="1037" t="s">
        <v>4127</v>
      </c>
      <c r="D1407" s="1038"/>
      <c r="E1407" s="1039"/>
      <c r="F1407" s="635" t="s">
        <v>1684</v>
      </c>
      <c r="G1407" s="1037" t="s">
        <v>4132</v>
      </c>
      <c r="H1407" s="1038"/>
      <c r="I1407" s="1039"/>
      <c r="J1407" s="391"/>
    </row>
    <row r="1408" spans="1:11" ht="12.75" customHeight="1">
      <c r="A1408" s="636" t="s">
        <v>1620</v>
      </c>
      <c r="B1408" s="637"/>
      <c r="C1408" s="635" t="s">
        <v>1841</v>
      </c>
      <c r="D1408" s="635" t="s">
        <v>4133</v>
      </c>
      <c r="E1408" s="635" t="s">
        <v>4133</v>
      </c>
      <c r="F1408" s="1056" t="s">
        <v>4200</v>
      </c>
      <c r="G1408" s="1051" t="s">
        <v>4201</v>
      </c>
      <c r="H1408" s="635" t="s">
        <v>1841</v>
      </c>
      <c r="I1408" s="634" t="s">
        <v>4135</v>
      </c>
      <c r="J1408" s="391"/>
    </row>
    <row r="1409" spans="1:10" ht="12.75" customHeight="1">
      <c r="A1409" s="638" t="s">
        <v>387</v>
      </c>
      <c r="B1409" s="639"/>
      <c r="C1409" s="638">
        <v>2015</v>
      </c>
      <c r="D1409" s="638">
        <v>2016</v>
      </c>
      <c r="E1409" s="638">
        <v>2017</v>
      </c>
      <c r="F1409" s="1057"/>
      <c r="G1409" s="1052"/>
      <c r="H1409" s="638">
        <v>2014</v>
      </c>
      <c r="I1409" s="638" t="s">
        <v>4303</v>
      </c>
      <c r="J1409" s="391"/>
    </row>
    <row r="1410" spans="1:10" ht="12.75" customHeight="1">
      <c r="A1410" s="646" t="s">
        <v>296</v>
      </c>
      <c r="B1410" s="646" t="s">
        <v>1693</v>
      </c>
      <c r="C1410" s="641"/>
      <c r="D1410" s="641"/>
      <c r="E1410" s="641"/>
      <c r="F1410" s="647"/>
      <c r="G1410" s="641"/>
      <c r="H1410" s="641"/>
      <c r="I1410" s="641" t="e">
        <f>#REF!</f>
        <v>#REF!</v>
      </c>
      <c r="J1410" s="391"/>
    </row>
    <row r="1411" spans="1:10" ht="12.75" customHeight="1">
      <c r="A1411" s="646"/>
      <c r="B1411" s="646"/>
      <c r="C1411" s="641"/>
      <c r="D1411" s="641"/>
      <c r="E1411" s="641"/>
      <c r="F1411" s="647"/>
      <c r="G1411" s="641"/>
      <c r="H1411" s="641"/>
      <c r="I1411" s="641"/>
      <c r="J1411" s="391"/>
    </row>
    <row r="1412" spans="1:10" ht="12.75" customHeight="1">
      <c r="A1412" s="646">
        <v>2</v>
      </c>
      <c r="B1412" s="646" t="s">
        <v>1695</v>
      </c>
      <c r="C1412" s="642">
        <v>1000000</v>
      </c>
      <c r="D1412" s="642">
        <v>2000000</v>
      </c>
      <c r="E1412" s="642">
        <v>2000000</v>
      </c>
      <c r="F1412" s="647">
        <f>SUM(C1412:E1412)</f>
        <v>5000000</v>
      </c>
      <c r="G1412" s="641">
        <v>1250000</v>
      </c>
      <c r="H1412" s="642">
        <v>2000000</v>
      </c>
      <c r="I1412" s="641"/>
      <c r="J1412" s="391"/>
    </row>
    <row r="1413" spans="1:10" ht="12.75" customHeight="1">
      <c r="A1413" s="646">
        <f t="shared" ref="A1413:A1426" si="182">A1412+1</f>
        <v>3</v>
      </c>
      <c r="B1413" s="646" t="s">
        <v>1696</v>
      </c>
      <c r="C1413" s="641" t="s">
        <v>1386</v>
      </c>
      <c r="D1413" s="641" t="s">
        <v>1386</v>
      </c>
      <c r="E1413" s="641" t="s">
        <v>1386</v>
      </c>
      <c r="F1413" s="647">
        <f t="shared" ref="F1413:F1426" si="183">SUM(C1413:E1413)</f>
        <v>0</v>
      </c>
      <c r="G1413" s="642" t="s">
        <v>1386</v>
      </c>
      <c r="H1413" s="641" t="s">
        <v>1386</v>
      </c>
      <c r="I1413" s="642"/>
      <c r="J1413" s="391"/>
    </row>
    <row r="1414" spans="1:10" ht="12.75" customHeight="1">
      <c r="A1414" s="646">
        <f t="shared" si="182"/>
        <v>4</v>
      </c>
      <c r="B1414" s="646" t="s">
        <v>1701</v>
      </c>
      <c r="C1414" s="641" t="s">
        <v>1386</v>
      </c>
      <c r="D1414" s="641" t="s">
        <v>1386</v>
      </c>
      <c r="E1414" s="641" t="s">
        <v>1386</v>
      </c>
      <c r="F1414" s="647">
        <f t="shared" si="183"/>
        <v>0</v>
      </c>
      <c r="G1414" s="642" t="s">
        <v>1386</v>
      </c>
      <c r="H1414" s="641" t="s">
        <v>1386</v>
      </c>
      <c r="I1414" s="642"/>
      <c r="J1414" s="391"/>
    </row>
    <row r="1415" spans="1:10" ht="12.75" customHeight="1">
      <c r="A1415" s="646">
        <f t="shared" si="182"/>
        <v>5</v>
      </c>
      <c r="B1415" s="646" t="s">
        <v>1702</v>
      </c>
      <c r="C1415" s="641">
        <v>300000</v>
      </c>
      <c r="D1415" s="641">
        <v>800000</v>
      </c>
      <c r="E1415" s="641">
        <v>800000</v>
      </c>
      <c r="F1415" s="647">
        <f t="shared" si="183"/>
        <v>1900000</v>
      </c>
      <c r="G1415" s="642">
        <v>0</v>
      </c>
      <c r="H1415" s="641">
        <v>800000</v>
      </c>
      <c r="I1415" s="642"/>
      <c r="J1415" s="391"/>
    </row>
    <row r="1416" spans="1:10" ht="12.75" customHeight="1">
      <c r="A1416" s="646">
        <f t="shared" si="182"/>
        <v>6</v>
      </c>
      <c r="B1416" s="646" t="s">
        <v>23</v>
      </c>
      <c r="C1416" s="641">
        <v>300000</v>
      </c>
      <c r="D1416" s="641">
        <v>800000</v>
      </c>
      <c r="E1416" s="641">
        <v>800000</v>
      </c>
      <c r="F1416" s="647">
        <f t="shared" si="183"/>
        <v>1900000</v>
      </c>
      <c r="G1416" s="641">
        <v>0</v>
      </c>
      <c r="H1416" s="641">
        <v>800000</v>
      </c>
      <c r="I1416" s="641"/>
      <c r="J1416" s="391"/>
    </row>
    <row r="1417" spans="1:10" ht="12.75" customHeight="1">
      <c r="A1417" s="646">
        <f t="shared" si="182"/>
        <v>7</v>
      </c>
      <c r="B1417" s="646" t="s">
        <v>897</v>
      </c>
      <c r="C1417" s="641">
        <v>500000</v>
      </c>
      <c r="D1417" s="641">
        <v>1500000</v>
      </c>
      <c r="E1417" s="641">
        <v>1500000</v>
      </c>
      <c r="F1417" s="647">
        <f t="shared" si="183"/>
        <v>3500000</v>
      </c>
      <c r="G1417" s="641">
        <v>0</v>
      </c>
      <c r="H1417" s="641">
        <v>1500000</v>
      </c>
      <c r="I1417" s="641"/>
      <c r="J1417" s="391"/>
    </row>
    <row r="1418" spans="1:10" ht="12.75" customHeight="1">
      <c r="A1418" s="646">
        <f t="shared" si="182"/>
        <v>8</v>
      </c>
      <c r="B1418" s="646" t="s">
        <v>1385</v>
      </c>
      <c r="C1418" s="641" t="s">
        <v>1386</v>
      </c>
      <c r="D1418" s="641" t="s">
        <v>1386</v>
      </c>
      <c r="E1418" s="641" t="s">
        <v>1386</v>
      </c>
      <c r="F1418" s="647">
        <f t="shared" si="183"/>
        <v>0</v>
      </c>
      <c r="G1418" s="642" t="s">
        <v>1386</v>
      </c>
      <c r="H1418" s="641" t="s">
        <v>1386</v>
      </c>
      <c r="I1418" s="642"/>
      <c r="J1418" s="391"/>
    </row>
    <row r="1419" spans="1:10" ht="12.75" customHeight="1">
      <c r="A1419" s="646">
        <f t="shared" si="182"/>
        <v>9</v>
      </c>
      <c r="B1419" s="646" t="s">
        <v>755</v>
      </c>
      <c r="C1419" s="641" t="s">
        <v>1386</v>
      </c>
      <c r="D1419" s="641" t="s">
        <v>1386</v>
      </c>
      <c r="E1419" s="641" t="s">
        <v>1386</v>
      </c>
      <c r="F1419" s="647">
        <f t="shared" si="183"/>
        <v>0</v>
      </c>
      <c r="G1419" s="642" t="s">
        <v>1386</v>
      </c>
      <c r="H1419" s="641" t="s">
        <v>1386</v>
      </c>
      <c r="I1419" s="642"/>
      <c r="J1419" s="391"/>
    </row>
    <row r="1420" spans="1:10" ht="12.75" customHeight="1">
      <c r="A1420" s="646">
        <f t="shared" si="182"/>
        <v>10</v>
      </c>
      <c r="B1420" s="646" t="s">
        <v>1680</v>
      </c>
      <c r="C1420" s="641">
        <v>200000</v>
      </c>
      <c r="D1420" s="641">
        <v>200000</v>
      </c>
      <c r="E1420" s="641">
        <v>200000</v>
      </c>
      <c r="F1420" s="647">
        <f t="shared" si="183"/>
        <v>600000</v>
      </c>
      <c r="G1420" s="641">
        <v>25000</v>
      </c>
      <c r="H1420" s="641">
        <v>200000</v>
      </c>
      <c r="I1420" s="641"/>
      <c r="J1420" s="391"/>
    </row>
    <row r="1421" spans="1:10" ht="12.75" customHeight="1">
      <c r="A1421" s="646">
        <f t="shared" si="182"/>
        <v>11</v>
      </c>
      <c r="B1421" s="646" t="s">
        <v>1681</v>
      </c>
      <c r="C1421" s="641">
        <v>100000</v>
      </c>
      <c r="D1421" s="641">
        <v>100000</v>
      </c>
      <c r="E1421" s="641">
        <v>100000</v>
      </c>
      <c r="F1421" s="647">
        <f t="shared" si="183"/>
        <v>300000</v>
      </c>
      <c r="G1421" s="641">
        <v>0</v>
      </c>
      <c r="H1421" s="641">
        <v>100000</v>
      </c>
      <c r="I1421" s="641"/>
      <c r="J1421" s="391"/>
    </row>
    <row r="1422" spans="1:10" ht="12.75" customHeight="1">
      <c r="A1422" s="646">
        <f t="shared" si="182"/>
        <v>12</v>
      </c>
      <c r="B1422" s="646" t="s">
        <v>1682</v>
      </c>
      <c r="C1422" s="641">
        <v>1000000</v>
      </c>
      <c r="D1422" s="641">
        <v>2000000</v>
      </c>
      <c r="E1422" s="641">
        <v>2000000</v>
      </c>
      <c r="F1422" s="647">
        <f t="shared" si="183"/>
        <v>5000000</v>
      </c>
      <c r="G1422" s="641">
        <v>1576567.25</v>
      </c>
      <c r="H1422" s="641">
        <v>2000000</v>
      </c>
      <c r="I1422" s="641"/>
      <c r="J1422" s="391"/>
    </row>
    <row r="1423" spans="1:10" ht="12.75" customHeight="1">
      <c r="A1423" s="646">
        <f t="shared" si="182"/>
        <v>13</v>
      </c>
      <c r="B1423" s="646" t="s">
        <v>2249</v>
      </c>
      <c r="C1423" s="641">
        <v>100000</v>
      </c>
      <c r="D1423" s="641">
        <v>100000</v>
      </c>
      <c r="E1423" s="641">
        <v>100000</v>
      </c>
      <c r="F1423" s="647">
        <f t="shared" si="183"/>
        <v>300000</v>
      </c>
      <c r="G1423" s="641">
        <v>0</v>
      </c>
      <c r="H1423" s="641">
        <v>100000</v>
      </c>
      <c r="I1423" s="641"/>
      <c r="J1423" s="391"/>
    </row>
    <row r="1424" spans="1:10" ht="12.75" customHeight="1">
      <c r="A1424" s="646">
        <f t="shared" si="182"/>
        <v>14</v>
      </c>
      <c r="B1424" s="646" t="s">
        <v>3018</v>
      </c>
      <c r="C1424" s="641">
        <v>500000</v>
      </c>
      <c r="D1424" s="641">
        <v>500000</v>
      </c>
      <c r="E1424" s="641">
        <v>500000</v>
      </c>
      <c r="F1424" s="647">
        <f t="shared" si="183"/>
        <v>1500000</v>
      </c>
      <c r="G1424" s="641">
        <v>0</v>
      </c>
      <c r="H1424" s="641">
        <v>200000</v>
      </c>
      <c r="I1424" s="641"/>
      <c r="J1424" s="391"/>
    </row>
    <row r="1425" spans="1:10" ht="12.75" customHeight="1">
      <c r="A1425" s="646">
        <f t="shared" si="182"/>
        <v>15</v>
      </c>
      <c r="B1425" s="646" t="s">
        <v>2934</v>
      </c>
      <c r="C1425" s="641">
        <v>5000000</v>
      </c>
      <c r="D1425" s="641">
        <v>5000000</v>
      </c>
      <c r="E1425" s="641">
        <v>5000000</v>
      </c>
      <c r="F1425" s="647">
        <f t="shared" si="183"/>
        <v>15000000</v>
      </c>
      <c r="G1425" s="642">
        <v>0</v>
      </c>
      <c r="H1425" s="641">
        <v>200000</v>
      </c>
      <c r="I1425" s="642"/>
      <c r="J1425" s="391"/>
    </row>
    <row r="1426" spans="1:10" ht="12.75" customHeight="1">
      <c r="A1426" s="646">
        <f t="shared" si="182"/>
        <v>16</v>
      </c>
      <c r="B1426" s="646" t="s">
        <v>297</v>
      </c>
      <c r="C1426" s="642">
        <v>50000000</v>
      </c>
      <c r="D1426" s="642">
        <v>100000000</v>
      </c>
      <c r="E1426" s="642">
        <v>150000000</v>
      </c>
      <c r="F1426" s="647">
        <f t="shared" si="183"/>
        <v>300000000</v>
      </c>
      <c r="G1426" s="641">
        <v>3110000</v>
      </c>
      <c r="H1426" s="642">
        <v>200000000</v>
      </c>
      <c r="I1426" s="641"/>
      <c r="J1426" s="391"/>
    </row>
    <row r="1427" spans="1:10" ht="12.75" customHeight="1">
      <c r="A1427" s="646"/>
      <c r="B1427" s="646"/>
      <c r="C1427" s="642"/>
      <c r="D1427" s="642"/>
      <c r="E1427" s="642"/>
      <c r="F1427" s="647"/>
      <c r="G1427" s="642"/>
      <c r="H1427" s="642"/>
      <c r="I1427" s="642"/>
      <c r="J1427" s="391"/>
    </row>
    <row r="1428" spans="1:10" ht="12.75" customHeight="1">
      <c r="A1428" s="646" t="s">
        <v>298</v>
      </c>
      <c r="B1428" s="651" t="s">
        <v>819</v>
      </c>
      <c r="C1428" s="652">
        <f t="shared" ref="C1428:I1428" si="184">SUM(C1412:C1427)</f>
        <v>59000000</v>
      </c>
      <c r="D1428" s="652">
        <f t="shared" si="184"/>
        <v>113000000</v>
      </c>
      <c r="E1428" s="652">
        <f t="shared" si="184"/>
        <v>163000000</v>
      </c>
      <c r="F1428" s="652">
        <f t="shared" si="184"/>
        <v>335000000</v>
      </c>
      <c r="G1428" s="652">
        <f t="shared" si="184"/>
        <v>5961567.25</v>
      </c>
      <c r="H1428" s="652">
        <f>SUM(H1412:H1427)</f>
        <v>207900000</v>
      </c>
      <c r="I1428" s="652">
        <f t="shared" si="184"/>
        <v>0</v>
      </c>
      <c r="J1428" s="391"/>
    </row>
    <row r="1429" spans="1:10" ht="12.75" customHeight="1">
      <c r="A1429" s="646"/>
      <c r="B1429" s="646"/>
      <c r="C1429" s="641"/>
      <c r="D1429" s="641"/>
      <c r="E1429" s="641"/>
      <c r="F1429" s="641"/>
      <c r="G1429" s="641"/>
      <c r="H1429" s="641"/>
      <c r="I1429" s="641"/>
      <c r="J1429" s="391"/>
    </row>
    <row r="1430" spans="1:10" ht="12.75" customHeight="1">
      <c r="A1430" s="653"/>
      <c r="B1430" s="653" t="s">
        <v>1684</v>
      </c>
      <c r="C1430" s="645">
        <f t="shared" ref="C1430:I1430" si="185">+C1428+C1410</f>
        <v>59000000</v>
      </c>
      <c r="D1430" s="645">
        <f t="shared" si="185"/>
        <v>113000000</v>
      </c>
      <c r="E1430" s="645">
        <f t="shared" si="185"/>
        <v>163000000</v>
      </c>
      <c r="F1430" s="645">
        <f t="shared" si="185"/>
        <v>335000000</v>
      </c>
      <c r="G1430" s="645">
        <f t="shared" si="185"/>
        <v>5961567.25</v>
      </c>
      <c r="H1430" s="645">
        <f>+H1428+H1410</f>
        <v>207900000</v>
      </c>
      <c r="I1430" s="645" t="e">
        <f t="shared" si="185"/>
        <v>#REF!</v>
      </c>
      <c r="J1430" s="391"/>
    </row>
    <row r="1431" spans="1:10" ht="12.75" customHeight="1">
      <c r="A1431" s="391"/>
      <c r="B1431" s="391"/>
      <c r="C1431" s="647"/>
      <c r="D1431" s="647"/>
      <c r="E1431" s="647"/>
      <c r="F1431" s="647"/>
      <c r="G1431" s="647"/>
      <c r="H1431" s="647"/>
      <c r="I1431" s="391"/>
      <c r="J1431" s="391"/>
    </row>
    <row r="1432" spans="1:10" ht="12.75" customHeight="1">
      <c r="A1432" s="391"/>
      <c r="B1432" s="391"/>
      <c r="C1432" s="647"/>
      <c r="D1432" s="308" t="s">
        <v>5434</v>
      </c>
      <c r="E1432" s="647"/>
      <c r="F1432" s="647"/>
      <c r="H1432" s="647"/>
      <c r="I1432" s="391"/>
      <c r="J1432" s="391"/>
    </row>
    <row r="1433" spans="1:10" ht="12.75" customHeight="1">
      <c r="A1433" s="655"/>
      <c r="B1433" s="633"/>
      <c r="C1433" s="655"/>
      <c r="D1433" s="308" t="s">
        <v>716</v>
      </c>
      <c r="E1433" s="655"/>
      <c r="F1433" s="647"/>
      <c r="H1433" s="655"/>
      <c r="I1433" s="391"/>
      <c r="J1433" s="391"/>
    </row>
    <row r="1434" spans="1:10" ht="12.75" customHeight="1">
      <c r="A1434" s="655"/>
      <c r="B1434" s="633"/>
      <c r="C1434" s="655"/>
      <c r="D1434" s="308" t="s">
        <v>2188</v>
      </c>
      <c r="E1434" s="655"/>
      <c r="F1434" s="647"/>
      <c r="H1434" s="655"/>
      <c r="I1434" s="391"/>
      <c r="J1434" s="391"/>
    </row>
    <row r="1435" spans="1:10" ht="12.75" customHeight="1">
      <c r="A1435" s="655"/>
      <c r="B1435" s="655"/>
      <c r="C1435" s="655"/>
      <c r="D1435" s="307" t="s">
        <v>299</v>
      </c>
      <c r="E1435" s="655"/>
      <c r="F1435" s="647"/>
      <c r="H1435" s="655"/>
      <c r="I1435" s="391"/>
      <c r="J1435" s="391"/>
    </row>
    <row r="1436" spans="1:10" ht="12.75" customHeight="1">
      <c r="A1436" s="634" t="s">
        <v>1839</v>
      </c>
      <c r="B1436" s="635" t="s">
        <v>903</v>
      </c>
      <c r="C1436" s="1037" t="s">
        <v>4127</v>
      </c>
      <c r="D1436" s="1038"/>
      <c r="E1436" s="1039"/>
      <c r="F1436" s="635" t="s">
        <v>1684</v>
      </c>
      <c r="G1436" s="1037" t="s">
        <v>4132</v>
      </c>
      <c r="H1436" s="1038"/>
      <c r="I1436" s="1039"/>
      <c r="J1436" s="391"/>
    </row>
    <row r="1437" spans="1:10" ht="12.75" customHeight="1">
      <c r="A1437" s="636" t="s">
        <v>1620</v>
      </c>
      <c r="B1437" s="637"/>
      <c r="C1437" s="635" t="s">
        <v>1841</v>
      </c>
      <c r="D1437" s="635" t="s">
        <v>4133</v>
      </c>
      <c r="E1437" s="635" t="s">
        <v>4133</v>
      </c>
      <c r="F1437" s="1056" t="s">
        <v>4200</v>
      </c>
      <c r="G1437" s="1051" t="s">
        <v>4201</v>
      </c>
      <c r="H1437" s="635" t="s">
        <v>1841</v>
      </c>
      <c r="I1437" s="634" t="s">
        <v>4135</v>
      </c>
      <c r="J1437" s="391"/>
    </row>
    <row r="1438" spans="1:10" ht="12.75" customHeight="1">
      <c r="A1438" s="638" t="s">
        <v>387</v>
      </c>
      <c r="B1438" s="639"/>
      <c r="C1438" s="638">
        <v>2015</v>
      </c>
      <c r="D1438" s="638">
        <v>2016</v>
      </c>
      <c r="E1438" s="638">
        <v>2017</v>
      </c>
      <c r="F1438" s="1057"/>
      <c r="G1438" s="1052"/>
      <c r="H1438" s="638">
        <v>2014</v>
      </c>
      <c r="I1438" s="638" t="s">
        <v>4303</v>
      </c>
      <c r="J1438" s="391"/>
    </row>
    <row r="1439" spans="1:10" ht="12.75" customHeight="1">
      <c r="A1439" s="646" t="s">
        <v>300</v>
      </c>
      <c r="B1439" s="646" t="s">
        <v>1693</v>
      </c>
      <c r="C1439" s="641"/>
      <c r="D1439" s="641"/>
      <c r="E1439" s="641"/>
      <c r="F1439" s="647"/>
      <c r="G1439" s="641"/>
      <c r="H1439" s="641"/>
      <c r="I1439" s="641" t="e">
        <f>#REF!</f>
        <v>#REF!</v>
      </c>
      <c r="J1439" s="391"/>
    </row>
    <row r="1440" spans="1:10" ht="12.75" customHeight="1">
      <c r="A1440" s="646"/>
      <c r="B1440" s="646"/>
      <c r="C1440" s="641"/>
      <c r="D1440" s="641"/>
      <c r="E1440" s="641"/>
      <c r="F1440" s="647"/>
      <c r="G1440" s="641"/>
      <c r="H1440" s="641"/>
      <c r="I1440" s="641"/>
      <c r="J1440" s="391"/>
    </row>
    <row r="1441" spans="1:11" ht="12.75" customHeight="1">
      <c r="A1441" s="646">
        <v>2</v>
      </c>
      <c r="B1441" s="646" t="s">
        <v>1695</v>
      </c>
      <c r="C1441" s="641">
        <v>1500000</v>
      </c>
      <c r="D1441" s="641">
        <v>1500000</v>
      </c>
      <c r="E1441" s="641">
        <v>1500000</v>
      </c>
      <c r="F1441" s="647">
        <f>SUM(C1441:E1441)</f>
        <v>4500000</v>
      </c>
      <c r="G1441" s="641">
        <v>0</v>
      </c>
      <c r="H1441" s="641">
        <v>1591200</v>
      </c>
      <c r="I1441" s="641">
        <v>0</v>
      </c>
      <c r="J1441" s="391"/>
    </row>
    <row r="1442" spans="1:11" ht="12.75" customHeight="1">
      <c r="A1442" s="646">
        <f t="shared" ref="A1442:A1453" si="186">A1441+1</f>
        <v>3</v>
      </c>
      <c r="B1442" s="646" t="s">
        <v>1696</v>
      </c>
      <c r="C1442" s="641">
        <v>100000</v>
      </c>
      <c r="D1442" s="641">
        <v>100000</v>
      </c>
      <c r="E1442" s="641">
        <v>100000</v>
      </c>
      <c r="F1442" s="647">
        <f t="shared" ref="F1442:F1453" si="187">SUM(C1442:E1442)</f>
        <v>300000</v>
      </c>
      <c r="G1442" s="642">
        <v>0</v>
      </c>
      <c r="H1442" s="641">
        <v>106080</v>
      </c>
      <c r="I1442" s="642">
        <v>0</v>
      </c>
      <c r="J1442" s="391"/>
    </row>
    <row r="1443" spans="1:11" ht="12.75" customHeight="1">
      <c r="A1443" s="646">
        <f t="shared" si="186"/>
        <v>4</v>
      </c>
      <c r="B1443" s="646" t="s">
        <v>1701</v>
      </c>
      <c r="C1443" s="641">
        <v>0</v>
      </c>
      <c r="D1443" s="641">
        <v>0</v>
      </c>
      <c r="E1443" s="641">
        <v>0</v>
      </c>
      <c r="F1443" s="647">
        <f t="shared" si="187"/>
        <v>0</v>
      </c>
      <c r="G1443" s="642" t="s">
        <v>1386</v>
      </c>
      <c r="H1443" s="641">
        <v>0</v>
      </c>
      <c r="I1443" s="642" t="s">
        <v>1386</v>
      </c>
      <c r="J1443" s="391"/>
    </row>
    <row r="1444" spans="1:11" ht="12.75" customHeight="1">
      <c r="A1444" s="646">
        <f t="shared" si="186"/>
        <v>5</v>
      </c>
      <c r="B1444" s="646" t="s">
        <v>1702</v>
      </c>
      <c r="C1444" s="641">
        <v>300000</v>
      </c>
      <c r="D1444" s="641">
        <v>600000</v>
      </c>
      <c r="E1444" s="641">
        <v>600000</v>
      </c>
      <c r="F1444" s="647">
        <f t="shared" si="187"/>
        <v>1500000</v>
      </c>
      <c r="G1444" s="641">
        <v>0</v>
      </c>
      <c r="H1444" s="641">
        <v>636480</v>
      </c>
      <c r="I1444" s="641">
        <v>0</v>
      </c>
      <c r="J1444" s="391"/>
    </row>
    <row r="1445" spans="1:11" ht="12.75" customHeight="1">
      <c r="A1445" s="646">
        <f t="shared" si="186"/>
        <v>6</v>
      </c>
      <c r="B1445" s="646" t="s">
        <v>1544</v>
      </c>
      <c r="C1445" s="641">
        <v>300000</v>
      </c>
      <c r="D1445" s="641">
        <v>800000</v>
      </c>
      <c r="E1445" s="641">
        <v>800000</v>
      </c>
      <c r="F1445" s="647">
        <f t="shared" si="187"/>
        <v>1900000</v>
      </c>
      <c r="G1445" s="641">
        <v>0</v>
      </c>
      <c r="H1445" s="641">
        <v>848640</v>
      </c>
      <c r="I1445" s="641">
        <v>0</v>
      </c>
      <c r="J1445" s="391"/>
    </row>
    <row r="1446" spans="1:11" ht="12.75" customHeight="1">
      <c r="A1446" s="646">
        <f t="shared" si="186"/>
        <v>7</v>
      </c>
      <c r="B1446" s="646" t="s">
        <v>897</v>
      </c>
      <c r="C1446" s="641">
        <v>700000</v>
      </c>
      <c r="D1446" s="641">
        <v>700000</v>
      </c>
      <c r="E1446" s="641">
        <v>700000</v>
      </c>
      <c r="F1446" s="647">
        <f t="shared" si="187"/>
        <v>2100000</v>
      </c>
      <c r="G1446" s="641">
        <v>270000</v>
      </c>
      <c r="H1446" s="641">
        <v>795600</v>
      </c>
      <c r="I1446" s="641">
        <v>450000</v>
      </c>
      <c r="J1446" s="391"/>
    </row>
    <row r="1447" spans="1:11" ht="12.75" customHeight="1">
      <c r="A1447" s="646">
        <f t="shared" si="186"/>
        <v>8</v>
      </c>
      <c r="B1447" s="646" t="s">
        <v>1385</v>
      </c>
      <c r="C1447" s="641" t="s">
        <v>1386</v>
      </c>
      <c r="D1447" s="641">
        <v>700000</v>
      </c>
      <c r="E1447" s="641">
        <v>700000</v>
      </c>
      <c r="F1447" s="647">
        <f t="shared" si="187"/>
        <v>1400000</v>
      </c>
      <c r="G1447" s="642" t="s">
        <v>1386</v>
      </c>
      <c r="H1447" s="641">
        <v>742560</v>
      </c>
      <c r="I1447" s="642" t="s">
        <v>1386</v>
      </c>
      <c r="J1447" s="391"/>
    </row>
    <row r="1448" spans="1:11" ht="12.75" customHeight="1">
      <c r="A1448" s="646">
        <f t="shared" si="186"/>
        <v>9</v>
      </c>
      <c r="B1448" s="646" t="s">
        <v>2061</v>
      </c>
      <c r="C1448" s="641" t="s">
        <v>1386</v>
      </c>
      <c r="D1448" s="641">
        <v>0</v>
      </c>
      <c r="E1448" s="641">
        <v>0</v>
      </c>
      <c r="F1448" s="647">
        <f t="shared" si="187"/>
        <v>0</v>
      </c>
      <c r="G1448" s="642" t="s">
        <v>1386</v>
      </c>
      <c r="H1448" s="641">
        <v>0</v>
      </c>
      <c r="I1448" s="642" t="s">
        <v>1386</v>
      </c>
      <c r="J1448" s="391"/>
    </row>
    <row r="1449" spans="1:11" ht="12.75" customHeight="1">
      <c r="A1449" s="646">
        <f t="shared" si="186"/>
        <v>10</v>
      </c>
      <c r="B1449" s="646" t="s">
        <v>1680</v>
      </c>
      <c r="C1449" s="641">
        <v>600000</v>
      </c>
      <c r="D1449" s="641">
        <v>600000</v>
      </c>
      <c r="E1449" s="641">
        <v>600000</v>
      </c>
      <c r="F1449" s="647">
        <f t="shared" si="187"/>
        <v>1800000</v>
      </c>
      <c r="G1449" s="642">
        <v>0</v>
      </c>
      <c r="H1449" s="641">
        <v>689520</v>
      </c>
      <c r="I1449" s="642">
        <v>0</v>
      </c>
      <c r="J1449" s="391"/>
    </row>
    <row r="1450" spans="1:11" ht="12.75" customHeight="1">
      <c r="A1450" s="646">
        <f t="shared" si="186"/>
        <v>11</v>
      </c>
      <c r="B1450" s="646" t="s">
        <v>1681</v>
      </c>
      <c r="C1450" s="641">
        <v>100000</v>
      </c>
      <c r="D1450" s="641">
        <v>100000</v>
      </c>
      <c r="E1450" s="641">
        <v>100000</v>
      </c>
      <c r="F1450" s="647">
        <f t="shared" si="187"/>
        <v>300000</v>
      </c>
      <c r="G1450" s="641">
        <v>0</v>
      </c>
      <c r="H1450" s="641">
        <v>106080</v>
      </c>
      <c r="I1450" s="641">
        <v>0</v>
      </c>
      <c r="J1450" s="391"/>
    </row>
    <row r="1451" spans="1:11" ht="12.75" customHeight="1">
      <c r="A1451" s="646">
        <f t="shared" si="186"/>
        <v>12</v>
      </c>
      <c r="B1451" s="646" t="s">
        <v>1682</v>
      </c>
      <c r="C1451" s="641">
        <v>1500000</v>
      </c>
      <c r="D1451" s="641">
        <v>1500000</v>
      </c>
      <c r="E1451" s="641">
        <v>1500000</v>
      </c>
      <c r="F1451" s="647">
        <f t="shared" si="187"/>
        <v>4500000</v>
      </c>
      <c r="G1451" s="641">
        <v>300000</v>
      </c>
      <c r="H1451" s="641">
        <f>1591200-139360</f>
        <v>1451840</v>
      </c>
      <c r="I1451" s="641">
        <v>690000</v>
      </c>
      <c r="J1451" s="391"/>
    </row>
    <row r="1452" spans="1:11" ht="12.75" customHeight="1">
      <c r="A1452" s="646">
        <f t="shared" si="186"/>
        <v>13</v>
      </c>
      <c r="B1452" s="646" t="s">
        <v>2249</v>
      </c>
      <c r="C1452" s="641">
        <v>100000</v>
      </c>
      <c r="D1452" s="641">
        <v>100000</v>
      </c>
      <c r="E1452" s="641">
        <v>100000</v>
      </c>
      <c r="F1452" s="647">
        <f t="shared" si="187"/>
        <v>300000</v>
      </c>
      <c r="G1452" s="641">
        <v>0</v>
      </c>
      <c r="H1452" s="641">
        <v>100000</v>
      </c>
      <c r="I1452" s="641">
        <v>0</v>
      </c>
      <c r="J1452" s="391"/>
    </row>
    <row r="1453" spans="1:11" ht="12.75" customHeight="1">
      <c r="A1453" s="646">
        <f t="shared" si="186"/>
        <v>14</v>
      </c>
      <c r="B1453" s="646" t="s">
        <v>3018</v>
      </c>
      <c r="C1453" s="641">
        <v>300000</v>
      </c>
      <c r="D1453" s="641">
        <v>500000</v>
      </c>
      <c r="E1453" s="641">
        <v>500000</v>
      </c>
      <c r="F1453" s="647">
        <f t="shared" si="187"/>
        <v>1300000</v>
      </c>
      <c r="G1453" s="641">
        <v>0</v>
      </c>
      <c r="H1453" s="641">
        <v>500000</v>
      </c>
      <c r="I1453" s="641">
        <v>0</v>
      </c>
      <c r="J1453" s="391"/>
    </row>
    <row r="1454" spans="1:11" ht="12.75" customHeight="1">
      <c r="A1454" s="646"/>
      <c r="B1454" s="646"/>
      <c r="C1454" s="641"/>
      <c r="D1454" s="641"/>
      <c r="E1454" s="641"/>
      <c r="F1454" s="647"/>
      <c r="G1454" s="641"/>
      <c r="H1454" s="641"/>
      <c r="I1454" s="641"/>
      <c r="J1454" s="391"/>
    </row>
    <row r="1455" spans="1:11" ht="12.75" customHeight="1">
      <c r="A1455" s="646" t="s">
        <v>301</v>
      </c>
      <c r="B1455" s="651" t="s">
        <v>819</v>
      </c>
      <c r="C1455" s="652">
        <f t="shared" ref="C1455:I1455" si="188">SUM(C1441:C1454)</f>
        <v>5500000</v>
      </c>
      <c r="D1455" s="652">
        <f t="shared" si="188"/>
        <v>7200000</v>
      </c>
      <c r="E1455" s="652">
        <f t="shared" si="188"/>
        <v>7200000</v>
      </c>
      <c r="F1455" s="652">
        <f t="shared" si="188"/>
        <v>19900000</v>
      </c>
      <c r="G1455" s="652">
        <f t="shared" si="188"/>
        <v>570000</v>
      </c>
      <c r="H1455" s="652">
        <f t="shared" si="188"/>
        <v>7568000</v>
      </c>
      <c r="I1455" s="652">
        <f t="shared" si="188"/>
        <v>1140000</v>
      </c>
      <c r="J1455" s="391"/>
      <c r="K1455" s="657">
        <f>7568000-H1455</f>
        <v>0</v>
      </c>
    </row>
    <row r="1456" spans="1:11" ht="12.75" customHeight="1">
      <c r="A1456" s="646"/>
      <c r="B1456" s="646"/>
      <c r="C1456" s="642"/>
      <c r="D1456" s="642"/>
      <c r="E1456" s="642"/>
      <c r="F1456" s="642"/>
      <c r="G1456" s="642"/>
      <c r="H1456" s="642"/>
      <c r="I1456" s="642"/>
      <c r="J1456" s="391"/>
    </row>
    <row r="1457" spans="1:10" ht="12.75" customHeight="1">
      <c r="A1457" s="653"/>
      <c r="B1457" s="653" t="s">
        <v>1684</v>
      </c>
      <c r="C1457" s="645">
        <f t="shared" ref="C1457:I1457" si="189">+C1455+C1439</f>
        <v>5500000</v>
      </c>
      <c r="D1457" s="645">
        <f t="shared" si="189"/>
        <v>7200000</v>
      </c>
      <c r="E1457" s="645">
        <f t="shared" si="189"/>
        <v>7200000</v>
      </c>
      <c r="F1457" s="645">
        <f t="shared" si="189"/>
        <v>19900000</v>
      </c>
      <c r="G1457" s="645">
        <f t="shared" si="189"/>
        <v>570000</v>
      </c>
      <c r="H1457" s="645">
        <f>+H1455+H1439</f>
        <v>7568000</v>
      </c>
      <c r="I1457" s="645" t="e">
        <f t="shared" si="189"/>
        <v>#REF!</v>
      </c>
      <c r="J1457" s="391"/>
    </row>
    <row r="1458" spans="1:10" ht="12.75" customHeight="1">
      <c r="A1458" s="391"/>
      <c r="B1458" s="391"/>
      <c r="C1458" s="647"/>
      <c r="D1458" s="308" t="s">
        <v>5434</v>
      </c>
      <c r="E1458" s="647"/>
      <c r="F1458" s="647"/>
      <c r="H1458" s="647"/>
      <c r="I1458" s="391"/>
      <c r="J1458" s="391"/>
    </row>
    <row r="1459" spans="1:10" ht="12.75" customHeight="1">
      <c r="A1459" s="655"/>
      <c r="B1459" s="633"/>
      <c r="C1459" s="655"/>
      <c r="D1459" s="308" t="s">
        <v>716</v>
      </c>
      <c r="E1459" s="655"/>
      <c r="F1459" s="647"/>
      <c r="H1459" s="655"/>
      <c r="I1459" s="391"/>
      <c r="J1459" s="391"/>
    </row>
    <row r="1460" spans="1:10" ht="12.75" customHeight="1">
      <c r="A1460" s="655"/>
      <c r="B1460" s="633"/>
      <c r="C1460" s="655"/>
      <c r="D1460" s="308" t="s">
        <v>2390</v>
      </c>
      <c r="E1460" s="655"/>
      <c r="F1460" s="647"/>
      <c r="H1460" s="655"/>
      <c r="I1460" s="391"/>
      <c r="J1460" s="391"/>
    </row>
    <row r="1461" spans="1:10" ht="12.75" customHeight="1">
      <c r="A1461" s="655"/>
      <c r="B1461" s="655"/>
      <c r="C1461" s="655"/>
      <c r="D1461" s="307" t="s">
        <v>302</v>
      </c>
      <c r="E1461" s="655"/>
      <c r="F1461" s="647"/>
      <c r="H1461" s="655"/>
      <c r="I1461" s="391"/>
      <c r="J1461" s="391"/>
    </row>
    <row r="1462" spans="1:10" ht="12.75" customHeight="1">
      <c r="A1462" s="634" t="s">
        <v>1839</v>
      </c>
      <c r="B1462" s="635" t="s">
        <v>903</v>
      </c>
      <c r="C1462" s="1037" t="s">
        <v>4127</v>
      </c>
      <c r="D1462" s="1038"/>
      <c r="E1462" s="1039"/>
      <c r="F1462" s="635" t="s">
        <v>1684</v>
      </c>
      <c r="G1462" s="1037" t="s">
        <v>4132</v>
      </c>
      <c r="H1462" s="1038"/>
      <c r="I1462" s="1039"/>
      <c r="J1462" s="391"/>
    </row>
    <row r="1463" spans="1:10" ht="12.75" customHeight="1">
      <c r="A1463" s="636" t="s">
        <v>1620</v>
      </c>
      <c r="B1463" s="637"/>
      <c r="C1463" s="635" t="s">
        <v>1841</v>
      </c>
      <c r="D1463" s="635" t="s">
        <v>4133</v>
      </c>
      <c r="E1463" s="635" t="s">
        <v>4133</v>
      </c>
      <c r="F1463" s="1056" t="s">
        <v>4200</v>
      </c>
      <c r="G1463" s="1051" t="s">
        <v>4201</v>
      </c>
      <c r="H1463" s="635" t="s">
        <v>1841</v>
      </c>
      <c r="I1463" s="634" t="s">
        <v>4135</v>
      </c>
      <c r="J1463" s="391"/>
    </row>
    <row r="1464" spans="1:10" ht="12.75" customHeight="1">
      <c r="A1464" s="638" t="s">
        <v>387</v>
      </c>
      <c r="B1464" s="639"/>
      <c r="C1464" s="638">
        <v>2015</v>
      </c>
      <c r="D1464" s="638">
        <v>2016</v>
      </c>
      <c r="E1464" s="638">
        <v>2017</v>
      </c>
      <c r="F1464" s="1057"/>
      <c r="G1464" s="1052"/>
      <c r="H1464" s="638">
        <v>2014</v>
      </c>
      <c r="I1464" s="638" t="s">
        <v>4303</v>
      </c>
      <c r="J1464" s="391"/>
    </row>
    <row r="1465" spans="1:10" ht="12.75" customHeight="1">
      <c r="A1465" s="646" t="s">
        <v>303</v>
      </c>
      <c r="B1465" s="646" t="s">
        <v>1693</v>
      </c>
      <c r="C1465" s="662">
        <v>0</v>
      </c>
      <c r="D1465" s="662">
        <v>5408000</v>
      </c>
      <c r="E1465" s="662">
        <v>5408000</v>
      </c>
      <c r="F1465" s="647">
        <f>SUM(C1465:E1465)</f>
        <v>10816000</v>
      </c>
      <c r="G1465" s="641">
        <v>0</v>
      </c>
      <c r="H1465" s="662">
        <v>5408000</v>
      </c>
      <c r="I1465" s="641" t="e">
        <f>#REF!</f>
        <v>#REF!</v>
      </c>
      <c r="J1465" s="391"/>
    </row>
    <row r="1466" spans="1:10" ht="12.75" customHeight="1">
      <c r="A1466" s="646"/>
      <c r="B1466" s="646"/>
      <c r="C1466" s="662"/>
      <c r="D1466" s="662"/>
      <c r="E1466" s="662"/>
      <c r="F1466" s="647"/>
      <c r="G1466" s="641"/>
      <c r="H1466" s="662"/>
      <c r="I1466" s="641"/>
      <c r="J1466" s="391"/>
    </row>
    <row r="1467" spans="1:10" ht="12.75" customHeight="1">
      <c r="A1467" s="646">
        <v>2</v>
      </c>
      <c r="B1467" s="646" t="s">
        <v>1695</v>
      </c>
      <c r="C1467" s="662">
        <v>1000000</v>
      </c>
      <c r="D1467" s="662">
        <v>1500000</v>
      </c>
      <c r="E1467" s="662">
        <v>1500000</v>
      </c>
      <c r="F1467" s="647">
        <f t="shared" ref="F1467:F1488" si="190">SUM(C1467:E1467)</f>
        <v>4000000</v>
      </c>
      <c r="G1467" s="641">
        <v>366000</v>
      </c>
      <c r="H1467" s="662">
        <v>1591200</v>
      </c>
      <c r="I1467" s="641"/>
      <c r="J1467" s="391"/>
    </row>
    <row r="1468" spans="1:10" ht="12.75" customHeight="1">
      <c r="A1468" s="646">
        <f>A1467+1</f>
        <v>3</v>
      </c>
      <c r="B1468" s="646" t="s">
        <v>1696</v>
      </c>
      <c r="C1468" s="662" t="s">
        <v>1386</v>
      </c>
      <c r="D1468" s="662">
        <v>100000</v>
      </c>
      <c r="E1468" s="662">
        <v>100000</v>
      </c>
      <c r="F1468" s="647">
        <f t="shared" si="190"/>
        <v>200000</v>
      </c>
      <c r="G1468" s="642">
        <v>0</v>
      </c>
      <c r="H1468" s="662">
        <v>106080</v>
      </c>
      <c r="I1468" s="642"/>
      <c r="J1468" s="391"/>
    </row>
    <row r="1469" spans="1:10" ht="12.75" customHeight="1">
      <c r="A1469" s="646">
        <v>4</v>
      </c>
      <c r="B1469" s="646" t="s">
        <v>1701</v>
      </c>
      <c r="C1469" s="641" t="s">
        <v>1386</v>
      </c>
      <c r="D1469" s="641" t="s">
        <v>1386</v>
      </c>
      <c r="E1469" s="641" t="s">
        <v>1386</v>
      </c>
      <c r="F1469" s="647">
        <f t="shared" si="190"/>
        <v>0</v>
      </c>
      <c r="G1469" s="642" t="s">
        <v>1386</v>
      </c>
      <c r="H1469" s="641" t="s">
        <v>1386</v>
      </c>
      <c r="I1469" s="642"/>
      <c r="J1469" s="391"/>
    </row>
    <row r="1470" spans="1:10" ht="12.75" customHeight="1">
      <c r="A1470" s="646">
        <v>5</v>
      </c>
      <c r="B1470" s="646" t="s">
        <v>1702</v>
      </c>
      <c r="C1470" s="662">
        <v>300000</v>
      </c>
      <c r="D1470" s="662">
        <v>600000</v>
      </c>
      <c r="E1470" s="662">
        <v>600000</v>
      </c>
      <c r="F1470" s="647">
        <f t="shared" si="190"/>
        <v>1500000</v>
      </c>
      <c r="G1470" s="642">
        <v>12500</v>
      </c>
      <c r="H1470" s="662">
        <v>636480</v>
      </c>
      <c r="I1470" s="642"/>
      <c r="J1470" s="391"/>
    </row>
    <row r="1471" spans="1:10" ht="12.75" customHeight="1">
      <c r="A1471" s="646">
        <f>A1470+1</f>
        <v>6</v>
      </c>
      <c r="B1471" s="646" t="s">
        <v>1544</v>
      </c>
      <c r="C1471" s="662">
        <v>300000</v>
      </c>
      <c r="D1471" s="662">
        <v>800000</v>
      </c>
      <c r="E1471" s="662">
        <v>800000</v>
      </c>
      <c r="F1471" s="647">
        <f t="shared" si="190"/>
        <v>1900000</v>
      </c>
      <c r="G1471" s="642">
        <v>470000</v>
      </c>
      <c r="H1471" s="662">
        <v>848640</v>
      </c>
      <c r="I1471" s="642"/>
      <c r="J1471" s="391"/>
    </row>
    <row r="1472" spans="1:10" ht="12.75" customHeight="1">
      <c r="A1472" s="646">
        <f>A1471+1</f>
        <v>7</v>
      </c>
      <c r="B1472" s="646" t="s">
        <v>897</v>
      </c>
      <c r="C1472" s="662">
        <v>300000</v>
      </c>
      <c r="D1472" s="662">
        <v>800000</v>
      </c>
      <c r="E1472" s="662">
        <v>800000</v>
      </c>
      <c r="F1472" s="647">
        <f t="shared" si="190"/>
        <v>1900000</v>
      </c>
      <c r="G1472" s="641">
        <v>105000</v>
      </c>
      <c r="H1472" s="662">
        <v>795600</v>
      </c>
      <c r="I1472" s="641"/>
      <c r="J1472" s="391"/>
    </row>
    <row r="1473" spans="1:10" ht="12.75" customHeight="1">
      <c r="A1473" s="646">
        <v>8</v>
      </c>
      <c r="B1473" s="646" t="s">
        <v>1385</v>
      </c>
      <c r="C1473" s="641" t="s">
        <v>1386</v>
      </c>
      <c r="D1473" s="641" t="s">
        <v>1386</v>
      </c>
      <c r="E1473" s="641" t="s">
        <v>1386</v>
      </c>
      <c r="F1473" s="641" t="s">
        <v>1386</v>
      </c>
      <c r="G1473" s="642" t="s">
        <v>1386</v>
      </c>
      <c r="H1473" s="642" t="s">
        <v>1386</v>
      </c>
      <c r="I1473" s="642"/>
      <c r="J1473" s="391"/>
    </row>
    <row r="1474" spans="1:10" ht="12.75" customHeight="1">
      <c r="A1474" s="646">
        <v>9</v>
      </c>
      <c r="B1474" s="646" t="s">
        <v>755</v>
      </c>
      <c r="C1474" s="641" t="s">
        <v>1386</v>
      </c>
      <c r="D1474" s="641" t="s">
        <v>1386</v>
      </c>
      <c r="E1474" s="641" t="s">
        <v>1386</v>
      </c>
      <c r="F1474" s="641" t="s">
        <v>1386</v>
      </c>
      <c r="G1474" s="642" t="s">
        <v>1386</v>
      </c>
      <c r="H1474" s="641" t="s">
        <v>1386</v>
      </c>
      <c r="I1474" s="642"/>
      <c r="J1474" s="391"/>
    </row>
    <row r="1475" spans="1:10" ht="12.75" customHeight="1">
      <c r="A1475" s="646">
        <v>10</v>
      </c>
      <c r="B1475" s="646" t="s">
        <v>1680</v>
      </c>
      <c r="C1475" s="662">
        <v>200000</v>
      </c>
      <c r="D1475" s="662">
        <v>600000</v>
      </c>
      <c r="E1475" s="662">
        <v>600000</v>
      </c>
      <c r="F1475" s="647">
        <f t="shared" si="190"/>
        <v>1400000</v>
      </c>
      <c r="G1475" s="641">
        <v>0</v>
      </c>
      <c r="H1475" s="662">
        <v>689520</v>
      </c>
      <c r="I1475" s="641"/>
      <c r="J1475" s="391"/>
    </row>
    <row r="1476" spans="1:10" ht="12.75" customHeight="1">
      <c r="A1476" s="646">
        <f>A1475+1</f>
        <v>11</v>
      </c>
      <c r="B1476" s="646" t="s">
        <v>1681</v>
      </c>
      <c r="C1476" s="662">
        <v>100000</v>
      </c>
      <c r="D1476" s="662">
        <v>100000</v>
      </c>
      <c r="E1476" s="662">
        <v>100000</v>
      </c>
      <c r="F1476" s="647">
        <f t="shared" si="190"/>
        <v>300000</v>
      </c>
      <c r="G1476" s="641">
        <v>75000</v>
      </c>
      <c r="H1476" s="662">
        <v>106080</v>
      </c>
      <c r="I1476" s="641"/>
      <c r="J1476" s="391"/>
    </row>
    <row r="1477" spans="1:10" ht="12.75" customHeight="1">
      <c r="A1477" s="646">
        <f>A1476+1</f>
        <v>12</v>
      </c>
      <c r="B1477" s="646" t="s">
        <v>1682</v>
      </c>
      <c r="C1477" s="662">
        <v>1500000</v>
      </c>
      <c r="D1477" s="662">
        <v>1500000</v>
      </c>
      <c r="E1477" s="662">
        <v>1500000</v>
      </c>
      <c r="F1477" s="647">
        <f t="shared" si="190"/>
        <v>4500000</v>
      </c>
      <c r="G1477" s="650">
        <v>381563</v>
      </c>
      <c r="H1477" s="662">
        <v>1591200</v>
      </c>
      <c r="I1477" s="650"/>
      <c r="J1477" s="391"/>
    </row>
    <row r="1478" spans="1:10" ht="12.75" customHeight="1">
      <c r="A1478" s="646">
        <f t="shared" ref="A1478:A1489" si="191">A1477+1</f>
        <v>13</v>
      </c>
      <c r="B1478" s="646" t="s">
        <v>2249</v>
      </c>
      <c r="C1478" s="662">
        <v>100000</v>
      </c>
      <c r="D1478" s="662">
        <v>100000</v>
      </c>
      <c r="E1478" s="662">
        <v>100000</v>
      </c>
      <c r="F1478" s="647">
        <f t="shared" si="190"/>
        <v>300000</v>
      </c>
      <c r="G1478" s="642">
        <v>0</v>
      </c>
      <c r="H1478" s="662">
        <v>106080</v>
      </c>
      <c r="I1478" s="642"/>
      <c r="J1478" s="391"/>
    </row>
    <row r="1479" spans="1:10" ht="12.75" customHeight="1">
      <c r="A1479" s="646">
        <f t="shared" si="191"/>
        <v>14</v>
      </c>
      <c r="B1479" s="646" t="s">
        <v>1336</v>
      </c>
      <c r="C1479" s="662">
        <v>300000</v>
      </c>
      <c r="D1479" s="662">
        <v>500000</v>
      </c>
      <c r="E1479" s="662">
        <v>500000</v>
      </c>
      <c r="F1479" s="647">
        <f t="shared" si="190"/>
        <v>1300000</v>
      </c>
      <c r="G1479" s="641">
        <v>0</v>
      </c>
      <c r="H1479" s="662">
        <v>530400</v>
      </c>
      <c r="I1479" s="641"/>
      <c r="J1479" s="391"/>
    </row>
    <row r="1480" spans="1:10" ht="12.75" customHeight="1">
      <c r="A1480" s="646">
        <f t="shared" si="191"/>
        <v>15</v>
      </c>
      <c r="B1480" s="646" t="s">
        <v>3311</v>
      </c>
      <c r="C1480" s="662">
        <v>2000000</v>
      </c>
      <c r="D1480" s="662">
        <v>2500000</v>
      </c>
      <c r="E1480" s="662">
        <v>2500000</v>
      </c>
      <c r="F1480" s="647">
        <f t="shared" si="190"/>
        <v>7000000</v>
      </c>
      <c r="G1480" s="641">
        <v>0</v>
      </c>
      <c r="H1480" s="662">
        <v>2652000</v>
      </c>
      <c r="I1480" s="641"/>
      <c r="J1480" s="391"/>
    </row>
    <row r="1481" spans="1:10" ht="12.75" customHeight="1">
      <c r="A1481" s="646">
        <f t="shared" si="191"/>
        <v>16</v>
      </c>
      <c r="B1481" s="646" t="s">
        <v>1005</v>
      </c>
      <c r="C1481" s="662">
        <v>400000</v>
      </c>
      <c r="D1481" s="662">
        <v>500000</v>
      </c>
      <c r="E1481" s="662">
        <v>500000</v>
      </c>
      <c r="F1481" s="647">
        <f t="shared" si="190"/>
        <v>1400000</v>
      </c>
      <c r="G1481" s="641">
        <v>0</v>
      </c>
      <c r="H1481" s="662">
        <v>530400</v>
      </c>
      <c r="I1481" s="641"/>
      <c r="J1481" s="391"/>
    </row>
    <row r="1482" spans="1:10" ht="12.75" customHeight="1">
      <c r="A1482" s="646">
        <f t="shared" si="191"/>
        <v>17</v>
      </c>
      <c r="B1482" s="646" t="s">
        <v>3312</v>
      </c>
      <c r="C1482" s="662">
        <v>400000</v>
      </c>
      <c r="D1482" s="662">
        <v>500000</v>
      </c>
      <c r="E1482" s="662">
        <v>500000</v>
      </c>
      <c r="F1482" s="647">
        <f t="shared" si="190"/>
        <v>1400000</v>
      </c>
      <c r="G1482" s="641">
        <v>0</v>
      </c>
      <c r="H1482" s="662">
        <v>530604</v>
      </c>
      <c r="I1482" s="641"/>
      <c r="J1482" s="391"/>
    </row>
    <row r="1483" spans="1:10" ht="12.75" customHeight="1">
      <c r="A1483" s="646">
        <f t="shared" si="191"/>
        <v>18</v>
      </c>
      <c r="B1483" s="646" t="s">
        <v>3313</v>
      </c>
      <c r="C1483" s="662">
        <v>500000</v>
      </c>
      <c r="D1483" s="662">
        <v>500000</v>
      </c>
      <c r="E1483" s="662">
        <v>500000</v>
      </c>
      <c r="F1483" s="647">
        <f t="shared" si="190"/>
        <v>1500000</v>
      </c>
      <c r="G1483" s="641">
        <v>0</v>
      </c>
      <c r="H1483" s="662">
        <v>530604</v>
      </c>
      <c r="I1483" s="641"/>
      <c r="J1483" s="391"/>
    </row>
    <row r="1484" spans="1:10" ht="12.75" customHeight="1">
      <c r="A1484" s="646">
        <f t="shared" si="191"/>
        <v>19</v>
      </c>
      <c r="B1484" s="646" t="s">
        <v>3314</v>
      </c>
      <c r="C1484" s="662">
        <v>5000000</v>
      </c>
      <c r="D1484" s="662">
        <v>5000000</v>
      </c>
      <c r="E1484" s="662">
        <v>5000000</v>
      </c>
      <c r="F1484" s="647">
        <f t="shared" si="190"/>
        <v>15000000</v>
      </c>
      <c r="G1484" s="641">
        <v>0</v>
      </c>
      <c r="H1484" s="662">
        <f>5306040-303593</f>
        <v>5002447</v>
      </c>
      <c r="I1484" s="641"/>
      <c r="J1484" s="391"/>
    </row>
    <row r="1485" spans="1:10" ht="12.75" customHeight="1">
      <c r="A1485" s="646">
        <f t="shared" si="191"/>
        <v>20</v>
      </c>
      <c r="B1485" s="646" t="s">
        <v>3160</v>
      </c>
      <c r="C1485" s="662">
        <v>300000</v>
      </c>
      <c r="D1485" s="662">
        <v>900000</v>
      </c>
      <c r="E1485" s="662">
        <v>900000</v>
      </c>
      <c r="F1485" s="647">
        <f t="shared" si="190"/>
        <v>2100000</v>
      </c>
      <c r="G1485" s="641">
        <v>0</v>
      </c>
      <c r="H1485" s="662">
        <v>318362.40000000002</v>
      </c>
      <c r="I1485" s="641"/>
      <c r="J1485" s="391"/>
    </row>
    <row r="1486" spans="1:10" ht="12.75" customHeight="1">
      <c r="A1486" s="646">
        <f t="shared" si="191"/>
        <v>21</v>
      </c>
      <c r="B1486" s="646" t="s">
        <v>3839</v>
      </c>
      <c r="C1486" s="649">
        <v>4000000</v>
      </c>
      <c r="D1486" s="649">
        <v>500000</v>
      </c>
      <c r="E1486" s="649">
        <v>500000</v>
      </c>
      <c r="F1486" s="647">
        <f t="shared" si="190"/>
        <v>5000000</v>
      </c>
      <c r="G1486" s="641">
        <v>0</v>
      </c>
      <c r="H1486" s="649">
        <v>5100000</v>
      </c>
      <c r="I1486" s="641"/>
      <c r="J1486" s="391"/>
    </row>
    <row r="1487" spans="1:10" ht="12.75" customHeight="1">
      <c r="A1487" s="646">
        <f t="shared" si="191"/>
        <v>22</v>
      </c>
      <c r="B1487" s="646" t="s">
        <v>3161</v>
      </c>
      <c r="C1487" s="662">
        <v>800000</v>
      </c>
      <c r="D1487" s="662">
        <v>1000000</v>
      </c>
      <c r="E1487" s="662">
        <v>1000000</v>
      </c>
      <c r="F1487" s="647">
        <f t="shared" si="190"/>
        <v>2800000</v>
      </c>
      <c r="G1487" s="641">
        <v>0</v>
      </c>
      <c r="H1487" s="662">
        <v>848966.4</v>
      </c>
      <c r="I1487" s="641"/>
      <c r="J1487" s="391"/>
    </row>
    <row r="1488" spans="1:10" ht="12.75" customHeight="1">
      <c r="A1488" s="646">
        <f t="shared" si="191"/>
        <v>23</v>
      </c>
      <c r="B1488" s="646" t="s">
        <v>3162</v>
      </c>
      <c r="C1488" s="662">
        <v>2000000</v>
      </c>
      <c r="D1488" s="662">
        <v>2000000</v>
      </c>
      <c r="E1488" s="662">
        <v>2000000</v>
      </c>
      <c r="F1488" s="647">
        <f t="shared" si="190"/>
        <v>6000000</v>
      </c>
      <c r="G1488" s="641">
        <v>0</v>
      </c>
      <c r="H1488" s="662">
        <v>2122416</v>
      </c>
      <c r="I1488" s="641"/>
      <c r="J1488" s="391"/>
    </row>
    <row r="1489" spans="1:11" ht="12.75" customHeight="1">
      <c r="A1489" s="646">
        <f t="shared" si="191"/>
        <v>24</v>
      </c>
      <c r="B1489" s="646" t="s">
        <v>3310</v>
      </c>
      <c r="C1489" s="662">
        <v>500000</v>
      </c>
      <c r="D1489" s="662">
        <v>1000000</v>
      </c>
      <c r="E1489" s="662">
        <v>1000000</v>
      </c>
      <c r="F1489" s="647">
        <f>SUM(C1489:E1489)</f>
        <v>2500000</v>
      </c>
      <c r="G1489" s="642" t="s">
        <v>1386</v>
      </c>
      <c r="H1489" s="662">
        <v>742560</v>
      </c>
      <c r="I1489" s="642"/>
      <c r="J1489" s="391"/>
    </row>
    <row r="1490" spans="1:11" ht="12.75" customHeight="1">
      <c r="A1490" s="646"/>
      <c r="B1490" s="646"/>
      <c r="C1490" s="641"/>
      <c r="D1490" s="641"/>
      <c r="E1490" s="641"/>
      <c r="F1490" s="647"/>
      <c r="G1490" s="641"/>
      <c r="H1490" s="641"/>
      <c r="I1490" s="641"/>
      <c r="J1490" s="391"/>
    </row>
    <row r="1491" spans="1:11" ht="12.75" customHeight="1">
      <c r="A1491" s="646" t="s">
        <v>304</v>
      </c>
      <c r="B1491" s="651" t="s">
        <v>819</v>
      </c>
      <c r="C1491" s="652">
        <f t="shared" ref="C1491:I1491" si="192">SUM(C1467:C1490)</f>
        <v>20000000</v>
      </c>
      <c r="D1491" s="652">
        <f t="shared" si="192"/>
        <v>21000000</v>
      </c>
      <c r="E1491" s="652">
        <f t="shared" si="192"/>
        <v>21000000</v>
      </c>
      <c r="F1491" s="652">
        <f t="shared" si="192"/>
        <v>62000000</v>
      </c>
      <c r="G1491" s="652">
        <f t="shared" si="192"/>
        <v>1410063</v>
      </c>
      <c r="H1491" s="652">
        <f>SUM(H1467:H1490)</f>
        <v>25379639.799999997</v>
      </c>
      <c r="I1491" s="652">
        <f t="shared" si="192"/>
        <v>0</v>
      </c>
      <c r="J1491" s="391"/>
      <c r="K1491" s="657">
        <f>25379640-H1491</f>
        <v>0.20000000298023224</v>
      </c>
    </row>
    <row r="1492" spans="1:11" ht="12.75" customHeight="1">
      <c r="A1492" s="646"/>
      <c r="B1492" s="646"/>
      <c r="C1492" s="641"/>
      <c r="D1492" s="641"/>
      <c r="E1492" s="641"/>
      <c r="F1492" s="641"/>
      <c r="G1492" s="641"/>
      <c r="H1492" s="641"/>
      <c r="I1492" s="641"/>
      <c r="J1492" s="391"/>
    </row>
    <row r="1493" spans="1:11" ht="12.75" customHeight="1">
      <c r="A1493" s="653"/>
      <c r="B1493" s="653" t="s">
        <v>1684</v>
      </c>
      <c r="C1493" s="645">
        <f t="shared" ref="C1493:I1493" si="193">+C1491+C1465</f>
        <v>20000000</v>
      </c>
      <c r="D1493" s="645">
        <f t="shared" si="193"/>
        <v>26408000</v>
      </c>
      <c r="E1493" s="645">
        <f t="shared" si="193"/>
        <v>26408000</v>
      </c>
      <c r="F1493" s="645">
        <f t="shared" si="193"/>
        <v>72816000</v>
      </c>
      <c r="G1493" s="645">
        <f t="shared" si="193"/>
        <v>1410063</v>
      </c>
      <c r="H1493" s="645">
        <f>+H1491+H1465</f>
        <v>30787639.799999997</v>
      </c>
      <c r="I1493" s="645" t="e">
        <f t="shared" si="193"/>
        <v>#REF!</v>
      </c>
      <c r="J1493" s="391"/>
    </row>
    <row r="1494" spans="1:11" ht="12.75" customHeight="1">
      <c r="A1494" s="391"/>
      <c r="B1494" s="391"/>
      <c r="C1494" s="647"/>
      <c r="D1494" s="647"/>
      <c r="E1494" s="647"/>
      <c r="F1494" s="647"/>
      <c r="G1494" s="647"/>
      <c r="H1494" s="647"/>
      <c r="I1494" s="391"/>
      <c r="J1494" s="391"/>
    </row>
    <row r="1495" spans="1:11" ht="12.75" customHeight="1">
      <c r="A1495" s="391"/>
      <c r="B1495" s="391"/>
      <c r="C1495" s="647"/>
      <c r="D1495" s="308" t="s">
        <v>5434</v>
      </c>
      <c r="E1495" s="647"/>
      <c r="F1495" s="647"/>
      <c r="H1495" s="647"/>
      <c r="I1495" s="391"/>
      <c r="J1495" s="391"/>
    </row>
    <row r="1496" spans="1:11" ht="12.75" customHeight="1">
      <c r="A1496" s="655"/>
      <c r="B1496" s="633"/>
      <c r="C1496" s="655"/>
      <c r="D1496" s="308" t="s">
        <v>716</v>
      </c>
      <c r="E1496" s="655"/>
      <c r="F1496" s="647"/>
      <c r="H1496" s="655"/>
      <c r="I1496" s="391"/>
      <c r="J1496" s="391"/>
    </row>
    <row r="1497" spans="1:11" ht="12.75" customHeight="1">
      <c r="A1497" s="655"/>
      <c r="B1497" s="633"/>
      <c r="C1497" s="655"/>
      <c r="D1497" s="308" t="s">
        <v>3274</v>
      </c>
      <c r="E1497" s="655"/>
      <c r="F1497" s="647"/>
      <c r="H1497" s="655"/>
      <c r="I1497" s="391"/>
      <c r="J1497" s="391"/>
    </row>
    <row r="1498" spans="1:11" ht="12.75" customHeight="1">
      <c r="A1498" s="655"/>
      <c r="B1498" s="655"/>
      <c r="C1498" s="655"/>
      <c r="D1498" s="307" t="s">
        <v>305</v>
      </c>
      <c r="E1498" s="655"/>
      <c r="F1498" s="647"/>
      <c r="H1498" s="655"/>
      <c r="I1498" s="391"/>
      <c r="J1498" s="391"/>
    </row>
    <row r="1499" spans="1:11" ht="12.75" customHeight="1">
      <c r="A1499" s="634" t="s">
        <v>1839</v>
      </c>
      <c r="B1499" s="635" t="s">
        <v>903</v>
      </c>
      <c r="C1499" s="1037" t="s">
        <v>4127</v>
      </c>
      <c r="D1499" s="1038"/>
      <c r="E1499" s="1039"/>
      <c r="F1499" s="635" t="s">
        <v>1684</v>
      </c>
      <c r="G1499" s="1037" t="s">
        <v>4132</v>
      </c>
      <c r="H1499" s="1038"/>
      <c r="I1499" s="1039"/>
      <c r="J1499" s="391"/>
    </row>
    <row r="1500" spans="1:11" ht="12.75" customHeight="1">
      <c r="A1500" s="636" t="s">
        <v>1620</v>
      </c>
      <c r="B1500" s="637"/>
      <c r="C1500" s="635" t="s">
        <v>1841</v>
      </c>
      <c r="D1500" s="635" t="s">
        <v>4133</v>
      </c>
      <c r="E1500" s="635" t="s">
        <v>4133</v>
      </c>
      <c r="F1500" s="1056" t="s">
        <v>4200</v>
      </c>
      <c r="G1500" s="1051" t="s">
        <v>4201</v>
      </c>
      <c r="H1500" s="635" t="s">
        <v>1841</v>
      </c>
      <c r="I1500" s="634" t="s">
        <v>4135</v>
      </c>
      <c r="J1500" s="391"/>
    </row>
    <row r="1501" spans="1:11" ht="12.75" customHeight="1">
      <c r="A1501" s="638" t="s">
        <v>387</v>
      </c>
      <c r="B1501" s="639"/>
      <c r="C1501" s="638">
        <v>2015</v>
      </c>
      <c r="D1501" s="638">
        <v>2016</v>
      </c>
      <c r="E1501" s="638">
        <v>2017</v>
      </c>
      <c r="F1501" s="1057"/>
      <c r="G1501" s="1052"/>
      <c r="H1501" s="638">
        <v>2014</v>
      </c>
      <c r="I1501" s="638" t="s">
        <v>4303</v>
      </c>
      <c r="J1501" s="391"/>
    </row>
    <row r="1502" spans="1:11" ht="12.75" customHeight="1">
      <c r="A1502" s="646" t="s">
        <v>477</v>
      </c>
      <c r="B1502" s="646" t="s">
        <v>1693</v>
      </c>
      <c r="C1502" s="641">
        <v>7000000</v>
      </c>
      <c r="D1502" s="641">
        <v>5000000</v>
      </c>
      <c r="E1502" s="641">
        <v>8000000</v>
      </c>
      <c r="F1502" s="647">
        <f>SUM(C1502:E1502)</f>
        <v>20000000</v>
      </c>
      <c r="G1502" s="641">
        <v>3900000</v>
      </c>
      <c r="H1502" s="641">
        <v>8500000</v>
      </c>
      <c r="I1502" s="641" t="e">
        <f>#REF!</f>
        <v>#REF!</v>
      </c>
      <c r="J1502" s="391"/>
    </row>
    <row r="1503" spans="1:11" ht="12.75" customHeight="1">
      <c r="A1503" s="646"/>
      <c r="B1503" s="646"/>
      <c r="C1503" s="662"/>
      <c r="D1503" s="662"/>
      <c r="E1503" s="662"/>
      <c r="F1503" s="647"/>
      <c r="G1503" s="641"/>
      <c r="H1503" s="662"/>
      <c r="I1503" s="641"/>
      <c r="J1503" s="391"/>
    </row>
    <row r="1504" spans="1:11" ht="12.75" customHeight="1">
      <c r="A1504" s="646">
        <v>2</v>
      </c>
      <c r="B1504" s="646" t="s">
        <v>1695</v>
      </c>
      <c r="C1504" s="641">
        <v>1000000</v>
      </c>
      <c r="D1504" s="641">
        <v>1000000</v>
      </c>
      <c r="E1504" s="641">
        <v>1000000</v>
      </c>
      <c r="F1504" s="647">
        <f t="shared" ref="F1504:F1516" si="194">SUM(C1504:E1504)</f>
        <v>3000000</v>
      </c>
      <c r="G1504" s="641">
        <v>381000</v>
      </c>
      <c r="H1504" s="641">
        <v>1092727</v>
      </c>
      <c r="I1504" s="641"/>
      <c r="J1504" s="391"/>
    </row>
    <row r="1505" spans="1:11" ht="12.75" customHeight="1">
      <c r="A1505" s="646">
        <f>A1504+1</f>
        <v>3</v>
      </c>
      <c r="B1505" s="646" t="s">
        <v>1696</v>
      </c>
      <c r="C1505" s="641">
        <f t="shared" ref="C1505:C1511" si="195">E1505*1.03</f>
        <v>0</v>
      </c>
      <c r="D1505" s="641">
        <v>0</v>
      </c>
      <c r="E1505" s="641">
        <v>0</v>
      </c>
      <c r="F1505" s="647">
        <f t="shared" si="194"/>
        <v>0</v>
      </c>
      <c r="G1505" s="642" t="s">
        <v>1386</v>
      </c>
      <c r="H1505" s="641">
        <v>0</v>
      </c>
      <c r="I1505" s="642"/>
      <c r="J1505" s="391"/>
    </row>
    <row r="1506" spans="1:11" ht="12.75" customHeight="1">
      <c r="A1506" s="646">
        <v>4</v>
      </c>
      <c r="B1506" s="646" t="s">
        <v>1701</v>
      </c>
      <c r="C1506" s="641">
        <f t="shared" si="195"/>
        <v>0</v>
      </c>
      <c r="D1506" s="641">
        <v>0</v>
      </c>
      <c r="E1506" s="641">
        <v>0</v>
      </c>
      <c r="F1506" s="647">
        <f t="shared" si="194"/>
        <v>0</v>
      </c>
      <c r="G1506" s="642" t="s">
        <v>1386</v>
      </c>
      <c r="H1506" s="641">
        <v>0</v>
      </c>
      <c r="I1506" s="642"/>
      <c r="J1506" s="391"/>
    </row>
    <row r="1507" spans="1:11" ht="12.75" customHeight="1">
      <c r="A1507" s="646">
        <v>5</v>
      </c>
      <c r="B1507" s="646" t="s">
        <v>1702</v>
      </c>
      <c r="C1507" s="641">
        <v>200000</v>
      </c>
      <c r="D1507" s="641">
        <v>800000</v>
      </c>
      <c r="E1507" s="641">
        <v>800000</v>
      </c>
      <c r="F1507" s="647">
        <f t="shared" si="194"/>
        <v>1800000</v>
      </c>
      <c r="G1507" s="642">
        <v>184000</v>
      </c>
      <c r="H1507" s="641">
        <v>874181.6</v>
      </c>
      <c r="I1507" s="642"/>
      <c r="J1507" s="391"/>
    </row>
    <row r="1508" spans="1:11" ht="12.75" customHeight="1">
      <c r="A1508" s="646">
        <f>A1507+1</f>
        <v>6</v>
      </c>
      <c r="B1508" s="646" t="s">
        <v>1544</v>
      </c>
      <c r="C1508" s="641">
        <v>300000</v>
      </c>
      <c r="D1508" s="641">
        <v>500000</v>
      </c>
      <c r="E1508" s="641">
        <v>500000</v>
      </c>
      <c r="F1508" s="647">
        <f t="shared" si="194"/>
        <v>1300000</v>
      </c>
      <c r="G1508" s="641">
        <v>87000</v>
      </c>
      <c r="H1508" s="641">
        <v>546363.5</v>
      </c>
      <c r="I1508" s="641"/>
      <c r="J1508" s="391"/>
    </row>
    <row r="1509" spans="1:11" ht="12.75" customHeight="1">
      <c r="A1509" s="646">
        <f>A1508+1</f>
        <v>7</v>
      </c>
      <c r="B1509" s="646" t="s">
        <v>897</v>
      </c>
      <c r="C1509" s="641">
        <v>300000</v>
      </c>
      <c r="D1509" s="641">
        <v>1000000</v>
      </c>
      <c r="E1509" s="641">
        <v>1000000</v>
      </c>
      <c r="F1509" s="647">
        <f t="shared" si="194"/>
        <v>2300000</v>
      </c>
      <c r="G1509" s="641">
        <v>420000</v>
      </c>
      <c r="H1509" s="641">
        <f>1092727-100000</f>
        <v>992727</v>
      </c>
      <c r="I1509" s="641"/>
      <c r="J1509" s="391"/>
    </row>
    <row r="1510" spans="1:11" ht="12.75" customHeight="1">
      <c r="A1510" s="646">
        <v>8</v>
      </c>
      <c r="B1510" s="646" t="s">
        <v>1385</v>
      </c>
      <c r="C1510" s="641">
        <f t="shared" si="195"/>
        <v>0</v>
      </c>
      <c r="D1510" s="641">
        <v>0</v>
      </c>
      <c r="E1510" s="641">
        <v>0</v>
      </c>
      <c r="F1510" s="647">
        <f t="shared" si="194"/>
        <v>0</v>
      </c>
      <c r="G1510" s="641" t="s">
        <v>1386</v>
      </c>
      <c r="H1510" s="641">
        <v>0</v>
      </c>
      <c r="I1510" s="642"/>
      <c r="J1510" s="391"/>
    </row>
    <row r="1511" spans="1:11" ht="12.75" customHeight="1">
      <c r="A1511" s="646">
        <v>9</v>
      </c>
      <c r="B1511" s="646" t="s">
        <v>755</v>
      </c>
      <c r="C1511" s="641">
        <f t="shared" si="195"/>
        <v>0</v>
      </c>
      <c r="D1511" s="641">
        <v>0</v>
      </c>
      <c r="E1511" s="641">
        <v>0</v>
      </c>
      <c r="F1511" s="647">
        <f t="shared" si="194"/>
        <v>0</v>
      </c>
      <c r="G1511" s="641" t="s">
        <v>1386</v>
      </c>
      <c r="H1511" s="641">
        <v>0</v>
      </c>
      <c r="I1511" s="642"/>
      <c r="J1511" s="391"/>
    </row>
    <row r="1512" spans="1:11" ht="12.75" customHeight="1">
      <c r="A1512" s="646">
        <v>10</v>
      </c>
      <c r="B1512" s="646" t="s">
        <v>1680</v>
      </c>
      <c r="C1512" s="641">
        <v>300000</v>
      </c>
      <c r="D1512" s="641">
        <v>1000000</v>
      </c>
      <c r="E1512" s="641">
        <v>1000000</v>
      </c>
      <c r="F1512" s="647">
        <f t="shared" si="194"/>
        <v>2300000</v>
      </c>
      <c r="G1512" s="641">
        <v>0</v>
      </c>
      <c r="H1512" s="641">
        <f>1092727-87779</f>
        <v>1004948</v>
      </c>
      <c r="I1512" s="641"/>
      <c r="J1512" s="391"/>
    </row>
    <row r="1513" spans="1:11" ht="12.75" customHeight="1">
      <c r="A1513" s="646">
        <f>A1512+1</f>
        <v>11</v>
      </c>
      <c r="B1513" s="646" t="s">
        <v>1681</v>
      </c>
      <c r="C1513" s="641">
        <v>100000</v>
      </c>
      <c r="D1513" s="641">
        <v>100000</v>
      </c>
      <c r="E1513" s="641">
        <v>100000</v>
      </c>
      <c r="F1513" s="647">
        <f t="shared" si="194"/>
        <v>300000</v>
      </c>
      <c r="G1513" s="642">
        <v>55200</v>
      </c>
      <c r="H1513" s="641">
        <v>109272.7</v>
      </c>
      <c r="I1513" s="642"/>
      <c r="J1513" s="391"/>
    </row>
    <row r="1514" spans="1:11" ht="12.75" customHeight="1">
      <c r="A1514" s="646">
        <f>A1513+1</f>
        <v>12</v>
      </c>
      <c r="B1514" s="646" t="s">
        <v>1682</v>
      </c>
      <c r="C1514" s="641">
        <v>800000</v>
      </c>
      <c r="D1514" s="641">
        <v>1500000</v>
      </c>
      <c r="E1514" s="641">
        <v>1500000</v>
      </c>
      <c r="F1514" s="647">
        <f t="shared" si="194"/>
        <v>3800000</v>
      </c>
      <c r="G1514" s="642">
        <v>987000</v>
      </c>
      <c r="H1514" s="641">
        <v>1639090.5</v>
      </c>
      <c r="I1514" s="642"/>
      <c r="J1514" s="391"/>
    </row>
    <row r="1515" spans="1:11" ht="12.75" customHeight="1">
      <c r="A1515" s="646">
        <f>A1514+1</f>
        <v>13</v>
      </c>
      <c r="B1515" s="646" t="s">
        <v>2249</v>
      </c>
      <c r="C1515" s="641">
        <v>100000</v>
      </c>
      <c r="D1515" s="641">
        <v>100000</v>
      </c>
      <c r="E1515" s="641">
        <v>100000</v>
      </c>
      <c r="F1515" s="647">
        <f t="shared" si="194"/>
        <v>300000</v>
      </c>
      <c r="G1515" s="641">
        <v>0</v>
      </c>
      <c r="H1515" s="641">
        <v>100000</v>
      </c>
      <c r="I1515" s="641"/>
      <c r="J1515" s="391"/>
    </row>
    <row r="1516" spans="1:11" ht="12.75" customHeight="1">
      <c r="A1516" s="646">
        <f>A1515+1</f>
        <v>14</v>
      </c>
      <c r="B1516" s="646" t="s">
        <v>1336</v>
      </c>
      <c r="C1516" s="641">
        <v>200000</v>
      </c>
      <c r="D1516" s="641">
        <v>800000</v>
      </c>
      <c r="E1516" s="641">
        <v>800000</v>
      </c>
      <c r="F1516" s="647">
        <f t="shared" si="194"/>
        <v>1800000</v>
      </c>
      <c r="G1516" s="641">
        <v>0</v>
      </c>
      <c r="H1516" s="641">
        <v>800000</v>
      </c>
      <c r="I1516" s="641"/>
      <c r="J1516" s="391"/>
    </row>
    <row r="1517" spans="1:11" ht="12.75" customHeight="1">
      <c r="A1517" s="646"/>
      <c r="B1517" s="646"/>
      <c r="C1517" s="641"/>
      <c r="D1517" s="641"/>
      <c r="E1517" s="641"/>
      <c r="F1517" s="647"/>
      <c r="G1517" s="641"/>
      <c r="H1517" s="641"/>
      <c r="I1517" s="641"/>
      <c r="J1517" s="391"/>
    </row>
    <row r="1518" spans="1:11" ht="12.75" customHeight="1">
      <c r="A1518" s="646" t="s">
        <v>478</v>
      </c>
      <c r="B1518" s="651" t="s">
        <v>819</v>
      </c>
      <c r="C1518" s="652">
        <f t="shared" ref="C1518:I1518" si="196">SUM(C1504:C1516)</f>
        <v>3300000</v>
      </c>
      <c r="D1518" s="652">
        <f t="shared" si="196"/>
        <v>6800000</v>
      </c>
      <c r="E1518" s="652">
        <f t="shared" si="196"/>
        <v>6800000</v>
      </c>
      <c r="F1518" s="652">
        <f t="shared" si="196"/>
        <v>16900000</v>
      </c>
      <c r="G1518" s="652">
        <f t="shared" si="196"/>
        <v>2114200</v>
      </c>
      <c r="H1518" s="652">
        <f>SUM(H1504:H1516)</f>
        <v>7159310.2999999998</v>
      </c>
      <c r="I1518" s="652">
        <f t="shared" si="196"/>
        <v>0</v>
      </c>
      <c r="J1518" s="391"/>
      <c r="K1518" s="657">
        <f>7159310-H1518</f>
        <v>-0.29999999981373549</v>
      </c>
    </row>
    <row r="1519" spans="1:11" ht="12.75" customHeight="1">
      <c r="A1519" s="646"/>
      <c r="B1519" s="646"/>
      <c r="C1519" s="641"/>
      <c r="D1519" s="641"/>
      <c r="E1519" s="641"/>
      <c r="F1519" s="641"/>
      <c r="G1519" s="641"/>
      <c r="H1519" s="641"/>
      <c r="I1519" s="641"/>
      <c r="J1519" s="391"/>
    </row>
    <row r="1520" spans="1:11" ht="12.75" customHeight="1">
      <c r="A1520" s="653"/>
      <c r="B1520" s="653" t="s">
        <v>1684</v>
      </c>
      <c r="C1520" s="645">
        <f t="shared" ref="C1520:I1520" si="197">+C1518+C1502</f>
        <v>10300000</v>
      </c>
      <c r="D1520" s="645">
        <f t="shared" si="197"/>
        <v>11800000</v>
      </c>
      <c r="E1520" s="645">
        <f t="shared" si="197"/>
        <v>14800000</v>
      </c>
      <c r="F1520" s="645">
        <f t="shared" si="197"/>
        <v>36900000</v>
      </c>
      <c r="G1520" s="645">
        <f t="shared" si="197"/>
        <v>6014200</v>
      </c>
      <c r="H1520" s="645">
        <f>+H1518+H1502</f>
        <v>15659310.300000001</v>
      </c>
      <c r="I1520" s="645" t="e">
        <f t="shared" si="197"/>
        <v>#REF!</v>
      </c>
      <c r="J1520" s="391"/>
    </row>
    <row r="1521" spans="1:10" ht="12.75" customHeight="1">
      <c r="A1521" s="391"/>
      <c r="B1521" s="391"/>
      <c r="C1521" s="647"/>
      <c r="D1521" s="647"/>
      <c r="E1521" s="647"/>
      <c r="F1521" s="647"/>
      <c r="G1521" s="647"/>
      <c r="H1521" s="647"/>
      <c r="I1521" s="391"/>
      <c r="J1521" s="391"/>
    </row>
    <row r="1522" spans="1:10" ht="12.75" customHeight="1">
      <c r="A1522" s="391"/>
      <c r="B1522" s="391"/>
      <c r="C1522" s="647"/>
      <c r="D1522" s="647"/>
      <c r="E1522" s="647"/>
      <c r="F1522" s="647"/>
      <c r="G1522" s="647"/>
      <c r="H1522" s="647"/>
      <c r="I1522" s="391"/>
      <c r="J1522" s="391"/>
    </row>
    <row r="1523" spans="1:10" ht="12.75" customHeight="1">
      <c r="A1523" s="391"/>
      <c r="B1523" s="391"/>
      <c r="C1523" s="647"/>
      <c r="D1523" s="308" t="s">
        <v>5434</v>
      </c>
      <c r="E1523" s="647"/>
      <c r="F1523" s="647"/>
      <c r="H1523" s="647"/>
      <c r="I1523" s="391"/>
      <c r="J1523" s="391"/>
    </row>
    <row r="1524" spans="1:10" ht="12.75" customHeight="1">
      <c r="A1524" s="655"/>
      <c r="B1524" s="633"/>
      <c r="C1524" s="655"/>
      <c r="D1524" s="308" t="s">
        <v>716</v>
      </c>
      <c r="E1524" s="655"/>
      <c r="F1524" s="647"/>
      <c r="H1524" s="655"/>
      <c r="I1524" s="391"/>
      <c r="J1524" s="391"/>
    </row>
    <row r="1525" spans="1:10" ht="12.75" customHeight="1">
      <c r="A1525" s="655"/>
      <c r="B1525" s="633"/>
      <c r="C1525" s="655"/>
      <c r="D1525" s="308" t="s">
        <v>2391</v>
      </c>
      <c r="E1525" s="655"/>
      <c r="F1525" s="647"/>
      <c r="H1525" s="655"/>
      <c r="I1525" s="391"/>
      <c r="J1525" s="391"/>
    </row>
    <row r="1526" spans="1:10" ht="12.75" customHeight="1">
      <c r="A1526" s="655"/>
      <c r="B1526" s="655"/>
      <c r="C1526" s="655"/>
      <c r="D1526" s="307" t="s">
        <v>479</v>
      </c>
      <c r="E1526" s="655"/>
      <c r="F1526" s="647"/>
      <c r="H1526" s="655"/>
      <c r="I1526" s="391"/>
      <c r="J1526" s="391"/>
    </row>
    <row r="1527" spans="1:10" ht="12.75" customHeight="1">
      <c r="A1527" s="634" t="s">
        <v>1839</v>
      </c>
      <c r="B1527" s="635" t="s">
        <v>903</v>
      </c>
      <c r="C1527" s="1037" t="s">
        <v>4127</v>
      </c>
      <c r="D1527" s="1038"/>
      <c r="E1527" s="1039"/>
      <c r="F1527" s="635" t="s">
        <v>1684</v>
      </c>
      <c r="G1527" s="1037" t="s">
        <v>4132</v>
      </c>
      <c r="H1527" s="1038"/>
      <c r="I1527" s="1039"/>
      <c r="J1527" s="391"/>
    </row>
    <row r="1528" spans="1:10" ht="12.75" customHeight="1">
      <c r="A1528" s="636" t="s">
        <v>1620</v>
      </c>
      <c r="B1528" s="637"/>
      <c r="C1528" s="635" t="s">
        <v>1841</v>
      </c>
      <c r="D1528" s="635" t="s">
        <v>4133</v>
      </c>
      <c r="E1528" s="635" t="s">
        <v>4133</v>
      </c>
      <c r="F1528" s="1056" t="s">
        <v>4200</v>
      </c>
      <c r="G1528" s="1051" t="s">
        <v>4201</v>
      </c>
      <c r="H1528" s="635" t="s">
        <v>1841</v>
      </c>
      <c r="I1528" s="634" t="s">
        <v>4135</v>
      </c>
      <c r="J1528" s="391"/>
    </row>
    <row r="1529" spans="1:10" ht="12.75" customHeight="1">
      <c r="A1529" s="638" t="s">
        <v>387</v>
      </c>
      <c r="B1529" s="639"/>
      <c r="C1529" s="638">
        <v>2015</v>
      </c>
      <c r="D1529" s="638">
        <v>2016</v>
      </c>
      <c r="E1529" s="638">
        <v>2017</v>
      </c>
      <c r="F1529" s="1057"/>
      <c r="G1529" s="1052"/>
      <c r="H1529" s="638">
        <v>2014</v>
      </c>
      <c r="I1529" s="638" t="s">
        <v>4303</v>
      </c>
      <c r="J1529" s="391"/>
    </row>
    <row r="1530" spans="1:10" ht="12.75" customHeight="1">
      <c r="A1530" s="646" t="s">
        <v>480</v>
      </c>
      <c r="B1530" s="646" t="s">
        <v>1693</v>
      </c>
      <c r="C1530" s="641">
        <v>6371221.6500000004</v>
      </c>
      <c r="D1530" s="641">
        <v>7035000</v>
      </c>
      <c r="E1530" s="641">
        <v>7035000</v>
      </c>
      <c r="F1530" s="647">
        <f>SUM(C1530:E1530)</f>
        <v>20441221.649999999</v>
      </c>
      <c r="G1530" s="641"/>
      <c r="H1530" s="641">
        <v>7035000</v>
      </c>
      <c r="I1530" s="641" t="e">
        <f>#REF!</f>
        <v>#REF!</v>
      </c>
      <c r="J1530" s="391"/>
    </row>
    <row r="1531" spans="1:10" ht="12.75" customHeight="1">
      <c r="A1531" s="646"/>
      <c r="B1531" s="646"/>
      <c r="C1531" s="662"/>
      <c r="D1531" s="662"/>
      <c r="E1531" s="662"/>
      <c r="F1531" s="647"/>
      <c r="G1531" s="641"/>
      <c r="H1531" s="662"/>
      <c r="I1531" s="641"/>
      <c r="J1531" s="391"/>
    </row>
    <row r="1532" spans="1:10" ht="12.75" customHeight="1">
      <c r="A1532" s="646">
        <v>2</v>
      </c>
      <c r="B1532" s="646" t="s">
        <v>1695</v>
      </c>
      <c r="C1532" s="641">
        <v>300000</v>
      </c>
      <c r="D1532" s="641">
        <v>800000</v>
      </c>
      <c r="E1532" s="641">
        <v>800000</v>
      </c>
      <c r="F1532" s="647">
        <f t="shared" ref="F1532:F1545" si="198">SUM(C1532:E1532)</f>
        <v>1900000</v>
      </c>
      <c r="G1532" s="641">
        <v>0</v>
      </c>
      <c r="H1532" s="641">
        <v>874181.6</v>
      </c>
      <c r="I1532" s="641">
        <v>0</v>
      </c>
      <c r="J1532" s="391"/>
    </row>
    <row r="1533" spans="1:10" ht="12.75" customHeight="1">
      <c r="A1533" s="646">
        <f>A1532+1</f>
        <v>3</v>
      </c>
      <c r="B1533" s="646" t="s">
        <v>1696</v>
      </c>
      <c r="C1533" s="641">
        <v>0</v>
      </c>
      <c r="D1533" s="641">
        <v>0</v>
      </c>
      <c r="E1533" s="641">
        <v>0</v>
      </c>
      <c r="F1533" s="647">
        <f t="shared" si="198"/>
        <v>0</v>
      </c>
      <c r="G1533" s="642" t="s">
        <v>1386</v>
      </c>
      <c r="H1533" s="641">
        <v>0</v>
      </c>
      <c r="I1533" s="642" t="s">
        <v>1386</v>
      </c>
      <c r="J1533" s="391"/>
    </row>
    <row r="1534" spans="1:10" ht="12.75" customHeight="1">
      <c r="A1534" s="646">
        <v>4</v>
      </c>
      <c r="B1534" s="646" t="s">
        <v>1701</v>
      </c>
      <c r="C1534" s="641">
        <v>0</v>
      </c>
      <c r="D1534" s="641">
        <v>0</v>
      </c>
      <c r="E1534" s="641">
        <v>0</v>
      </c>
      <c r="F1534" s="647">
        <f t="shared" si="198"/>
        <v>0</v>
      </c>
      <c r="G1534" s="642" t="s">
        <v>1386</v>
      </c>
      <c r="H1534" s="641">
        <v>0</v>
      </c>
      <c r="I1534" s="642" t="s">
        <v>1386</v>
      </c>
      <c r="J1534" s="391"/>
    </row>
    <row r="1535" spans="1:10" ht="12.75" customHeight="1">
      <c r="A1535" s="646">
        <v>5</v>
      </c>
      <c r="B1535" s="646" t="s">
        <v>1702</v>
      </c>
      <c r="C1535" s="641">
        <v>100000</v>
      </c>
      <c r="D1535" s="641">
        <v>500000</v>
      </c>
      <c r="E1535" s="641">
        <v>500000</v>
      </c>
      <c r="F1535" s="647">
        <f t="shared" si="198"/>
        <v>1100000</v>
      </c>
      <c r="G1535" s="642">
        <v>0</v>
      </c>
      <c r="H1535" s="641">
        <v>546363.5</v>
      </c>
      <c r="I1535" s="642">
        <v>0</v>
      </c>
      <c r="J1535" s="391"/>
    </row>
    <row r="1536" spans="1:10" ht="12.75" customHeight="1">
      <c r="A1536" s="646">
        <f>A1535+1</f>
        <v>6</v>
      </c>
      <c r="B1536" s="646" t="s">
        <v>1544</v>
      </c>
      <c r="C1536" s="641">
        <v>100000</v>
      </c>
      <c r="D1536" s="641">
        <v>800000</v>
      </c>
      <c r="E1536" s="641">
        <v>800000</v>
      </c>
      <c r="F1536" s="647">
        <f t="shared" si="198"/>
        <v>1700000</v>
      </c>
      <c r="G1536" s="641">
        <v>0</v>
      </c>
      <c r="H1536" s="641">
        <v>874181.6</v>
      </c>
      <c r="I1536" s="641">
        <v>0</v>
      </c>
      <c r="J1536" s="391"/>
    </row>
    <row r="1537" spans="1:11" ht="12.75" customHeight="1">
      <c r="A1537" s="646">
        <f>A1536+1</f>
        <v>7</v>
      </c>
      <c r="B1537" s="646" t="s">
        <v>897</v>
      </c>
      <c r="C1537" s="641">
        <v>100000</v>
      </c>
      <c r="D1537" s="641">
        <v>800000</v>
      </c>
      <c r="E1537" s="641">
        <v>800000</v>
      </c>
      <c r="F1537" s="647">
        <f t="shared" si="198"/>
        <v>1700000</v>
      </c>
      <c r="G1537" s="641">
        <v>0</v>
      </c>
      <c r="H1537" s="641">
        <v>874181.6</v>
      </c>
      <c r="I1537" s="641">
        <v>0</v>
      </c>
      <c r="J1537" s="391"/>
    </row>
    <row r="1538" spans="1:11" ht="12.75" customHeight="1">
      <c r="A1538" s="646">
        <v>8</v>
      </c>
      <c r="B1538" s="646" t="s">
        <v>1385</v>
      </c>
      <c r="C1538" s="641">
        <v>0</v>
      </c>
      <c r="D1538" s="641">
        <v>0</v>
      </c>
      <c r="E1538" s="641">
        <v>0</v>
      </c>
      <c r="F1538" s="647">
        <f t="shared" si="198"/>
        <v>0</v>
      </c>
      <c r="G1538" s="642" t="s">
        <v>1386</v>
      </c>
      <c r="H1538" s="641">
        <v>0</v>
      </c>
      <c r="I1538" s="642" t="s">
        <v>1386</v>
      </c>
      <c r="J1538" s="391"/>
    </row>
    <row r="1539" spans="1:11" ht="12.75" customHeight="1">
      <c r="A1539" s="646">
        <v>9</v>
      </c>
      <c r="B1539" s="646" t="s">
        <v>755</v>
      </c>
      <c r="C1539" s="641">
        <v>0</v>
      </c>
      <c r="D1539" s="641">
        <v>0</v>
      </c>
      <c r="E1539" s="641">
        <v>0</v>
      </c>
      <c r="F1539" s="647">
        <f t="shared" si="198"/>
        <v>0</v>
      </c>
      <c r="G1539" s="642" t="s">
        <v>1386</v>
      </c>
      <c r="H1539" s="641">
        <v>0</v>
      </c>
      <c r="I1539" s="642" t="s">
        <v>1386</v>
      </c>
      <c r="J1539" s="391"/>
    </row>
    <row r="1540" spans="1:11" ht="12.75" customHeight="1">
      <c r="A1540" s="646">
        <v>10</v>
      </c>
      <c r="B1540" s="646" t="s">
        <v>1680</v>
      </c>
      <c r="C1540" s="641">
        <v>100000</v>
      </c>
      <c r="D1540" s="641">
        <v>400000</v>
      </c>
      <c r="E1540" s="641">
        <v>400000</v>
      </c>
      <c r="F1540" s="647">
        <f t="shared" si="198"/>
        <v>900000</v>
      </c>
      <c r="G1540" s="641">
        <v>0</v>
      </c>
      <c r="H1540" s="641">
        <v>437090.8</v>
      </c>
      <c r="I1540" s="641">
        <v>0</v>
      </c>
      <c r="J1540" s="391"/>
    </row>
    <row r="1541" spans="1:11" ht="12.75" customHeight="1">
      <c r="A1541" s="646">
        <f>A1540+1</f>
        <v>11</v>
      </c>
      <c r="B1541" s="646" t="s">
        <v>1681</v>
      </c>
      <c r="C1541" s="641">
        <v>100000</v>
      </c>
      <c r="D1541" s="641">
        <v>100000</v>
      </c>
      <c r="E1541" s="641">
        <v>100000</v>
      </c>
      <c r="F1541" s="647">
        <f t="shared" si="198"/>
        <v>300000</v>
      </c>
      <c r="G1541" s="642">
        <v>0</v>
      </c>
      <c r="H1541" s="641">
        <v>109272.7</v>
      </c>
      <c r="I1541" s="642">
        <v>0</v>
      </c>
      <c r="J1541" s="391"/>
    </row>
    <row r="1542" spans="1:11" ht="12.75" customHeight="1">
      <c r="A1542" s="646">
        <f>A1541+1</f>
        <v>12</v>
      </c>
      <c r="B1542" s="646" t="s">
        <v>1682</v>
      </c>
      <c r="C1542" s="641">
        <v>1000000</v>
      </c>
      <c r="D1542" s="641">
        <v>1000000</v>
      </c>
      <c r="E1542" s="641">
        <v>1000000</v>
      </c>
      <c r="F1542" s="647">
        <f t="shared" si="198"/>
        <v>3000000</v>
      </c>
      <c r="G1542" s="642">
        <v>0</v>
      </c>
      <c r="H1542" s="641">
        <v>1092727</v>
      </c>
      <c r="I1542" s="642">
        <v>0</v>
      </c>
      <c r="J1542" s="391"/>
    </row>
    <row r="1543" spans="1:11" ht="12.75" customHeight="1">
      <c r="A1543" s="646">
        <f>A1542+1</f>
        <v>13</v>
      </c>
      <c r="B1543" s="646" t="s">
        <v>2249</v>
      </c>
      <c r="C1543" s="641">
        <v>100000</v>
      </c>
      <c r="D1543" s="641">
        <v>100000</v>
      </c>
      <c r="E1543" s="641">
        <v>100000</v>
      </c>
      <c r="F1543" s="647">
        <f t="shared" si="198"/>
        <v>300000</v>
      </c>
      <c r="G1543" s="642">
        <v>0</v>
      </c>
      <c r="H1543" s="641">
        <v>100000</v>
      </c>
      <c r="I1543" s="642">
        <v>0</v>
      </c>
      <c r="J1543" s="391"/>
    </row>
    <row r="1544" spans="1:11" ht="12.75" customHeight="1">
      <c r="A1544" s="646">
        <f>A1543+1</f>
        <v>14</v>
      </c>
      <c r="B1544" s="646" t="s">
        <v>1336</v>
      </c>
      <c r="C1544" s="641">
        <v>100000</v>
      </c>
      <c r="D1544" s="641">
        <v>800000</v>
      </c>
      <c r="E1544" s="641">
        <v>800000</v>
      </c>
      <c r="F1544" s="647">
        <f t="shared" si="198"/>
        <v>1700000</v>
      </c>
      <c r="G1544" s="642">
        <v>0</v>
      </c>
      <c r="H1544" s="641">
        <v>800000</v>
      </c>
      <c r="I1544" s="642">
        <v>0</v>
      </c>
      <c r="J1544" s="391"/>
    </row>
    <row r="1545" spans="1:11" ht="12.75" customHeight="1">
      <c r="A1545" s="646">
        <f>A1544+1</f>
        <v>15</v>
      </c>
      <c r="B1545" s="646" t="s">
        <v>4155</v>
      </c>
      <c r="C1545" s="641">
        <v>2000000</v>
      </c>
      <c r="D1545" s="641">
        <v>4500000</v>
      </c>
      <c r="E1545" s="641">
        <v>4500000</v>
      </c>
      <c r="F1545" s="647">
        <f t="shared" si="198"/>
        <v>11000000</v>
      </c>
      <c r="G1545" s="642">
        <v>0</v>
      </c>
      <c r="H1545" s="641">
        <v>4859961</v>
      </c>
      <c r="I1545" s="642">
        <v>0</v>
      </c>
      <c r="J1545" s="391"/>
    </row>
    <row r="1546" spans="1:11" ht="12.75" customHeight="1">
      <c r="A1546" s="646"/>
      <c r="B1546" s="646"/>
      <c r="C1546" s="641"/>
      <c r="D1546" s="641"/>
      <c r="E1546" s="641"/>
      <c r="F1546" s="647"/>
      <c r="G1546" s="642"/>
      <c r="H1546" s="641"/>
      <c r="I1546" s="642"/>
      <c r="J1546" s="391"/>
    </row>
    <row r="1547" spans="1:11" ht="12.75" customHeight="1">
      <c r="A1547" s="646" t="s">
        <v>629</v>
      </c>
      <c r="B1547" s="651" t="s">
        <v>819</v>
      </c>
      <c r="C1547" s="652">
        <f t="shared" ref="C1547:I1547" si="199">SUM(C1532:C1546)</f>
        <v>4000000</v>
      </c>
      <c r="D1547" s="652">
        <f t="shared" si="199"/>
        <v>9800000</v>
      </c>
      <c r="E1547" s="652">
        <f t="shared" si="199"/>
        <v>9800000</v>
      </c>
      <c r="F1547" s="652">
        <f t="shared" si="199"/>
        <v>23600000</v>
      </c>
      <c r="G1547" s="652">
        <f t="shared" si="199"/>
        <v>0</v>
      </c>
      <c r="H1547" s="652">
        <f>SUM(H1532:H1546)</f>
        <v>10567959.800000001</v>
      </c>
      <c r="I1547" s="652">
        <f t="shared" si="199"/>
        <v>0</v>
      </c>
      <c r="J1547" s="391"/>
      <c r="K1547" s="657">
        <f>10567960-H1547</f>
        <v>0.19999999925494194</v>
      </c>
    </row>
    <row r="1548" spans="1:11" ht="12.75" customHeight="1">
      <c r="A1548" s="646"/>
      <c r="B1548" s="646"/>
      <c r="C1548" s="641"/>
      <c r="D1548" s="641"/>
      <c r="E1548" s="641"/>
      <c r="F1548" s="641"/>
      <c r="G1548" s="641"/>
      <c r="H1548" s="641"/>
      <c r="I1548" s="641"/>
      <c r="J1548" s="391"/>
    </row>
    <row r="1549" spans="1:11" ht="12.75" customHeight="1">
      <c r="A1549" s="653"/>
      <c r="B1549" s="653" t="s">
        <v>1684</v>
      </c>
      <c r="C1549" s="645">
        <f t="shared" ref="C1549:I1549" si="200">+C1547+C1530</f>
        <v>10371221.65</v>
      </c>
      <c r="D1549" s="645">
        <f t="shared" si="200"/>
        <v>16835000</v>
      </c>
      <c r="E1549" s="645">
        <f t="shared" si="200"/>
        <v>16835000</v>
      </c>
      <c r="F1549" s="645">
        <f t="shared" si="200"/>
        <v>44041221.649999999</v>
      </c>
      <c r="G1549" s="645">
        <f t="shared" si="200"/>
        <v>0</v>
      </c>
      <c r="H1549" s="645">
        <f>+H1547+H1530</f>
        <v>17602959.800000001</v>
      </c>
      <c r="I1549" s="645" t="e">
        <f t="shared" si="200"/>
        <v>#REF!</v>
      </c>
      <c r="J1549" s="391"/>
    </row>
    <row r="1550" spans="1:11" ht="12.75" customHeight="1">
      <c r="A1550" s="391"/>
      <c r="B1550" s="391"/>
      <c r="C1550" s="647"/>
      <c r="D1550" s="647"/>
      <c r="E1550" s="647"/>
      <c r="F1550" s="647"/>
      <c r="G1550" s="647"/>
      <c r="H1550" s="647"/>
      <c r="I1550" s="391"/>
      <c r="J1550" s="391"/>
    </row>
    <row r="1551" spans="1:11" ht="12.75" customHeight="1">
      <c r="A1551" s="391"/>
      <c r="B1551" s="391"/>
      <c r="C1551" s="647"/>
      <c r="D1551" s="308" t="s">
        <v>5434</v>
      </c>
      <c r="E1551" s="647"/>
      <c r="F1551" s="647"/>
      <c r="H1551" s="647"/>
      <c r="I1551" s="391"/>
      <c r="J1551" s="391"/>
    </row>
    <row r="1552" spans="1:11" ht="12.75" customHeight="1">
      <c r="A1552" s="655"/>
      <c r="B1552" s="633"/>
      <c r="C1552" s="655"/>
      <c r="D1552" s="308" t="s">
        <v>716</v>
      </c>
      <c r="E1552" s="655"/>
      <c r="F1552" s="647"/>
      <c r="H1552" s="655"/>
      <c r="I1552" s="391"/>
      <c r="J1552" s="391"/>
    </row>
    <row r="1553" spans="1:10" ht="12.75" customHeight="1">
      <c r="A1553" s="655"/>
      <c r="B1553" s="633"/>
      <c r="C1553" s="655"/>
      <c r="D1553" s="308" t="s">
        <v>685</v>
      </c>
      <c r="E1553" s="655"/>
      <c r="F1553" s="647"/>
      <c r="H1553" s="655"/>
      <c r="I1553" s="391"/>
      <c r="J1553" s="391"/>
    </row>
    <row r="1554" spans="1:10" ht="12.75" customHeight="1">
      <c r="A1554" s="655"/>
      <c r="B1554" s="655"/>
      <c r="C1554" s="655"/>
      <c r="D1554" s="307" t="s">
        <v>630</v>
      </c>
      <c r="E1554" s="655"/>
      <c r="F1554" s="647"/>
      <c r="H1554" s="655"/>
      <c r="I1554" s="391"/>
      <c r="J1554" s="391"/>
    </row>
    <row r="1555" spans="1:10" ht="12.75" customHeight="1">
      <c r="A1555" s="634" t="s">
        <v>1839</v>
      </c>
      <c r="B1555" s="635" t="s">
        <v>903</v>
      </c>
      <c r="C1555" s="1037" t="s">
        <v>4127</v>
      </c>
      <c r="D1555" s="1038"/>
      <c r="E1555" s="1039"/>
      <c r="F1555" s="635" t="s">
        <v>1684</v>
      </c>
      <c r="G1555" s="1037" t="s">
        <v>4132</v>
      </c>
      <c r="H1555" s="1038"/>
      <c r="I1555" s="1039"/>
      <c r="J1555" s="391"/>
    </row>
    <row r="1556" spans="1:10" ht="12.75" customHeight="1">
      <c r="A1556" s="636" t="s">
        <v>1620</v>
      </c>
      <c r="B1556" s="637"/>
      <c r="C1556" s="635" t="s">
        <v>1841</v>
      </c>
      <c r="D1556" s="635" t="s">
        <v>4133</v>
      </c>
      <c r="E1556" s="635" t="s">
        <v>4133</v>
      </c>
      <c r="F1556" s="1056" t="s">
        <v>4200</v>
      </c>
      <c r="G1556" s="1051" t="s">
        <v>4201</v>
      </c>
      <c r="H1556" s="635" t="s">
        <v>1841</v>
      </c>
      <c r="I1556" s="634" t="s">
        <v>4135</v>
      </c>
      <c r="J1556" s="391"/>
    </row>
    <row r="1557" spans="1:10" ht="12.75" customHeight="1">
      <c r="A1557" s="638" t="s">
        <v>387</v>
      </c>
      <c r="B1557" s="639"/>
      <c r="C1557" s="638">
        <v>2015</v>
      </c>
      <c r="D1557" s="638">
        <v>2016</v>
      </c>
      <c r="E1557" s="638">
        <v>2017</v>
      </c>
      <c r="F1557" s="1057"/>
      <c r="G1557" s="1052"/>
      <c r="H1557" s="638">
        <v>2014</v>
      </c>
      <c r="I1557" s="638" t="s">
        <v>4303</v>
      </c>
      <c r="J1557" s="391"/>
    </row>
    <row r="1558" spans="1:10" ht="12.75" customHeight="1">
      <c r="A1558" s="646" t="s">
        <v>631</v>
      </c>
      <c r="B1558" s="646" t="s">
        <v>1693</v>
      </c>
      <c r="C1558" s="662">
        <v>363622847.94999999</v>
      </c>
      <c r="D1558" s="662">
        <v>566758400</v>
      </c>
      <c r="E1558" s="662">
        <v>566758400</v>
      </c>
      <c r="F1558" s="647">
        <f>SUM(C1558:E1558)</f>
        <v>1497139647.95</v>
      </c>
      <c r="G1558" s="641">
        <v>286635144</v>
      </c>
      <c r="H1558" s="662">
        <v>360000000</v>
      </c>
      <c r="I1558" s="641" t="e">
        <f>#REF!</f>
        <v>#REF!</v>
      </c>
      <c r="J1558" s="391"/>
    </row>
    <row r="1559" spans="1:10" ht="12.75" customHeight="1">
      <c r="A1559" s="646"/>
      <c r="B1559" s="646"/>
      <c r="C1559" s="662"/>
      <c r="D1559" s="662"/>
      <c r="E1559" s="662"/>
      <c r="F1559" s="647"/>
      <c r="G1559" s="641"/>
      <c r="H1559" s="662"/>
      <c r="I1559" s="641"/>
      <c r="J1559" s="391"/>
    </row>
    <row r="1560" spans="1:10" ht="12.75" customHeight="1">
      <c r="A1560" s="646">
        <v>2</v>
      </c>
      <c r="B1560" s="646" t="s">
        <v>1695</v>
      </c>
      <c r="C1560" s="662">
        <v>1000000</v>
      </c>
      <c r="D1560" s="662">
        <v>1000000</v>
      </c>
      <c r="E1560" s="662">
        <v>1000000</v>
      </c>
      <c r="F1560" s="647">
        <f t="shared" ref="F1560:F1573" si="201">SUM(C1560:E1560)</f>
        <v>3000000</v>
      </c>
      <c r="G1560" s="641">
        <v>35500</v>
      </c>
      <c r="H1560" s="662">
        <v>1060800</v>
      </c>
      <c r="I1560" s="641">
        <v>284000</v>
      </c>
      <c r="J1560" s="391"/>
    </row>
    <row r="1561" spans="1:10" ht="12.75" customHeight="1">
      <c r="A1561" s="646">
        <f>A1560+1</f>
        <v>3</v>
      </c>
      <c r="B1561" s="646" t="s">
        <v>1696</v>
      </c>
      <c r="C1561" s="641" t="s">
        <v>1386</v>
      </c>
      <c r="D1561" s="641" t="s">
        <v>1386</v>
      </c>
      <c r="E1561" s="641" t="s">
        <v>1386</v>
      </c>
      <c r="F1561" s="647">
        <f t="shared" si="201"/>
        <v>0</v>
      </c>
      <c r="G1561" s="642">
        <v>0</v>
      </c>
      <c r="H1561" s="641" t="s">
        <v>1386</v>
      </c>
      <c r="I1561" s="642" t="s">
        <v>1386</v>
      </c>
      <c r="J1561" s="391"/>
    </row>
    <row r="1562" spans="1:10" ht="12.75" customHeight="1">
      <c r="A1562" s="646">
        <v>4</v>
      </c>
      <c r="B1562" s="646" t="s">
        <v>1701</v>
      </c>
      <c r="C1562" s="641" t="s">
        <v>1386</v>
      </c>
      <c r="D1562" s="641" t="s">
        <v>1386</v>
      </c>
      <c r="E1562" s="641" t="s">
        <v>1386</v>
      </c>
      <c r="F1562" s="647">
        <f t="shared" si="201"/>
        <v>0</v>
      </c>
      <c r="G1562" s="642">
        <v>0</v>
      </c>
      <c r="H1562" s="641" t="s">
        <v>1386</v>
      </c>
      <c r="I1562" s="642" t="s">
        <v>1386</v>
      </c>
      <c r="J1562" s="391"/>
    </row>
    <row r="1563" spans="1:10" ht="12.75" customHeight="1">
      <c r="A1563" s="646">
        <v>5</v>
      </c>
      <c r="B1563" s="646" t="s">
        <v>1702</v>
      </c>
      <c r="C1563" s="662">
        <v>500000</v>
      </c>
      <c r="D1563" s="662">
        <v>700000</v>
      </c>
      <c r="E1563" s="662">
        <v>700000</v>
      </c>
      <c r="F1563" s="647">
        <f t="shared" si="201"/>
        <v>1900000</v>
      </c>
      <c r="G1563" s="642">
        <v>75000</v>
      </c>
      <c r="H1563" s="662">
        <v>742560</v>
      </c>
      <c r="I1563" s="642">
        <v>135900</v>
      </c>
      <c r="J1563" s="391"/>
    </row>
    <row r="1564" spans="1:10" ht="12.75" customHeight="1">
      <c r="A1564" s="646">
        <f>A1563+1</f>
        <v>6</v>
      </c>
      <c r="B1564" s="646" t="s">
        <v>1544</v>
      </c>
      <c r="C1564" s="662">
        <v>500000</v>
      </c>
      <c r="D1564" s="662">
        <v>500000</v>
      </c>
      <c r="E1564" s="662">
        <v>500000</v>
      </c>
      <c r="F1564" s="647">
        <f t="shared" si="201"/>
        <v>1500000</v>
      </c>
      <c r="G1564" s="641">
        <v>130000</v>
      </c>
      <c r="H1564" s="662">
        <v>530400</v>
      </c>
      <c r="I1564" s="641">
        <v>318000</v>
      </c>
      <c r="J1564" s="391"/>
    </row>
    <row r="1565" spans="1:10" ht="12.75" customHeight="1">
      <c r="A1565" s="646">
        <f>A1564+1</f>
        <v>7</v>
      </c>
      <c r="B1565" s="646" t="s">
        <v>897</v>
      </c>
      <c r="C1565" s="662">
        <v>600000</v>
      </c>
      <c r="D1565" s="662">
        <v>800000</v>
      </c>
      <c r="E1565" s="662">
        <v>800000</v>
      </c>
      <c r="F1565" s="647">
        <f t="shared" si="201"/>
        <v>2200000</v>
      </c>
      <c r="G1565" s="641">
        <v>220000</v>
      </c>
      <c r="H1565" s="662">
        <v>848640</v>
      </c>
      <c r="I1565" s="641">
        <v>185000</v>
      </c>
      <c r="J1565" s="391"/>
    </row>
    <row r="1566" spans="1:10" ht="12.75" customHeight="1">
      <c r="A1566" s="646">
        <v>8</v>
      </c>
      <c r="B1566" s="646" t="s">
        <v>1385</v>
      </c>
      <c r="C1566" s="641" t="s">
        <v>1386</v>
      </c>
      <c r="D1566" s="641" t="s">
        <v>1386</v>
      </c>
      <c r="E1566" s="641" t="s">
        <v>1386</v>
      </c>
      <c r="F1566" s="647">
        <f t="shared" si="201"/>
        <v>0</v>
      </c>
      <c r="G1566" s="641">
        <v>0</v>
      </c>
      <c r="H1566" s="641" t="s">
        <v>1386</v>
      </c>
      <c r="I1566" s="642" t="s">
        <v>1386</v>
      </c>
      <c r="J1566" s="391"/>
    </row>
    <row r="1567" spans="1:10" ht="12.75" customHeight="1">
      <c r="A1567" s="646">
        <v>9</v>
      </c>
      <c r="B1567" s="646" t="s">
        <v>755</v>
      </c>
      <c r="C1567" s="641" t="s">
        <v>1386</v>
      </c>
      <c r="D1567" s="641" t="s">
        <v>1386</v>
      </c>
      <c r="E1567" s="641" t="s">
        <v>1386</v>
      </c>
      <c r="F1567" s="647">
        <f t="shared" si="201"/>
        <v>0</v>
      </c>
      <c r="G1567" s="641">
        <v>0</v>
      </c>
      <c r="H1567" s="641" t="s">
        <v>1386</v>
      </c>
      <c r="I1567" s="642" t="s">
        <v>1386</v>
      </c>
      <c r="J1567" s="391"/>
    </row>
    <row r="1568" spans="1:10" ht="12.75" customHeight="1">
      <c r="A1568" s="646">
        <v>10</v>
      </c>
      <c r="B1568" s="646" t="s">
        <v>1680</v>
      </c>
      <c r="C1568" s="662">
        <v>500000</v>
      </c>
      <c r="D1568" s="662">
        <v>500000</v>
      </c>
      <c r="E1568" s="662">
        <v>500000</v>
      </c>
      <c r="F1568" s="647">
        <f t="shared" si="201"/>
        <v>1500000</v>
      </c>
      <c r="G1568" s="641">
        <v>0</v>
      </c>
      <c r="H1568" s="662">
        <v>530400</v>
      </c>
      <c r="I1568" s="641">
        <v>0</v>
      </c>
      <c r="J1568" s="391"/>
    </row>
    <row r="1569" spans="1:11" ht="12.75" customHeight="1">
      <c r="A1569" s="646">
        <f>A1568+1</f>
        <v>11</v>
      </c>
      <c r="B1569" s="646" t="s">
        <v>1681</v>
      </c>
      <c r="C1569" s="662">
        <v>100000</v>
      </c>
      <c r="D1569" s="662">
        <v>100000</v>
      </c>
      <c r="E1569" s="662">
        <v>100000</v>
      </c>
      <c r="F1569" s="647">
        <f t="shared" si="201"/>
        <v>300000</v>
      </c>
      <c r="G1569" s="642">
        <v>35000</v>
      </c>
      <c r="H1569" s="662">
        <v>106080</v>
      </c>
      <c r="I1569" s="642">
        <v>15100</v>
      </c>
      <c r="J1569" s="391"/>
    </row>
    <row r="1570" spans="1:11" ht="12.75" customHeight="1">
      <c r="A1570" s="646">
        <f>A1569+1</f>
        <v>12</v>
      </c>
      <c r="B1570" s="646" t="s">
        <v>1682</v>
      </c>
      <c r="C1570" s="662">
        <v>2000000</v>
      </c>
      <c r="D1570" s="662">
        <v>2000000</v>
      </c>
      <c r="E1570" s="662">
        <v>2000000</v>
      </c>
      <c r="F1570" s="647">
        <f t="shared" si="201"/>
        <v>6000000</v>
      </c>
      <c r="G1570" s="642">
        <v>702000</v>
      </c>
      <c r="H1570" s="662">
        <v>2121600</v>
      </c>
      <c r="I1570" s="642">
        <v>722100</v>
      </c>
      <c r="J1570" s="391"/>
    </row>
    <row r="1571" spans="1:11" ht="12.75" customHeight="1">
      <c r="A1571" s="646">
        <f>A1570+1</f>
        <v>13</v>
      </c>
      <c r="B1571" s="646" t="s">
        <v>2249</v>
      </c>
      <c r="C1571" s="641">
        <v>100000</v>
      </c>
      <c r="D1571" s="641">
        <v>100000</v>
      </c>
      <c r="E1571" s="641">
        <v>100000</v>
      </c>
      <c r="F1571" s="647">
        <f t="shared" si="201"/>
        <v>300000</v>
      </c>
      <c r="G1571" s="642">
        <v>0</v>
      </c>
      <c r="H1571" s="641">
        <v>100000</v>
      </c>
      <c r="I1571" s="642">
        <v>0</v>
      </c>
      <c r="J1571" s="391"/>
    </row>
    <row r="1572" spans="1:11" ht="12.75" customHeight="1">
      <c r="A1572" s="646">
        <f>A1571+1</f>
        <v>14</v>
      </c>
      <c r="B1572" s="646" t="s">
        <v>1717</v>
      </c>
      <c r="C1572" s="662">
        <v>500000</v>
      </c>
      <c r="D1572" s="662">
        <v>500000</v>
      </c>
      <c r="E1572" s="662">
        <v>500000</v>
      </c>
      <c r="F1572" s="647">
        <f t="shared" si="201"/>
        <v>1500000</v>
      </c>
      <c r="G1572" s="641">
        <v>0</v>
      </c>
      <c r="H1572" s="662">
        <v>530400</v>
      </c>
      <c r="I1572" s="641">
        <v>0</v>
      </c>
      <c r="J1572" s="391"/>
    </row>
    <row r="1573" spans="1:11" ht="12.75" customHeight="1">
      <c r="A1573" s="646">
        <f>A1572+1</f>
        <v>15</v>
      </c>
      <c r="B1573" s="646" t="s">
        <v>4051</v>
      </c>
      <c r="C1573" s="662">
        <v>2000000</v>
      </c>
      <c r="D1573" s="662">
        <v>2000000</v>
      </c>
      <c r="E1573" s="662">
        <v>2000000</v>
      </c>
      <c r="F1573" s="647">
        <f t="shared" si="201"/>
        <v>6000000</v>
      </c>
      <c r="G1573" s="641">
        <v>520000</v>
      </c>
      <c r="H1573" s="662">
        <f>5304000-230880</f>
        <v>5073120</v>
      </c>
      <c r="I1573" s="641">
        <v>630000</v>
      </c>
      <c r="J1573" s="391"/>
    </row>
    <row r="1574" spans="1:11" ht="12.75" customHeight="1">
      <c r="A1574" s="646"/>
      <c r="B1574" s="646"/>
      <c r="C1574" s="641"/>
      <c r="D1574" s="641"/>
      <c r="E1574" s="641"/>
      <c r="F1574" s="647"/>
      <c r="G1574" s="641"/>
      <c r="H1574" s="641"/>
      <c r="I1574" s="641"/>
      <c r="J1574" s="391"/>
    </row>
    <row r="1575" spans="1:11" ht="12.75" customHeight="1">
      <c r="A1575" s="646"/>
      <c r="B1575" s="646"/>
      <c r="C1575" s="641"/>
      <c r="D1575" s="641"/>
      <c r="E1575" s="641"/>
      <c r="F1575" s="647"/>
      <c r="G1575" s="641"/>
      <c r="H1575" s="641"/>
      <c r="I1575" s="641"/>
      <c r="J1575" s="391"/>
    </row>
    <row r="1576" spans="1:11" ht="12.75" customHeight="1">
      <c r="A1576" s="646"/>
      <c r="B1576" s="646"/>
      <c r="C1576" s="641"/>
      <c r="D1576" s="641"/>
      <c r="E1576" s="641"/>
      <c r="F1576" s="647"/>
      <c r="G1576" s="641"/>
      <c r="H1576" s="641"/>
      <c r="I1576" s="641"/>
      <c r="J1576" s="391"/>
    </row>
    <row r="1577" spans="1:11" ht="12.75" customHeight="1">
      <c r="A1577" s="646" t="s">
        <v>632</v>
      </c>
      <c r="B1577" s="651" t="s">
        <v>819</v>
      </c>
      <c r="C1577" s="652">
        <f t="shared" ref="C1577:I1577" si="202">SUM(C1560:C1576)</f>
        <v>7800000</v>
      </c>
      <c r="D1577" s="652">
        <f t="shared" si="202"/>
        <v>8200000</v>
      </c>
      <c r="E1577" s="652">
        <f t="shared" si="202"/>
        <v>8200000</v>
      </c>
      <c r="F1577" s="652">
        <f t="shared" si="202"/>
        <v>24200000</v>
      </c>
      <c r="G1577" s="652">
        <f t="shared" si="202"/>
        <v>1717500</v>
      </c>
      <c r="H1577" s="652">
        <f>SUM(H1560:H1576)</f>
        <v>11644000</v>
      </c>
      <c r="I1577" s="652">
        <f t="shared" si="202"/>
        <v>2290100</v>
      </c>
      <c r="J1577" s="391"/>
      <c r="K1577" s="657">
        <f>11644000-H1577</f>
        <v>0</v>
      </c>
    </row>
    <row r="1578" spans="1:11" ht="12.75" customHeight="1">
      <c r="A1578" s="646"/>
      <c r="B1578" s="646"/>
      <c r="C1578" s="641"/>
      <c r="D1578" s="641"/>
      <c r="E1578" s="641"/>
      <c r="F1578" s="641"/>
      <c r="G1578" s="641"/>
      <c r="H1578" s="641"/>
      <c r="I1578" s="641"/>
      <c r="J1578" s="391"/>
    </row>
    <row r="1579" spans="1:11" ht="12.75" customHeight="1">
      <c r="A1579" s="653"/>
      <c r="B1579" s="653" t="s">
        <v>1684</v>
      </c>
      <c r="C1579" s="645">
        <f t="shared" ref="C1579:I1579" si="203">+C1577+C1558</f>
        <v>371422847.94999999</v>
      </c>
      <c r="D1579" s="645">
        <f t="shared" si="203"/>
        <v>574958400</v>
      </c>
      <c r="E1579" s="645">
        <f t="shared" si="203"/>
        <v>574958400</v>
      </c>
      <c r="F1579" s="645">
        <f t="shared" si="203"/>
        <v>1521339647.95</v>
      </c>
      <c r="G1579" s="645">
        <f t="shared" si="203"/>
        <v>288352644</v>
      </c>
      <c r="H1579" s="645">
        <f>+H1577+H1558</f>
        <v>371644000</v>
      </c>
      <c r="I1579" s="645" t="e">
        <f t="shared" si="203"/>
        <v>#REF!</v>
      </c>
      <c r="J1579" s="391"/>
    </row>
    <row r="1580" spans="1:11" ht="12.75" customHeight="1">
      <c r="A1580" s="391"/>
      <c r="B1580" s="391"/>
      <c r="C1580" s="647"/>
      <c r="D1580" s="647"/>
      <c r="E1580" s="647"/>
      <c r="F1580" s="647"/>
      <c r="G1580" s="647"/>
      <c r="H1580" s="647"/>
      <c r="I1580" s="391"/>
      <c r="J1580" s="391"/>
    </row>
    <row r="1581" spans="1:11" ht="12.75" customHeight="1">
      <c r="A1581" s="391"/>
      <c r="B1581" s="391"/>
      <c r="C1581" s="647"/>
      <c r="D1581" s="308" t="s">
        <v>5434</v>
      </c>
      <c r="E1581" s="647"/>
      <c r="F1581" s="647"/>
      <c r="H1581" s="647"/>
      <c r="I1581" s="391"/>
      <c r="J1581" s="391"/>
    </row>
    <row r="1582" spans="1:11" ht="12.75" customHeight="1">
      <c r="A1582" s="655"/>
      <c r="B1582" s="633"/>
      <c r="C1582" s="655"/>
      <c r="D1582" s="308" t="s">
        <v>716</v>
      </c>
      <c r="E1582" s="655"/>
      <c r="F1582" s="647"/>
      <c r="H1582" s="655"/>
      <c r="I1582" s="391"/>
      <c r="J1582" s="391"/>
    </row>
    <row r="1583" spans="1:11" ht="12.75" customHeight="1">
      <c r="A1583" s="655"/>
      <c r="B1583" s="633"/>
      <c r="C1583" s="655"/>
      <c r="D1583" s="308" t="s">
        <v>686</v>
      </c>
      <c r="E1583" s="655"/>
      <c r="F1583" s="647"/>
      <c r="H1583" s="655"/>
      <c r="I1583" s="391"/>
      <c r="J1583" s="391"/>
    </row>
    <row r="1584" spans="1:11" ht="12.75" customHeight="1">
      <c r="A1584" s="655"/>
      <c r="B1584" s="655"/>
      <c r="C1584" s="655"/>
      <c r="D1584" s="307" t="s">
        <v>633</v>
      </c>
      <c r="E1584" s="655"/>
      <c r="F1584" s="647"/>
      <c r="H1584" s="655"/>
      <c r="I1584" s="391"/>
      <c r="J1584" s="391"/>
    </row>
    <row r="1585" spans="1:10" ht="12.75" customHeight="1">
      <c r="A1585" s="634" t="s">
        <v>1839</v>
      </c>
      <c r="B1585" s="635" t="s">
        <v>903</v>
      </c>
      <c r="C1585" s="1037" t="s">
        <v>4127</v>
      </c>
      <c r="D1585" s="1038"/>
      <c r="E1585" s="1039"/>
      <c r="F1585" s="635" t="s">
        <v>1684</v>
      </c>
      <c r="G1585" s="1037" t="s">
        <v>4132</v>
      </c>
      <c r="H1585" s="1038"/>
      <c r="I1585" s="1039"/>
      <c r="J1585" s="391"/>
    </row>
    <row r="1586" spans="1:10" ht="12.75" customHeight="1">
      <c r="A1586" s="636" t="s">
        <v>1620</v>
      </c>
      <c r="B1586" s="637"/>
      <c r="C1586" s="635" t="s">
        <v>1841</v>
      </c>
      <c r="D1586" s="635" t="s">
        <v>4133</v>
      </c>
      <c r="E1586" s="635" t="s">
        <v>4133</v>
      </c>
      <c r="F1586" s="1056" t="s">
        <v>4200</v>
      </c>
      <c r="G1586" s="1051" t="s">
        <v>4201</v>
      </c>
      <c r="H1586" s="635" t="s">
        <v>1841</v>
      </c>
      <c r="I1586" s="634" t="s">
        <v>4135</v>
      </c>
      <c r="J1586" s="391"/>
    </row>
    <row r="1587" spans="1:10" ht="12.75" customHeight="1">
      <c r="A1587" s="638" t="s">
        <v>387</v>
      </c>
      <c r="B1587" s="639"/>
      <c r="C1587" s="638">
        <v>2015</v>
      </c>
      <c r="D1587" s="638">
        <v>2016</v>
      </c>
      <c r="E1587" s="638">
        <v>2017</v>
      </c>
      <c r="F1587" s="1057"/>
      <c r="G1587" s="1052"/>
      <c r="H1587" s="638">
        <v>2014</v>
      </c>
      <c r="I1587" s="638" t="s">
        <v>4303</v>
      </c>
      <c r="J1587" s="391"/>
    </row>
    <row r="1588" spans="1:10" ht="12.75" customHeight="1">
      <c r="A1588" s="646" t="s">
        <v>634</v>
      </c>
      <c r="B1588" s="646" t="s">
        <v>1693</v>
      </c>
      <c r="C1588" s="662">
        <v>167979904.84999999</v>
      </c>
      <c r="D1588" s="662">
        <v>141689600</v>
      </c>
      <c r="E1588" s="662">
        <v>141689600</v>
      </c>
      <c r="F1588" s="647">
        <f>SUM(C1588:E1588)</f>
        <v>451359104.85000002</v>
      </c>
      <c r="G1588" s="641">
        <v>15669713</v>
      </c>
      <c r="H1588" s="662">
        <v>141689500</v>
      </c>
      <c r="I1588" s="641" t="e">
        <f>#REF!</f>
        <v>#REF!</v>
      </c>
      <c r="J1588" s="391"/>
    </row>
    <row r="1589" spans="1:10" ht="12.75" customHeight="1">
      <c r="A1589" s="646"/>
      <c r="B1589" s="646"/>
      <c r="C1589" s="662"/>
      <c r="D1589" s="662"/>
      <c r="E1589" s="662"/>
      <c r="F1589" s="647"/>
      <c r="G1589" s="641"/>
      <c r="H1589" s="662"/>
      <c r="I1589" s="641"/>
      <c r="J1589" s="391"/>
    </row>
    <row r="1590" spans="1:10" ht="12.75" customHeight="1">
      <c r="A1590" s="646">
        <v>2</v>
      </c>
      <c r="B1590" s="646" t="s">
        <v>1695</v>
      </c>
      <c r="C1590" s="662">
        <v>700000</v>
      </c>
      <c r="D1590" s="662">
        <v>1000000</v>
      </c>
      <c r="E1590" s="662">
        <v>1000000</v>
      </c>
      <c r="F1590" s="647">
        <f t="shared" ref="F1590:F1600" si="204">SUM(C1590:E1590)</f>
        <v>2700000</v>
      </c>
      <c r="G1590" s="641">
        <v>359000</v>
      </c>
      <c r="H1590" s="662">
        <v>350000</v>
      </c>
      <c r="I1590" s="641"/>
      <c r="J1590" s="391"/>
    </row>
    <row r="1591" spans="1:10" ht="12.75" customHeight="1">
      <c r="A1591" s="646">
        <f>A1590+1</f>
        <v>3</v>
      </c>
      <c r="B1591" s="646" t="s">
        <v>1696</v>
      </c>
      <c r="C1591" s="662">
        <v>200000</v>
      </c>
      <c r="D1591" s="662">
        <v>100000</v>
      </c>
      <c r="E1591" s="662">
        <v>100000</v>
      </c>
      <c r="F1591" s="647">
        <f t="shared" si="204"/>
        <v>400000</v>
      </c>
      <c r="G1591" s="642">
        <v>0</v>
      </c>
      <c r="H1591" s="662">
        <v>200000</v>
      </c>
      <c r="I1591" s="642"/>
      <c r="J1591" s="391"/>
    </row>
    <row r="1592" spans="1:10" ht="12.75" customHeight="1">
      <c r="A1592" s="646">
        <v>4</v>
      </c>
      <c r="B1592" s="646" t="s">
        <v>1701</v>
      </c>
      <c r="C1592" s="641" t="s">
        <v>1386</v>
      </c>
      <c r="D1592" s="641" t="s">
        <v>1386</v>
      </c>
      <c r="E1592" s="641" t="s">
        <v>1386</v>
      </c>
      <c r="F1592" s="647">
        <f t="shared" si="204"/>
        <v>0</v>
      </c>
      <c r="G1592" s="642" t="s">
        <v>1386</v>
      </c>
      <c r="H1592" s="641" t="s">
        <v>1386</v>
      </c>
      <c r="I1592" s="642"/>
      <c r="J1592" s="391"/>
    </row>
    <row r="1593" spans="1:10" ht="12.75" customHeight="1">
      <c r="A1593" s="646">
        <v>5</v>
      </c>
      <c r="B1593" s="646" t="s">
        <v>1702</v>
      </c>
      <c r="C1593" s="662">
        <v>650000</v>
      </c>
      <c r="D1593" s="662">
        <v>500000</v>
      </c>
      <c r="E1593" s="662">
        <v>500000</v>
      </c>
      <c r="F1593" s="647">
        <f t="shared" si="204"/>
        <v>1650000</v>
      </c>
      <c r="G1593" s="642">
        <v>58500</v>
      </c>
      <c r="H1593" s="662">
        <v>900000</v>
      </c>
      <c r="I1593" s="642"/>
      <c r="J1593" s="391"/>
    </row>
    <row r="1594" spans="1:10" ht="12.75" customHeight="1">
      <c r="A1594" s="646">
        <f>A1593+1</f>
        <v>6</v>
      </c>
      <c r="B1594" s="646" t="s">
        <v>1544</v>
      </c>
      <c r="C1594" s="662">
        <v>650000</v>
      </c>
      <c r="D1594" s="662">
        <v>500000</v>
      </c>
      <c r="E1594" s="662">
        <v>500000</v>
      </c>
      <c r="F1594" s="647">
        <f t="shared" si="204"/>
        <v>1650000</v>
      </c>
      <c r="G1594" s="641">
        <v>243550</v>
      </c>
      <c r="H1594" s="662">
        <v>680000</v>
      </c>
      <c r="I1594" s="641"/>
      <c r="J1594" s="391"/>
    </row>
    <row r="1595" spans="1:10" ht="12.75" customHeight="1">
      <c r="A1595" s="646">
        <f>A1594+1</f>
        <v>7</v>
      </c>
      <c r="B1595" s="646" t="s">
        <v>897</v>
      </c>
      <c r="C1595" s="662">
        <v>500000</v>
      </c>
      <c r="D1595" s="662">
        <v>1000000</v>
      </c>
      <c r="E1595" s="662">
        <v>1000000</v>
      </c>
      <c r="F1595" s="647">
        <f t="shared" si="204"/>
        <v>2500000</v>
      </c>
      <c r="G1595" s="641">
        <v>554950</v>
      </c>
      <c r="H1595" s="662">
        <v>500000</v>
      </c>
      <c r="I1595" s="641"/>
      <c r="J1595" s="391"/>
    </row>
    <row r="1596" spans="1:10" ht="12.75" customHeight="1">
      <c r="A1596" s="646">
        <v>8</v>
      </c>
      <c r="B1596" s="646" t="s">
        <v>1385</v>
      </c>
      <c r="C1596" s="641" t="s">
        <v>1386</v>
      </c>
      <c r="D1596" s="641" t="s">
        <v>1386</v>
      </c>
      <c r="E1596" s="641" t="s">
        <v>1386</v>
      </c>
      <c r="F1596" s="647">
        <f t="shared" si="204"/>
        <v>0</v>
      </c>
      <c r="G1596" s="642" t="s">
        <v>1386</v>
      </c>
      <c r="H1596" s="641" t="s">
        <v>1386</v>
      </c>
      <c r="I1596" s="642"/>
      <c r="J1596" s="391"/>
    </row>
    <row r="1597" spans="1:10" ht="12.75" customHeight="1">
      <c r="A1597" s="646">
        <v>9</v>
      </c>
      <c r="B1597" s="646" t="s">
        <v>755</v>
      </c>
      <c r="C1597" s="641" t="s">
        <v>1386</v>
      </c>
      <c r="D1597" s="641" t="s">
        <v>1386</v>
      </c>
      <c r="E1597" s="641" t="s">
        <v>1386</v>
      </c>
      <c r="F1597" s="647">
        <f t="shared" si="204"/>
        <v>0</v>
      </c>
      <c r="G1597" s="642" t="s">
        <v>1386</v>
      </c>
      <c r="H1597" s="641" t="s">
        <v>1386</v>
      </c>
      <c r="I1597" s="642"/>
      <c r="J1597" s="391"/>
    </row>
    <row r="1598" spans="1:10" ht="12.75" customHeight="1">
      <c r="A1598" s="646">
        <v>10</v>
      </c>
      <c r="B1598" s="646" t="s">
        <v>1680</v>
      </c>
      <c r="C1598" s="662">
        <v>800000</v>
      </c>
      <c r="D1598" s="662">
        <v>700000</v>
      </c>
      <c r="E1598" s="662">
        <v>700000</v>
      </c>
      <c r="F1598" s="647">
        <f t="shared" si="204"/>
        <v>2200000</v>
      </c>
      <c r="G1598" s="641">
        <v>130000</v>
      </c>
      <c r="H1598" s="662">
        <v>800000</v>
      </c>
      <c r="I1598" s="641"/>
      <c r="J1598" s="391"/>
    </row>
    <row r="1599" spans="1:10" ht="12.75" customHeight="1">
      <c r="A1599" s="646">
        <f>A1598+1</f>
        <v>11</v>
      </c>
      <c r="B1599" s="646" t="s">
        <v>1681</v>
      </c>
      <c r="C1599" s="662">
        <v>100000</v>
      </c>
      <c r="D1599" s="662">
        <v>100000</v>
      </c>
      <c r="E1599" s="662">
        <v>100000</v>
      </c>
      <c r="F1599" s="647">
        <f t="shared" si="204"/>
        <v>300000</v>
      </c>
      <c r="G1599" s="642">
        <v>23600</v>
      </c>
      <c r="H1599" s="662">
        <v>100000</v>
      </c>
      <c r="I1599" s="642"/>
      <c r="J1599" s="391"/>
    </row>
    <row r="1600" spans="1:10" ht="12.75" customHeight="1">
      <c r="A1600" s="646">
        <f>A1599+1</f>
        <v>12</v>
      </c>
      <c r="B1600" s="646" t="s">
        <v>1682</v>
      </c>
      <c r="C1600" s="662">
        <v>1600000</v>
      </c>
      <c r="D1600" s="662">
        <v>1500000</v>
      </c>
      <c r="E1600" s="662">
        <v>1500000</v>
      </c>
      <c r="F1600" s="647">
        <f t="shared" si="204"/>
        <v>4600000</v>
      </c>
      <c r="G1600" s="642">
        <v>912433</v>
      </c>
      <c r="H1600" s="662">
        <v>650000</v>
      </c>
      <c r="I1600" s="642"/>
      <c r="J1600" s="391"/>
    </row>
    <row r="1601" spans="1:10" ht="12.75" customHeight="1">
      <c r="A1601" s="646">
        <f>A1600+1</f>
        <v>13</v>
      </c>
      <c r="B1601" s="646" t="s">
        <v>2249</v>
      </c>
      <c r="C1601" s="641">
        <v>100000</v>
      </c>
      <c r="D1601" s="641">
        <v>100000</v>
      </c>
      <c r="E1601" s="641">
        <v>100000</v>
      </c>
      <c r="F1601" s="647"/>
      <c r="G1601" s="642">
        <v>0</v>
      </c>
      <c r="H1601" s="641">
        <v>300000</v>
      </c>
      <c r="I1601" s="642"/>
      <c r="J1601" s="391"/>
    </row>
    <row r="1602" spans="1:10" ht="12.75" customHeight="1">
      <c r="A1602" s="646">
        <f>A1601+1</f>
        <v>14</v>
      </c>
      <c r="B1602" s="646" t="s">
        <v>1717</v>
      </c>
      <c r="C1602" s="641">
        <v>500000</v>
      </c>
      <c r="D1602" s="641">
        <v>500000</v>
      </c>
      <c r="E1602" s="641">
        <v>500000</v>
      </c>
      <c r="F1602" s="647"/>
      <c r="G1602" s="642">
        <v>0</v>
      </c>
      <c r="H1602" s="641">
        <v>500000</v>
      </c>
      <c r="I1602" s="642"/>
      <c r="J1602" s="391"/>
    </row>
    <row r="1603" spans="1:10" ht="12.75" customHeight="1">
      <c r="A1603" s="646"/>
      <c r="B1603" s="646"/>
      <c r="C1603" s="641"/>
      <c r="D1603" s="641"/>
      <c r="E1603" s="641"/>
      <c r="F1603" s="647"/>
      <c r="G1603" s="641"/>
      <c r="H1603" s="641"/>
      <c r="I1603" s="642"/>
      <c r="J1603" s="391"/>
    </row>
    <row r="1604" spans="1:10" ht="12.75" customHeight="1">
      <c r="A1604" s="646" t="s">
        <v>635</v>
      </c>
      <c r="B1604" s="651" t="s">
        <v>819</v>
      </c>
      <c r="C1604" s="652">
        <f t="shared" ref="C1604:I1604" si="205">SUM(C1590:C1602)</f>
        <v>5800000</v>
      </c>
      <c r="D1604" s="652">
        <f t="shared" si="205"/>
        <v>6000000</v>
      </c>
      <c r="E1604" s="652">
        <f t="shared" si="205"/>
        <v>6000000</v>
      </c>
      <c r="F1604" s="652">
        <f t="shared" si="205"/>
        <v>16000000</v>
      </c>
      <c r="G1604" s="652">
        <f t="shared" si="205"/>
        <v>2282033</v>
      </c>
      <c r="H1604" s="652">
        <f>SUM(H1590:H1602)</f>
        <v>4980000</v>
      </c>
      <c r="I1604" s="652">
        <f t="shared" si="205"/>
        <v>0</v>
      </c>
      <c r="J1604" s="391"/>
    </row>
    <row r="1605" spans="1:10" ht="12.75" customHeight="1">
      <c r="A1605" s="646"/>
      <c r="B1605" s="646"/>
      <c r="C1605" s="641"/>
      <c r="D1605" s="641"/>
      <c r="E1605" s="641"/>
      <c r="F1605" s="641"/>
      <c r="G1605" s="641"/>
      <c r="H1605" s="641"/>
      <c r="I1605" s="641"/>
      <c r="J1605" s="391"/>
    </row>
    <row r="1606" spans="1:10" ht="12.75" customHeight="1">
      <c r="A1606" s="653"/>
      <c r="B1606" s="653" t="s">
        <v>1684</v>
      </c>
      <c r="C1606" s="645">
        <f t="shared" ref="C1606:I1606" si="206">+C1604+C1588</f>
        <v>173779904.84999999</v>
      </c>
      <c r="D1606" s="645">
        <f t="shared" si="206"/>
        <v>147689600</v>
      </c>
      <c r="E1606" s="645">
        <f t="shared" si="206"/>
        <v>147689600</v>
      </c>
      <c r="F1606" s="645">
        <f t="shared" si="206"/>
        <v>467359104.85000002</v>
      </c>
      <c r="G1606" s="645">
        <f t="shared" si="206"/>
        <v>17951746</v>
      </c>
      <c r="H1606" s="645">
        <f>+H1604+H1588</f>
        <v>146669500</v>
      </c>
      <c r="I1606" s="645" t="e">
        <f t="shared" si="206"/>
        <v>#REF!</v>
      </c>
      <c r="J1606" s="391"/>
    </row>
    <row r="1607" spans="1:10" ht="12.75" customHeight="1">
      <c r="A1607" s="391"/>
      <c r="B1607" s="391"/>
      <c r="C1607" s="647"/>
      <c r="D1607" s="647"/>
      <c r="E1607" s="647"/>
      <c r="F1607" s="647"/>
      <c r="G1607" s="647"/>
      <c r="H1607" s="647"/>
      <c r="I1607" s="391"/>
      <c r="J1607" s="391"/>
    </row>
    <row r="1608" spans="1:10" ht="12.75" customHeight="1">
      <c r="A1608" s="391"/>
      <c r="B1608" s="391"/>
      <c r="C1608" s="647"/>
      <c r="D1608" s="308" t="s">
        <v>5434</v>
      </c>
      <c r="E1608" s="647"/>
      <c r="F1608" s="647"/>
      <c r="G1608" s="60"/>
      <c r="H1608" s="647"/>
      <c r="I1608" s="391"/>
      <c r="J1608" s="391"/>
    </row>
    <row r="1609" spans="1:10" ht="12.75" customHeight="1">
      <c r="A1609" s="655"/>
      <c r="B1609" s="633"/>
      <c r="C1609" s="655"/>
      <c r="D1609" s="308" t="s">
        <v>716</v>
      </c>
      <c r="E1609" s="655"/>
      <c r="F1609" s="647"/>
      <c r="G1609" s="60"/>
      <c r="H1609" s="655"/>
      <c r="I1609" s="391"/>
      <c r="J1609" s="391"/>
    </row>
    <row r="1610" spans="1:10" ht="12.75" customHeight="1">
      <c r="A1610" s="655"/>
      <c r="B1610" s="633"/>
      <c r="C1610" s="655"/>
      <c r="D1610" s="308" t="s">
        <v>687</v>
      </c>
      <c r="E1610" s="655"/>
      <c r="F1610" s="647"/>
      <c r="G1610" s="60"/>
      <c r="H1610" s="655"/>
      <c r="I1610" s="391"/>
      <c r="J1610" s="391"/>
    </row>
    <row r="1611" spans="1:10" ht="12.75" customHeight="1">
      <c r="A1611" s="655"/>
      <c r="B1611" s="655"/>
      <c r="C1611" s="655"/>
      <c r="D1611" s="307" t="s">
        <v>636</v>
      </c>
      <c r="E1611" s="655"/>
      <c r="F1611" s="647"/>
      <c r="G1611" s="60"/>
      <c r="H1611" s="655"/>
      <c r="I1611" s="391"/>
      <c r="J1611" s="391"/>
    </row>
    <row r="1612" spans="1:10" ht="12.75" customHeight="1">
      <c r="A1612" s="634" t="s">
        <v>1839</v>
      </c>
      <c r="B1612" s="635" t="s">
        <v>903</v>
      </c>
      <c r="C1612" s="1037" t="s">
        <v>4127</v>
      </c>
      <c r="D1612" s="1038"/>
      <c r="E1612" s="1039"/>
      <c r="F1612" s="635" t="s">
        <v>1684</v>
      </c>
      <c r="G1612" s="1037" t="s">
        <v>4132</v>
      </c>
      <c r="H1612" s="1038"/>
      <c r="I1612" s="1039"/>
      <c r="J1612" s="391"/>
    </row>
    <row r="1613" spans="1:10" ht="12.75" customHeight="1">
      <c r="A1613" s="636" t="s">
        <v>1620</v>
      </c>
      <c r="B1613" s="637"/>
      <c r="C1613" s="635" t="s">
        <v>1841</v>
      </c>
      <c r="D1613" s="635" t="s">
        <v>4133</v>
      </c>
      <c r="E1613" s="635" t="s">
        <v>4133</v>
      </c>
      <c r="F1613" s="1056" t="s">
        <v>4200</v>
      </c>
      <c r="G1613" s="1051" t="s">
        <v>4201</v>
      </c>
      <c r="H1613" s="635" t="s">
        <v>1841</v>
      </c>
      <c r="I1613" s="634" t="s">
        <v>4135</v>
      </c>
      <c r="J1613" s="391"/>
    </row>
    <row r="1614" spans="1:10" ht="12.75" customHeight="1">
      <c r="A1614" s="638" t="s">
        <v>387</v>
      </c>
      <c r="B1614" s="639"/>
      <c r="C1614" s="638">
        <v>2015</v>
      </c>
      <c r="D1614" s="638">
        <v>2016</v>
      </c>
      <c r="E1614" s="638">
        <v>2017</v>
      </c>
      <c r="F1614" s="1057"/>
      <c r="G1614" s="1052"/>
      <c r="H1614" s="638">
        <v>2014</v>
      </c>
      <c r="I1614" s="638" t="s">
        <v>4303</v>
      </c>
      <c r="J1614" s="391"/>
    </row>
    <row r="1615" spans="1:10" ht="12.75" customHeight="1">
      <c r="A1615" s="646" t="s">
        <v>637</v>
      </c>
      <c r="B1615" s="646" t="s">
        <v>1693</v>
      </c>
      <c r="C1615" s="662">
        <f>E1615*1.02</f>
        <v>0</v>
      </c>
      <c r="D1615" s="662">
        <v>0</v>
      </c>
      <c r="E1615" s="662">
        <v>0</v>
      </c>
      <c r="F1615" s="647">
        <f>SUM(C1615:E1615)</f>
        <v>0</v>
      </c>
      <c r="G1615" s="641"/>
      <c r="H1615" s="662">
        <v>0</v>
      </c>
      <c r="I1615" s="662" t="e">
        <f>#REF!</f>
        <v>#REF!</v>
      </c>
      <c r="J1615" s="391"/>
    </row>
    <row r="1616" spans="1:10" ht="12.75" customHeight="1">
      <c r="A1616" s="646"/>
      <c r="B1616" s="646"/>
      <c r="C1616" s="662"/>
      <c r="D1616" s="662"/>
      <c r="E1616" s="662"/>
      <c r="F1616" s="647"/>
      <c r="G1616" s="641"/>
      <c r="H1616" s="662"/>
      <c r="I1616" s="662">
        <f t="shared" ref="I1616:I1632" ca="1" si="207">SUM(F1616:J1616)</f>
        <v>0</v>
      </c>
      <c r="J1616" s="391"/>
    </row>
    <row r="1617" spans="1:11" ht="12.75" customHeight="1">
      <c r="A1617" s="646">
        <v>2</v>
      </c>
      <c r="B1617" s="646" t="s">
        <v>1695</v>
      </c>
      <c r="C1617" s="642" t="s">
        <v>1386</v>
      </c>
      <c r="D1617" s="662">
        <v>2080000</v>
      </c>
      <c r="E1617" s="662">
        <v>2080000</v>
      </c>
      <c r="F1617" s="647">
        <f t="shared" ref="F1617:F1629" si="208">SUM(C1617:E1617)</f>
        <v>4160000</v>
      </c>
      <c r="G1617" s="641"/>
      <c r="H1617" s="662">
        <v>2121600</v>
      </c>
      <c r="I1617" s="662">
        <f t="shared" ca="1" si="207"/>
        <v>0</v>
      </c>
      <c r="J1617" s="391"/>
    </row>
    <row r="1618" spans="1:11" ht="12.75" customHeight="1">
      <c r="A1618" s="646">
        <f>A1617+1</f>
        <v>3</v>
      </c>
      <c r="B1618" s="646" t="s">
        <v>1696</v>
      </c>
      <c r="C1618" s="642" t="s">
        <v>1386</v>
      </c>
      <c r="D1618" s="662">
        <v>520000</v>
      </c>
      <c r="E1618" s="662">
        <v>520000</v>
      </c>
      <c r="F1618" s="647">
        <f t="shared" si="208"/>
        <v>1040000</v>
      </c>
      <c r="G1618" s="642"/>
      <c r="H1618" s="662">
        <v>530400</v>
      </c>
      <c r="I1618" s="662">
        <f t="shared" ca="1" si="207"/>
        <v>0</v>
      </c>
      <c r="J1618" s="391"/>
    </row>
    <row r="1619" spans="1:11" ht="12.75" customHeight="1">
      <c r="A1619" s="646">
        <v>4</v>
      </c>
      <c r="B1619" s="646" t="s">
        <v>1701</v>
      </c>
      <c r="C1619" s="642" t="s">
        <v>1386</v>
      </c>
      <c r="D1619" s="642" t="s">
        <v>1386</v>
      </c>
      <c r="E1619" s="642" t="s">
        <v>1386</v>
      </c>
      <c r="F1619" s="647">
        <f t="shared" si="208"/>
        <v>0</v>
      </c>
      <c r="G1619" s="642"/>
      <c r="H1619" s="642" t="s">
        <v>1386</v>
      </c>
      <c r="I1619" s="662">
        <f t="shared" ca="1" si="207"/>
        <v>0</v>
      </c>
      <c r="J1619" s="391"/>
    </row>
    <row r="1620" spans="1:11" ht="12.75" customHeight="1">
      <c r="A1620" s="646">
        <v>5</v>
      </c>
      <c r="B1620" s="646" t="s">
        <v>1702</v>
      </c>
      <c r="C1620" s="642" t="s">
        <v>1386</v>
      </c>
      <c r="D1620" s="662">
        <v>520000</v>
      </c>
      <c r="E1620" s="662">
        <v>520000</v>
      </c>
      <c r="F1620" s="647">
        <f t="shared" si="208"/>
        <v>1040000</v>
      </c>
      <c r="G1620" s="642"/>
      <c r="H1620" s="662">
        <v>530400</v>
      </c>
      <c r="I1620" s="662">
        <f t="shared" ca="1" si="207"/>
        <v>0</v>
      </c>
      <c r="J1620" s="391"/>
    </row>
    <row r="1621" spans="1:11" ht="12.75" customHeight="1">
      <c r="A1621" s="646">
        <f>A1620+1</f>
        <v>6</v>
      </c>
      <c r="B1621" s="646" t="s">
        <v>1544</v>
      </c>
      <c r="C1621" s="642" t="s">
        <v>1386</v>
      </c>
      <c r="D1621" s="662">
        <v>1040000</v>
      </c>
      <c r="E1621" s="662">
        <v>1040000</v>
      </c>
      <c r="F1621" s="647">
        <f t="shared" si="208"/>
        <v>2080000</v>
      </c>
      <c r="G1621" s="641"/>
      <c r="H1621" s="662">
        <v>1060800</v>
      </c>
      <c r="I1621" s="662">
        <f t="shared" ca="1" si="207"/>
        <v>0</v>
      </c>
      <c r="J1621" s="391"/>
    </row>
    <row r="1622" spans="1:11" ht="12.75" customHeight="1">
      <c r="A1622" s="646">
        <f>A1621+1</f>
        <v>7</v>
      </c>
      <c r="B1622" s="646" t="s">
        <v>897</v>
      </c>
      <c r="C1622" s="642" t="s">
        <v>1386</v>
      </c>
      <c r="D1622" s="662">
        <v>1040000</v>
      </c>
      <c r="E1622" s="662">
        <v>1040000</v>
      </c>
      <c r="F1622" s="647">
        <f t="shared" si="208"/>
        <v>2080000</v>
      </c>
      <c r="G1622" s="641"/>
      <c r="H1622" s="662">
        <v>1060800</v>
      </c>
      <c r="I1622" s="662">
        <f t="shared" ca="1" si="207"/>
        <v>0</v>
      </c>
      <c r="J1622" s="391"/>
    </row>
    <row r="1623" spans="1:11" ht="12.75" customHeight="1">
      <c r="A1623" s="646">
        <v>8</v>
      </c>
      <c r="B1623" s="646" t="s">
        <v>1385</v>
      </c>
      <c r="C1623" s="642" t="s">
        <v>1386</v>
      </c>
      <c r="D1623" s="642" t="s">
        <v>1386</v>
      </c>
      <c r="E1623" s="642" t="s">
        <v>1386</v>
      </c>
      <c r="F1623" s="647">
        <f t="shared" si="208"/>
        <v>0</v>
      </c>
      <c r="G1623" s="641"/>
      <c r="H1623" s="642" t="s">
        <v>1386</v>
      </c>
      <c r="I1623" s="662">
        <f t="shared" ca="1" si="207"/>
        <v>0</v>
      </c>
      <c r="J1623" s="391"/>
    </row>
    <row r="1624" spans="1:11" ht="12.75" customHeight="1">
      <c r="A1624" s="646">
        <v>9</v>
      </c>
      <c r="B1624" s="646" t="s">
        <v>755</v>
      </c>
      <c r="C1624" s="642" t="s">
        <v>1386</v>
      </c>
      <c r="D1624" s="642" t="s">
        <v>1386</v>
      </c>
      <c r="E1624" s="642" t="s">
        <v>1386</v>
      </c>
      <c r="F1624" s="647">
        <f t="shared" si="208"/>
        <v>0</v>
      </c>
      <c r="G1624" s="641"/>
      <c r="H1624" s="642" t="s">
        <v>1386</v>
      </c>
      <c r="I1624" s="662">
        <f t="shared" ca="1" si="207"/>
        <v>0</v>
      </c>
      <c r="J1624" s="391"/>
    </row>
    <row r="1625" spans="1:11" ht="12.75" customHeight="1">
      <c r="A1625" s="646">
        <v>10</v>
      </c>
      <c r="B1625" s="646" t="s">
        <v>1680</v>
      </c>
      <c r="C1625" s="642" t="s">
        <v>1386</v>
      </c>
      <c r="D1625" s="662">
        <v>5200000</v>
      </c>
      <c r="E1625" s="662">
        <v>5200000</v>
      </c>
      <c r="F1625" s="647">
        <f t="shared" si="208"/>
        <v>10400000</v>
      </c>
      <c r="G1625" s="641"/>
      <c r="H1625" s="662">
        <f>5304000-251680</f>
        <v>5052320</v>
      </c>
      <c r="I1625" s="662">
        <f t="shared" ca="1" si="207"/>
        <v>0</v>
      </c>
      <c r="J1625" s="391"/>
    </row>
    <row r="1626" spans="1:11" ht="12.75" customHeight="1">
      <c r="A1626" s="646">
        <f>A1625+1</f>
        <v>11</v>
      </c>
      <c r="B1626" s="646" t="s">
        <v>1681</v>
      </c>
      <c r="C1626" s="642" t="s">
        <v>1386</v>
      </c>
      <c r="D1626" s="662">
        <v>104000</v>
      </c>
      <c r="E1626" s="662">
        <v>104000</v>
      </c>
      <c r="F1626" s="647">
        <f t="shared" si="208"/>
        <v>208000</v>
      </c>
      <c r="G1626" s="642"/>
      <c r="H1626" s="662">
        <v>106080</v>
      </c>
      <c r="I1626" s="662">
        <f t="shared" ca="1" si="207"/>
        <v>0</v>
      </c>
      <c r="J1626" s="391"/>
    </row>
    <row r="1627" spans="1:11" ht="12.75" customHeight="1">
      <c r="A1627" s="646">
        <f>A1626+1</f>
        <v>12</v>
      </c>
      <c r="B1627" s="646" t="s">
        <v>1682</v>
      </c>
      <c r="C1627" s="642" t="s">
        <v>1386</v>
      </c>
      <c r="D1627" s="662">
        <v>2080000</v>
      </c>
      <c r="E1627" s="662">
        <v>2080000</v>
      </c>
      <c r="F1627" s="647">
        <f t="shared" si="208"/>
        <v>4160000</v>
      </c>
      <c r="G1627" s="642"/>
      <c r="H1627" s="662">
        <v>2121600</v>
      </c>
      <c r="I1627" s="662">
        <f t="shared" ca="1" si="207"/>
        <v>0</v>
      </c>
      <c r="J1627" s="391"/>
    </row>
    <row r="1628" spans="1:11" ht="12.75" customHeight="1">
      <c r="A1628" s="646">
        <f>A1627+1</f>
        <v>13</v>
      </c>
      <c r="B1628" s="646" t="s">
        <v>2249</v>
      </c>
      <c r="C1628" s="642" t="s">
        <v>1386</v>
      </c>
      <c r="D1628" s="641">
        <v>100000</v>
      </c>
      <c r="E1628" s="641">
        <v>100000</v>
      </c>
      <c r="F1628" s="647">
        <f t="shared" si="208"/>
        <v>200000</v>
      </c>
      <c r="G1628" s="642"/>
      <c r="H1628" s="641">
        <v>100000</v>
      </c>
      <c r="I1628" s="662">
        <f t="shared" ca="1" si="207"/>
        <v>0</v>
      </c>
      <c r="J1628" s="391"/>
    </row>
    <row r="1629" spans="1:11" ht="12.75" customHeight="1">
      <c r="A1629" s="646">
        <f>A1628+1</f>
        <v>14</v>
      </c>
      <c r="B1629" s="646" t="s">
        <v>1717</v>
      </c>
      <c r="C1629" s="642" t="s">
        <v>1386</v>
      </c>
      <c r="D1629" s="641">
        <v>200000</v>
      </c>
      <c r="E1629" s="641">
        <v>200000</v>
      </c>
      <c r="F1629" s="647">
        <f t="shared" si="208"/>
        <v>400000</v>
      </c>
      <c r="G1629" s="641"/>
      <c r="H1629" s="641">
        <v>200000</v>
      </c>
      <c r="I1629" s="662">
        <f t="shared" ca="1" si="207"/>
        <v>0</v>
      </c>
      <c r="J1629" s="391"/>
    </row>
    <row r="1630" spans="1:11" ht="12.75" customHeight="1">
      <c r="A1630" s="646"/>
      <c r="B1630" s="646"/>
      <c r="C1630" s="641"/>
      <c r="D1630" s="641"/>
      <c r="E1630" s="641"/>
      <c r="F1630" s="647"/>
      <c r="G1630" s="641"/>
      <c r="H1630" s="641"/>
      <c r="I1630" s="662">
        <f t="shared" ca="1" si="207"/>
        <v>0</v>
      </c>
      <c r="J1630" s="391"/>
    </row>
    <row r="1631" spans="1:11" ht="12.75" customHeight="1">
      <c r="A1631" s="646" t="s">
        <v>638</v>
      </c>
      <c r="B1631" s="651" t="s">
        <v>819</v>
      </c>
      <c r="C1631" s="652">
        <f t="shared" ref="C1631:H1631" si="209">SUM(C1617:C1629)</f>
        <v>0</v>
      </c>
      <c r="D1631" s="652">
        <f t="shared" si="209"/>
        <v>12884000</v>
      </c>
      <c r="E1631" s="652">
        <f t="shared" si="209"/>
        <v>12884000</v>
      </c>
      <c r="F1631" s="652">
        <f t="shared" si="209"/>
        <v>25768000</v>
      </c>
      <c r="G1631" s="652">
        <f t="shared" si="209"/>
        <v>0</v>
      </c>
      <c r="H1631" s="652">
        <f t="shared" si="209"/>
        <v>12884000</v>
      </c>
      <c r="I1631" s="662">
        <f t="shared" ca="1" si="207"/>
        <v>0</v>
      </c>
      <c r="J1631" s="391"/>
      <c r="K1631" s="657">
        <f>12884000-H1631</f>
        <v>0</v>
      </c>
    </row>
    <row r="1632" spans="1:11" ht="12.75" customHeight="1">
      <c r="A1632" s="646"/>
      <c r="B1632" s="646"/>
      <c r="C1632" s="641"/>
      <c r="D1632" s="641"/>
      <c r="E1632" s="641"/>
      <c r="F1632" s="641"/>
      <c r="G1632" s="641"/>
      <c r="H1632" s="641"/>
      <c r="I1632" s="662">
        <f t="shared" ca="1" si="207"/>
        <v>0</v>
      </c>
      <c r="J1632" s="391"/>
    </row>
    <row r="1633" spans="1:10" ht="12.75" customHeight="1">
      <c r="A1633" s="653"/>
      <c r="B1633" s="653" t="s">
        <v>1684</v>
      </c>
      <c r="C1633" s="645">
        <f t="shared" ref="C1633:H1633" si="210">+C1631+C1615</f>
        <v>0</v>
      </c>
      <c r="D1633" s="645">
        <f t="shared" si="210"/>
        <v>12884000</v>
      </c>
      <c r="E1633" s="645">
        <f t="shared" si="210"/>
        <v>12884000</v>
      </c>
      <c r="F1633" s="645">
        <f t="shared" si="210"/>
        <v>25768000</v>
      </c>
      <c r="G1633" s="645">
        <f t="shared" si="210"/>
        <v>0</v>
      </c>
      <c r="H1633" s="645">
        <f t="shared" si="210"/>
        <v>12884000</v>
      </c>
      <c r="I1633" s="645"/>
      <c r="J1633" s="391"/>
    </row>
    <row r="1634" spans="1:10" ht="12.75" customHeight="1">
      <c r="A1634" s="391"/>
      <c r="B1634" s="391"/>
      <c r="C1634" s="647"/>
      <c r="D1634" s="647"/>
      <c r="E1634" s="647"/>
      <c r="F1634" s="647"/>
      <c r="G1634" s="647"/>
      <c r="H1634" s="647"/>
      <c r="I1634" s="391"/>
      <c r="J1634" s="391"/>
    </row>
    <row r="1635" spans="1:10" ht="12.75" customHeight="1">
      <c r="A1635" s="391"/>
      <c r="B1635" s="391"/>
      <c r="C1635" s="647"/>
      <c r="D1635" s="308" t="s">
        <v>5434</v>
      </c>
      <c r="E1635" s="647"/>
      <c r="F1635" s="647"/>
      <c r="H1635" s="647"/>
      <c r="I1635" s="391"/>
      <c r="J1635" s="391"/>
    </row>
    <row r="1636" spans="1:10" ht="12.75" customHeight="1">
      <c r="A1636" s="655"/>
      <c r="B1636" s="633"/>
      <c r="C1636" s="655"/>
      <c r="D1636" s="308" t="s">
        <v>716</v>
      </c>
      <c r="E1636" s="655"/>
      <c r="F1636" s="647"/>
      <c r="H1636" s="655"/>
      <c r="I1636" s="391"/>
      <c r="J1636" s="391"/>
    </row>
    <row r="1637" spans="1:10" ht="12.75" customHeight="1">
      <c r="A1637" s="655"/>
      <c r="B1637" s="633"/>
      <c r="C1637" s="655"/>
      <c r="D1637" s="308" t="s">
        <v>4156</v>
      </c>
      <c r="E1637" s="655"/>
      <c r="F1637" s="647"/>
      <c r="H1637" s="655"/>
      <c r="I1637" s="391"/>
      <c r="J1637" s="391"/>
    </row>
    <row r="1638" spans="1:10" ht="12.75" customHeight="1">
      <c r="A1638" s="655"/>
      <c r="B1638" s="655"/>
      <c r="C1638" s="655"/>
      <c r="D1638" s="307" t="s">
        <v>639</v>
      </c>
      <c r="E1638" s="655"/>
      <c r="F1638" s="647"/>
      <c r="H1638" s="655"/>
      <c r="I1638" s="391"/>
      <c r="J1638" s="391"/>
    </row>
    <row r="1639" spans="1:10" ht="12.75" customHeight="1">
      <c r="A1639" s="634" t="s">
        <v>1839</v>
      </c>
      <c r="B1639" s="635" t="s">
        <v>903</v>
      </c>
      <c r="C1639" s="1037" t="s">
        <v>4127</v>
      </c>
      <c r="D1639" s="1038"/>
      <c r="E1639" s="1039"/>
      <c r="F1639" s="635" t="s">
        <v>1684</v>
      </c>
      <c r="G1639" s="1037" t="s">
        <v>4132</v>
      </c>
      <c r="H1639" s="1038"/>
      <c r="I1639" s="1039"/>
      <c r="J1639" s="391"/>
    </row>
    <row r="1640" spans="1:10" ht="12.75" customHeight="1">
      <c r="A1640" s="636" t="s">
        <v>1620</v>
      </c>
      <c r="B1640" s="637"/>
      <c r="C1640" s="635" t="s">
        <v>1841</v>
      </c>
      <c r="D1640" s="635" t="s">
        <v>4133</v>
      </c>
      <c r="E1640" s="635" t="s">
        <v>4133</v>
      </c>
      <c r="F1640" s="1056" t="s">
        <v>4200</v>
      </c>
      <c r="G1640" s="1051" t="s">
        <v>4201</v>
      </c>
      <c r="H1640" s="635" t="s">
        <v>1841</v>
      </c>
      <c r="I1640" s="634" t="s">
        <v>4135</v>
      </c>
      <c r="J1640" s="391"/>
    </row>
    <row r="1641" spans="1:10" ht="12.75" customHeight="1">
      <c r="A1641" s="638" t="s">
        <v>387</v>
      </c>
      <c r="B1641" s="639"/>
      <c r="C1641" s="638">
        <v>2015</v>
      </c>
      <c r="D1641" s="638">
        <v>2016</v>
      </c>
      <c r="E1641" s="638">
        <v>2017</v>
      </c>
      <c r="F1641" s="1057"/>
      <c r="G1641" s="1052"/>
      <c r="H1641" s="638">
        <v>2014</v>
      </c>
      <c r="I1641" s="638" t="s">
        <v>4303</v>
      </c>
      <c r="J1641" s="391"/>
    </row>
    <row r="1642" spans="1:10" ht="12.75" customHeight="1">
      <c r="A1642" s="646" t="s">
        <v>640</v>
      </c>
      <c r="B1642" s="646" t="s">
        <v>1693</v>
      </c>
      <c r="C1642" s="662">
        <v>0</v>
      </c>
      <c r="D1642" s="662">
        <v>4326400</v>
      </c>
      <c r="E1642" s="662">
        <v>4326400</v>
      </c>
      <c r="F1642" s="666">
        <f>SUM(C1642:E1642)</f>
        <v>8652800</v>
      </c>
      <c r="G1642" s="641"/>
      <c r="H1642" s="662">
        <v>4325400</v>
      </c>
      <c r="I1642" s="641" t="e">
        <f>#REF!</f>
        <v>#REF!</v>
      </c>
      <c r="J1642" s="391"/>
    </row>
    <row r="1643" spans="1:10" ht="12.75" customHeight="1">
      <c r="A1643" s="646"/>
      <c r="B1643" s="646"/>
      <c r="C1643" s="662"/>
      <c r="D1643" s="662"/>
      <c r="E1643" s="662"/>
      <c r="F1643" s="666"/>
      <c r="G1643" s="641"/>
      <c r="H1643" s="662"/>
      <c r="I1643" s="641"/>
      <c r="J1643" s="391"/>
    </row>
    <row r="1644" spans="1:10" ht="12.75" customHeight="1">
      <c r="A1644" s="646">
        <v>2</v>
      </c>
      <c r="B1644" s="646" t="s">
        <v>1695</v>
      </c>
      <c r="C1644" s="662">
        <v>400000</v>
      </c>
      <c r="D1644" s="662">
        <v>400000</v>
      </c>
      <c r="E1644" s="662">
        <v>400000</v>
      </c>
      <c r="F1644" s="666">
        <f t="shared" ref="F1644:F1656" si="211">SUM(C1644:E1644)</f>
        <v>1200000</v>
      </c>
      <c r="G1644" s="641">
        <v>94000</v>
      </c>
      <c r="H1644" s="662">
        <v>424320</v>
      </c>
      <c r="I1644" s="641">
        <v>94000</v>
      </c>
      <c r="J1644" s="391"/>
    </row>
    <row r="1645" spans="1:10" ht="12.75" customHeight="1">
      <c r="A1645" s="646">
        <f>A1644+1</f>
        <v>3</v>
      </c>
      <c r="B1645" s="646" t="s">
        <v>1696</v>
      </c>
      <c r="C1645" s="662">
        <f t="shared" ref="C1645:C1651" si="212">E1645*1.02</f>
        <v>0</v>
      </c>
      <c r="D1645" s="662">
        <v>0</v>
      </c>
      <c r="E1645" s="662">
        <v>0</v>
      </c>
      <c r="F1645" s="666">
        <f t="shared" si="211"/>
        <v>0</v>
      </c>
      <c r="G1645" s="642" t="s">
        <v>1386</v>
      </c>
      <c r="H1645" s="662">
        <v>0</v>
      </c>
      <c r="I1645" s="642" t="s">
        <v>1386</v>
      </c>
      <c r="J1645" s="391"/>
    </row>
    <row r="1646" spans="1:10" ht="12.75" customHeight="1">
      <c r="A1646" s="646">
        <v>4</v>
      </c>
      <c r="B1646" s="646" t="s">
        <v>1701</v>
      </c>
      <c r="C1646" s="662">
        <f t="shared" si="212"/>
        <v>0</v>
      </c>
      <c r="D1646" s="662">
        <v>0</v>
      </c>
      <c r="E1646" s="662">
        <v>0</v>
      </c>
      <c r="F1646" s="666">
        <f t="shared" si="211"/>
        <v>0</v>
      </c>
      <c r="G1646" s="642" t="s">
        <v>1386</v>
      </c>
      <c r="H1646" s="662">
        <v>0</v>
      </c>
      <c r="I1646" s="642" t="s">
        <v>1386</v>
      </c>
      <c r="J1646" s="391"/>
    </row>
    <row r="1647" spans="1:10" ht="12.75" customHeight="1">
      <c r="A1647" s="646">
        <v>5</v>
      </c>
      <c r="B1647" s="646" t="s">
        <v>1702</v>
      </c>
      <c r="C1647" s="662">
        <v>400000</v>
      </c>
      <c r="D1647" s="662">
        <v>500000</v>
      </c>
      <c r="E1647" s="662">
        <v>500000</v>
      </c>
      <c r="F1647" s="666">
        <f t="shared" si="211"/>
        <v>1400000</v>
      </c>
      <c r="G1647" s="642">
        <v>0</v>
      </c>
      <c r="H1647" s="662">
        <v>530400</v>
      </c>
      <c r="I1647" s="642">
        <v>0</v>
      </c>
      <c r="J1647" s="391"/>
    </row>
    <row r="1648" spans="1:10" ht="12.75" customHeight="1">
      <c r="A1648" s="646">
        <f>A1647+1</f>
        <v>6</v>
      </c>
      <c r="B1648" s="646" t="s">
        <v>1544</v>
      </c>
      <c r="C1648" s="662">
        <v>100000</v>
      </c>
      <c r="D1648" s="662">
        <v>400000</v>
      </c>
      <c r="E1648" s="662">
        <v>400000</v>
      </c>
      <c r="F1648" s="666">
        <f t="shared" si="211"/>
        <v>900000</v>
      </c>
      <c r="G1648" s="641">
        <v>90000</v>
      </c>
      <c r="H1648" s="662">
        <v>424320</v>
      </c>
      <c r="I1648" s="641">
        <v>90000</v>
      </c>
      <c r="J1648" s="391"/>
    </row>
    <row r="1649" spans="1:11" ht="12.75" customHeight="1">
      <c r="A1649" s="646">
        <f>A1648+1</f>
        <v>7</v>
      </c>
      <c r="B1649" s="646" t="s">
        <v>897</v>
      </c>
      <c r="C1649" s="662">
        <v>400000</v>
      </c>
      <c r="D1649" s="662">
        <v>400000</v>
      </c>
      <c r="E1649" s="662">
        <v>400000</v>
      </c>
      <c r="F1649" s="666">
        <f t="shared" si="211"/>
        <v>1200000</v>
      </c>
      <c r="G1649" s="641">
        <v>0</v>
      </c>
      <c r="H1649" s="662">
        <v>0</v>
      </c>
      <c r="I1649" s="641">
        <v>0</v>
      </c>
      <c r="J1649" s="391"/>
    </row>
    <row r="1650" spans="1:11" ht="12.75" customHeight="1">
      <c r="A1650" s="646">
        <v>8</v>
      </c>
      <c r="B1650" s="646" t="s">
        <v>1385</v>
      </c>
      <c r="C1650" s="662">
        <f t="shared" si="212"/>
        <v>0</v>
      </c>
      <c r="D1650" s="662">
        <v>0</v>
      </c>
      <c r="E1650" s="662">
        <v>0</v>
      </c>
      <c r="F1650" s="666">
        <f t="shared" si="211"/>
        <v>0</v>
      </c>
      <c r="G1650" s="642" t="s">
        <v>1386</v>
      </c>
      <c r="H1650" s="662">
        <v>0</v>
      </c>
      <c r="I1650" s="642" t="s">
        <v>1386</v>
      </c>
      <c r="J1650" s="391"/>
    </row>
    <row r="1651" spans="1:11" ht="12.75" customHeight="1">
      <c r="A1651" s="646">
        <v>9</v>
      </c>
      <c r="B1651" s="646" t="s">
        <v>755</v>
      </c>
      <c r="C1651" s="662">
        <f t="shared" si="212"/>
        <v>0</v>
      </c>
      <c r="D1651" s="662">
        <v>0</v>
      </c>
      <c r="E1651" s="662">
        <v>0</v>
      </c>
      <c r="F1651" s="666">
        <f t="shared" si="211"/>
        <v>0</v>
      </c>
      <c r="G1651" s="642" t="s">
        <v>1386</v>
      </c>
      <c r="H1651" s="662">
        <v>0</v>
      </c>
      <c r="I1651" s="642" t="s">
        <v>1386</v>
      </c>
      <c r="J1651" s="391"/>
    </row>
    <row r="1652" spans="1:11" ht="12.75" customHeight="1">
      <c r="A1652" s="646">
        <v>10</v>
      </c>
      <c r="B1652" s="646" t="s">
        <v>1680</v>
      </c>
      <c r="C1652" s="662">
        <v>100000</v>
      </c>
      <c r="D1652" s="662">
        <v>100000</v>
      </c>
      <c r="E1652" s="662">
        <v>100000</v>
      </c>
      <c r="F1652" s="666">
        <f t="shared" si="211"/>
        <v>300000</v>
      </c>
      <c r="G1652" s="641">
        <v>0</v>
      </c>
      <c r="H1652" s="662">
        <v>106080</v>
      </c>
      <c r="I1652" s="641">
        <v>0</v>
      </c>
      <c r="J1652" s="391"/>
    </row>
    <row r="1653" spans="1:11" ht="12.75" customHeight="1">
      <c r="A1653" s="646">
        <f>A1652+1</f>
        <v>11</v>
      </c>
      <c r="B1653" s="646" t="s">
        <v>1681</v>
      </c>
      <c r="C1653" s="662">
        <v>100000</v>
      </c>
      <c r="D1653" s="662">
        <v>100000</v>
      </c>
      <c r="E1653" s="662">
        <v>100000</v>
      </c>
      <c r="F1653" s="666">
        <f t="shared" si="211"/>
        <v>300000</v>
      </c>
      <c r="G1653" s="642">
        <v>0</v>
      </c>
      <c r="H1653" s="662">
        <v>53040</v>
      </c>
      <c r="I1653" s="642">
        <v>0</v>
      </c>
      <c r="J1653" s="391"/>
    </row>
    <row r="1654" spans="1:11" ht="12.75" customHeight="1">
      <c r="A1654" s="646">
        <f>A1653+1</f>
        <v>12</v>
      </c>
      <c r="B1654" s="646" t="s">
        <v>1682</v>
      </c>
      <c r="C1654" s="662">
        <v>600000</v>
      </c>
      <c r="D1654" s="662">
        <v>500000</v>
      </c>
      <c r="E1654" s="662">
        <v>500000</v>
      </c>
      <c r="F1654" s="666">
        <f t="shared" si="211"/>
        <v>1600000</v>
      </c>
      <c r="G1654" s="642">
        <v>356291</v>
      </c>
      <c r="H1654" s="662">
        <f>530400-40560</f>
        <v>489840</v>
      </c>
      <c r="I1654" s="642">
        <v>356291</v>
      </c>
      <c r="J1654" s="391"/>
    </row>
    <row r="1655" spans="1:11" ht="12.75" customHeight="1">
      <c r="A1655" s="646">
        <f>A1654+1</f>
        <v>13</v>
      </c>
      <c r="B1655" s="646" t="s">
        <v>2249</v>
      </c>
      <c r="C1655" s="641">
        <v>100000</v>
      </c>
      <c r="D1655" s="641">
        <v>100000</v>
      </c>
      <c r="E1655" s="641">
        <v>100000</v>
      </c>
      <c r="F1655" s="666">
        <f t="shared" si="211"/>
        <v>300000</v>
      </c>
      <c r="G1655" s="642"/>
      <c r="H1655" s="641">
        <v>100000</v>
      </c>
      <c r="I1655" s="641"/>
      <c r="J1655" s="391"/>
    </row>
    <row r="1656" spans="1:11" ht="12.75" customHeight="1">
      <c r="A1656" s="646">
        <f>A1655+1</f>
        <v>14</v>
      </c>
      <c r="B1656" s="646" t="s">
        <v>1717</v>
      </c>
      <c r="C1656" s="641">
        <v>200000</v>
      </c>
      <c r="D1656" s="641">
        <v>200000</v>
      </c>
      <c r="E1656" s="641">
        <v>200000</v>
      </c>
      <c r="F1656" s="666">
        <f t="shared" si="211"/>
        <v>600000</v>
      </c>
      <c r="G1656" s="642"/>
      <c r="H1656" s="641">
        <v>200000</v>
      </c>
      <c r="I1656" s="641"/>
      <c r="J1656" s="391"/>
    </row>
    <row r="1657" spans="1:11" ht="12.75" customHeight="1">
      <c r="A1657" s="646"/>
      <c r="B1657" s="646"/>
      <c r="C1657" s="641"/>
      <c r="D1657" s="641"/>
      <c r="E1657" s="641"/>
      <c r="F1657" s="666"/>
      <c r="G1657" s="641"/>
      <c r="H1657" s="641"/>
      <c r="I1657" s="641"/>
      <c r="J1657" s="391"/>
    </row>
    <row r="1658" spans="1:11" ht="12.75" customHeight="1">
      <c r="A1658" s="646" t="s">
        <v>641</v>
      </c>
      <c r="B1658" s="651" t="s">
        <v>819</v>
      </c>
      <c r="C1658" s="652">
        <f t="shared" ref="C1658:I1658" si="213">SUM(C1644:C1657)</f>
        <v>2400000</v>
      </c>
      <c r="D1658" s="652">
        <f t="shared" si="213"/>
        <v>2700000</v>
      </c>
      <c r="E1658" s="652">
        <f t="shared" si="213"/>
        <v>2700000</v>
      </c>
      <c r="F1658" s="652">
        <f t="shared" si="213"/>
        <v>7800000</v>
      </c>
      <c r="G1658" s="652">
        <f t="shared" si="213"/>
        <v>540291</v>
      </c>
      <c r="H1658" s="652">
        <f>SUM(H1644:H1657)</f>
        <v>2328000</v>
      </c>
      <c r="I1658" s="652">
        <f t="shared" si="213"/>
        <v>540291</v>
      </c>
      <c r="J1658" s="391"/>
      <c r="K1658" s="657">
        <f>2328000-H1658</f>
        <v>0</v>
      </c>
    </row>
    <row r="1659" spans="1:11" ht="12.75" customHeight="1">
      <c r="A1659" s="646"/>
      <c r="B1659" s="646"/>
      <c r="C1659" s="641"/>
      <c r="D1659" s="641"/>
      <c r="E1659" s="641"/>
      <c r="F1659" s="641"/>
      <c r="G1659" s="641"/>
      <c r="H1659" s="641"/>
      <c r="I1659" s="641"/>
      <c r="J1659" s="391"/>
    </row>
    <row r="1660" spans="1:11" ht="12.75" customHeight="1">
      <c r="A1660" s="653"/>
      <c r="B1660" s="653" t="s">
        <v>1684</v>
      </c>
      <c r="C1660" s="645">
        <f t="shared" ref="C1660:I1660" si="214">+C1658+C1642</f>
        <v>2400000</v>
      </c>
      <c r="D1660" s="645">
        <f t="shared" si="214"/>
        <v>7026400</v>
      </c>
      <c r="E1660" s="645">
        <f t="shared" si="214"/>
        <v>7026400</v>
      </c>
      <c r="F1660" s="645">
        <f t="shared" si="214"/>
        <v>16452800</v>
      </c>
      <c r="G1660" s="645">
        <f t="shared" si="214"/>
        <v>540291</v>
      </c>
      <c r="H1660" s="645">
        <f>+H1658+H1642</f>
        <v>6653400</v>
      </c>
      <c r="I1660" s="645" t="e">
        <f t="shared" si="214"/>
        <v>#REF!</v>
      </c>
      <c r="J1660" s="391"/>
    </row>
    <row r="1661" spans="1:11" ht="12.75" customHeight="1">
      <c r="A1661" s="391"/>
      <c r="B1661" s="391"/>
      <c r="C1661" s="647"/>
      <c r="D1661" s="647"/>
      <c r="E1661" s="647"/>
      <c r="F1661" s="647"/>
      <c r="G1661" s="647"/>
      <c r="H1661" s="647"/>
      <c r="I1661" s="391"/>
      <c r="J1661" s="391"/>
    </row>
    <row r="1662" spans="1:11" ht="12.75" customHeight="1">
      <c r="A1662" s="391"/>
      <c r="B1662" s="391"/>
      <c r="C1662" s="647"/>
      <c r="D1662" s="308" t="s">
        <v>5434</v>
      </c>
      <c r="E1662" s="647"/>
      <c r="F1662" s="647"/>
      <c r="H1662" s="647"/>
      <c r="I1662" s="391"/>
      <c r="J1662" s="391"/>
    </row>
    <row r="1663" spans="1:11" ht="12.75" customHeight="1">
      <c r="A1663" s="655"/>
      <c r="B1663" s="633"/>
      <c r="C1663" s="655"/>
      <c r="D1663" s="308" t="s">
        <v>716</v>
      </c>
      <c r="E1663" s="655"/>
      <c r="F1663" s="647"/>
      <c r="H1663" s="655"/>
      <c r="I1663" s="391"/>
      <c r="J1663" s="391"/>
    </row>
    <row r="1664" spans="1:11" ht="12.75" customHeight="1">
      <c r="A1664" s="655"/>
      <c r="B1664" s="633"/>
      <c r="C1664" s="655"/>
      <c r="D1664" s="308" t="s">
        <v>2426</v>
      </c>
      <c r="E1664" s="655"/>
      <c r="F1664" s="647"/>
      <c r="H1664" s="655"/>
      <c r="I1664" s="391"/>
      <c r="J1664" s="391"/>
    </row>
    <row r="1665" spans="1:10" ht="12.75" customHeight="1">
      <c r="A1665" s="655"/>
      <c r="B1665" s="655"/>
      <c r="C1665" s="655"/>
      <c r="D1665" s="307" t="s">
        <v>642</v>
      </c>
      <c r="E1665" s="655"/>
      <c r="F1665" s="647"/>
      <c r="H1665" s="655"/>
      <c r="I1665" s="391"/>
      <c r="J1665" s="391"/>
    </row>
    <row r="1666" spans="1:10" ht="12.75" customHeight="1">
      <c r="A1666" s="634" t="s">
        <v>1839</v>
      </c>
      <c r="B1666" s="635" t="s">
        <v>903</v>
      </c>
      <c r="C1666" s="1037" t="s">
        <v>4127</v>
      </c>
      <c r="D1666" s="1038"/>
      <c r="E1666" s="1039"/>
      <c r="F1666" s="635" t="s">
        <v>1684</v>
      </c>
      <c r="G1666" s="1037" t="s">
        <v>4132</v>
      </c>
      <c r="H1666" s="1038"/>
      <c r="I1666" s="1039"/>
      <c r="J1666" s="391"/>
    </row>
    <row r="1667" spans="1:10" ht="12.75" customHeight="1">
      <c r="A1667" s="636" t="s">
        <v>1620</v>
      </c>
      <c r="B1667" s="637"/>
      <c r="C1667" s="635" t="s">
        <v>1841</v>
      </c>
      <c r="D1667" s="635" t="s">
        <v>4133</v>
      </c>
      <c r="E1667" s="635" t="s">
        <v>4133</v>
      </c>
      <c r="F1667" s="1056" t="s">
        <v>4200</v>
      </c>
      <c r="G1667" s="1051" t="s">
        <v>4201</v>
      </c>
      <c r="H1667" s="635" t="s">
        <v>1841</v>
      </c>
      <c r="I1667" s="634" t="s">
        <v>4135</v>
      </c>
      <c r="J1667" s="391"/>
    </row>
    <row r="1668" spans="1:10" ht="12.75" customHeight="1">
      <c r="A1668" s="638" t="s">
        <v>387</v>
      </c>
      <c r="B1668" s="639"/>
      <c r="C1668" s="638">
        <v>2015</v>
      </c>
      <c r="D1668" s="638">
        <v>2016</v>
      </c>
      <c r="E1668" s="638">
        <v>2017</v>
      </c>
      <c r="F1668" s="1057"/>
      <c r="G1668" s="1052"/>
      <c r="H1668" s="638">
        <v>2014</v>
      </c>
      <c r="I1668" s="638" t="s">
        <v>4303</v>
      </c>
      <c r="J1668" s="391"/>
    </row>
    <row r="1669" spans="1:10" ht="12.75" customHeight="1">
      <c r="A1669" s="646" t="s">
        <v>643</v>
      </c>
      <c r="B1669" s="646" t="s">
        <v>1693</v>
      </c>
      <c r="C1669" s="662">
        <v>0</v>
      </c>
      <c r="D1669" s="662">
        <v>3244799.9999999995</v>
      </c>
      <c r="E1669" s="662">
        <v>3244799.9999999995</v>
      </c>
      <c r="F1669" s="647">
        <f>SUM(C1669:E1669)</f>
        <v>6489599.9999999991</v>
      </c>
      <c r="G1669" s="641">
        <v>0</v>
      </c>
      <c r="H1669" s="662">
        <v>3244800</v>
      </c>
      <c r="I1669" s="641" t="e">
        <f>#REF!</f>
        <v>#REF!</v>
      </c>
      <c r="J1669" s="391"/>
    </row>
    <row r="1670" spans="1:10" ht="12.75" customHeight="1">
      <c r="A1670" s="646"/>
      <c r="B1670" s="646"/>
      <c r="C1670" s="662"/>
      <c r="D1670" s="662"/>
      <c r="E1670" s="662"/>
      <c r="F1670" s="647"/>
      <c r="G1670" s="641"/>
      <c r="H1670" s="662"/>
      <c r="I1670" s="641"/>
      <c r="J1670" s="391"/>
    </row>
    <row r="1671" spans="1:10" ht="12.75" customHeight="1">
      <c r="A1671" s="646">
        <v>2</v>
      </c>
      <c r="B1671" s="646" t="s">
        <v>1695</v>
      </c>
      <c r="C1671" s="662">
        <v>6000000</v>
      </c>
      <c r="D1671" s="662">
        <v>8000000</v>
      </c>
      <c r="E1671" s="662">
        <v>8000000</v>
      </c>
      <c r="F1671" s="647">
        <f t="shared" ref="F1671:F1685" si="215">SUM(C1671:E1671)</f>
        <v>22000000</v>
      </c>
      <c r="G1671" s="641">
        <v>3269000</v>
      </c>
      <c r="H1671" s="662">
        <v>8486400</v>
      </c>
      <c r="I1671" s="641">
        <v>2871500</v>
      </c>
      <c r="J1671" s="391"/>
    </row>
    <row r="1672" spans="1:10" ht="12.75" customHeight="1">
      <c r="A1672" s="646">
        <f>A1671+1</f>
        <v>3</v>
      </c>
      <c r="B1672" s="646" t="s">
        <v>1696</v>
      </c>
      <c r="C1672" s="662">
        <v>100000</v>
      </c>
      <c r="D1672" s="662">
        <v>100000</v>
      </c>
      <c r="E1672" s="662">
        <v>100000</v>
      </c>
      <c r="F1672" s="647">
        <f t="shared" si="215"/>
        <v>300000</v>
      </c>
      <c r="G1672" s="642">
        <v>0</v>
      </c>
      <c r="H1672" s="662">
        <v>530400</v>
      </c>
      <c r="I1672" s="642">
        <v>0</v>
      </c>
      <c r="J1672" s="391"/>
    </row>
    <row r="1673" spans="1:10" ht="12.75" customHeight="1">
      <c r="A1673" s="646">
        <v>4</v>
      </c>
      <c r="B1673" s="646" t="s">
        <v>1701</v>
      </c>
      <c r="C1673" s="642" t="s">
        <v>1386</v>
      </c>
      <c r="D1673" s="642" t="s">
        <v>1386</v>
      </c>
      <c r="E1673" s="642" t="s">
        <v>1386</v>
      </c>
      <c r="F1673" s="647">
        <f t="shared" si="215"/>
        <v>0</v>
      </c>
      <c r="G1673" s="642" t="s">
        <v>1386</v>
      </c>
      <c r="H1673" s="642" t="s">
        <v>1386</v>
      </c>
      <c r="I1673" s="642" t="s">
        <v>1386</v>
      </c>
      <c r="J1673" s="391"/>
    </row>
    <row r="1674" spans="1:10" ht="12.75" customHeight="1">
      <c r="A1674" s="646">
        <v>5</v>
      </c>
      <c r="B1674" s="646" t="s">
        <v>1702</v>
      </c>
      <c r="C1674" s="662">
        <v>1000000</v>
      </c>
      <c r="D1674" s="662">
        <v>2000000</v>
      </c>
      <c r="E1674" s="662">
        <v>2000000</v>
      </c>
      <c r="F1674" s="647">
        <f t="shared" si="215"/>
        <v>5000000</v>
      </c>
      <c r="G1674" s="642">
        <v>606212</v>
      </c>
      <c r="H1674" s="662">
        <v>2121600</v>
      </c>
      <c r="I1674" s="642">
        <v>133550</v>
      </c>
      <c r="J1674" s="391"/>
    </row>
    <row r="1675" spans="1:10" ht="12.75" customHeight="1">
      <c r="A1675" s="646">
        <f>A1674+1</f>
        <v>6</v>
      </c>
      <c r="B1675" s="646" t="s">
        <v>1544</v>
      </c>
      <c r="C1675" s="662">
        <v>1000000</v>
      </c>
      <c r="D1675" s="662">
        <v>3000000</v>
      </c>
      <c r="E1675" s="662">
        <v>3000000</v>
      </c>
      <c r="F1675" s="647">
        <f t="shared" si="215"/>
        <v>7000000</v>
      </c>
      <c r="G1675" s="641">
        <v>2032500</v>
      </c>
      <c r="H1675" s="662">
        <v>3182400</v>
      </c>
      <c r="I1675" s="641">
        <v>1059000</v>
      </c>
      <c r="J1675" s="391"/>
    </row>
    <row r="1676" spans="1:10" ht="12.75" customHeight="1">
      <c r="A1676" s="646">
        <f>A1675+1</f>
        <v>7</v>
      </c>
      <c r="B1676" s="646" t="s">
        <v>897</v>
      </c>
      <c r="C1676" s="662">
        <v>3000000</v>
      </c>
      <c r="D1676" s="662">
        <v>5000000</v>
      </c>
      <c r="E1676" s="662">
        <v>5000000</v>
      </c>
      <c r="F1676" s="647">
        <f t="shared" si="215"/>
        <v>13000000</v>
      </c>
      <c r="G1676" s="641">
        <v>2413550</v>
      </c>
      <c r="H1676" s="662">
        <v>5304000</v>
      </c>
      <c r="I1676" s="641">
        <v>111500</v>
      </c>
      <c r="J1676" s="391"/>
    </row>
    <row r="1677" spans="1:10" ht="12.75" customHeight="1">
      <c r="A1677" s="646">
        <v>8</v>
      </c>
      <c r="B1677" s="646" t="s">
        <v>1385</v>
      </c>
      <c r="C1677" s="642" t="s">
        <v>1386</v>
      </c>
      <c r="D1677" s="642" t="s">
        <v>1386</v>
      </c>
      <c r="E1677" s="642" t="s">
        <v>1386</v>
      </c>
      <c r="F1677" s="647">
        <f t="shared" si="215"/>
        <v>0</v>
      </c>
      <c r="G1677" s="641" t="s">
        <v>1386</v>
      </c>
      <c r="H1677" s="642" t="s">
        <v>1386</v>
      </c>
      <c r="I1677" s="642" t="s">
        <v>1386</v>
      </c>
      <c r="J1677" s="391"/>
    </row>
    <row r="1678" spans="1:10" ht="12.75" customHeight="1">
      <c r="A1678" s="646">
        <v>9</v>
      </c>
      <c r="B1678" s="646" t="s">
        <v>755</v>
      </c>
      <c r="C1678" s="642" t="s">
        <v>1386</v>
      </c>
      <c r="D1678" s="642" t="s">
        <v>1386</v>
      </c>
      <c r="E1678" s="642" t="s">
        <v>1386</v>
      </c>
      <c r="F1678" s="647">
        <f t="shared" si="215"/>
        <v>0</v>
      </c>
      <c r="G1678" s="641" t="s">
        <v>1386</v>
      </c>
      <c r="H1678" s="642" t="s">
        <v>1386</v>
      </c>
      <c r="I1678" s="642" t="s">
        <v>1386</v>
      </c>
      <c r="J1678" s="391"/>
    </row>
    <row r="1679" spans="1:10" ht="12.75" customHeight="1">
      <c r="A1679" s="646">
        <v>10</v>
      </c>
      <c r="B1679" s="646" t="s">
        <v>1680</v>
      </c>
      <c r="C1679" s="662">
        <v>900000</v>
      </c>
      <c r="D1679" s="662">
        <v>5000000</v>
      </c>
      <c r="E1679" s="662">
        <v>5000000</v>
      </c>
      <c r="F1679" s="647">
        <f t="shared" si="215"/>
        <v>10900000</v>
      </c>
      <c r="G1679" s="641">
        <v>0</v>
      </c>
      <c r="H1679" s="662">
        <v>5304000</v>
      </c>
      <c r="I1679" s="641">
        <v>35000</v>
      </c>
      <c r="J1679" s="391"/>
    </row>
    <row r="1680" spans="1:10" ht="12.75" customHeight="1">
      <c r="A1680" s="646">
        <f t="shared" ref="A1680:A1685" si="216">A1679+1</f>
        <v>11</v>
      </c>
      <c r="B1680" s="646" t="s">
        <v>1681</v>
      </c>
      <c r="C1680" s="662">
        <v>100000</v>
      </c>
      <c r="D1680" s="662">
        <v>2000000</v>
      </c>
      <c r="E1680" s="662">
        <v>2000000</v>
      </c>
      <c r="F1680" s="647">
        <f t="shared" si="215"/>
        <v>4100000</v>
      </c>
      <c r="G1680" s="642">
        <v>160000</v>
      </c>
      <c r="H1680" s="662">
        <v>2121600</v>
      </c>
      <c r="I1680" s="642">
        <v>0</v>
      </c>
      <c r="J1680" s="391"/>
    </row>
    <row r="1681" spans="1:11" ht="12.75" customHeight="1">
      <c r="A1681" s="646">
        <f t="shared" si="216"/>
        <v>12</v>
      </c>
      <c r="B1681" s="646" t="s">
        <v>1682</v>
      </c>
      <c r="C1681" s="662">
        <v>6000000</v>
      </c>
      <c r="D1681" s="662">
        <v>7000000</v>
      </c>
      <c r="E1681" s="662">
        <v>8000000</v>
      </c>
      <c r="F1681" s="647">
        <f t="shared" si="215"/>
        <v>21000000</v>
      </c>
      <c r="G1681" s="642">
        <v>5860095</v>
      </c>
      <c r="H1681" s="662">
        <f>10608000-896480</f>
        <v>9711520</v>
      </c>
      <c r="I1681" s="642">
        <v>6216260</v>
      </c>
      <c r="J1681" s="391"/>
    </row>
    <row r="1682" spans="1:11" ht="12.75" customHeight="1">
      <c r="A1682" s="646">
        <f t="shared" si="216"/>
        <v>13</v>
      </c>
      <c r="B1682" s="646" t="s">
        <v>2249</v>
      </c>
      <c r="C1682" s="662">
        <v>100000</v>
      </c>
      <c r="D1682" s="662">
        <v>100000</v>
      </c>
      <c r="E1682" s="662">
        <v>100000</v>
      </c>
      <c r="F1682" s="647">
        <f t="shared" si="215"/>
        <v>300000</v>
      </c>
      <c r="G1682" s="642">
        <v>0</v>
      </c>
      <c r="H1682" s="662">
        <v>106080</v>
      </c>
      <c r="I1682" s="642">
        <v>0</v>
      </c>
      <c r="J1682" s="391"/>
    </row>
    <row r="1683" spans="1:11" ht="12.75" customHeight="1">
      <c r="A1683" s="646">
        <f t="shared" si="216"/>
        <v>14</v>
      </c>
      <c r="B1683" s="646" t="s">
        <v>1336</v>
      </c>
      <c r="C1683" s="662">
        <v>800000</v>
      </c>
      <c r="D1683" s="662">
        <v>800000</v>
      </c>
      <c r="E1683" s="662">
        <v>800000</v>
      </c>
      <c r="F1683" s="647">
        <f t="shared" si="215"/>
        <v>2400000</v>
      </c>
      <c r="G1683" s="642">
        <v>0</v>
      </c>
      <c r="H1683" s="662">
        <v>530400</v>
      </c>
      <c r="I1683" s="642">
        <v>35000</v>
      </c>
      <c r="J1683" s="391"/>
    </row>
    <row r="1684" spans="1:11" ht="12.75" customHeight="1">
      <c r="A1684" s="646">
        <f t="shared" si="216"/>
        <v>15</v>
      </c>
      <c r="B1684" s="646" t="s">
        <v>3304</v>
      </c>
      <c r="C1684" s="662">
        <v>1500000</v>
      </c>
      <c r="D1684" s="662">
        <v>5000000</v>
      </c>
      <c r="E1684" s="662">
        <v>2000000</v>
      </c>
      <c r="F1684" s="647">
        <f t="shared" si="215"/>
        <v>8500000</v>
      </c>
      <c r="G1684" s="642">
        <v>299000</v>
      </c>
      <c r="H1684" s="662">
        <v>2121600</v>
      </c>
      <c r="I1684" s="642">
        <v>0</v>
      </c>
      <c r="J1684" s="391"/>
    </row>
    <row r="1685" spans="1:11" ht="12.75" customHeight="1">
      <c r="A1685" s="646">
        <f t="shared" si="216"/>
        <v>16</v>
      </c>
      <c r="B1685" s="646" t="s">
        <v>3508</v>
      </c>
      <c r="C1685" s="662">
        <v>3500000</v>
      </c>
      <c r="D1685" s="662">
        <v>5000000</v>
      </c>
      <c r="E1685" s="662">
        <v>5000000</v>
      </c>
      <c r="F1685" s="647">
        <f t="shared" si="215"/>
        <v>13500000</v>
      </c>
      <c r="G1685" s="642">
        <v>1374738</v>
      </c>
      <c r="H1685" s="662">
        <v>5304000</v>
      </c>
      <c r="I1685" s="642">
        <v>910450</v>
      </c>
      <c r="J1685" s="391"/>
    </row>
    <row r="1686" spans="1:11" ht="12.75" customHeight="1">
      <c r="A1686" s="646"/>
      <c r="B1686" s="646"/>
      <c r="C1686" s="641"/>
      <c r="D1686" s="641"/>
      <c r="E1686" s="641"/>
      <c r="F1686" s="647"/>
      <c r="G1686" s="641"/>
      <c r="H1686" s="641"/>
      <c r="I1686" s="641"/>
      <c r="J1686" s="391"/>
    </row>
    <row r="1687" spans="1:11" ht="12.75" customHeight="1">
      <c r="A1687" s="646" t="s">
        <v>644</v>
      </c>
      <c r="B1687" s="651" t="s">
        <v>819</v>
      </c>
      <c r="C1687" s="652">
        <f t="shared" ref="C1687:I1687" si="217">SUM(C1671:C1686)</f>
        <v>24000000</v>
      </c>
      <c r="D1687" s="652">
        <f t="shared" si="217"/>
        <v>43000000</v>
      </c>
      <c r="E1687" s="652">
        <f t="shared" si="217"/>
        <v>41000000</v>
      </c>
      <c r="F1687" s="652">
        <f t="shared" si="217"/>
        <v>108000000</v>
      </c>
      <c r="G1687" s="652">
        <f t="shared" si="217"/>
        <v>16015095</v>
      </c>
      <c r="H1687" s="652">
        <f>SUM(H1671:H1686)</f>
        <v>44824000</v>
      </c>
      <c r="I1687" s="652">
        <f t="shared" si="217"/>
        <v>11372260</v>
      </c>
      <c r="J1687" s="391"/>
      <c r="K1687" s="657">
        <f>44824000-H1687</f>
        <v>0</v>
      </c>
    </row>
    <row r="1688" spans="1:11" ht="12.75" customHeight="1">
      <c r="A1688" s="646"/>
      <c r="B1688" s="646"/>
      <c r="C1688" s="641"/>
      <c r="D1688" s="641"/>
      <c r="E1688" s="641"/>
      <c r="F1688" s="641"/>
      <c r="G1688" s="641"/>
      <c r="H1688" s="641"/>
      <c r="I1688" s="641"/>
      <c r="J1688" s="391"/>
    </row>
    <row r="1689" spans="1:11" ht="12.75" customHeight="1">
      <c r="A1689" s="653"/>
      <c r="B1689" s="653" t="s">
        <v>1684</v>
      </c>
      <c r="C1689" s="645">
        <f t="shared" ref="C1689:I1689" si="218">+C1687+C1669</f>
        <v>24000000</v>
      </c>
      <c r="D1689" s="645">
        <f t="shared" si="218"/>
        <v>46244800</v>
      </c>
      <c r="E1689" s="645">
        <f t="shared" si="218"/>
        <v>44244800</v>
      </c>
      <c r="F1689" s="645">
        <f t="shared" si="218"/>
        <v>114489600</v>
      </c>
      <c r="G1689" s="645">
        <f t="shared" si="218"/>
        <v>16015095</v>
      </c>
      <c r="H1689" s="645">
        <f>+H1687+H1669</f>
        <v>48068800</v>
      </c>
      <c r="I1689" s="645" t="e">
        <f t="shared" si="218"/>
        <v>#REF!</v>
      </c>
      <c r="J1689" s="391"/>
    </row>
    <row r="1690" spans="1:11" ht="12.75" customHeight="1">
      <c r="A1690" s="391"/>
      <c r="B1690" s="391"/>
      <c r="C1690" s="647"/>
      <c r="D1690" s="647"/>
      <c r="E1690" s="647"/>
      <c r="F1690" s="647"/>
      <c r="G1690" s="647"/>
      <c r="H1690" s="647"/>
      <c r="I1690" s="391"/>
      <c r="J1690" s="391"/>
    </row>
    <row r="1691" spans="1:11" ht="12.75" customHeight="1">
      <c r="A1691" s="391"/>
      <c r="B1691" s="391"/>
      <c r="C1691" s="647"/>
      <c r="D1691" s="308" t="s">
        <v>5434</v>
      </c>
      <c r="E1691" s="647"/>
      <c r="F1691" s="647"/>
      <c r="H1691" s="647"/>
      <c r="I1691" s="391"/>
      <c r="J1691" s="391"/>
    </row>
    <row r="1692" spans="1:11" ht="12.75" customHeight="1">
      <c r="A1692" s="655"/>
      <c r="B1692" s="633"/>
      <c r="C1692" s="655"/>
      <c r="D1692" s="308" t="s">
        <v>716</v>
      </c>
      <c r="E1692" s="655"/>
      <c r="F1692" s="647"/>
      <c r="H1692" s="655"/>
      <c r="I1692" s="391"/>
      <c r="J1692" s="391"/>
    </row>
    <row r="1693" spans="1:11" ht="12.75" customHeight="1">
      <c r="A1693" s="655"/>
      <c r="B1693" s="633"/>
      <c r="C1693" s="655"/>
      <c r="D1693" s="308" t="s">
        <v>2389</v>
      </c>
      <c r="E1693" s="655"/>
      <c r="F1693" s="647"/>
      <c r="H1693" s="655"/>
      <c r="I1693" s="391"/>
      <c r="J1693" s="391"/>
    </row>
    <row r="1694" spans="1:11" ht="12.75" customHeight="1">
      <c r="A1694" s="655"/>
      <c r="B1694" s="655"/>
      <c r="C1694" s="655"/>
      <c r="D1694" s="307" t="s">
        <v>645</v>
      </c>
      <c r="E1694" s="655"/>
      <c r="F1694" s="647"/>
      <c r="H1694" s="655"/>
      <c r="I1694" s="391"/>
      <c r="J1694" s="391"/>
    </row>
    <row r="1695" spans="1:11" ht="12.75" customHeight="1">
      <c r="A1695" s="634" t="s">
        <v>1839</v>
      </c>
      <c r="B1695" s="635" t="s">
        <v>903</v>
      </c>
      <c r="C1695" s="1037" t="s">
        <v>4127</v>
      </c>
      <c r="D1695" s="1038"/>
      <c r="E1695" s="1039"/>
      <c r="F1695" s="635" t="s">
        <v>1684</v>
      </c>
      <c r="G1695" s="1037" t="s">
        <v>4132</v>
      </c>
      <c r="H1695" s="1038"/>
      <c r="I1695" s="1039"/>
      <c r="J1695" s="391"/>
    </row>
    <row r="1696" spans="1:11" ht="12.75" customHeight="1">
      <c r="A1696" s="636" t="s">
        <v>1620</v>
      </c>
      <c r="B1696" s="637"/>
      <c r="C1696" s="635" t="s">
        <v>1841</v>
      </c>
      <c r="D1696" s="635" t="s">
        <v>4133</v>
      </c>
      <c r="E1696" s="635" t="s">
        <v>4133</v>
      </c>
      <c r="F1696" s="1056" t="s">
        <v>4200</v>
      </c>
      <c r="G1696" s="1051" t="s">
        <v>4201</v>
      </c>
      <c r="H1696" s="635" t="s">
        <v>1841</v>
      </c>
      <c r="I1696" s="634" t="s">
        <v>4135</v>
      </c>
      <c r="J1696" s="391"/>
    </row>
    <row r="1697" spans="1:10" ht="12.75" customHeight="1">
      <c r="A1697" s="638" t="s">
        <v>387</v>
      </c>
      <c r="B1697" s="639"/>
      <c r="C1697" s="638">
        <v>2015</v>
      </c>
      <c r="D1697" s="638">
        <v>2016</v>
      </c>
      <c r="E1697" s="638">
        <v>2017</v>
      </c>
      <c r="F1697" s="1057"/>
      <c r="G1697" s="1052"/>
      <c r="H1697" s="638">
        <v>2014</v>
      </c>
      <c r="I1697" s="638" t="s">
        <v>4303</v>
      </c>
      <c r="J1697" s="391"/>
    </row>
    <row r="1698" spans="1:10" ht="12.75" customHeight="1">
      <c r="A1698" s="646" t="s">
        <v>646</v>
      </c>
      <c r="B1698" s="646" t="s">
        <v>1693</v>
      </c>
      <c r="C1698" s="662">
        <v>1682592.85</v>
      </c>
      <c r="D1698" s="662">
        <v>2163200</v>
      </c>
      <c r="E1698" s="662">
        <v>2163200</v>
      </c>
      <c r="F1698" s="647">
        <f>SUM(C1698:E1698)</f>
        <v>6008992.8499999996</v>
      </c>
      <c r="G1698" s="641">
        <v>1579436</v>
      </c>
      <c r="H1698" s="662">
        <v>2163200</v>
      </c>
      <c r="I1698" s="641" t="e">
        <f>#REF!</f>
        <v>#REF!</v>
      </c>
      <c r="J1698" s="391"/>
    </row>
    <row r="1699" spans="1:10" ht="12.75" customHeight="1">
      <c r="A1699" s="646"/>
      <c r="B1699" s="646"/>
      <c r="C1699" s="662"/>
      <c r="D1699" s="662"/>
      <c r="E1699" s="662"/>
      <c r="F1699" s="647"/>
      <c r="G1699" s="641"/>
      <c r="H1699" s="662"/>
      <c r="I1699" s="641"/>
      <c r="J1699" s="391"/>
    </row>
    <row r="1700" spans="1:10" ht="12.75" customHeight="1">
      <c r="A1700" s="646">
        <v>2</v>
      </c>
      <c r="B1700" s="646" t="s">
        <v>1695</v>
      </c>
      <c r="C1700" s="662">
        <v>1000000</v>
      </c>
      <c r="D1700" s="662">
        <v>1000000</v>
      </c>
      <c r="E1700" s="662">
        <v>1000000</v>
      </c>
      <c r="F1700" s="647">
        <f t="shared" ref="F1700:F1715" si="219">SUM(C1700:E1700)</f>
        <v>3000000</v>
      </c>
      <c r="G1700" s="641">
        <v>300000</v>
      </c>
      <c r="H1700" s="662">
        <v>500000</v>
      </c>
      <c r="I1700" s="641">
        <v>540000</v>
      </c>
      <c r="J1700" s="391"/>
    </row>
    <row r="1701" spans="1:10" ht="12.75" customHeight="1">
      <c r="A1701" s="646">
        <f>A1700+1</f>
        <v>3</v>
      </c>
      <c r="B1701" s="646" t="s">
        <v>1696</v>
      </c>
      <c r="C1701" s="642" t="s">
        <v>3007</v>
      </c>
      <c r="D1701" s="642" t="s">
        <v>3007</v>
      </c>
      <c r="E1701" s="642" t="s">
        <v>3007</v>
      </c>
      <c r="F1701" s="647">
        <f t="shared" si="219"/>
        <v>0</v>
      </c>
      <c r="G1701" s="642">
        <v>0</v>
      </c>
      <c r="H1701" s="642" t="s">
        <v>3007</v>
      </c>
      <c r="I1701" s="642" t="s">
        <v>1386</v>
      </c>
      <c r="J1701" s="391"/>
    </row>
    <row r="1702" spans="1:10" ht="12.75" customHeight="1">
      <c r="A1702" s="646">
        <v>4</v>
      </c>
      <c r="B1702" s="646" t="s">
        <v>1701</v>
      </c>
      <c r="C1702" s="642" t="s">
        <v>3007</v>
      </c>
      <c r="D1702" s="642" t="s">
        <v>3007</v>
      </c>
      <c r="E1702" s="642" t="s">
        <v>3007</v>
      </c>
      <c r="F1702" s="647">
        <f t="shared" si="219"/>
        <v>0</v>
      </c>
      <c r="G1702" s="642">
        <v>0</v>
      </c>
      <c r="H1702" s="642" t="s">
        <v>3007</v>
      </c>
      <c r="I1702" s="642" t="s">
        <v>1386</v>
      </c>
      <c r="J1702" s="391"/>
    </row>
    <row r="1703" spans="1:10" ht="12.75" customHeight="1">
      <c r="A1703" s="646">
        <v>5</v>
      </c>
      <c r="B1703" s="646" t="s">
        <v>1702</v>
      </c>
      <c r="C1703" s="662">
        <v>200000</v>
      </c>
      <c r="D1703" s="662">
        <v>200000</v>
      </c>
      <c r="E1703" s="662">
        <v>200000</v>
      </c>
      <c r="F1703" s="647">
        <f t="shared" si="219"/>
        <v>600000</v>
      </c>
      <c r="G1703" s="642">
        <v>370000</v>
      </c>
      <c r="H1703" s="662">
        <v>212160</v>
      </c>
      <c r="I1703" s="642">
        <v>85000</v>
      </c>
      <c r="J1703" s="391"/>
    </row>
    <row r="1704" spans="1:10" ht="12.75" customHeight="1">
      <c r="A1704" s="646">
        <f>A1703+1</f>
        <v>6</v>
      </c>
      <c r="B1704" s="646" t="s">
        <v>1544</v>
      </c>
      <c r="C1704" s="662">
        <v>600000</v>
      </c>
      <c r="D1704" s="662">
        <v>600000</v>
      </c>
      <c r="E1704" s="662">
        <v>600000</v>
      </c>
      <c r="F1704" s="647">
        <f t="shared" si="219"/>
        <v>1800000</v>
      </c>
      <c r="G1704" s="641">
        <v>667000</v>
      </c>
      <c r="H1704" s="662">
        <v>350000</v>
      </c>
      <c r="I1704" s="641">
        <v>324200</v>
      </c>
      <c r="J1704" s="391"/>
    </row>
    <row r="1705" spans="1:10" ht="12.75" customHeight="1">
      <c r="A1705" s="646">
        <f>A1704+1</f>
        <v>7</v>
      </c>
      <c r="B1705" s="646" t="s">
        <v>897</v>
      </c>
      <c r="C1705" s="662">
        <v>700000</v>
      </c>
      <c r="D1705" s="662">
        <v>800000</v>
      </c>
      <c r="E1705" s="662">
        <v>800000</v>
      </c>
      <c r="F1705" s="647">
        <f t="shared" si="219"/>
        <v>2300000</v>
      </c>
      <c r="G1705" s="641">
        <v>70000</v>
      </c>
      <c r="H1705" s="662">
        <v>500000</v>
      </c>
      <c r="I1705" s="641">
        <v>430000</v>
      </c>
      <c r="J1705" s="391"/>
    </row>
    <row r="1706" spans="1:10" ht="12.75" customHeight="1">
      <c r="A1706" s="646">
        <v>8</v>
      </c>
      <c r="B1706" s="646" t="s">
        <v>1385</v>
      </c>
      <c r="C1706" s="642" t="s">
        <v>3007</v>
      </c>
      <c r="D1706" s="642" t="s">
        <v>3007</v>
      </c>
      <c r="E1706" s="642" t="s">
        <v>3007</v>
      </c>
      <c r="F1706" s="647">
        <f t="shared" si="219"/>
        <v>0</v>
      </c>
      <c r="G1706" s="641"/>
      <c r="H1706" s="642" t="s">
        <v>3007</v>
      </c>
      <c r="I1706" s="642" t="s">
        <v>1386</v>
      </c>
      <c r="J1706" s="391"/>
    </row>
    <row r="1707" spans="1:10" ht="12.75" customHeight="1">
      <c r="A1707" s="646">
        <v>9</v>
      </c>
      <c r="B1707" s="646" t="s">
        <v>755</v>
      </c>
      <c r="C1707" s="642" t="s">
        <v>3007</v>
      </c>
      <c r="D1707" s="642" t="s">
        <v>3007</v>
      </c>
      <c r="E1707" s="642" t="s">
        <v>3007</v>
      </c>
      <c r="F1707" s="647">
        <f t="shared" si="219"/>
        <v>0</v>
      </c>
      <c r="G1707" s="641"/>
      <c r="H1707" s="642" t="s">
        <v>3007</v>
      </c>
      <c r="I1707" s="642" t="s">
        <v>1386</v>
      </c>
      <c r="J1707" s="391"/>
    </row>
    <row r="1708" spans="1:10" ht="12.75" customHeight="1">
      <c r="A1708" s="646">
        <v>10</v>
      </c>
      <c r="B1708" s="646" t="s">
        <v>1680</v>
      </c>
      <c r="C1708" s="662">
        <v>600000</v>
      </c>
      <c r="D1708" s="662">
        <v>200000</v>
      </c>
      <c r="E1708" s="662">
        <v>200000</v>
      </c>
      <c r="F1708" s="647">
        <f t="shared" si="219"/>
        <v>1000000</v>
      </c>
      <c r="G1708" s="641">
        <v>70000</v>
      </c>
      <c r="H1708" s="662">
        <v>212160</v>
      </c>
      <c r="I1708" s="641">
        <v>83500</v>
      </c>
      <c r="J1708" s="391"/>
    </row>
    <row r="1709" spans="1:10" ht="12.75" customHeight="1">
      <c r="A1709" s="646">
        <f t="shared" ref="A1709:A1715" si="220">A1708+1</f>
        <v>11</v>
      </c>
      <c r="B1709" s="646" t="s">
        <v>1681</v>
      </c>
      <c r="C1709" s="662">
        <v>100000</v>
      </c>
      <c r="D1709" s="662">
        <v>100000</v>
      </c>
      <c r="E1709" s="662">
        <v>100000</v>
      </c>
      <c r="F1709" s="647">
        <f t="shared" si="219"/>
        <v>300000</v>
      </c>
      <c r="G1709" s="642">
        <v>90000</v>
      </c>
      <c r="H1709" s="662">
        <v>106080</v>
      </c>
      <c r="I1709" s="642">
        <v>69000</v>
      </c>
      <c r="J1709" s="391"/>
    </row>
    <row r="1710" spans="1:10" ht="12.75" customHeight="1">
      <c r="A1710" s="646">
        <f t="shared" si="220"/>
        <v>12</v>
      </c>
      <c r="B1710" s="646" t="s">
        <v>1682</v>
      </c>
      <c r="C1710" s="662">
        <v>1500000</v>
      </c>
      <c r="D1710" s="662">
        <v>500000</v>
      </c>
      <c r="E1710" s="662">
        <v>1000000</v>
      </c>
      <c r="F1710" s="647">
        <f t="shared" si="219"/>
        <v>3000000</v>
      </c>
      <c r="G1710" s="642">
        <v>929600</v>
      </c>
      <c r="H1710" s="662">
        <f>1500000-420720</f>
        <v>1079280</v>
      </c>
      <c r="I1710" s="642">
        <v>544613</v>
      </c>
      <c r="J1710" s="391"/>
    </row>
    <row r="1711" spans="1:10" ht="12.75" customHeight="1">
      <c r="A1711" s="646">
        <f t="shared" si="220"/>
        <v>13</v>
      </c>
      <c r="B1711" s="646" t="s">
        <v>2249</v>
      </c>
      <c r="C1711" s="662">
        <v>100000</v>
      </c>
      <c r="D1711" s="662">
        <v>1000000</v>
      </c>
      <c r="E1711" s="662">
        <v>1000000</v>
      </c>
      <c r="F1711" s="647">
        <f t="shared" si="219"/>
        <v>2100000</v>
      </c>
      <c r="G1711" s="642">
        <v>0</v>
      </c>
      <c r="H1711" s="662">
        <v>106080</v>
      </c>
      <c r="I1711" s="642">
        <v>0</v>
      </c>
      <c r="J1711" s="391"/>
    </row>
    <row r="1712" spans="1:10" ht="12.75" customHeight="1">
      <c r="A1712" s="646">
        <f t="shared" si="220"/>
        <v>14</v>
      </c>
      <c r="B1712" s="646" t="s">
        <v>1336</v>
      </c>
      <c r="C1712" s="662">
        <v>900000</v>
      </c>
      <c r="D1712" s="662">
        <v>500000</v>
      </c>
      <c r="E1712" s="662">
        <v>500000</v>
      </c>
      <c r="F1712" s="647">
        <f t="shared" si="219"/>
        <v>1900000</v>
      </c>
      <c r="G1712" s="642">
        <v>170000</v>
      </c>
      <c r="H1712" s="662">
        <v>318240</v>
      </c>
      <c r="I1712" s="642">
        <v>96200</v>
      </c>
      <c r="J1712" s="391"/>
    </row>
    <row r="1713" spans="1:11" ht="12.75" customHeight="1">
      <c r="A1713" s="646">
        <f t="shared" si="220"/>
        <v>15</v>
      </c>
      <c r="B1713" s="646" t="s">
        <v>3303</v>
      </c>
      <c r="C1713" s="662">
        <v>1300000</v>
      </c>
      <c r="D1713" s="662">
        <v>1600000</v>
      </c>
      <c r="E1713" s="662">
        <v>1600000</v>
      </c>
      <c r="F1713" s="647">
        <f t="shared" si="219"/>
        <v>4500000</v>
      </c>
      <c r="G1713" s="642">
        <v>370000</v>
      </c>
      <c r="H1713" s="662">
        <v>500000</v>
      </c>
      <c r="I1713" s="642">
        <v>889600</v>
      </c>
      <c r="J1713" s="391"/>
    </row>
    <row r="1714" spans="1:11" ht="12.75" customHeight="1">
      <c r="A1714" s="646">
        <f t="shared" si="220"/>
        <v>16</v>
      </c>
      <c r="B1714" s="646" t="s">
        <v>4157</v>
      </c>
      <c r="C1714" s="662" t="s">
        <v>1386</v>
      </c>
      <c r="D1714" s="662">
        <v>1000000</v>
      </c>
      <c r="E1714" s="662">
        <v>1000000</v>
      </c>
      <c r="F1714" s="647">
        <f t="shared" si="219"/>
        <v>2000000</v>
      </c>
      <c r="G1714" s="642"/>
      <c r="H1714" s="662">
        <v>1500000</v>
      </c>
      <c r="I1714" s="642"/>
      <c r="J1714" s="391"/>
    </row>
    <row r="1715" spans="1:11" ht="12.75" customHeight="1">
      <c r="A1715" s="646">
        <f t="shared" si="220"/>
        <v>17</v>
      </c>
      <c r="B1715" s="646" t="s">
        <v>4158</v>
      </c>
      <c r="C1715" s="662" t="s">
        <v>1386</v>
      </c>
      <c r="D1715" s="662">
        <v>1000000</v>
      </c>
      <c r="E1715" s="662">
        <v>2000000</v>
      </c>
      <c r="F1715" s="647">
        <f t="shared" si="219"/>
        <v>3000000</v>
      </c>
      <c r="G1715" s="642"/>
      <c r="H1715" s="662">
        <v>2000000</v>
      </c>
      <c r="I1715" s="642"/>
      <c r="J1715" s="391"/>
    </row>
    <row r="1716" spans="1:11" ht="12.75" customHeight="1">
      <c r="A1716" s="646"/>
      <c r="B1716" s="646"/>
      <c r="C1716" s="641"/>
      <c r="D1716" s="641"/>
      <c r="E1716" s="641"/>
      <c r="F1716" s="641"/>
      <c r="G1716" s="642"/>
      <c r="H1716" s="641"/>
      <c r="I1716" s="642"/>
      <c r="J1716" s="391"/>
    </row>
    <row r="1717" spans="1:11" ht="12.75" customHeight="1">
      <c r="A1717" s="646" t="s">
        <v>647</v>
      </c>
      <c r="B1717" s="651" t="s">
        <v>819</v>
      </c>
      <c r="C1717" s="652">
        <f>SUM(C1700:C1716)</f>
        <v>7000000</v>
      </c>
      <c r="D1717" s="652">
        <f>SUM(D1700:D1716)</f>
        <v>8500000</v>
      </c>
      <c r="E1717" s="652">
        <f>SUM(E1700:E1716)</f>
        <v>10000000</v>
      </c>
      <c r="F1717" s="652">
        <v>7384000</v>
      </c>
      <c r="G1717" s="652">
        <f>SUM(G1700:G1716)</f>
        <v>3036600</v>
      </c>
      <c r="H1717" s="652">
        <f>SUM(H1700:H1716)</f>
        <v>7384000</v>
      </c>
      <c r="I1717" s="652">
        <f>SUM(I1700:I1716)</f>
        <v>3062113</v>
      </c>
      <c r="J1717" s="391"/>
      <c r="K1717" s="657">
        <f>7384000-H1717</f>
        <v>0</v>
      </c>
    </row>
    <row r="1718" spans="1:11" ht="12.75" customHeight="1">
      <c r="A1718" s="646"/>
      <c r="B1718" s="646"/>
      <c r="C1718" s="641"/>
      <c r="D1718" s="641"/>
      <c r="E1718" s="641"/>
      <c r="F1718" s="641"/>
      <c r="G1718" s="641"/>
      <c r="H1718" s="641"/>
      <c r="I1718" s="641"/>
      <c r="J1718" s="391"/>
    </row>
    <row r="1719" spans="1:11" ht="12.75" customHeight="1">
      <c r="A1719" s="653"/>
      <c r="B1719" s="653" t="s">
        <v>1684</v>
      </c>
      <c r="C1719" s="645">
        <f>+C1717+C1698</f>
        <v>8682592.8499999996</v>
      </c>
      <c r="D1719" s="645">
        <v>9547200</v>
      </c>
      <c r="E1719" s="645">
        <v>9547200</v>
      </c>
      <c r="F1719" s="645">
        <v>9547200</v>
      </c>
      <c r="G1719" s="645">
        <f>+G1717+G1698</f>
        <v>4616036</v>
      </c>
      <c r="H1719" s="645">
        <f>+H1717+H1698</f>
        <v>9547200</v>
      </c>
      <c r="I1719" s="645" t="e">
        <f>+I1717+I1698</f>
        <v>#REF!</v>
      </c>
      <c r="J1719" s="391"/>
    </row>
    <row r="1720" spans="1:11" ht="12.75" customHeight="1">
      <c r="A1720" s="391"/>
      <c r="B1720" s="391"/>
      <c r="C1720" s="647"/>
      <c r="D1720" s="647"/>
      <c r="E1720" s="647"/>
      <c r="F1720" s="647"/>
      <c r="G1720" s="647"/>
      <c r="H1720" s="647"/>
      <c r="I1720" s="391"/>
      <c r="J1720" s="391"/>
    </row>
    <row r="1721" spans="1:11" ht="12.75" customHeight="1">
      <c r="A1721" s="391"/>
      <c r="B1721" s="391"/>
      <c r="C1721" s="647"/>
      <c r="D1721" s="308" t="s">
        <v>5434</v>
      </c>
      <c r="E1721" s="647"/>
      <c r="F1721" s="647"/>
      <c r="H1721" s="647"/>
      <c r="I1721" s="391"/>
      <c r="J1721" s="391"/>
    </row>
    <row r="1722" spans="1:11" ht="12.75" customHeight="1">
      <c r="A1722" s="655"/>
      <c r="B1722" s="633"/>
      <c r="C1722" s="655"/>
      <c r="D1722" s="308" t="s">
        <v>716</v>
      </c>
      <c r="E1722" s="655"/>
      <c r="F1722" s="647"/>
      <c r="H1722" s="655"/>
      <c r="I1722" s="391"/>
      <c r="J1722" s="391"/>
    </row>
    <row r="1723" spans="1:11" ht="12.75" customHeight="1">
      <c r="A1723" s="655"/>
      <c r="B1723" s="633"/>
      <c r="C1723" s="655"/>
      <c r="D1723" s="308" t="s">
        <v>1799</v>
      </c>
      <c r="E1723" s="655"/>
      <c r="F1723" s="647"/>
      <c r="H1723" s="655"/>
      <c r="I1723" s="391"/>
      <c r="J1723" s="391"/>
    </row>
    <row r="1724" spans="1:11" ht="12.75" customHeight="1">
      <c r="A1724" s="655"/>
      <c r="B1724" s="655"/>
      <c r="C1724" s="655"/>
      <c r="D1724" s="307" t="s">
        <v>3053</v>
      </c>
      <c r="E1724" s="655"/>
      <c r="F1724" s="647"/>
      <c r="H1724" s="655"/>
      <c r="I1724" s="391"/>
      <c r="J1724" s="391"/>
    </row>
    <row r="1725" spans="1:11" ht="12.75" customHeight="1">
      <c r="A1725" s="634" t="s">
        <v>1839</v>
      </c>
      <c r="B1725" s="635" t="s">
        <v>903</v>
      </c>
      <c r="C1725" s="1037" t="s">
        <v>4127</v>
      </c>
      <c r="D1725" s="1038"/>
      <c r="E1725" s="1039"/>
      <c r="F1725" s="635" t="s">
        <v>1684</v>
      </c>
      <c r="G1725" s="1037" t="s">
        <v>4132</v>
      </c>
      <c r="H1725" s="1038"/>
      <c r="I1725" s="1039"/>
      <c r="J1725" s="391"/>
    </row>
    <row r="1726" spans="1:11" ht="12.75" customHeight="1">
      <c r="A1726" s="636" t="s">
        <v>1620</v>
      </c>
      <c r="B1726" s="637"/>
      <c r="C1726" s="635" t="s">
        <v>1841</v>
      </c>
      <c r="D1726" s="635" t="s">
        <v>4133</v>
      </c>
      <c r="E1726" s="635" t="s">
        <v>4133</v>
      </c>
      <c r="F1726" s="1056" t="s">
        <v>4200</v>
      </c>
      <c r="G1726" s="1051" t="s">
        <v>4201</v>
      </c>
      <c r="H1726" s="635" t="s">
        <v>1841</v>
      </c>
      <c r="I1726" s="634" t="s">
        <v>4135</v>
      </c>
      <c r="J1726" s="391"/>
    </row>
    <row r="1727" spans="1:11" ht="12.75" customHeight="1">
      <c r="A1727" s="638" t="s">
        <v>387</v>
      </c>
      <c r="B1727" s="639"/>
      <c r="C1727" s="638">
        <v>2015</v>
      </c>
      <c r="D1727" s="638">
        <v>2016</v>
      </c>
      <c r="E1727" s="638">
        <v>2017</v>
      </c>
      <c r="F1727" s="1057"/>
      <c r="G1727" s="1052"/>
      <c r="H1727" s="638">
        <v>2014</v>
      </c>
      <c r="I1727" s="638" t="s">
        <v>4303</v>
      </c>
      <c r="J1727" s="391"/>
    </row>
    <row r="1728" spans="1:11" ht="12.75" customHeight="1">
      <c r="A1728" s="646" t="s">
        <v>3054</v>
      </c>
      <c r="B1728" s="646" t="s">
        <v>1693</v>
      </c>
      <c r="C1728" s="662">
        <f>E1728*1.02</f>
        <v>0</v>
      </c>
      <c r="D1728" s="662">
        <v>0</v>
      </c>
      <c r="E1728" s="662">
        <v>0</v>
      </c>
      <c r="F1728" s="641">
        <f>SUM(C1728:E1728)</f>
        <v>0</v>
      </c>
      <c r="G1728" s="641"/>
      <c r="H1728" s="662">
        <v>0</v>
      </c>
      <c r="I1728" s="662"/>
      <c r="J1728" s="391"/>
    </row>
    <row r="1729" spans="1:10" ht="12.75" customHeight="1">
      <c r="A1729" s="646"/>
      <c r="B1729" s="646"/>
      <c r="C1729" s="662"/>
      <c r="D1729" s="662"/>
      <c r="E1729" s="662"/>
      <c r="F1729" s="641">
        <f t="shared" ref="F1729:F1743" si="221">SUM(C1729:E1729)</f>
        <v>0</v>
      </c>
      <c r="G1729" s="641"/>
      <c r="H1729" s="662"/>
      <c r="I1729" s="662"/>
      <c r="J1729" s="391"/>
    </row>
    <row r="1730" spans="1:10" ht="12.75" customHeight="1">
      <c r="A1730" s="646">
        <v>2</v>
      </c>
      <c r="B1730" s="646" t="s">
        <v>1695</v>
      </c>
      <c r="C1730" s="662">
        <v>700000</v>
      </c>
      <c r="D1730" s="662">
        <v>800000</v>
      </c>
      <c r="E1730" s="662">
        <v>1000000</v>
      </c>
      <c r="F1730" s="641">
        <f t="shared" si="221"/>
        <v>2500000</v>
      </c>
      <c r="G1730" s="641"/>
      <c r="H1730" s="662"/>
      <c r="I1730" s="662"/>
      <c r="J1730" s="391"/>
    </row>
    <row r="1731" spans="1:10" ht="12.75" customHeight="1">
      <c r="A1731" s="646">
        <f>A1730+1</f>
        <v>3</v>
      </c>
      <c r="B1731" s="646" t="s">
        <v>1696</v>
      </c>
      <c r="C1731" s="642" t="s">
        <v>3007</v>
      </c>
      <c r="D1731" s="642" t="s">
        <v>3007</v>
      </c>
      <c r="E1731" s="642" t="s">
        <v>3007</v>
      </c>
      <c r="F1731" s="641">
        <f t="shared" si="221"/>
        <v>0</v>
      </c>
      <c r="G1731" s="642"/>
      <c r="H1731" s="662"/>
      <c r="I1731" s="662"/>
      <c r="J1731" s="391"/>
    </row>
    <row r="1732" spans="1:10" ht="12.75" customHeight="1">
      <c r="A1732" s="646">
        <v>4</v>
      </c>
      <c r="B1732" s="646" t="s">
        <v>1701</v>
      </c>
      <c r="C1732" s="642" t="s">
        <v>3007</v>
      </c>
      <c r="D1732" s="642" t="s">
        <v>3007</v>
      </c>
      <c r="E1732" s="642" t="s">
        <v>3007</v>
      </c>
      <c r="F1732" s="641">
        <f t="shared" si="221"/>
        <v>0</v>
      </c>
      <c r="G1732" s="642"/>
      <c r="H1732" s="662"/>
      <c r="I1732" s="662"/>
      <c r="J1732" s="391"/>
    </row>
    <row r="1733" spans="1:10" ht="12.75" customHeight="1">
      <c r="A1733" s="646">
        <v>5</v>
      </c>
      <c r="B1733" s="646" t="s">
        <v>1702</v>
      </c>
      <c r="C1733" s="662">
        <v>200000</v>
      </c>
      <c r="D1733" s="662">
        <v>200000</v>
      </c>
      <c r="E1733" s="662">
        <v>200000</v>
      </c>
      <c r="F1733" s="641">
        <f t="shared" si="221"/>
        <v>600000</v>
      </c>
      <c r="G1733" s="642"/>
      <c r="H1733" s="662"/>
      <c r="I1733" s="662"/>
      <c r="J1733" s="391"/>
    </row>
    <row r="1734" spans="1:10" ht="12.75" customHeight="1">
      <c r="A1734" s="646">
        <f>A1733+1</f>
        <v>6</v>
      </c>
      <c r="B1734" s="646" t="s">
        <v>1544</v>
      </c>
      <c r="C1734" s="662">
        <v>200000</v>
      </c>
      <c r="D1734" s="662">
        <v>500000</v>
      </c>
      <c r="E1734" s="662">
        <v>500000</v>
      </c>
      <c r="F1734" s="641">
        <f t="shared" si="221"/>
        <v>1200000</v>
      </c>
      <c r="G1734" s="641"/>
      <c r="H1734" s="662"/>
      <c r="I1734" s="662"/>
      <c r="J1734" s="391"/>
    </row>
    <row r="1735" spans="1:10" ht="12.75" customHeight="1">
      <c r="A1735" s="646">
        <f>A1734+1</f>
        <v>7</v>
      </c>
      <c r="B1735" s="646" t="s">
        <v>897</v>
      </c>
      <c r="C1735" s="662">
        <v>300000</v>
      </c>
      <c r="D1735" s="662">
        <v>300000</v>
      </c>
      <c r="E1735" s="662">
        <v>300000</v>
      </c>
      <c r="F1735" s="641">
        <f t="shared" si="221"/>
        <v>900000</v>
      </c>
      <c r="G1735" s="641"/>
      <c r="H1735" s="662"/>
      <c r="I1735" s="662"/>
      <c r="J1735" s="391"/>
    </row>
    <row r="1736" spans="1:10" ht="12.75" customHeight="1">
      <c r="A1736" s="646">
        <v>8</v>
      </c>
      <c r="B1736" s="646" t="s">
        <v>1385</v>
      </c>
      <c r="C1736" s="642" t="s">
        <v>3007</v>
      </c>
      <c r="D1736" s="642" t="s">
        <v>3007</v>
      </c>
      <c r="E1736" s="642" t="s">
        <v>3007</v>
      </c>
      <c r="F1736" s="641">
        <f t="shared" si="221"/>
        <v>0</v>
      </c>
      <c r="G1736" s="641"/>
      <c r="H1736" s="662"/>
      <c r="I1736" s="662"/>
      <c r="J1736" s="391"/>
    </row>
    <row r="1737" spans="1:10" ht="12.75" customHeight="1">
      <c r="A1737" s="646">
        <v>9</v>
      </c>
      <c r="B1737" s="646" t="s">
        <v>755</v>
      </c>
      <c r="C1737" s="642" t="s">
        <v>3007</v>
      </c>
      <c r="D1737" s="642" t="s">
        <v>3007</v>
      </c>
      <c r="E1737" s="642" t="s">
        <v>3007</v>
      </c>
      <c r="F1737" s="641">
        <f t="shared" si="221"/>
        <v>0</v>
      </c>
      <c r="G1737" s="641"/>
      <c r="H1737" s="662"/>
      <c r="I1737" s="662"/>
      <c r="J1737" s="391"/>
    </row>
    <row r="1738" spans="1:10" ht="12.75" customHeight="1">
      <c r="A1738" s="646">
        <v>10</v>
      </c>
      <c r="B1738" s="646" t="s">
        <v>1680</v>
      </c>
      <c r="C1738" s="662">
        <v>200000</v>
      </c>
      <c r="D1738" s="662">
        <v>2200000</v>
      </c>
      <c r="E1738" s="662">
        <v>2500000</v>
      </c>
      <c r="F1738" s="641">
        <f t="shared" si="221"/>
        <v>4900000</v>
      </c>
      <c r="G1738" s="641"/>
      <c r="H1738" s="662"/>
      <c r="I1738" s="662"/>
      <c r="J1738" s="391"/>
    </row>
    <row r="1739" spans="1:10" ht="12.75" customHeight="1">
      <c r="A1739" s="646">
        <f>A1738+1</f>
        <v>11</v>
      </c>
      <c r="B1739" s="646" t="s">
        <v>1681</v>
      </c>
      <c r="C1739" s="662">
        <v>100000</v>
      </c>
      <c r="D1739" s="662">
        <v>100000</v>
      </c>
      <c r="E1739" s="662">
        <v>100000</v>
      </c>
      <c r="F1739" s="641">
        <f t="shared" si="221"/>
        <v>300000</v>
      </c>
      <c r="G1739" s="642"/>
      <c r="H1739" s="662"/>
      <c r="I1739" s="662"/>
      <c r="J1739" s="391"/>
    </row>
    <row r="1740" spans="1:10" ht="12.75" customHeight="1">
      <c r="A1740" s="646">
        <f>A1739+1</f>
        <v>12</v>
      </c>
      <c r="B1740" s="646" t="s">
        <v>1682</v>
      </c>
      <c r="C1740" s="662">
        <v>2000000</v>
      </c>
      <c r="D1740" s="662">
        <v>2000000</v>
      </c>
      <c r="E1740" s="662">
        <v>2000000</v>
      </c>
      <c r="F1740" s="641">
        <f t="shared" si="221"/>
        <v>6000000</v>
      </c>
      <c r="G1740" s="642"/>
      <c r="H1740" s="662"/>
      <c r="I1740" s="662"/>
      <c r="J1740" s="391"/>
    </row>
    <row r="1741" spans="1:10" ht="12.75" customHeight="1">
      <c r="A1741" s="646">
        <f>A1740+1</f>
        <v>13</v>
      </c>
      <c r="B1741" s="646" t="s">
        <v>2249</v>
      </c>
      <c r="C1741" s="662">
        <v>100000</v>
      </c>
      <c r="D1741" s="662">
        <v>100000</v>
      </c>
      <c r="E1741" s="662">
        <v>100000</v>
      </c>
      <c r="F1741" s="641">
        <f t="shared" si="221"/>
        <v>300000</v>
      </c>
      <c r="G1741" s="642"/>
      <c r="H1741" s="662"/>
      <c r="I1741" s="662"/>
      <c r="J1741" s="391"/>
    </row>
    <row r="1742" spans="1:10" ht="12.75" customHeight="1">
      <c r="A1742" s="646">
        <f>A1741+1</f>
        <v>14</v>
      </c>
      <c r="B1742" s="646" t="s">
        <v>1336</v>
      </c>
      <c r="C1742" s="662">
        <v>200000</v>
      </c>
      <c r="D1742" s="662">
        <v>300000</v>
      </c>
      <c r="E1742" s="662">
        <v>300000</v>
      </c>
      <c r="F1742" s="641">
        <f t="shared" si="221"/>
        <v>800000</v>
      </c>
      <c r="G1742" s="642"/>
      <c r="H1742" s="662"/>
      <c r="I1742" s="662"/>
      <c r="J1742" s="391"/>
    </row>
    <row r="1743" spans="1:10" ht="12.75" customHeight="1">
      <c r="A1743" s="646"/>
      <c r="B1743" s="646"/>
      <c r="C1743" s="641"/>
      <c r="D1743" s="641"/>
      <c r="E1743" s="641"/>
      <c r="F1743" s="641">
        <f t="shared" si="221"/>
        <v>0</v>
      </c>
      <c r="G1743" s="641"/>
      <c r="H1743" s="641"/>
      <c r="I1743" s="662"/>
      <c r="J1743" s="391"/>
    </row>
    <row r="1744" spans="1:10" ht="12.75" customHeight="1">
      <c r="A1744" s="646" t="s">
        <v>3055</v>
      </c>
      <c r="B1744" s="651" t="s">
        <v>819</v>
      </c>
      <c r="C1744" s="652">
        <f t="shared" ref="C1744:H1744" si="222">SUM(C1730:C1743)</f>
        <v>4000000</v>
      </c>
      <c r="D1744" s="652">
        <f t="shared" si="222"/>
        <v>6500000</v>
      </c>
      <c r="E1744" s="652">
        <f t="shared" si="222"/>
        <v>7000000</v>
      </c>
      <c r="F1744" s="652">
        <f t="shared" si="222"/>
        <v>17500000</v>
      </c>
      <c r="G1744" s="652">
        <f t="shared" si="222"/>
        <v>0</v>
      </c>
      <c r="H1744" s="652">
        <f t="shared" si="222"/>
        <v>0</v>
      </c>
      <c r="I1744" s="662"/>
      <c r="J1744" s="391"/>
    </row>
    <row r="1745" spans="1:10" ht="12.75" customHeight="1">
      <c r="A1745" s="646"/>
      <c r="B1745" s="646"/>
      <c r="C1745" s="641"/>
      <c r="D1745" s="641"/>
      <c r="E1745" s="641"/>
      <c r="F1745" s="641"/>
      <c r="G1745" s="641"/>
      <c r="H1745" s="641"/>
      <c r="I1745" s="662"/>
      <c r="J1745" s="391"/>
    </row>
    <row r="1746" spans="1:10" ht="12.75" customHeight="1">
      <c r="A1746" s="653"/>
      <c r="B1746" s="653" t="s">
        <v>1684</v>
      </c>
      <c r="C1746" s="645">
        <f t="shared" ref="C1746:I1746" si="223">+C1744+C1728</f>
        <v>4000000</v>
      </c>
      <c r="D1746" s="645">
        <f t="shared" si="223"/>
        <v>6500000</v>
      </c>
      <c r="E1746" s="645">
        <f t="shared" si="223"/>
        <v>7000000</v>
      </c>
      <c r="F1746" s="645">
        <f t="shared" si="223"/>
        <v>17500000</v>
      </c>
      <c r="G1746" s="645">
        <f t="shared" si="223"/>
        <v>0</v>
      </c>
      <c r="H1746" s="645">
        <f t="shared" si="223"/>
        <v>0</v>
      </c>
      <c r="I1746" s="645">
        <f t="shared" si="223"/>
        <v>0</v>
      </c>
      <c r="J1746" s="391"/>
    </row>
    <row r="1747" spans="1:10" ht="12.75" customHeight="1">
      <c r="A1747" s="391"/>
      <c r="B1747" s="391"/>
      <c r="C1747" s="647"/>
      <c r="D1747" s="647"/>
      <c r="E1747" s="647"/>
      <c r="F1747" s="647"/>
      <c r="G1747" s="647"/>
      <c r="H1747" s="647"/>
      <c r="I1747" s="391"/>
      <c r="J1747" s="391"/>
    </row>
    <row r="1748" spans="1:10" ht="12.75" customHeight="1">
      <c r="A1748" s="391"/>
      <c r="B1748" s="391"/>
      <c r="C1748" s="647"/>
      <c r="D1748" s="308" t="s">
        <v>5434</v>
      </c>
      <c r="E1748" s="647"/>
      <c r="F1748" s="647"/>
      <c r="H1748" s="647"/>
      <c r="I1748" s="391"/>
      <c r="J1748" s="391"/>
    </row>
    <row r="1749" spans="1:10" ht="12.75" customHeight="1">
      <c r="A1749" s="655"/>
      <c r="B1749" s="633"/>
      <c r="C1749" s="655"/>
      <c r="D1749" s="308" t="s">
        <v>716</v>
      </c>
      <c r="E1749" s="655"/>
      <c r="F1749" s="647"/>
      <c r="H1749" s="655"/>
      <c r="I1749" s="391"/>
      <c r="J1749" s="391"/>
    </row>
    <row r="1750" spans="1:10" ht="12.75" customHeight="1">
      <c r="A1750" s="655"/>
      <c r="B1750" s="633"/>
      <c r="C1750" s="655"/>
      <c r="D1750" s="308" t="s">
        <v>1801</v>
      </c>
      <c r="E1750" s="655"/>
      <c r="F1750" s="647"/>
      <c r="H1750" s="655"/>
      <c r="I1750" s="391"/>
      <c r="J1750" s="391"/>
    </row>
    <row r="1751" spans="1:10" ht="12.75" customHeight="1">
      <c r="A1751" s="655"/>
      <c r="B1751" s="655"/>
      <c r="C1751" s="655"/>
      <c r="D1751" s="307" t="s">
        <v>3056</v>
      </c>
      <c r="E1751" s="655"/>
      <c r="F1751" s="647"/>
      <c r="H1751" s="655"/>
      <c r="I1751" s="391"/>
      <c r="J1751" s="391"/>
    </row>
    <row r="1752" spans="1:10" ht="12.75" customHeight="1">
      <c r="A1752" s="634" t="s">
        <v>1839</v>
      </c>
      <c r="B1752" s="635" t="s">
        <v>903</v>
      </c>
      <c r="C1752" s="1037" t="s">
        <v>4127</v>
      </c>
      <c r="D1752" s="1038"/>
      <c r="E1752" s="1039"/>
      <c r="F1752" s="635" t="s">
        <v>1684</v>
      </c>
      <c r="G1752" s="1037" t="s">
        <v>4132</v>
      </c>
      <c r="H1752" s="1038"/>
      <c r="I1752" s="1039"/>
      <c r="J1752" s="391"/>
    </row>
    <row r="1753" spans="1:10" ht="12.75" customHeight="1">
      <c r="A1753" s="636" t="s">
        <v>1620</v>
      </c>
      <c r="B1753" s="637"/>
      <c r="C1753" s="635" t="s">
        <v>1841</v>
      </c>
      <c r="D1753" s="635" t="s">
        <v>4133</v>
      </c>
      <c r="E1753" s="635" t="s">
        <v>4133</v>
      </c>
      <c r="F1753" s="1056" t="s">
        <v>4200</v>
      </c>
      <c r="G1753" s="1051" t="s">
        <v>4201</v>
      </c>
      <c r="H1753" s="635" t="s">
        <v>1841</v>
      </c>
      <c r="I1753" s="634" t="s">
        <v>4135</v>
      </c>
      <c r="J1753" s="391"/>
    </row>
    <row r="1754" spans="1:10" ht="12.75" customHeight="1">
      <c r="A1754" s="638" t="s">
        <v>387</v>
      </c>
      <c r="B1754" s="639"/>
      <c r="C1754" s="638">
        <v>2015</v>
      </c>
      <c r="D1754" s="638">
        <v>2016</v>
      </c>
      <c r="E1754" s="638">
        <v>2017</v>
      </c>
      <c r="F1754" s="1057"/>
      <c r="G1754" s="1052"/>
      <c r="H1754" s="638">
        <v>2014</v>
      </c>
      <c r="I1754" s="638" t="s">
        <v>4303</v>
      </c>
      <c r="J1754" s="391"/>
    </row>
    <row r="1755" spans="1:10" ht="12.75" customHeight="1">
      <c r="A1755" s="646" t="s">
        <v>3057</v>
      </c>
      <c r="B1755" s="646" t="s">
        <v>1693</v>
      </c>
      <c r="C1755" s="662">
        <v>0</v>
      </c>
      <c r="D1755" s="662">
        <v>0</v>
      </c>
      <c r="E1755" s="662">
        <v>0</v>
      </c>
      <c r="F1755" s="647">
        <f>SUM(C1755:E1755)</f>
        <v>0</v>
      </c>
      <c r="G1755" s="641"/>
      <c r="H1755" s="662">
        <v>0</v>
      </c>
      <c r="I1755" s="662" t="e">
        <f>#REF!</f>
        <v>#REF!</v>
      </c>
      <c r="J1755" s="391"/>
    </row>
    <row r="1756" spans="1:10" ht="12.75" customHeight="1">
      <c r="A1756" s="646"/>
      <c r="B1756" s="646"/>
      <c r="C1756" s="662"/>
      <c r="D1756" s="662"/>
      <c r="E1756" s="662"/>
      <c r="F1756" s="647"/>
      <c r="G1756" s="641"/>
      <c r="H1756" s="662"/>
      <c r="I1756" s="662">
        <f ca="1">SUM(F1756:J1756)</f>
        <v>0</v>
      </c>
      <c r="J1756" s="391"/>
    </row>
    <row r="1757" spans="1:10" ht="12.75" customHeight="1">
      <c r="A1757" s="646">
        <v>2</v>
      </c>
      <c r="B1757" s="646" t="s">
        <v>1695</v>
      </c>
      <c r="C1757" s="662">
        <v>1200000</v>
      </c>
      <c r="D1757" s="662">
        <v>1200000</v>
      </c>
      <c r="E1757" s="662">
        <v>1300000</v>
      </c>
      <c r="F1757" s="647">
        <f t="shared" ref="F1757:F1770" si="224">SUM(C1757:E1757)</f>
        <v>3700000</v>
      </c>
      <c r="G1757" s="662">
        <v>50000</v>
      </c>
      <c r="H1757" s="662">
        <v>1000000</v>
      </c>
      <c r="I1757" s="662"/>
      <c r="J1757" s="391"/>
    </row>
    <row r="1758" spans="1:10" ht="12.75" customHeight="1">
      <c r="A1758" s="646">
        <f>A1757+1</f>
        <v>3</v>
      </c>
      <c r="B1758" s="646" t="s">
        <v>1696</v>
      </c>
      <c r="C1758" s="662" t="s">
        <v>3007</v>
      </c>
      <c r="D1758" s="662" t="s">
        <v>3007</v>
      </c>
      <c r="E1758" s="662" t="s">
        <v>3007</v>
      </c>
      <c r="F1758" s="647">
        <f t="shared" si="224"/>
        <v>0</v>
      </c>
      <c r="G1758" s="662">
        <f ca="1">SUM(D1758:I1758)</f>
        <v>0</v>
      </c>
      <c r="H1758" s="662" t="s">
        <v>3007</v>
      </c>
      <c r="I1758" s="662"/>
      <c r="J1758" s="391"/>
    </row>
    <row r="1759" spans="1:10" ht="12.75" customHeight="1">
      <c r="A1759" s="646">
        <v>4</v>
      </c>
      <c r="B1759" s="646" t="s">
        <v>1701</v>
      </c>
      <c r="C1759" s="662" t="s">
        <v>3007</v>
      </c>
      <c r="D1759" s="662" t="s">
        <v>3007</v>
      </c>
      <c r="E1759" s="662" t="s">
        <v>3007</v>
      </c>
      <c r="F1759" s="647">
        <f t="shared" si="224"/>
        <v>0</v>
      </c>
      <c r="G1759" s="662">
        <f ca="1">SUM(D1759:I1759)</f>
        <v>0</v>
      </c>
      <c r="H1759" s="662" t="s">
        <v>3007</v>
      </c>
      <c r="I1759" s="662"/>
      <c r="J1759" s="391"/>
    </row>
    <row r="1760" spans="1:10" ht="12.75" customHeight="1">
      <c r="A1760" s="646">
        <v>5</v>
      </c>
      <c r="B1760" s="646" t="s">
        <v>1702</v>
      </c>
      <c r="C1760" s="662">
        <v>100000</v>
      </c>
      <c r="D1760" s="662">
        <v>200000</v>
      </c>
      <c r="E1760" s="662">
        <v>200000</v>
      </c>
      <c r="F1760" s="647">
        <f t="shared" si="224"/>
        <v>500000</v>
      </c>
      <c r="G1760" s="662">
        <v>49900</v>
      </c>
      <c r="H1760" s="662">
        <v>100000</v>
      </c>
      <c r="I1760" s="662"/>
      <c r="J1760" s="391"/>
    </row>
    <row r="1761" spans="1:10" ht="12.75" customHeight="1">
      <c r="A1761" s="646">
        <f>A1760+1</f>
        <v>6</v>
      </c>
      <c r="B1761" s="646" t="s">
        <v>1544</v>
      </c>
      <c r="C1761" s="662">
        <v>250000</v>
      </c>
      <c r="D1761" s="662">
        <v>250000</v>
      </c>
      <c r="E1761" s="662">
        <v>250000</v>
      </c>
      <c r="F1761" s="647">
        <f t="shared" si="224"/>
        <v>750000</v>
      </c>
      <c r="G1761" s="662">
        <f ca="1">SUM(D1761:I1761)</f>
        <v>0</v>
      </c>
      <c r="H1761" s="662">
        <v>250000</v>
      </c>
      <c r="I1761" s="662"/>
      <c r="J1761" s="391"/>
    </row>
    <row r="1762" spans="1:10" ht="12.75" customHeight="1">
      <c r="A1762" s="646">
        <f>A1761+1</f>
        <v>7</v>
      </c>
      <c r="B1762" s="646" t="s">
        <v>897</v>
      </c>
      <c r="C1762" s="662">
        <v>800000</v>
      </c>
      <c r="D1762" s="662">
        <v>1000000</v>
      </c>
      <c r="E1762" s="662">
        <v>1000000</v>
      </c>
      <c r="F1762" s="647">
        <f t="shared" si="224"/>
        <v>2800000</v>
      </c>
      <c r="G1762" s="662">
        <v>556375</v>
      </c>
      <c r="H1762" s="662">
        <v>800000</v>
      </c>
      <c r="I1762" s="662"/>
      <c r="J1762" s="391"/>
    </row>
    <row r="1763" spans="1:10" ht="12.75" customHeight="1">
      <c r="A1763" s="646">
        <v>8</v>
      </c>
      <c r="B1763" s="646" t="s">
        <v>1385</v>
      </c>
      <c r="C1763" s="662" t="s">
        <v>3007</v>
      </c>
      <c r="D1763" s="662" t="s">
        <v>3007</v>
      </c>
      <c r="E1763" s="662" t="s">
        <v>3007</v>
      </c>
      <c r="F1763" s="647">
        <f t="shared" si="224"/>
        <v>0</v>
      </c>
      <c r="G1763" s="662">
        <f ca="1">SUM(D1763:I1763)</f>
        <v>0</v>
      </c>
      <c r="H1763" s="662" t="s">
        <v>3007</v>
      </c>
      <c r="I1763" s="662"/>
      <c r="J1763" s="391"/>
    </row>
    <row r="1764" spans="1:10" ht="12.75" customHeight="1">
      <c r="A1764" s="646">
        <v>9</v>
      </c>
      <c r="B1764" s="646" t="s">
        <v>755</v>
      </c>
      <c r="C1764" s="662" t="s">
        <v>3007</v>
      </c>
      <c r="D1764" s="662" t="s">
        <v>3007</v>
      </c>
      <c r="E1764" s="662" t="s">
        <v>3007</v>
      </c>
      <c r="F1764" s="647">
        <f t="shared" si="224"/>
        <v>0</v>
      </c>
      <c r="G1764" s="662">
        <f ca="1">SUM(D1764:I1764)</f>
        <v>0</v>
      </c>
      <c r="H1764" s="662" t="s">
        <v>3007</v>
      </c>
      <c r="I1764" s="662"/>
      <c r="J1764" s="391"/>
    </row>
    <row r="1765" spans="1:10" ht="12.75" customHeight="1">
      <c r="A1765" s="646">
        <v>10</v>
      </c>
      <c r="B1765" s="646" t="s">
        <v>1680</v>
      </c>
      <c r="C1765" s="662" t="s">
        <v>3007</v>
      </c>
      <c r="D1765" s="662" t="s">
        <v>3007</v>
      </c>
      <c r="E1765" s="662" t="s">
        <v>3007</v>
      </c>
      <c r="F1765" s="647">
        <f t="shared" si="224"/>
        <v>0</v>
      </c>
      <c r="G1765" s="662">
        <f ca="1">SUM(D1765:I1765)</f>
        <v>0</v>
      </c>
      <c r="H1765" s="662" t="s">
        <v>3007</v>
      </c>
      <c r="I1765" s="662"/>
      <c r="J1765" s="391"/>
    </row>
    <row r="1766" spans="1:10" ht="12.75" customHeight="1">
      <c r="A1766" s="646">
        <f t="shared" ref="A1766:A1771" si="225">A1765+1</f>
        <v>11</v>
      </c>
      <c r="B1766" s="646" t="s">
        <v>1681</v>
      </c>
      <c r="C1766" s="662">
        <v>100000</v>
      </c>
      <c r="D1766" s="662">
        <v>200000</v>
      </c>
      <c r="E1766" s="662">
        <v>200000</v>
      </c>
      <c r="F1766" s="647">
        <f t="shared" si="224"/>
        <v>500000</v>
      </c>
      <c r="G1766" s="662">
        <f ca="1">SUM(D1766:I1766)</f>
        <v>0</v>
      </c>
      <c r="H1766" s="662">
        <v>100000</v>
      </c>
      <c r="I1766" s="662"/>
      <c r="J1766" s="391"/>
    </row>
    <row r="1767" spans="1:10" ht="12.75" customHeight="1">
      <c r="A1767" s="646">
        <f t="shared" si="225"/>
        <v>12</v>
      </c>
      <c r="B1767" s="646" t="s">
        <v>1682</v>
      </c>
      <c r="C1767" s="662">
        <v>950000</v>
      </c>
      <c r="D1767" s="662">
        <v>1000000</v>
      </c>
      <c r="E1767" s="662">
        <v>1000000</v>
      </c>
      <c r="F1767" s="647">
        <f t="shared" si="224"/>
        <v>2950000</v>
      </c>
      <c r="G1767" s="662">
        <v>546409</v>
      </c>
      <c r="H1767" s="662">
        <v>950000</v>
      </c>
      <c r="I1767" s="662"/>
      <c r="J1767" s="391"/>
    </row>
    <row r="1768" spans="1:10" ht="12.75" customHeight="1">
      <c r="A1768" s="646">
        <f t="shared" si="225"/>
        <v>13</v>
      </c>
      <c r="B1768" s="646" t="s">
        <v>2249</v>
      </c>
      <c r="C1768" s="662" t="s">
        <v>3007</v>
      </c>
      <c r="D1768" s="662" t="s">
        <v>3007</v>
      </c>
      <c r="E1768" s="662" t="s">
        <v>3007</v>
      </c>
      <c r="F1768" s="647">
        <f t="shared" si="224"/>
        <v>0</v>
      </c>
      <c r="G1768" s="662">
        <f ca="1">SUM(D1768:I1768)</f>
        <v>0</v>
      </c>
      <c r="H1768" s="662" t="s">
        <v>3007</v>
      </c>
      <c r="I1768" s="662"/>
      <c r="J1768" s="391"/>
    </row>
    <row r="1769" spans="1:10" ht="12.75" customHeight="1">
      <c r="A1769" s="646">
        <f t="shared" si="225"/>
        <v>14</v>
      </c>
      <c r="B1769" s="646" t="s">
        <v>1717</v>
      </c>
      <c r="C1769" s="662">
        <v>100000</v>
      </c>
      <c r="D1769" s="662">
        <v>50000</v>
      </c>
      <c r="E1769" s="662">
        <v>50000</v>
      </c>
      <c r="F1769" s="647">
        <f t="shared" si="224"/>
        <v>200000</v>
      </c>
      <c r="G1769" s="662">
        <v>50000</v>
      </c>
      <c r="H1769" s="662">
        <v>50000</v>
      </c>
      <c r="I1769" s="662"/>
      <c r="J1769" s="391"/>
    </row>
    <row r="1770" spans="1:10" ht="12.75" customHeight="1">
      <c r="A1770" s="646">
        <f t="shared" si="225"/>
        <v>15</v>
      </c>
      <c r="B1770" s="646" t="s">
        <v>3163</v>
      </c>
      <c r="C1770" s="662">
        <v>8000000</v>
      </c>
      <c r="D1770" s="662">
        <v>9000000</v>
      </c>
      <c r="E1770" s="662">
        <v>1000000</v>
      </c>
      <c r="F1770" s="647">
        <f t="shared" si="224"/>
        <v>18000000</v>
      </c>
      <c r="G1770" s="662">
        <v>4377000</v>
      </c>
      <c r="H1770" s="662">
        <v>8750000</v>
      </c>
      <c r="I1770" s="662"/>
      <c r="J1770" s="391"/>
    </row>
    <row r="1771" spans="1:10" ht="12.75" customHeight="1">
      <c r="A1771" s="646">
        <f t="shared" si="225"/>
        <v>16</v>
      </c>
      <c r="B1771" s="646" t="s">
        <v>1591</v>
      </c>
      <c r="C1771" s="662">
        <v>3000000</v>
      </c>
      <c r="D1771" s="662">
        <v>4000000</v>
      </c>
      <c r="E1771" s="662">
        <v>4500000</v>
      </c>
      <c r="F1771" s="647"/>
      <c r="G1771" s="641"/>
      <c r="H1771" s="662">
        <v>3500000</v>
      </c>
      <c r="I1771" s="662"/>
      <c r="J1771" s="391"/>
    </row>
    <row r="1772" spans="1:10" ht="12.75" customHeight="1">
      <c r="A1772" s="646"/>
      <c r="B1772" s="646"/>
      <c r="C1772" s="641"/>
      <c r="D1772" s="641"/>
      <c r="E1772" s="641"/>
      <c r="F1772" s="647"/>
      <c r="G1772" s="641"/>
      <c r="H1772" s="641"/>
      <c r="I1772" s="662">
        <f ca="1">SUM(F1772:J1772)</f>
        <v>0</v>
      </c>
      <c r="J1772" s="391"/>
    </row>
    <row r="1773" spans="1:10" ht="12.75" customHeight="1">
      <c r="A1773" s="646" t="s">
        <v>3058</v>
      </c>
      <c r="B1773" s="651" t="s">
        <v>819</v>
      </c>
      <c r="C1773" s="652">
        <f t="shared" ref="C1773:H1773" si="226">SUM(C1757:C1772)</f>
        <v>14500000</v>
      </c>
      <c r="D1773" s="652">
        <f t="shared" si="226"/>
        <v>16900000</v>
      </c>
      <c r="E1773" s="652">
        <f t="shared" si="226"/>
        <v>9500000</v>
      </c>
      <c r="F1773" s="652">
        <f t="shared" si="226"/>
        <v>29400000</v>
      </c>
      <c r="G1773" s="652">
        <f t="shared" ca="1" si="226"/>
        <v>6330250</v>
      </c>
      <c r="H1773" s="652">
        <f t="shared" si="226"/>
        <v>15500000</v>
      </c>
      <c r="I1773" s="662">
        <f ca="1">SUM(F1773:J1773)</f>
        <v>0</v>
      </c>
      <c r="J1773" s="391"/>
    </row>
    <row r="1774" spans="1:10" ht="12.75" customHeight="1">
      <c r="A1774" s="646"/>
      <c r="B1774" s="646"/>
      <c r="C1774" s="641"/>
      <c r="D1774" s="641"/>
      <c r="E1774" s="641"/>
      <c r="F1774" s="641"/>
      <c r="G1774" s="641"/>
      <c r="H1774" s="641"/>
      <c r="I1774" s="662">
        <f ca="1">SUM(F1774:J1774)</f>
        <v>0</v>
      </c>
      <c r="J1774" s="391"/>
    </row>
    <row r="1775" spans="1:10" ht="12.75" customHeight="1">
      <c r="A1775" s="653"/>
      <c r="B1775" s="653" t="s">
        <v>1684</v>
      </c>
      <c r="C1775" s="645">
        <f t="shared" ref="C1775:H1775" si="227">+C1773+C1755</f>
        <v>14500000</v>
      </c>
      <c r="D1775" s="645">
        <f t="shared" si="227"/>
        <v>16900000</v>
      </c>
      <c r="E1775" s="645">
        <f t="shared" si="227"/>
        <v>9500000</v>
      </c>
      <c r="F1775" s="645">
        <f t="shared" si="227"/>
        <v>29400000</v>
      </c>
      <c r="G1775" s="645">
        <f t="shared" ca="1" si="227"/>
        <v>6330250</v>
      </c>
      <c r="H1775" s="645">
        <f t="shared" si="227"/>
        <v>15500000</v>
      </c>
      <c r="I1775" s="645"/>
      <c r="J1775" s="391"/>
    </row>
    <row r="1776" spans="1:10" ht="12.75" customHeight="1">
      <c r="A1776" s="391"/>
      <c r="B1776" s="391"/>
      <c r="C1776" s="647"/>
      <c r="D1776" s="647"/>
      <c r="E1776" s="647"/>
      <c r="F1776" s="647"/>
      <c r="G1776" s="647"/>
      <c r="H1776" s="647"/>
      <c r="I1776" s="391"/>
      <c r="J1776" s="391"/>
    </row>
    <row r="1777" spans="1:10" ht="12.75" customHeight="1">
      <c r="A1777" s="391"/>
      <c r="B1777" s="391"/>
      <c r="C1777" s="647"/>
      <c r="D1777" s="308" t="s">
        <v>5434</v>
      </c>
      <c r="E1777" s="647"/>
      <c r="F1777" s="647"/>
      <c r="H1777" s="647"/>
      <c r="I1777" s="391"/>
      <c r="J1777" s="391"/>
    </row>
    <row r="1778" spans="1:10" ht="12.75" customHeight="1">
      <c r="A1778" s="655"/>
      <c r="B1778" s="633"/>
      <c r="C1778" s="655"/>
      <c r="D1778" s="308" t="s">
        <v>716</v>
      </c>
      <c r="E1778" s="655"/>
      <c r="F1778" s="647"/>
      <c r="H1778" s="655"/>
      <c r="I1778" s="391"/>
      <c r="J1778" s="391"/>
    </row>
    <row r="1779" spans="1:10" ht="12.75" customHeight="1">
      <c r="A1779" s="655"/>
      <c r="B1779" s="633"/>
      <c r="C1779" s="655"/>
      <c r="D1779" s="308" t="s">
        <v>341</v>
      </c>
      <c r="E1779" s="655"/>
      <c r="F1779" s="647"/>
      <c r="H1779" s="655"/>
      <c r="I1779" s="391"/>
      <c r="J1779" s="391"/>
    </row>
    <row r="1780" spans="1:10" ht="12.75" customHeight="1">
      <c r="A1780" s="655"/>
      <c r="B1780" s="655"/>
      <c r="C1780" s="655"/>
      <c r="D1780" s="307" t="s">
        <v>3059</v>
      </c>
      <c r="E1780" s="655"/>
      <c r="F1780" s="647"/>
      <c r="H1780" s="655"/>
      <c r="I1780" s="391"/>
      <c r="J1780" s="391"/>
    </row>
    <row r="1781" spans="1:10" ht="12.75" customHeight="1">
      <c r="A1781" s="634" t="s">
        <v>1839</v>
      </c>
      <c r="B1781" s="635" t="s">
        <v>903</v>
      </c>
      <c r="C1781" s="1037" t="s">
        <v>4127</v>
      </c>
      <c r="D1781" s="1038"/>
      <c r="E1781" s="1039"/>
      <c r="F1781" s="635" t="s">
        <v>1684</v>
      </c>
      <c r="G1781" s="1037" t="s">
        <v>4132</v>
      </c>
      <c r="H1781" s="1038"/>
      <c r="I1781" s="1039"/>
      <c r="J1781" s="391"/>
    </row>
    <row r="1782" spans="1:10" ht="12.75" customHeight="1">
      <c r="A1782" s="636" t="s">
        <v>1620</v>
      </c>
      <c r="B1782" s="637"/>
      <c r="C1782" s="635" t="s">
        <v>1841</v>
      </c>
      <c r="D1782" s="635" t="s">
        <v>4133</v>
      </c>
      <c r="E1782" s="635" t="s">
        <v>4133</v>
      </c>
      <c r="F1782" s="1056" t="s">
        <v>4200</v>
      </c>
      <c r="G1782" s="1051" t="s">
        <v>4201</v>
      </c>
      <c r="H1782" s="635" t="s">
        <v>1841</v>
      </c>
      <c r="I1782" s="634" t="s">
        <v>4135</v>
      </c>
      <c r="J1782" s="391"/>
    </row>
    <row r="1783" spans="1:10" ht="12.75" customHeight="1">
      <c r="A1783" s="638" t="s">
        <v>387</v>
      </c>
      <c r="B1783" s="639"/>
      <c r="C1783" s="638">
        <v>2015</v>
      </c>
      <c r="D1783" s="638">
        <v>2016</v>
      </c>
      <c r="E1783" s="638">
        <v>2017</v>
      </c>
      <c r="F1783" s="1057"/>
      <c r="G1783" s="1052"/>
      <c r="H1783" s="638">
        <v>2014</v>
      </c>
      <c r="I1783" s="638" t="s">
        <v>4303</v>
      </c>
      <c r="J1783" s="391"/>
    </row>
    <row r="1784" spans="1:10" ht="12.75" customHeight="1">
      <c r="A1784" s="646" t="s">
        <v>3060</v>
      </c>
      <c r="B1784" s="646" t="s">
        <v>1693</v>
      </c>
      <c r="C1784" s="662">
        <v>3066062</v>
      </c>
      <c r="D1784" s="662">
        <v>3328000</v>
      </c>
      <c r="E1784" s="662">
        <v>3328000</v>
      </c>
      <c r="F1784" s="647">
        <f>SUM(C1784:E1784)</f>
        <v>9722062</v>
      </c>
      <c r="G1784" s="641">
        <v>2277200</v>
      </c>
      <c r="H1784" s="662">
        <v>3328000</v>
      </c>
      <c r="I1784" s="641" t="e">
        <f>#REF!</f>
        <v>#REF!</v>
      </c>
      <c r="J1784" s="391"/>
    </row>
    <row r="1785" spans="1:10" ht="12.75" customHeight="1">
      <c r="A1785" s="646"/>
      <c r="B1785" s="646"/>
      <c r="C1785" s="662"/>
      <c r="D1785" s="662"/>
      <c r="E1785" s="662"/>
      <c r="F1785" s="647"/>
      <c r="G1785" s="641"/>
      <c r="H1785" s="662"/>
      <c r="I1785" s="641"/>
      <c r="J1785" s="391"/>
    </row>
    <row r="1786" spans="1:10" ht="12.75" customHeight="1">
      <c r="A1786" s="646">
        <v>2</v>
      </c>
      <c r="B1786" s="646" t="s">
        <v>1695</v>
      </c>
      <c r="C1786" s="662">
        <v>1000000</v>
      </c>
      <c r="D1786" s="662">
        <v>200000</v>
      </c>
      <c r="E1786" s="662">
        <v>200000</v>
      </c>
      <c r="F1786" s="647">
        <f t="shared" ref="F1786:F1800" si="228">SUM(C1786:E1786)</f>
        <v>1400000</v>
      </c>
      <c r="G1786" s="641">
        <v>195000</v>
      </c>
      <c r="H1786" s="662">
        <v>212160</v>
      </c>
      <c r="I1786" s="641">
        <v>0</v>
      </c>
      <c r="J1786" s="391"/>
    </row>
    <row r="1787" spans="1:10" ht="12.75" customHeight="1">
      <c r="A1787" s="646">
        <f>A1786+1</f>
        <v>3</v>
      </c>
      <c r="B1787" s="646" t="s">
        <v>1696</v>
      </c>
      <c r="C1787" s="662">
        <v>100000</v>
      </c>
      <c r="D1787" s="662">
        <v>100000</v>
      </c>
      <c r="E1787" s="662">
        <v>100000</v>
      </c>
      <c r="F1787" s="647">
        <f t="shared" si="228"/>
        <v>300000</v>
      </c>
      <c r="G1787" s="641">
        <v>45555</v>
      </c>
      <c r="H1787" s="662">
        <v>106080</v>
      </c>
      <c r="I1787" s="641">
        <v>0</v>
      </c>
      <c r="J1787" s="391"/>
    </row>
    <row r="1788" spans="1:10" ht="12.75" customHeight="1">
      <c r="A1788" s="646">
        <v>4</v>
      </c>
      <c r="B1788" s="646" t="s">
        <v>1701</v>
      </c>
      <c r="C1788" s="641" t="s">
        <v>1386</v>
      </c>
      <c r="D1788" s="641" t="s">
        <v>1386</v>
      </c>
      <c r="E1788" s="641" t="s">
        <v>1386</v>
      </c>
      <c r="F1788" s="647">
        <f t="shared" si="228"/>
        <v>0</v>
      </c>
      <c r="G1788" s="641">
        <v>0</v>
      </c>
      <c r="H1788" s="641" t="s">
        <v>1386</v>
      </c>
      <c r="I1788" s="641" t="s">
        <v>1386</v>
      </c>
      <c r="J1788" s="391"/>
    </row>
    <row r="1789" spans="1:10" ht="12.75" customHeight="1">
      <c r="A1789" s="646">
        <v>5</v>
      </c>
      <c r="B1789" s="646" t="s">
        <v>1702</v>
      </c>
      <c r="C1789" s="662">
        <v>800000</v>
      </c>
      <c r="D1789" s="662">
        <v>100000</v>
      </c>
      <c r="E1789" s="662">
        <v>100000</v>
      </c>
      <c r="F1789" s="647">
        <f t="shared" si="228"/>
        <v>1000000</v>
      </c>
      <c r="G1789" s="641">
        <v>48850</v>
      </c>
      <c r="H1789" s="662">
        <v>106080</v>
      </c>
      <c r="I1789" s="641">
        <v>70000</v>
      </c>
      <c r="J1789" s="391"/>
    </row>
    <row r="1790" spans="1:10" ht="12.75" customHeight="1">
      <c r="A1790" s="646">
        <f>A1789+1</f>
        <v>6</v>
      </c>
      <c r="B1790" s="646" t="s">
        <v>1544</v>
      </c>
      <c r="C1790" s="662">
        <v>300000</v>
      </c>
      <c r="D1790" s="662">
        <v>200000</v>
      </c>
      <c r="E1790" s="662">
        <v>200000</v>
      </c>
      <c r="F1790" s="647">
        <f t="shared" si="228"/>
        <v>700000</v>
      </c>
      <c r="G1790" s="641">
        <v>99300</v>
      </c>
      <c r="H1790" s="662">
        <v>212160</v>
      </c>
      <c r="I1790" s="641">
        <v>50000</v>
      </c>
      <c r="J1790" s="391"/>
    </row>
    <row r="1791" spans="1:10" ht="12.75" customHeight="1">
      <c r="A1791" s="646">
        <f>A1790+1</f>
        <v>7</v>
      </c>
      <c r="B1791" s="646" t="s">
        <v>897</v>
      </c>
      <c r="C1791" s="662">
        <v>500000</v>
      </c>
      <c r="D1791" s="662">
        <v>200000</v>
      </c>
      <c r="E1791" s="662">
        <v>200000</v>
      </c>
      <c r="F1791" s="647">
        <f t="shared" si="228"/>
        <v>900000</v>
      </c>
      <c r="G1791" s="641">
        <v>90000</v>
      </c>
      <c r="H1791" s="662">
        <v>212160</v>
      </c>
      <c r="I1791" s="641">
        <v>26000</v>
      </c>
      <c r="J1791" s="391"/>
    </row>
    <row r="1792" spans="1:10" ht="12.75" customHeight="1">
      <c r="A1792" s="646">
        <v>8</v>
      </c>
      <c r="B1792" s="646" t="s">
        <v>1385</v>
      </c>
      <c r="C1792" s="641" t="s">
        <v>1386</v>
      </c>
      <c r="D1792" s="641" t="s">
        <v>1386</v>
      </c>
      <c r="E1792" s="641" t="s">
        <v>1386</v>
      </c>
      <c r="F1792" s="647">
        <f t="shared" si="228"/>
        <v>0</v>
      </c>
      <c r="G1792" s="641">
        <v>0</v>
      </c>
      <c r="H1792" s="641" t="s">
        <v>1386</v>
      </c>
      <c r="I1792" s="641" t="s">
        <v>1386</v>
      </c>
      <c r="J1792" s="391"/>
    </row>
    <row r="1793" spans="1:11" ht="12.75" customHeight="1">
      <c r="A1793" s="646">
        <v>9</v>
      </c>
      <c r="B1793" s="646" t="s">
        <v>755</v>
      </c>
      <c r="C1793" s="641" t="s">
        <v>1386</v>
      </c>
      <c r="D1793" s="641" t="s">
        <v>1386</v>
      </c>
      <c r="E1793" s="641" t="s">
        <v>1386</v>
      </c>
      <c r="F1793" s="647">
        <f t="shared" si="228"/>
        <v>0</v>
      </c>
      <c r="G1793" s="641">
        <v>0</v>
      </c>
      <c r="H1793" s="641" t="s">
        <v>1386</v>
      </c>
      <c r="I1793" s="641" t="s">
        <v>1386</v>
      </c>
      <c r="J1793" s="391"/>
    </row>
    <row r="1794" spans="1:11" ht="12.75" customHeight="1">
      <c r="A1794" s="646">
        <v>10</v>
      </c>
      <c r="B1794" s="646" t="s">
        <v>1680</v>
      </c>
      <c r="C1794" s="662">
        <v>300000</v>
      </c>
      <c r="D1794" s="662">
        <v>200000</v>
      </c>
      <c r="E1794" s="662">
        <v>200000</v>
      </c>
      <c r="F1794" s="647">
        <f t="shared" si="228"/>
        <v>700000</v>
      </c>
      <c r="G1794" s="641">
        <v>74455</v>
      </c>
      <c r="H1794" s="662">
        <v>212160</v>
      </c>
      <c r="I1794" s="641">
        <v>0</v>
      </c>
      <c r="J1794" s="391"/>
    </row>
    <row r="1795" spans="1:11" ht="12.75" customHeight="1">
      <c r="A1795" s="646">
        <f t="shared" ref="A1795:A1800" si="229">A1794+1</f>
        <v>11</v>
      </c>
      <c r="B1795" s="646" t="s">
        <v>1681</v>
      </c>
      <c r="C1795" s="662">
        <v>100000</v>
      </c>
      <c r="D1795" s="662">
        <v>100000</v>
      </c>
      <c r="E1795" s="662">
        <v>100000</v>
      </c>
      <c r="F1795" s="647">
        <f t="shared" si="228"/>
        <v>300000</v>
      </c>
      <c r="G1795" s="641">
        <v>69217</v>
      </c>
      <c r="H1795" s="662">
        <v>106080</v>
      </c>
      <c r="I1795" s="641">
        <v>0</v>
      </c>
      <c r="J1795" s="391"/>
    </row>
    <row r="1796" spans="1:11" ht="12.75" customHeight="1">
      <c r="A1796" s="646">
        <f t="shared" si="229"/>
        <v>12</v>
      </c>
      <c r="B1796" s="646" t="s">
        <v>1682</v>
      </c>
      <c r="C1796" s="662">
        <v>2000000</v>
      </c>
      <c r="D1796" s="662">
        <v>1560000</v>
      </c>
      <c r="E1796" s="662">
        <v>1500000</v>
      </c>
      <c r="F1796" s="647">
        <f t="shared" si="228"/>
        <v>5060000</v>
      </c>
      <c r="G1796" s="641">
        <v>574521</v>
      </c>
      <c r="H1796" s="662">
        <v>1591200</v>
      </c>
      <c r="I1796" s="641">
        <v>460231</v>
      </c>
      <c r="J1796" s="391"/>
    </row>
    <row r="1797" spans="1:11" ht="12.75" customHeight="1">
      <c r="A1797" s="646">
        <f t="shared" si="229"/>
        <v>13</v>
      </c>
      <c r="B1797" s="646" t="s">
        <v>2249</v>
      </c>
      <c r="C1797" s="662">
        <v>100000</v>
      </c>
      <c r="D1797" s="662">
        <v>100000</v>
      </c>
      <c r="E1797" s="662">
        <v>100000</v>
      </c>
      <c r="F1797" s="647">
        <f t="shared" si="228"/>
        <v>300000</v>
      </c>
      <c r="G1797" s="641">
        <v>0</v>
      </c>
      <c r="H1797" s="662">
        <v>106080</v>
      </c>
      <c r="I1797" s="641">
        <v>0</v>
      </c>
      <c r="J1797" s="391"/>
    </row>
    <row r="1798" spans="1:11" ht="12.75" customHeight="1">
      <c r="A1798" s="646">
        <f t="shared" si="229"/>
        <v>14</v>
      </c>
      <c r="B1798" s="646" t="s">
        <v>1336</v>
      </c>
      <c r="C1798" s="662">
        <v>800000</v>
      </c>
      <c r="D1798" s="662">
        <v>800000</v>
      </c>
      <c r="E1798" s="662">
        <v>800000</v>
      </c>
      <c r="F1798" s="647">
        <f t="shared" si="228"/>
        <v>2400000</v>
      </c>
      <c r="G1798" s="641">
        <v>270100</v>
      </c>
      <c r="H1798" s="662">
        <v>212160</v>
      </c>
      <c r="I1798" s="641">
        <v>69000</v>
      </c>
      <c r="J1798" s="391"/>
    </row>
    <row r="1799" spans="1:11" ht="12.75" customHeight="1">
      <c r="A1799" s="646">
        <f t="shared" si="229"/>
        <v>15</v>
      </c>
      <c r="B1799" s="646" t="s">
        <v>3164</v>
      </c>
      <c r="C1799" s="662">
        <v>3000000</v>
      </c>
      <c r="D1799" s="662">
        <v>2000000</v>
      </c>
      <c r="E1799" s="662">
        <v>2000000</v>
      </c>
      <c r="F1799" s="647">
        <f t="shared" si="228"/>
        <v>7000000</v>
      </c>
      <c r="G1799" s="641">
        <v>470000</v>
      </c>
      <c r="H1799" s="662">
        <v>2121600</v>
      </c>
      <c r="I1799" s="641">
        <v>2495000</v>
      </c>
      <c r="J1799" s="391"/>
    </row>
    <row r="1800" spans="1:11" ht="12.75" customHeight="1">
      <c r="A1800" s="646">
        <f t="shared" si="229"/>
        <v>16</v>
      </c>
      <c r="B1800" s="646" t="s">
        <v>3165</v>
      </c>
      <c r="C1800" s="662">
        <v>1000000</v>
      </c>
      <c r="D1800" s="662">
        <v>2000000</v>
      </c>
      <c r="E1800" s="662">
        <v>2000000</v>
      </c>
      <c r="F1800" s="647">
        <f t="shared" si="228"/>
        <v>5000000</v>
      </c>
      <c r="G1800" s="641">
        <v>375000</v>
      </c>
      <c r="H1800" s="662">
        <f>2121600-143520</f>
        <v>1978080</v>
      </c>
      <c r="I1800" s="641">
        <v>431000</v>
      </c>
      <c r="J1800" s="391"/>
    </row>
    <row r="1801" spans="1:11" ht="12.75" customHeight="1">
      <c r="A1801" s="646"/>
      <c r="B1801" s="646"/>
      <c r="C1801" s="641"/>
      <c r="D1801" s="641"/>
      <c r="E1801" s="641"/>
      <c r="F1801" s="647"/>
      <c r="G1801" s="641"/>
      <c r="H1801" s="641"/>
      <c r="I1801" s="641"/>
      <c r="J1801" s="391"/>
    </row>
    <row r="1802" spans="1:11" ht="12.75" customHeight="1">
      <c r="A1802" s="646"/>
      <c r="B1802" s="646"/>
      <c r="C1802" s="641"/>
      <c r="D1802" s="641"/>
      <c r="E1802" s="641"/>
      <c r="F1802" s="647"/>
      <c r="G1802" s="641"/>
      <c r="H1802" s="641"/>
      <c r="I1802" s="641"/>
      <c r="J1802" s="391"/>
    </row>
    <row r="1803" spans="1:11" ht="12.75" customHeight="1">
      <c r="A1803" s="646" t="s">
        <v>3061</v>
      </c>
      <c r="B1803" s="651" t="s">
        <v>819</v>
      </c>
      <c r="C1803" s="652">
        <f t="shared" ref="C1803:I1803" si="230">SUM(C1786:C1802)</f>
        <v>10000000</v>
      </c>
      <c r="D1803" s="652">
        <f t="shared" si="230"/>
        <v>7560000</v>
      </c>
      <c r="E1803" s="652">
        <f t="shared" si="230"/>
        <v>7500000</v>
      </c>
      <c r="F1803" s="652">
        <f t="shared" si="230"/>
        <v>25060000</v>
      </c>
      <c r="G1803" s="652">
        <f t="shared" si="230"/>
        <v>2311998</v>
      </c>
      <c r="H1803" s="652">
        <f>SUM(H1786:H1802)</f>
        <v>7176000</v>
      </c>
      <c r="I1803" s="652">
        <f t="shared" si="230"/>
        <v>3601231</v>
      </c>
      <c r="J1803" s="391"/>
      <c r="K1803" s="657">
        <f>7176000-H1803</f>
        <v>0</v>
      </c>
    </row>
    <row r="1804" spans="1:11" ht="12.75" customHeight="1">
      <c r="A1804" s="646"/>
      <c r="B1804" s="646"/>
      <c r="C1804" s="641"/>
      <c r="D1804" s="641"/>
      <c r="E1804" s="641"/>
      <c r="F1804" s="641"/>
      <c r="G1804" s="641"/>
      <c r="H1804" s="641"/>
      <c r="I1804" s="641"/>
      <c r="J1804" s="391"/>
    </row>
    <row r="1805" spans="1:11" ht="12.75" customHeight="1">
      <c r="A1805" s="653"/>
      <c r="B1805" s="653" t="s">
        <v>1684</v>
      </c>
      <c r="C1805" s="645">
        <f t="shared" ref="C1805:I1805" si="231">+C1803+C1784</f>
        <v>13066062</v>
      </c>
      <c r="D1805" s="645">
        <f t="shared" si="231"/>
        <v>10888000</v>
      </c>
      <c r="E1805" s="645">
        <f t="shared" si="231"/>
        <v>10828000</v>
      </c>
      <c r="F1805" s="645">
        <f t="shared" si="231"/>
        <v>34782062</v>
      </c>
      <c r="G1805" s="645">
        <f t="shared" si="231"/>
        <v>4589198</v>
      </c>
      <c r="H1805" s="645">
        <f>+H1803+H1784</f>
        <v>10504000</v>
      </c>
      <c r="I1805" s="645" t="e">
        <f t="shared" si="231"/>
        <v>#REF!</v>
      </c>
      <c r="J1805" s="391"/>
    </row>
    <row r="1806" spans="1:11" ht="12.75" customHeight="1">
      <c r="A1806" s="391"/>
      <c r="B1806" s="391"/>
      <c r="C1806" s="647"/>
      <c r="D1806" s="647"/>
      <c r="E1806" s="647"/>
      <c r="F1806" s="647"/>
      <c r="G1806" s="647"/>
      <c r="H1806" s="647"/>
      <c r="I1806" s="391"/>
      <c r="J1806" s="391"/>
    </row>
    <row r="1807" spans="1:11" ht="12.75" customHeight="1">
      <c r="A1807" s="391"/>
      <c r="B1807" s="391"/>
      <c r="C1807" s="647"/>
      <c r="D1807" s="308" t="s">
        <v>5434</v>
      </c>
      <c r="E1807" s="647"/>
      <c r="F1807" s="647"/>
      <c r="H1807" s="647"/>
      <c r="I1807" s="391"/>
      <c r="J1807" s="391"/>
    </row>
    <row r="1808" spans="1:11" ht="12.75" customHeight="1">
      <c r="A1808" s="655"/>
      <c r="B1808" s="633"/>
      <c r="C1808" s="655"/>
      <c r="D1808" s="308" t="s">
        <v>716</v>
      </c>
      <c r="E1808" s="655"/>
      <c r="F1808" s="647"/>
      <c r="H1808" s="655"/>
      <c r="I1808" s="391"/>
      <c r="J1808" s="391"/>
    </row>
    <row r="1809" spans="1:10" ht="12.75" customHeight="1">
      <c r="A1809" s="655"/>
      <c r="B1809" s="633"/>
      <c r="C1809" s="655"/>
      <c r="D1809" s="308" t="s">
        <v>3706</v>
      </c>
      <c r="E1809" s="655"/>
      <c r="F1809" s="647"/>
      <c r="H1809" s="655"/>
      <c r="I1809" s="391"/>
      <c r="J1809" s="391"/>
    </row>
    <row r="1810" spans="1:10" ht="12.75" customHeight="1">
      <c r="A1810" s="655"/>
      <c r="B1810" s="655"/>
      <c r="C1810" s="655"/>
      <c r="D1810" s="307" t="s">
        <v>3062</v>
      </c>
      <c r="E1810" s="655"/>
      <c r="F1810" s="647"/>
      <c r="H1810" s="655"/>
      <c r="I1810" s="391"/>
      <c r="J1810" s="391"/>
    </row>
    <row r="1811" spans="1:10" ht="12.75" customHeight="1">
      <c r="A1811" s="634" t="s">
        <v>1839</v>
      </c>
      <c r="B1811" s="635" t="s">
        <v>903</v>
      </c>
      <c r="C1811" s="1037" t="s">
        <v>4127</v>
      </c>
      <c r="D1811" s="1038"/>
      <c r="E1811" s="1039"/>
      <c r="F1811" s="635" t="s">
        <v>1684</v>
      </c>
      <c r="G1811" s="1037" t="s">
        <v>4132</v>
      </c>
      <c r="H1811" s="1038"/>
      <c r="I1811" s="1039"/>
      <c r="J1811" s="391"/>
    </row>
    <row r="1812" spans="1:10" ht="12.75" customHeight="1">
      <c r="A1812" s="636" t="s">
        <v>1620</v>
      </c>
      <c r="B1812" s="637"/>
      <c r="C1812" s="635" t="s">
        <v>1841</v>
      </c>
      <c r="D1812" s="635" t="s">
        <v>4133</v>
      </c>
      <c r="E1812" s="635" t="s">
        <v>4133</v>
      </c>
      <c r="F1812" s="1056" t="s">
        <v>4200</v>
      </c>
      <c r="G1812" s="1051" t="s">
        <v>4201</v>
      </c>
      <c r="H1812" s="635" t="s">
        <v>1841</v>
      </c>
      <c r="I1812" s="634" t="s">
        <v>4135</v>
      </c>
      <c r="J1812" s="391"/>
    </row>
    <row r="1813" spans="1:10" ht="12.75" customHeight="1">
      <c r="A1813" s="638" t="s">
        <v>387</v>
      </c>
      <c r="B1813" s="639"/>
      <c r="C1813" s="638">
        <v>2015</v>
      </c>
      <c r="D1813" s="638">
        <v>2016</v>
      </c>
      <c r="E1813" s="638">
        <v>2017</v>
      </c>
      <c r="F1813" s="1057"/>
      <c r="G1813" s="1052"/>
      <c r="H1813" s="638">
        <v>2014</v>
      </c>
      <c r="I1813" s="638" t="s">
        <v>4303</v>
      </c>
      <c r="J1813" s="391"/>
    </row>
    <row r="1814" spans="1:10" ht="12.75" customHeight="1">
      <c r="A1814" s="646" t="s">
        <v>3063</v>
      </c>
      <c r="B1814" s="646" t="s">
        <v>1693</v>
      </c>
      <c r="C1814" s="662">
        <v>0</v>
      </c>
      <c r="D1814" s="662">
        <v>2163200</v>
      </c>
      <c r="E1814" s="662">
        <v>2163200</v>
      </c>
      <c r="F1814" s="647">
        <f>SUM(C1814:E1814)</f>
        <v>4326400</v>
      </c>
      <c r="G1814" s="641"/>
      <c r="H1814" s="662">
        <v>2163200</v>
      </c>
      <c r="I1814" s="641" t="e">
        <f>#REF!</f>
        <v>#REF!</v>
      </c>
      <c r="J1814" s="391"/>
    </row>
    <row r="1815" spans="1:10" ht="12.75" customHeight="1">
      <c r="A1815" s="646"/>
      <c r="B1815" s="646"/>
      <c r="C1815" s="662"/>
      <c r="D1815" s="662"/>
      <c r="E1815" s="662"/>
      <c r="F1815" s="647"/>
      <c r="G1815" s="641"/>
      <c r="H1815" s="662"/>
      <c r="I1815" s="641"/>
      <c r="J1815" s="391"/>
    </row>
    <row r="1816" spans="1:10" ht="12.75" customHeight="1">
      <c r="A1816" s="646">
        <v>2</v>
      </c>
      <c r="B1816" s="646" t="s">
        <v>1695</v>
      </c>
      <c r="C1816" s="662">
        <v>700000</v>
      </c>
      <c r="D1816" s="662">
        <v>800000</v>
      </c>
      <c r="E1816" s="662">
        <v>800000</v>
      </c>
      <c r="F1816" s="647">
        <f t="shared" ref="F1816:F1828" si="232">SUM(C1816:E1816)</f>
        <v>2300000</v>
      </c>
      <c r="G1816" s="641">
        <v>545900</v>
      </c>
      <c r="H1816" s="662">
        <v>795600</v>
      </c>
      <c r="I1816" s="641">
        <v>545900</v>
      </c>
      <c r="J1816" s="391"/>
    </row>
    <row r="1817" spans="1:10" ht="12.75" customHeight="1">
      <c r="A1817" s="646">
        <f>A1816+1</f>
        <v>3</v>
      </c>
      <c r="B1817" s="646" t="s">
        <v>1696</v>
      </c>
      <c r="C1817" s="642" t="s">
        <v>3007</v>
      </c>
      <c r="D1817" s="662">
        <v>100000</v>
      </c>
      <c r="E1817" s="662">
        <v>100000</v>
      </c>
      <c r="F1817" s="647">
        <f t="shared" si="232"/>
        <v>200000</v>
      </c>
      <c r="G1817" s="642"/>
      <c r="H1817" s="662">
        <v>106080</v>
      </c>
      <c r="I1817" s="642"/>
      <c r="J1817" s="391"/>
    </row>
    <row r="1818" spans="1:10" ht="12.75" customHeight="1">
      <c r="A1818" s="646">
        <v>4</v>
      </c>
      <c r="B1818" s="646" t="s">
        <v>1701</v>
      </c>
      <c r="C1818" s="642" t="s">
        <v>3007</v>
      </c>
      <c r="D1818" s="642" t="s">
        <v>3007</v>
      </c>
      <c r="E1818" s="642" t="s">
        <v>3007</v>
      </c>
      <c r="F1818" s="647">
        <f t="shared" si="232"/>
        <v>0</v>
      </c>
      <c r="G1818" s="642" t="s">
        <v>3007</v>
      </c>
      <c r="H1818" s="642" t="s">
        <v>3007</v>
      </c>
      <c r="I1818" s="642" t="s">
        <v>3007</v>
      </c>
      <c r="J1818" s="391"/>
    </row>
    <row r="1819" spans="1:10" ht="12.75" customHeight="1">
      <c r="A1819" s="646">
        <v>5</v>
      </c>
      <c r="B1819" s="646" t="s">
        <v>1702</v>
      </c>
      <c r="C1819" s="662">
        <v>500000</v>
      </c>
      <c r="D1819" s="662">
        <v>500000</v>
      </c>
      <c r="E1819" s="662">
        <v>500000</v>
      </c>
      <c r="F1819" s="647">
        <f t="shared" si="232"/>
        <v>1500000</v>
      </c>
      <c r="G1819" s="642"/>
      <c r="H1819" s="662">
        <v>530400</v>
      </c>
      <c r="I1819" s="642"/>
      <c r="J1819" s="391"/>
    </row>
    <row r="1820" spans="1:10" ht="12.75" customHeight="1">
      <c r="A1820" s="646">
        <f>A1819+1</f>
        <v>6</v>
      </c>
      <c r="B1820" s="646" t="s">
        <v>1544</v>
      </c>
      <c r="C1820" s="662">
        <v>300000</v>
      </c>
      <c r="D1820" s="662">
        <v>500000</v>
      </c>
      <c r="E1820" s="662">
        <v>500000</v>
      </c>
      <c r="F1820" s="647">
        <f t="shared" si="232"/>
        <v>1300000</v>
      </c>
      <c r="G1820" s="641">
        <v>140000</v>
      </c>
      <c r="H1820" s="662">
        <v>530400</v>
      </c>
      <c r="I1820" s="641">
        <v>140000</v>
      </c>
      <c r="J1820" s="391"/>
    </row>
    <row r="1821" spans="1:10" ht="12.75" customHeight="1">
      <c r="A1821" s="646">
        <f>A1820+1</f>
        <v>7</v>
      </c>
      <c r="B1821" s="646" t="s">
        <v>897</v>
      </c>
      <c r="C1821" s="662">
        <v>700000</v>
      </c>
      <c r="D1821" s="662">
        <v>700000</v>
      </c>
      <c r="E1821" s="662">
        <v>700000</v>
      </c>
      <c r="F1821" s="647">
        <f t="shared" si="232"/>
        <v>2100000</v>
      </c>
      <c r="G1821" s="641">
        <v>267500</v>
      </c>
      <c r="H1821" s="662">
        <f>795600-74880</f>
        <v>720720</v>
      </c>
      <c r="I1821" s="641">
        <v>267500</v>
      </c>
      <c r="J1821" s="391"/>
    </row>
    <row r="1822" spans="1:10" ht="12.75" customHeight="1">
      <c r="A1822" s="646">
        <v>8</v>
      </c>
      <c r="B1822" s="646" t="s">
        <v>1385</v>
      </c>
      <c r="C1822" s="642" t="s">
        <v>3007</v>
      </c>
      <c r="D1822" s="642" t="s">
        <v>3007</v>
      </c>
      <c r="E1822" s="642" t="s">
        <v>3007</v>
      </c>
      <c r="F1822" s="647">
        <f t="shared" si="232"/>
        <v>0</v>
      </c>
      <c r="G1822" s="642" t="s">
        <v>3007</v>
      </c>
      <c r="H1822" s="642" t="s">
        <v>3007</v>
      </c>
      <c r="I1822" s="642" t="s">
        <v>3007</v>
      </c>
      <c r="J1822" s="391"/>
    </row>
    <row r="1823" spans="1:10" ht="12.75" customHeight="1">
      <c r="A1823" s="646">
        <v>9</v>
      </c>
      <c r="B1823" s="646" t="s">
        <v>755</v>
      </c>
      <c r="C1823" s="642" t="s">
        <v>3007</v>
      </c>
      <c r="D1823" s="642" t="s">
        <v>3007</v>
      </c>
      <c r="E1823" s="642" t="s">
        <v>3007</v>
      </c>
      <c r="F1823" s="647">
        <f t="shared" si="232"/>
        <v>0</v>
      </c>
      <c r="G1823" s="642" t="s">
        <v>3007</v>
      </c>
      <c r="H1823" s="642" t="s">
        <v>3007</v>
      </c>
      <c r="I1823" s="642" t="s">
        <v>3007</v>
      </c>
      <c r="J1823" s="391"/>
    </row>
    <row r="1824" spans="1:10" ht="12.75" customHeight="1">
      <c r="A1824" s="646">
        <v>10</v>
      </c>
      <c r="B1824" s="646" t="s">
        <v>1680</v>
      </c>
      <c r="C1824" s="662">
        <v>100000</v>
      </c>
      <c r="D1824" s="662">
        <v>100000</v>
      </c>
      <c r="E1824" s="662">
        <v>100000</v>
      </c>
      <c r="F1824" s="647">
        <f t="shared" si="232"/>
        <v>300000</v>
      </c>
      <c r="G1824" s="641">
        <v>80000</v>
      </c>
      <c r="H1824" s="662">
        <v>106080</v>
      </c>
      <c r="I1824" s="641">
        <v>80000</v>
      </c>
      <c r="J1824" s="391"/>
    </row>
    <row r="1825" spans="1:11" ht="12.75" customHeight="1">
      <c r="A1825" s="646">
        <f>A1824+1</f>
        <v>11</v>
      </c>
      <c r="B1825" s="646" t="s">
        <v>1681</v>
      </c>
      <c r="C1825" s="662">
        <v>100000</v>
      </c>
      <c r="D1825" s="662">
        <v>100000</v>
      </c>
      <c r="E1825" s="662">
        <v>100000</v>
      </c>
      <c r="F1825" s="647">
        <f t="shared" si="232"/>
        <v>300000</v>
      </c>
      <c r="G1825" s="642">
        <v>94600</v>
      </c>
      <c r="H1825" s="662">
        <v>106080</v>
      </c>
      <c r="I1825" s="642">
        <v>94600</v>
      </c>
      <c r="J1825" s="391"/>
    </row>
    <row r="1826" spans="1:11" ht="12.75" customHeight="1">
      <c r="A1826" s="646">
        <f>A1825+1</f>
        <v>12</v>
      </c>
      <c r="B1826" s="646" t="s">
        <v>1682</v>
      </c>
      <c r="C1826" s="662">
        <v>800000</v>
      </c>
      <c r="D1826" s="662">
        <v>800000</v>
      </c>
      <c r="E1826" s="662">
        <v>800000</v>
      </c>
      <c r="F1826" s="647">
        <f t="shared" si="232"/>
        <v>2400000</v>
      </c>
      <c r="G1826" s="642">
        <v>572000</v>
      </c>
      <c r="H1826" s="662">
        <v>848640</v>
      </c>
      <c r="I1826" s="642">
        <v>572000</v>
      </c>
      <c r="J1826" s="391"/>
    </row>
    <row r="1827" spans="1:11" ht="12.75" customHeight="1">
      <c r="A1827" s="646">
        <f>A1826+1</f>
        <v>13</v>
      </c>
      <c r="B1827" s="646" t="s">
        <v>2249</v>
      </c>
      <c r="C1827" s="662">
        <v>100000</v>
      </c>
      <c r="D1827" s="662">
        <v>100000</v>
      </c>
      <c r="E1827" s="662">
        <v>100000</v>
      </c>
      <c r="F1827" s="647">
        <f t="shared" si="232"/>
        <v>300000</v>
      </c>
      <c r="G1827" s="642"/>
      <c r="H1827" s="662">
        <v>100000</v>
      </c>
      <c r="I1827" s="642"/>
      <c r="J1827" s="391"/>
    </row>
    <row r="1828" spans="1:11" ht="12.75" customHeight="1">
      <c r="A1828" s="646">
        <f>A1827+1</f>
        <v>14</v>
      </c>
      <c r="B1828" s="646" t="s">
        <v>1336</v>
      </c>
      <c r="C1828" s="662">
        <v>200000</v>
      </c>
      <c r="D1828" s="662">
        <v>300000</v>
      </c>
      <c r="E1828" s="662">
        <v>300000</v>
      </c>
      <c r="F1828" s="647">
        <f t="shared" si="232"/>
        <v>800000</v>
      </c>
      <c r="G1828" s="642"/>
      <c r="H1828" s="662">
        <v>200000</v>
      </c>
      <c r="I1828" s="642"/>
      <c r="J1828" s="391"/>
    </row>
    <row r="1829" spans="1:11" ht="12.75" customHeight="1">
      <c r="A1829" s="646"/>
      <c r="B1829" s="646"/>
      <c r="C1829" s="641"/>
      <c r="D1829" s="641"/>
      <c r="E1829" s="641"/>
      <c r="F1829" s="647"/>
      <c r="G1829" s="641"/>
      <c r="H1829" s="641"/>
      <c r="I1829" s="641"/>
      <c r="J1829" s="391"/>
    </row>
    <row r="1830" spans="1:11" ht="12.75" customHeight="1">
      <c r="A1830" s="646" t="s">
        <v>3233</v>
      </c>
      <c r="B1830" s="651" t="s">
        <v>819</v>
      </c>
      <c r="C1830" s="652">
        <f t="shared" ref="C1830:I1830" si="233">SUM(C1816:C1829)</f>
        <v>3500000</v>
      </c>
      <c r="D1830" s="652">
        <f t="shared" si="233"/>
        <v>4000000</v>
      </c>
      <c r="E1830" s="652">
        <f t="shared" si="233"/>
        <v>4000000</v>
      </c>
      <c r="F1830" s="652">
        <f t="shared" si="233"/>
        <v>11500000</v>
      </c>
      <c r="G1830" s="652">
        <f t="shared" si="233"/>
        <v>1700000</v>
      </c>
      <c r="H1830" s="652">
        <f>SUM(H1816:H1829)</f>
        <v>4044000</v>
      </c>
      <c r="I1830" s="652">
        <f t="shared" si="233"/>
        <v>1700000</v>
      </c>
      <c r="J1830" s="391"/>
      <c r="K1830" s="657">
        <f>4044000-H1830</f>
        <v>0</v>
      </c>
    </row>
    <row r="1831" spans="1:11" ht="12.75" customHeight="1">
      <c r="A1831" s="646"/>
      <c r="B1831" s="646"/>
      <c r="C1831" s="641"/>
      <c r="D1831" s="641"/>
      <c r="E1831" s="641"/>
      <c r="F1831" s="641"/>
      <c r="G1831" s="641"/>
      <c r="H1831" s="641"/>
      <c r="I1831" s="641"/>
      <c r="J1831" s="391"/>
    </row>
    <row r="1832" spans="1:11" ht="12.75" customHeight="1">
      <c r="A1832" s="653"/>
      <c r="B1832" s="653" t="s">
        <v>1684</v>
      </c>
      <c r="C1832" s="645">
        <f t="shared" ref="C1832:I1832" si="234">+C1830+C1814</f>
        <v>3500000</v>
      </c>
      <c r="D1832" s="645">
        <f t="shared" si="234"/>
        <v>6163200</v>
      </c>
      <c r="E1832" s="645">
        <f t="shared" si="234"/>
        <v>6163200</v>
      </c>
      <c r="F1832" s="645">
        <f t="shared" si="234"/>
        <v>15826400</v>
      </c>
      <c r="G1832" s="645">
        <f t="shared" si="234"/>
        <v>1700000</v>
      </c>
      <c r="H1832" s="645">
        <f>+H1830+H1814</f>
        <v>6207200</v>
      </c>
      <c r="I1832" s="645" t="e">
        <f t="shared" si="234"/>
        <v>#REF!</v>
      </c>
      <c r="J1832" s="391"/>
    </row>
    <row r="1833" spans="1:11" ht="12.75" customHeight="1">
      <c r="A1833" s="391"/>
      <c r="B1833" s="391"/>
      <c r="C1833" s="647"/>
      <c r="D1833" s="647"/>
      <c r="E1833" s="647"/>
      <c r="F1833" s="647"/>
      <c r="G1833" s="647"/>
      <c r="H1833" s="647"/>
      <c r="I1833" s="391"/>
      <c r="J1833" s="391"/>
    </row>
    <row r="1834" spans="1:11" ht="12.75" customHeight="1">
      <c r="A1834" s="391"/>
      <c r="B1834" s="391"/>
      <c r="C1834" s="647"/>
      <c r="D1834" s="308" t="s">
        <v>5434</v>
      </c>
      <c r="E1834" s="647"/>
      <c r="F1834" s="647"/>
      <c r="H1834" s="647"/>
      <c r="I1834" s="391"/>
      <c r="J1834" s="391"/>
    </row>
    <row r="1835" spans="1:11" ht="12.75" customHeight="1">
      <c r="A1835" s="655"/>
      <c r="B1835" s="633"/>
      <c r="C1835" s="655"/>
      <c r="D1835" s="308" t="s">
        <v>716</v>
      </c>
      <c r="E1835" s="655"/>
      <c r="F1835" s="647"/>
      <c r="H1835" s="655"/>
      <c r="I1835" s="391"/>
      <c r="J1835" s="391"/>
    </row>
    <row r="1836" spans="1:11" ht="12.75" customHeight="1">
      <c r="A1836" s="655"/>
      <c r="B1836" s="633"/>
      <c r="C1836" s="655"/>
      <c r="D1836" s="308" t="s">
        <v>380</v>
      </c>
      <c r="E1836" s="655"/>
      <c r="F1836" s="647"/>
      <c r="H1836" s="655"/>
      <c r="I1836" s="391"/>
      <c r="J1836" s="391"/>
    </row>
    <row r="1837" spans="1:11" ht="12.75" customHeight="1">
      <c r="A1837" s="655"/>
      <c r="B1837" s="655"/>
      <c r="C1837" s="655"/>
      <c r="D1837" s="307" t="s">
        <v>3234</v>
      </c>
      <c r="E1837" s="655"/>
      <c r="F1837" s="647"/>
      <c r="H1837" s="655"/>
      <c r="I1837" s="391"/>
      <c r="J1837" s="391"/>
    </row>
    <row r="1838" spans="1:11" ht="12.75" customHeight="1">
      <c r="A1838" s="634" t="s">
        <v>1839</v>
      </c>
      <c r="B1838" s="635" t="s">
        <v>903</v>
      </c>
      <c r="C1838" s="1037" t="s">
        <v>4127</v>
      </c>
      <c r="D1838" s="1038"/>
      <c r="E1838" s="1039"/>
      <c r="F1838" s="635" t="s">
        <v>1684</v>
      </c>
      <c r="G1838" s="1037" t="s">
        <v>4132</v>
      </c>
      <c r="H1838" s="1038"/>
      <c r="I1838" s="1039"/>
      <c r="J1838" s="391"/>
    </row>
    <row r="1839" spans="1:11" ht="12.75" customHeight="1">
      <c r="A1839" s="636" t="s">
        <v>1620</v>
      </c>
      <c r="B1839" s="637"/>
      <c r="C1839" s="635" t="s">
        <v>1841</v>
      </c>
      <c r="D1839" s="635" t="s">
        <v>4133</v>
      </c>
      <c r="E1839" s="635" t="s">
        <v>4133</v>
      </c>
      <c r="F1839" s="1056" t="s">
        <v>4200</v>
      </c>
      <c r="G1839" s="1051" t="s">
        <v>4201</v>
      </c>
      <c r="H1839" s="635" t="s">
        <v>1841</v>
      </c>
      <c r="I1839" s="634" t="s">
        <v>4135</v>
      </c>
      <c r="J1839" s="391"/>
    </row>
    <row r="1840" spans="1:11" ht="12.75" customHeight="1">
      <c r="A1840" s="638" t="s">
        <v>387</v>
      </c>
      <c r="B1840" s="639"/>
      <c r="C1840" s="638">
        <v>2015</v>
      </c>
      <c r="D1840" s="638">
        <v>2016</v>
      </c>
      <c r="E1840" s="638">
        <v>2017</v>
      </c>
      <c r="F1840" s="1057"/>
      <c r="G1840" s="1052"/>
      <c r="H1840" s="638">
        <v>2014</v>
      </c>
      <c r="I1840" s="638" t="s">
        <v>4303</v>
      </c>
      <c r="J1840" s="391"/>
    </row>
    <row r="1841" spans="1:10" ht="12.75" customHeight="1">
      <c r="A1841" s="646" t="s">
        <v>3235</v>
      </c>
      <c r="B1841" s="646" t="s">
        <v>1693</v>
      </c>
      <c r="C1841" s="662">
        <v>2651832.85</v>
      </c>
      <c r="D1841" s="662">
        <v>2163200</v>
      </c>
      <c r="E1841" s="662">
        <v>2163200</v>
      </c>
      <c r="F1841" s="647">
        <f>SUM(C1841:E1841)</f>
        <v>6978232.8499999996</v>
      </c>
      <c r="G1841" s="641">
        <v>1495732</v>
      </c>
      <c r="H1841" s="662">
        <v>2163200</v>
      </c>
      <c r="I1841" s="641" t="e">
        <f>#REF!</f>
        <v>#REF!</v>
      </c>
      <c r="J1841" s="391"/>
    </row>
    <row r="1842" spans="1:10" ht="12.75" customHeight="1">
      <c r="A1842" s="646"/>
      <c r="B1842" s="646"/>
      <c r="C1842" s="662"/>
      <c r="D1842" s="662"/>
      <c r="E1842" s="662"/>
      <c r="F1842" s="647"/>
      <c r="G1842" s="641"/>
      <c r="H1842" s="662"/>
      <c r="I1842" s="641"/>
      <c r="J1842" s="391"/>
    </row>
    <row r="1843" spans="1:10" ht="12.75" customHeight="1">
      <c r="A1843" s="646">
        <v>2</v>
      </c>
      <c r="B1843" s="646" t="s">
        <v>1695</v>
      </c>
      <c r="C1843" s="662">
        <v>1000000</v>
      </c>
      <c r="D1843" s="662">
        <v>3000000</v>
      </c>
      <c r="E1843" s="662">
        <v>3000000</v>
      </c>
      <c r="F1843" s="647">
        <f t="shared" ref="F1843:F1856" si="235">SUM(C1843:E1843)</f>
        <v>7000000</v>
      </c>
      <c r="G1843" s="641">
        <v>325000</v>
      </c>
      <c r="H1843" s="662">
        <v>4244832</v>
      </c>
      <c r="I1843" s="641"/>
      <c r="J1843" s="391"/>
    </row>
    <row r="1844" spans="1:10" ht="12.75" customHeight="1">
      <c r="A1844" s="646">
        <f>A1843+1</f>
        <v>3</v>
      </c>
      <c r="B1844" s="646" t="s">
        <v>1696</v>
      </c>
      <c r="C1844" s="642" t="s">
        <v>3007</v>
      </c>
      <c r="D1844" s="662">
        <v>100000</v>
      </c>
      <c r="E1844" s="662">
        <v>100000</v>
      </c>
      <c r="F1844" s="647">
        <f t="shared" si="235"/>
        <v>200000</v>
      </c>
      <c r="G1844" s="642">
        <v>0</v>
      </c>
      <c r="H1844" s="662">
        <v>106120.8</v>
      </c>
      <c r="I1844" s="642"/>
      <c r="J1844" s="391"/>
    </row>
    <row r="1845" spans="1:10" ht="12.75" customHeight="1">
      <c r="A1845" s="646">
        <v>4</v>
      </c>
      <c r="B1845" s="646" t="s">
        <v>1701</v>
      </c>
      <c r="C1845" s="642" t="s">
        <v>3007</v>
      </c>
      <c r="D1845" s="642" t="s">
        <v>3007</v>
      </c>
      <c r="E1845" s="642" t="s">
        <v>3007</v>
      </c>
      <c r="F1845" s="647">
        <f t="shared" si="235"/>
        <v>0</v>
      </c>
      <c r="G1845" s="642">
        <v>0</v>
      </c>
      <c r="H1845" s="642" t="s">
        <v>3007</v>
      </c>
      <c r="I1845" s="642"/>
      <c r="J1845" s="391"/>
    </row>
    <row r="1846" spans="1:10" ht="12.75" customHeight="1">
      <c r="A1846" s="646">
        <v>5</v>
      </c>
      <c r="B1846" s="646" t="s">
        <v>1702</v>
      </c>
      <c r="C1846" s="662">
        <v>500000</v>
      </c>
      <c r="D1846" s="662">
        <v>500000</v>
      </c>
      <c r="E1846" s="662">
        <v>500000</v>
      </c>
      <c r="F1846" s="647">
        <f t="shared" si="235"/>
        <v>1500000</v>
      </c>
      <c r="G1846" s="642">
        <v>0</v>
      </c>
      <c r="H1846" s="662">
        <v>530604</v>
      </c>
      <c r="I1846" s="642"/>
      <c r="J1846" s="391"/>
    </row>
    <row r="1847" spans="1:10" ht="12.75" customHeight="1">
      <c r="A1847" s="646">
        <f>A1846+1</f>
        <v>6</v>
      </c>
      <c r="B1847" s="646" t="s">
        <v>1544</v>
      </c>
      <c r="C1847" s="662">
        <v>500000</v>
      </c>
      <c r="D1847" s="662">
        <v>500000</v>
      </c>
      <c r="E1847" s="662">
        <v>500000</v>
      </c>
      <c r="F1847" s="647">
        <f t="shared" si="235"/>
        <v>1500000</v>
      </c>
      <c r="G1847" s="641">
        <v>305000</v>
      </c>
      <c r="H1847" s="662">
        <v>530604</v>
      </c>
      <c r="I1847" s="641"/>
      <c r="J1847" s="391"/>
    </row>
    <row r="1848" spans="1:10" ht="12.75" customHeight="1">
      <c r="A1848" s="646">
        <f>A1847+1</f>
        <v>7</v>
      </c>
      <c r="B1848" s="646" t="s">
        <v>897</v>
      </c>
      <c r="C1848" s="662">
        <v>600000</v>
      </c>
      <c r="D1848" s="662">
        <v>800000</v>
      </c>
      <c r="E1848" s="662">
        <v>800000</v>
      </c>
      <c r="F1848" s="647">
        <f t="shared" si="235"/>
        <v>2200000</v>
      </c>
      <c r="G1848" s="641">
        <v>0</v>
      </c>
      <c r="H1848" s="662">
        <v>848966.4</v>
      </c>
      <c r="I1848" s="641"/>
      <c r="J1848" s="391"/>
    </row>
    <row r="1849" spans="1:10" ht="12.75" customHeight="1">
      <c r="A1849" s="646">
        <v>8</v>
      </c>
      <c r="B1849" s="646" t="s">
        <v>1385</v>
      </c>
      <c r="C1849" s="642" t="s">
        <v>3007</v>
      </c>
      <c r="D1849" s="642" t="s">
        <v>3007</v>
      </c>
      <c r="E1849" s="642" t="s">
        <v>3007</v>
      </c>
      <c r="F1849" s="647">
        <f t="shared" si="235"/>
        <v>0</v>
      </c>
      <c r="G1849" s="642" t="s">
        <v>3007</v>
      </c>
      <c r="H1849" s="642" t="s">
        <v>3007</v>
      </c>
      <c r="I1849" s="642"/>
      <c r="J1849" s="391"/>
    </row>
    <row r="1850" spans="1:10" ht="12.75" customHeight="1">
      <c r="A1850" s="646">
        <v>9</v>
      </c>
      <c r="B1850" s="646" t="s">
        <v>755</v>
      </c>
      <c r="C1850" s="642" t="s">
        <v>3007</v>
      </c>
      <c r="D1850" s="642" t="s">
        <v>3007</v>
      </c>
      <c r="E1850" s="642" t="s">
        <v>3007</v>
      </c>
      <c r="F1850" s="647">
        <f t="shared" si="235"/>
        <v>0</v>
      </c>
      <c r="G1850" s="642" t="s">
        <v>3007</v>
      </c>
      <c r="H1850" s="642" t="s">
        <v>3007</v>
      </c>
      <c r="I1850" s="642"/>
      <c r="J1850" s="391"/>
    </row>
    <row r="1851" spans="1:10" ht="12.75" customHeight="1">
      <c r="A1851" s="646">
        <v>10</v>
      </c>
      <c r="B1851" s="646" t="s">
        <v>1680</v>
      </c>
      <c r="C1851" s="662">
        <v>200000</v>
      </c>
      <c r="D1851" s="662">
        <v>500000</v>
      </c>
      <c r="E1851" s="662">
        <v>500000</v>
      </c>
      <c r="F1851" s="647">
        <f t="shared" si="235"/>
        <v>1200000</v>
      </c>
      <c r="G1851" s="641">
        <v>0</v>
      </c>
      <c r="H1851" s="662">
        <v>212241.6</v>
      </c>
      <c r="I1851" s="641"/>
      <c r="J1851" s="391"/>
    </row>
    <row r="1852" spans="1:10" ht="12.75" customHeight="1">
      <c r="A1852" s="646">
        <f>A1851+1</f>
        <v>11</v>
      </c>
      <c r="B1852" s="646" t="s">
        <v>1681</v>
      </c>
      <c r="C1852" s="662">
        <v>100000</v>
      </c>
      <c r="D1852" s="662">
        <v>100000</v>
      </c>
      <c r="E1852" s="662">
        <v>100000</v>
      </c>
      <c r="F1852" s="647">
        <f t="shared" si="235"/>
        <v>300000</v>
      </c>
      <c r="G1852" s="642">
        <v>0</v>
      </c>
      <c r="H1852" s="662">
        <v>106120.8</v>
      </c>
      <c r="I1852" s="642"/>
      <c r="J1852" s="391"/>
    </row>
    <row r="1853" spans="1:10" ht="12.75" customHeight="1">
      <c r="A1853" s="646">
        <f>A1852+1</f>
        <v>12</v>
      </c>
      <c r="B1853" s="646" t="s">
        <v>1682</v>
      </c>
      <c r="C1853" s="662">
        <v>1000000</v>
      </c>
      <c r="D1853" s="662">
        <v>1000000</v>
      </c>
      <c r="E1853" s="662">
        <v>1000000</v>
      </c>
      <c r="F1853" s="647">
        <f t="shared" si="235"/>
        <v>3000000</v>
      </c>
      <c r="G1853" s="642">
        <v>910000</v>
      </c>
      <c r="H1853" s="662">
        <v>3183624</v>
      </c>
      <c r="I1853" s="642"/>
      <c r="J1853" s="391"/>
    </row>
    <row r="1854" spans="1:10" ht="12.75" customHeight="1">
      <c r="A1854" s="646">
        <f>A1853+1</f>
        <v>13</v>
      </c>
      <c r="B1854" s="646" t="s">
        <v>2249</v>
      </c>
      <c r="C1854" s="662">
        <v>100000</v>
      </c>
      <c r="D1854" s="662">
        <v>100000</v>
      </c>
      <c r="E1854" s="662">
        <v>100000</v>
      </c>
      <c r="F1854" s="647">
        <f t="shared" si="235"/>
        <v>300000</v>
      </c>
      <c r="G1854" s="642">
        <v>0</v>
      </c>
      <c r="H1854" s="662">
        <v>106120.8</v>
      </c>
      <c r="I1854" s="642"/>
      <c r="J1854" s="391"/>
    </row>
    <row r="1855" spans="1:10" ht="12.75" customHeight="1">
      <c r="A1855" s="646">
        <f>A1854+1</f>
        <v>14</v>
      </c>
      <c r="B1855" s="646" t="s">
        <v>1683</v>
      </c>
      <c r="C1855" s="662">
        <v>200000</v>
      </c>
      <c r="D1855" s="662">
        <v>900000</v>
      </c>
      <c r="E1855" s="662">
        <v>900000</v>
      </c>
      <c r="F1855" s="647">
        <f t="shared" si="235"/>
        <v>2000000</v>
      </c>
      <c r="G1855" s="642">
        <v>0</v>
      </c>
      <c r="H1855" s="662">
        <v>848966.4</v>
      </c>
      <c r="I1855" s="642"/>
      <c r="J1855" s="391"/>
    </row>
    <row r="1856" spans="1:10" ht="12.75" customHeight="1">
      <c r="A1856" s="646">
        <f>A1855+1</f>
        <v>15</v>
      </c>
      <c r="B1856" s="646" t="s">
        <v>26</v>
      </c>
      <c r="C1856" s="662">
        <v>800000</v>
      </c>
      <c r="D1856" s="662">
        <v>1000000</v>
      </c>
      <c r="E1856" s="662">
        <v>1000000</v>
      </c>
      <c r="F1856" s="647">
        <f t="shared" si="235"/>
        <v>2800000</v>
      </c>
      <c r="G1856" s="642">
        <v>0</v>
      </c>
      <c r="H1856" s="662">
        <f>4244832-273393</f>
        <v>3971439</v>
      </c>
      <c r="I1856" s="642"/>
      <c r="J1856" s="391"/>
    </row>
    <row r="1857" spans="1:11" ht="12.75" customHeight="1">
      <c r="A1857" s="646"/>
      <c r="B1857" s="646"/>
      <c r="C1857" s="641"/>
      <c r="D1857" s="641"/>
      <c r="E1857" s="641"/>
      <c r="F1857" s="647"/>
      <c r="G1857" s="641"/>
      <c r="H1857" s="641"/>
      <c r="I1857" s="641"/>
      <c r="J1857" s="391"/>
    </row>
    <row r="1858" spans="1:11" ht="12.75" customHeight="1">
      <c r="A1858" s="646" t="s">
        <v>3382</v>
      </c>
      <c r="B1858" s="651" t="s">
        <v>819</v>
      </c>
      <c r="C1858" s="652">
        <f t="shared" ref="C1858:I1858" si="236">SUM(C1843:C1857)</f>
        <v>5000000</v>
      </c>
      <c r="D1858" s="652">
        <f t="shared" si="236"/>
        <v>8500000</v>
      </c>
      <c r="E1858" s="652">
        <f t="shared" si="236"/>
        <v>8500000</v>
      </c>
      <c r="F1858" s="652">
        <f t="shared" si="236"/>
        <v>22000000</v>
      </c>
      <c r="G1858" s="652">
        <f t="shared" si="236"/>
        <v>1540000</v>
      </c>
      <c r="H1858" s="652">
        <f>SUM(H1843:H1857)</f>
        <v>14689639.800000001</v>
      </c>
      <c r="I1858" s="652">
        <f t="shared" si="236"/>
        <v>0</v>
      </c>
      <c r="J1858" s="391"/>
      <c r="K1858" s="657">
        <f>14689640-H1858</f>
        <v>0.19999999925494194</v>
      </c>
    </row>
    <row r="1859" spans="1:11" ht="12.75" customHeight="1">
      <c r="A1859" s="646"/>
      <c r="B1859" s="646"/>
      <c r="C1859" s="641"/>
      <c r="D1859" s="641"/>
      <c r="E1859" s="641"/>
      <c r="F1859" s="641"/>
      <c r="G1859" s="641"/>
      <c r="H1859" s="641"/>
      <c r="I1859" s="641"/>
      <c r="J1859" s="391"/>
    </row>
    <row r="1860" spans="1:11" ht="12.75" customHeight="1">
      <c r="A1860" s="653"/>
      <c r="B1860" s="653" t="s">
        <v>1684</v>
      </c>
      <c r="C1860" s="645">
        <f t="shared" ref="C1860:I1860" si="237">+C1858+C1841</f>
        <v>7651832.8499999996</v>
      </c>
      <c r="D1860" s="645">
        <f t="shared" si="237"/>
        <v>10663200</v>
      </c>
      <c r="E1860" s="645">
        <f t="shared" si="237"/>
        <v>10663200</v>
      </c>
      <c r="F1860" s="645">
        <f t="shared" si="237"/>
        <v>28978232.850000001</v>
      </c>
      <c r="G1860" s="645">
        <f t="shared" si="237"/>
        <v>3035732</v>
      </c>
      <c r="H1860" s="645">
        <f>+H1858+H1841</f>
        <v>16852839.800000001</v>
      </c>
      <c r="I1860" s="645" t="e">
        <f t="shared" si="237"/>
        <v>#REF!</v>
      </c>
      <c r="J1860" s="391"/>
    </row>
    <row r="1861" spans="1:11" ht="12.75" customHeight="1">
      <c r="A1861" s="391"/>
      <c r="B1861" s="391"/>
      <c r="C1861" s="647"/>
      <c r="D1861" s="647"/>
      <c r="E1861" s="647"/>
      <c r="F1861" s="647"/>
      <c r="G1861" s="647"/>
      <c r="H1861" s="647"/>
      <c r="I1861" s="391"/>
      <c r="J1861" s="391"/>
    </row>
    <row r="1862" spans="1:11" ht="12.75" customHeight="1">
      <c r="A1862" s="391"/>
      <c r="B1862" s="391"/>
      <c r="C1862" s="647"/>
      <c r="D1862" s="308" t="s">
        <v>5434</v>
      </c>
      <c r="E1862" s="647"/>
      <c r="F1862" s="647"/>
      <c r="H1862" s="647"/>
      <c r="I1862" s="391"/>
      <c r="J1862" s="391"/>
    </row>
    <row r="1863" spans="1:11" ht="12.75" customHeight="1">
      <c r="A1863" s="655"/>
      <c r="B1863" s="633"/>
      <c r="C1863" s="655"/>
      <c r="D1863" s="308" t="s">
        <v>716</v>
      </c>
      <c r="E1863" s="655"/>
      <c r="F1863" s="647"/>
      <c r="H1863" s="655"/>
      <c r="I1863" s="391"/>
      <c r="J1863" s="391"/>
    </row>
    <row r="1864" spans="1:11" ht="12.75" customHeight="1">
      <c r="A1864" s="655"/>
      <c r="B1864" s="633"/>
      <c r="C1864" s="655"/>
      <c r="D1864" s="308" t="s">
        <v>260</v>
      </c>
      <c r="E1864" s="655"/>
      <c r="F1864" s="647"/>
      <c r="H1864" s="655"/>
      <c r="I1864" s="391"/>
      <c r="J1864" s="391"/>
    </row>
    <row r="1865" spans="1:11" ht="12.75" customHeight="1">
      <c r="A1865" s="655"/>
      <c r="B1865" s="655"/>
      <c r="C1865" s="655"/>
      <c r="D1865" s="307" t="s">
        <v>3383</v>
      </c>
      <c r="E1865" s="655"/>
      <c r="F1865" s="647"/>
      <c r="H1865" s="655"/>
      <c r="I1865" s="391"/>
      <c r="J1865" s="391"/>
    </row>
    <row r="1866" spans="1:11" ht="12.75" customHeight="1">
      <c r="A1866" s="634" t="s">
        <v>1839</v>
      </c>
      <c r="B1866" s="635" t="s">
        <v>903</v>
      </c>
      <c r="C1866" s="1037" t="s">
        <v>4127</v>
      </c>
      <c r="D1866" s="1038"/>
      <c r="E1866" s="1039"/>
      <c r="F1866" s="635" t="s">
        <v>1684</v>
      </c>
      <c r="G1866" s="1037" t="s">
        <v>4132</v>
      </c>
      <c r="H1866" s="1038"/>
      <c r="I1866" s="1039"/>
      <c r="J1866" s="391"/>
    </row>
    <row r="1867" spans="1:11" ht="12.75" customHeight="1">
      <c r="A1867" s="636" t="s">
        <v>1620</v>
      </c>
      <c r="B1867" s="637"/>
      <c r="C1867" s="635" t="s">
        <v>1841</v>
      </c>
      <c r="D1867" s="635" t="s">
        <v>4133</v>
      </c>
      <c r="E1867" s="635" t="s">
        <v>4133</v>
      </c>
      <c r="F1867" s="1056" t="s">
        <v>4200</v>
      </c>
      <c r="G1867" s="1051" t="s">
        <v>4201</v>
      </c>
      <c r="H1867" s="635" t="s">
        <v>1841</v>
      </c>
      <c r="I1867" s="634" t="s">
        <v>4135</v>
      </c>
      <c r="J1867" s="391"/>
    </row>
    <row r="1868" spans="1:11" ht="12.75" customHeight="1">
      <c r="A1868" s="638" t="s">
        <v>387</v>
      </c>
      <c r="B1868" s="639"/>
      <c r="C1868" s="638">
        <v>2015</v>
      </c>
      <c r="D1868" s="638">
        <v>2016</v>
      </c>
      <c r="E1868" s="638">
        <v>2017</v>
      </c>
      <c r="F1868" s="1057"/>
      <c r="G1868" s="1052"/>
      <c r="H1868" s="638">
        <v>2014</v>
      </c>
      <c r="I1868" s="638" t="s">
        <v>4303</v>
      </c>
      <c r="J1868" s="391"/>
    </row>
    <row r="1869" spans="1:11" ht="12.75" customHeight="1">
      <c r="A1869" s="646" t="s">
        <v>3384</v>
      </c>
      <c r="B1869" s="646" t="s">
        <v>1693</v>
      </c>
      <c r="C1869" s="662">
        <v>0</v>
      </c>
      <c r="D1869" s="662">
        <v>5200000</v>
      </c>
      <c r="E1869" s="662">
        <v>5200000</v>
      </c>
      <c r="F1869" s="647">
        <f>SUM(C1869:E1869)</f>
        <v>10400000</v>
      </c>
      <c r="G1869" s="641"/>
      <c r="H1869" s="662">
        <v>5200000</v>
      </c>
      <c r="I1869" s="641" t="e">
        <f>#REF!</f>
        <v>#REF!</v>
      </c>
      <c r="J1869" s="391"/>
    </row>
    <row r="1870" spans="1:11" ht="12.75" customHeight="1">
      <c r="A1870" s="646"/>
      <c r="B1870" s="646"/>
      <c r="C1870" s="662"/>
      <c r="D1870" s="662"/>
      <c r="E1870" s="662"/>
      <c r="F1870" s="647"/>
      <c r="G1870" s="641"/>
      <c r="H1870" s="662"/>
      <c r="I1870" s="641"/>
      <c r="J1870" s="391"/>
    </row>
    <row r="1871" spans="1:11" ht="12.75" customHeight="1">
      <c r="A1871" s="646">
        <v>2</v>
      </c>
      <c r="B1871" s="646" t="s">
        <v>1695</v>
      </c>
      <c r="C1871" s="662">
        <v>400000</v>
      </c>
      <c r="D1871" s="662">
        <v>500000</v>
      </c>
      <c r="E1871" s="662">
        <v>500000</v>
      </c>
      <c r="F1871" s="647">
        <f t="shared" ref="F1871:F1885" si="238">SUM(C1871:E1871)</f>
        <v>1400000</v>
      </c>
      <c r="G1871" s="641">
        <v>150000</v>
      </c>
      <c r="H1871" s="662">
        <v>530400</v>
      </c>
      <c r="I1871" s="641">
        <v>376000</v>
      </c>
      <c r="J1871" s="391"/>
    </row>
    <row r="1872" spans="1:11" ht="12.75" customHeight="1">
      <c r="A1872" s="646">
        <f>A1871+1</f>
        <v>3</v>
      </c>
      <c r="B1872" s="646" t="s">
        <v>1696</v>
      </c>
      <c r="C1872" s="642" t="s">
        <v>1386</v>
      </c>
      <c r="D1872" s="642" t="s">
        <v>1386</v>
      </c>
      <c r="E1872" s="642" t="s">
        <v>1386</v>
      </c>
      <c r="F1872" s="647">
        <f t="shared" si="238"/>
        <v>0</v>
      </c>
      <c r="G1872" s="642">
        <v>0</v>
      </c>
      <c r="H1872" s="642" t="s">
        <v>1386</v>
      </c>
      <c r="I1872" s="642" t="s">
        <v>1386</v>
      </c>
      <c r="J1872" s="391"/>
    </row>
    <row r="1873" spans="1:11" ht="12.75" customHeight="1">
      <c r="A1873" s="646">
        <v>4</v>
      </c>
      <c r="B1873" s="646" t="s">
        <v>1701</v>
      </c>
      <c r="C1873" s="642" t="s">
        <v>1386</v>
      </c>
      <c r="D1873" s="642" t="s">
        <v>1386</v>
      </c>
      <c r="E1873" s="642" t="s">
        <v>1386</v>
      </c>
      <c r="F1873" s="647">
        <f t="shared" si="238"/>
        <v>0</v>
      </c>
      <c r="G1873" s="642">
        <v>0</v>
      </c>
      <c r="H1873" s="642" t="s">
        <v>1386</v>
      </c>
      <c r="I1873" s="642" t="s">
        <v>1386</v>
      </c>
      <c r="J1873" s="391"/>
    </row>
    <row r="1874" spans="1:11" ht="12.75" customHeight="1">
      <c r="A1874" s="646">
        <v>5</v>
      </c>
      <c r="B1874" s="646" t="s">
        <v>1702</v>
      </c>
      <c r="C1874" s="662">
        <v>200000</v>
      </c>
      <c r="D1874" s="662">
        <v>200000</v>
      </c>
      <c r="E1874" s="662">
        <v>200000</v>
      </c>
      <c r="F1874" s="647">
        <f t="shared" si="238"/>
        <v>600000</v>
      </c>
      <c r="G1874" s="642">
        <v>470000</v>
      </c>
      <c r="H1874" s="662">
        <v>212160</v>
      </c>
      <c r="I1874" s="642">
        <v>106000</v>
      </c>
      <c r="J1874" s="391"/>
    </row>
    <row r="1875" spans="1:11" ht="12.75" customHeight="1">
      <c r="A1875" s="646">
        <f>A1874+1</f>
        <v>6</v>
      </c>
      <c r="B1875" s="646" t="s">
        <v>1544</v>
      </c>
      <c r="C1875" s="662">
        <v>450000</v>
      </c>
      <c r="D1875" s="662">
        <v>700000</v>
      </c>
      <c r="E1875" s="662">
        <v>700000</v>
      </c>
      <c r="F1875" s="647">
        <f t="shared" si="238"/>
        <v>1850000</v>
      </c>
      <c r="G1875" s="641">
        <v>660000</v>
      </c>
      <c r="H1875" s="662">
        <v>795600</v>
      </c>
      <c r="I1875" s="641">
        <v>262000</v>
      </c>
      <c r="J1875" s="391"/>
    </row>
    <row r="1876" spans="1:11" ht="12.75" customHeight="1">
      <c r="A1876" s="646">
        <f>A1875+1</f>
        <v>7</v>
      </c>
      <c r="B1876" s="646" t="s">
        <v>897</v>
      </c>
      <c r="C1876" s="662">
        <v>700000</v>
      </c>
      <c r="D1876" s="662">
        <v>800000</v>
      </c>
      <c r="E1876" s="662">
        <v>800000</v>
      </c>
      <c r="F1876" s="647">
        <f t="shared" si="238"/>
        <v>2300000</v>
      </c>
      <c r="G1876" s="641">
        <v>810000</v>
      </c>
      <c r="H1876" s="662">
        <v>774384</v>
      </c>
      <c r="I1876" s="641">
        <v>140000</v>
      </c>
      <c r="J1876" s="391"/>
    </row>
    <row r="1877" spans="1:11" ht="12.75" customHeight="1">
      <c r="A1877" s="646">
        <v>8</v>
      </c>
      <c r="B1877" s="646" t="s">
        <v>1385</v>
      </c>
      <c r="C1877" s="662">
        <f>E1877*1.02</f>
        <v>0</v>
      </c>
      <c r="D1877" s="662">
        <v>0</v>
      </c>
      <c r="E1877" s="662">
        <v>0</v>
      </c>
      <c r="F1877" s="647">
        <f t="shared" si="238"/>
        <v>0</v>
      </c>
      <c r="G1877" s="641"/>
      <c r="H1877" s="662">
        <v>0</v>
      </c>
      <c r="I1877" s="642" t="s">
        <v>1386</v>
      </c>
      <c r="J1877" s="391"/>
    </row>
    <row r="1878" spans="1:11" ht="12.75" customHeight="1">
      <c r="A1878" s="646">
        <v>9</v>
      </c>
      <c r="B1878" s="646" t="s">
        <v>755</v>
      </c>
      <c r="C1878" s="662">
        <f>E1878*1.02</f>
        <v>0</v>
      </c>
      <c r="D1878" s="662">
        <v>0</v>
      </c>
      <c r="E1878" s="662">
        <v>0</v>
      </c>
      <c r="F1878" s="647">
        <f t="shared" si="238"/>
        <v>0</v>
      </c>
      <c r="G1878" s="641"/>
      <c r="H1878" s="662">
        <v>0</v>
      </c>
      <c r="I1878" s="642" t="s">
        <v>1386</v>
      </c>
      <c r="J1878" s="391"/>
    </row>
    <row r="1879" spans="1:11" ht="12.75" customHeight="1">
      <c r="A1879" s="646">
        <v>10</v>
      </c>
      <c r="B1879" s="646" t="s">
        <v>1680</v>
      </c>
      <c r="C1879" s="662">
        <v>200000</v>
      </c>
      <c r="D1879" s="662">
        <v>200000</v>
      </c>
      <c r="E1879" s="662">
        <v>200000</v>
      </c>
      <c r="F1879" s="647">
        <f t="shared" si="238"/>
        <v>600000</v>
      </c>
      <c r="G1879" s="641">
        <v>440000</v>
      </c>
      <c r="H1879" s="662">
        <v>212160</v>
      </c>
      <c r="I1879" s="641">
        <v>83000</v>
      </c>
      <c r="J1879" s="391"/>
    </row>
    <row r="1880" spans="1:11" ht="12.75" customHeight="1">
      <c r="A1880" s="646">
        <f>A1879+1</f>
        <v>11</v>
      </c>
      <c r="B1880" s="646" t="s">
        <v>1681</v>
      </c>
      <c r="C1880" s="662">
        <v>100000</v>
      </c>
      <c r="D1880" s="662">
        <v>100000</v>
      </c>
      <c r="E1880" s="662">
        <v>100000</v>
      </c>
      <c r="F1880" s="647">
        <f t="shared" si="238"/>
        <v>300000</v>
      </c>
      <c r="G1880" s="642"/>
      <c r="H1880" s="662">
        <v>106080</v>
      </c>
      <c r="I1880" s="642">
        <v>77000</v>
      </c>
      <c r="J1880" s="391"/>
    </row>
    <row r="1881" spans="1:11" ht="12.75" customHeight="1">
      <c r="A1881" s="646">
        <f>A1880+1</f>
        <v>12</v>
      </c>
      <c r="B1881" s="646" t="s">
        <v>1682</v>
      </c>
      <c r="C1881" s="662">
        <v>2000000</v>
      </c>
      <c r="D1881" s="662">
        <v>2000000</v>
      </c>
      <c r="E1881" s="662">
        <v>2000000</v>
      </c>
      <c r="F1881" s="647">
        <f t="shared" si="238"/>
        <v>6000000</v>
      </c>
      <c r="G1881" s="642">
        <v>245000</v>
      </c>
      <c r="H1881" s="662">
        <f>2121600-103584</f>
        <v>2018016</v>
      </c>
      <c r="I1881" s="642">
        <v>1087619</v>
      </c>
      <c r="J1881" s="391"/>
    </row>
    <row r="1882" spans="1:11" ht="12.75" customHeight="1">
      <c r="A1882" s="646">
        <v>13</v>
      </c>
      <c r="B1882" s="646" t="s">
        <v>2249</v>
      </c>
      <c r="C1882" s="641">
        <v>100000</v>
      </c>
      <c r="D1882" s="641">
        <v>100000</v>
      </c>
      <c r="E1882" s="641">
        <v>100000</v>
      </c>
      <c r="F1882" s="647">
        <f t="shared" si="238"/>
        <v>300000</v>
      </c>
      <c r="G1882" s="641"/>
      <c r="H1882" s="641">
        <v>106080</v>
      </c>
      <c r="I1882" s="641" t="s">
        <v>3007</v>
      </c>
      <c r="J1882" s="391"/>
    </row>
    <row r="1883" spans="1:11" ht="12.75" customHeight="1">
      <c r="A1883" s="646">
        <v>14</v>
      </c>
      <c r="B1883" s="646" t="s">
        <v>756</v>
      </c>
      <c r="C1883" s="641">
        <v>800000</v>
      </c>
      <c r="D1883" s="641">
        <v>200000</v>
      </c>
      <c r="E1883" s="641">
        <v>200000</v>
      </c>
      <c r="F1883" s="647">
        <f t="shared" si="238"/>
        <v>1200000</v>
      </c>
      <c r="G1883" s="641"/>
      <c r="H1883" s="641">
        <v>212160</v>
      </c>
      <c r="I1883" s="641">
        <v>150000</v>
      </c>
      <c r="J1883" s="391"/>
    </row>
    <row r="1884" spans="1:11" ht="12.75" customHeight="1">
      <c r="A1884" s="646">
        <v>15</v>
      </c>
      <c r="B1884" s="646" t="s">
        <v>28</v>
      </c>
      <c r="C1884" s="641">
        <v>200000</v>
      </c>
      <c r="D1884" s="641">
        <v>200000</v>
      </c>
      <c r="E1884" s="641">
        <v>200000</v>
      </c>
      <c r="F1884" s="647">
        <f t="shared" si="238"/>
        <v>600000</v>
      </c>
      <c r="G1884" s="641"/>
      <c r="H1884" s="641">
        <v>212160</v>
      </c>
      <c r="I1884" s="641">
        <v>150000</v>
      </c>
      <c r="J1884" s="391"/>
    </row>
    <row r="1885" spans="1:11" ht="12.75" customHeight="1">
      <c r="A1885" s="646">
        <v>16</v>
      </c>
      <c r="B1885" s="646" t="s">
        <v>29</v>
      </c>
      <c r="C1885" s="641">
        <v>350000</v>
      </c>
      <c r="D1885" s="641">
        <v>500000</v>
      </c>
      <c r="E1885" s="641">
        <v>500000</v>
      </c>
      <c r="F1885" s="647">
        <f t="shared" si="238"/>
        <v>1350000</v>
      </c>
      <c r="G1885" s="641"/>
      <c r="H1885" s="641">
        <v>0</v>
      </c>
      <c r="I1885" s="641">
        <v>0</v>
      </c>
      <c r="J1885" s="391"/>
    </row>
    <row r="1886" spans="1:11" ht="12.75" customHeight="1">
      <c r="A1886" s="646"/>
      <c r="B1886" s="646"/>
      <c r="C1886" s="641"/>
      <c r="D1886" s="641"/>
      <c r="E1886" s="641"/>
      <c r="F1886" s="647"/>
      <c r="G1886" s="641"/>
      <c r="H1886" s="641"/>
      <c r="I1886" s="641"/>
      <c r="J1886" s="391"/>
    </row>
    <row r="1887" spans="1:11" ht="12.75" customHeight="1">
      <c r="A1887" s="646" t="s">
        <v>3385</v>
      </c>
      <c r="B1887" s="651" t="s">
        <v>819</v>
      </c>
      <c r="C1887" s="652">
        <f>SUM(C1871:C1886)</f>
        <v>5500000</v>
      </c>
      <c r="D1887" s="652">
        <f t="shared" ref="D1887:I1887" si="239">SUM(D1871:D1886)</f>
        <v>5500000</v>
      </c>
      <c r="E1887" s="652">
        <f t="shared" si="239"/>
        <v>5500000</v>
      </c>
      <c r="F1887" s="652">
        <f t="shared" si="239"/>
        <v>16500000</v>
      </c>
      <c r="G1887" s="652">
        <f t="shared" si="239"/>
        <v>2775000</v>
      </c>
      <c r="H1887" s="652">
        <f t="shared" si="239"/>
        <v>5179200</v>
      </c>
      <c r="I1887" s="652">
        <f t="shared" si="239"/>
        <v>2431619</v>
      </c>
      <c r="J1887" s="391"/>
      <c r="K1887" s="657">
        <f>5179200-H1887</f>
        <v>0</v>
      </c>
    </row>
    <row r="1888" spans="1:11" ht="12.75" customHeight="1">
      <c r="A1888" s="646"/>
      <c r="B1888" s="646"/>
      <c r="C1888" s="641"/>
      <c r="D1888" s="641"/>
      <c r="E1888" s="641"/>
      <c r="F1888" s="641"/>
      <c r="G1888" s="641"/>
      <c r="H1888" s="641"/>
      <c r="I1888" s="641"/>
      <c r="J1888" s="391"/>
    </row>
    <row r="1889" spans="1:10" ht="12.75" customHeight="1">
      <c r="A1889" s="653"/>
      <c r="B1889" s="653" t="s">
        <v>1684</v>
      </c>
      <c r="C1889" s="645">
        <f t="shared" ref="C1889:I1889" si="240">+C1887+C1869</f>
        <v>5500000</v>
      </c>
      <c r="D1889" s="645">
        <f t="shared" si="240"/>
        <v>10700000</v>
      </c>
      <c r="E1889" s="645">
        <f t="shared" si="240"/>
        <v>10700000</v>
      </c>
      <c r="F1889" s="645">
        <f t="shared" si="240"/>
        <v>26900000</v>
      </c>
      <c r="G1889" s="645">
        <f t="shared" si="240"/>
        <v>2775000</v>
      </c>
      <c r="H1889" s="645">
        <f>+H1887+H1869</f>
        <v>10379200</v>
      </c>
      <c r="I1889" s="645" t="e">
        <f t="shared" si="240"/>
        <v>#REF!</v>
      </c>
      <c r="J1889" s="391"/>
    </row>
    <row r="1890" spans="1:10" ht="12.75" customHeight="1">
      <c r="A1890" s="391"/>
      <c r="B1890" s="391"/>
      <c r="C1890" s="647"/>
      <c r="D1890" s="647"/>
      <c r="E1890" s="647"/>
      <c r="F1890" s="647"/>
      <c r="G1890" s="647"/>
      <c r="H1890" s="647"/>
      <c r="I1890" s="391"/>
      <c r="J1890" s="391"/>
    </row>
    <row r="1891" spans="1:10" ht="12.75" customHeight="1">
      <c r="A1891" s="391"/>
      <c r="B1891" s="391"/>
      <c r="C1891" s="647"/>
      <c r="D1891" s="308" t="s">
        <v>5434</v>
      </c>
      <c r="E1891" s="647"/>
      <c r="F1891" s="647"/>
      <c r="H1891" s="647"/>
      <c r="I1891" s="391"/>
      <c r="J1891" s="391"/>
    </row>
    <row r="1892" spans="1:10" ht="12.75" customHeight="1">
      <c r="A1892" s="655"/>
      <c r="B1892" s="633"/>
      <c r="C1892" s="655"/>
      <c r="D1892" s="308" t="s">
        <v>716</v>
      </c>
      <c r="E1892" s="655"/>
      <c r="F1892" s="647"/>
      <c r="H1892" s="655"/>
      <c r="I1892" s="391"/>
      <c r="J1892" s="391"/>
    </row>
    <row r="1893" spans="1:10" ht="12.75" customHeight="1">
      <c r="A1893" s="655"/>
      <c r="B1893" s="633"/>
      <c r="C1893" s="655"/>
      <c r="D1893" s="308" t="s">
        <v>261</v>
      </c>
      <c r="E1893" s="655"/>
      <c r="F1893" s="647"/>
      <c r="H1893" s="655"/>
      <c r="I1893" s="391"/>
      <c r="J1893" s="391"/>
    </row>
    <row r="1894" spans="1:10" ht="12.75" customHeight="1">
      <c r="A1894" s="655"/>
      <c r="B1894" s="655"/>
      <c r="C1894" s="655"/>
      <c r="D1894" s="307" t="s">
        <v>3386</v>
      </c>
      <c r="E1894" s="655"/>
      <c r="F1894" s="647"/>
      <c r="H1894" s="655"/>
      <c r="I1894" s="391"/>
      <c r="J1894" s="391"/>
    </row>
    <row r="1895" spans="1:10" ht="12.75" customHeight="1">
      <c r="A1895" s="634" t="s">
        <v>1839</v>
      </c>
      <c r="B1895" s="635" t="s">
        <v>903</v>
      </c>
      <c r="C1895" s="1037" t="s">
        <v>4127</v>
      </c>
      <c r="D1895" s="1038"/>
      <c r="E1895" s="1039"/>
      <c r="F1895" s="635" t="s">
        <v>1684</v>
      </c>
      <c r="G1895" s="1037" t="s">
        <v>4132</v>
      </c>
      <c r="H1895" s="1038"/>
      <c r="I1895" s="1039"/>
      <c r="J1895" s="391"/>
    </row>
    <row r="1896" spans="1:10" ht="12.75" customHeight="1">
      <c r="A1896" s="636" t="s">
        <v>1620</v>
      </c>
      <c r="B1896" s="637"/>
      <c r="C1896" s="635" t="s">
        <v>1841</v>
      </c>
      <c r="D1896" s="635" t="s">
        <v>4133</v>
      </c>
      <c r="E1896" s="635" t="s">
        <v>4133</v>
      </c>
      <c r="F1896" s="1056" t="s">
        <v>4200</v>
      </c>
      <c r="G1896" s="1051" t="s">
        <v>4201</v>
      </c>
      <c r="H1896" s="635" t="s">
        <v>1841</v>
      </c>
      <c r="I1896" s="634" t="s">
        <v>4135</v>
      </c>
      <c r="J1896" s="391"/>
    </row>
    <row r="1897" spans="1:10" ht="12.75" customHeight="1">
      <c r="A1897" s="638" t="s">
        <v>387</v>
      </c>
      <c r="B1897" s="639"/>
      <c r="C1897" s="638">
        <v>2015</v>
      </c>
      <c r="D1897" s="638">
        <v>2016</v>
      </c>
      <c r="E1897" s="638">
        <v>2017</v>
      </c>
      <c r="F1897" s="1057"/>
      <c r="G1897" s="1052"/>
      <c r="H1897" s="638">
        <v>2014</v>
      </c>
      <c r="I1897" s="638" t="s">
        <v>4303</v>
      </c>
      <c r="J1897" s="391"/>
    </row>
    <row r="1898" spans="1:10" ht="12.75" customHeight="1">
      <c r="A1898" s="646" t="s">
        <v>3387</v>
      </c>
      <c r="B1898" s="646" t="s">
        <v>1693</v>
      </c>
      <c r="C1898" s="662">
        <f>E1898*1.02</f>
        <v>0</v>
      </c>
      <c r="D1898" s="662">
        <v>0</v>
      </c>
      <c r="E1898" s="662">
        <v>0</v>
      </c>
      <c r="F1898" s="647">
        <f>SUM(C1898:E1898)</f>
        <v>0</v>
      </c>
      <c r="G1898" s="641"/>
      <c r="H1898" s="662">
        <v>0</v>
      </c>
      <c r="I1898" s="641" t="e">
        <f>#REF!</f>
        <v>#REF!</v>
      </c>
      <c r="J1898" s="391"/>
    </row>
    <row r="1899" spans="1:10" ht="12.75" customHeight="1">
      <c r="A1899" s="646"/>
      <c r="B1899" s="646"/>
      <c r="C1899" s="662"/>
      <c r="D1899" s="662"/>
      <c r="E1899" s="662"/>
      <c r="F1899" s="647"/>
      <c r="G1899" s="641"/>
      <c r="H1899" s="662"/>
      <c r="I1899" s="641"/>
      <c r="J1899" s="391"/>
    </row>
    <row r="1900" spans="1:10" ht="12.75" customHeight="1">
      <c r="A1900" s="646">
        <v>2</v>
      </c>
      <c r="B1900" s="646" t="s">
        <v>1695</v>
      </c>
      <c r="C1900" s="662">
        <v>700000</v>
      </c>
      <c r="D1900" s="662">
        <v>800000</v>
      </c>
      <c r="E1900" s="662">
        <v>800000</v>
      </c>
      <c r="F1900" s="647">
        <f t="shared" ref="F1900:F1912" si="241">SUM(C1900:E1900)</f>
        <v>2300000</v>
      </c>
      <c r="G1900" s="641">
        <v>499000</v>
      </c>
      <c r="H1900" s="662">
        <v>742560</v>
      </c>
      <c r="I1900" s="641"/>
      <c r="J1900" s="391"/>
    </row>
    <row r="1901" spans="1:10" ht="12.75" customHeight="1">
      <c r="A1901" s="646">
        <f>A1900+1</f>
        <v>3</v>
      </c>
      <c r="B1901" s="646" t="s">
        <v>1696</v>
      </c>
      <c r="C1901" s="642" t="s">
        <v>3007</v>
      </c>
      <c r="D1901" s="662">
        <v>100000</v>
      </c>
      <c r="E1901" s="662">
        <v>100000</v>
      </c>
      <c r="F1901" s="647">
        <f t="shared" si="241"/>
        <v>200000</v>
      </c>
      <c r="G1901" s="642">
        <v>0</v>
      </c>
      <c r="H1901" s="662">
        <v>106080</v>
      </c>
      <c r="I1901" s="642"/>
      <c r="J1901" s="391"/>
    </row>
    <row r="1902" spans="1:10" ht="12.75" customHeight="1">
      <c r="A1902" s="646">
        <v>4</v>
      </c>
      <c r="B1902" s="646" t="s">
        <v>1701</v>
      </c>
      <c r="C1902" s="642" t="s">
        <v>3007</v>
      </c>
      <c r="D1902" s="642" t="s">
        <v>3007</v>
      </c>
      <c r="E1902" s="642" t="s">
        <v>3007</v>
      </c>
      <c r="F1902" s="647">
        <f t="shared" si="241"/>
        <v>0</v>
      </c>
      <c r="G1902" s="642" t="s">
        <v>1386</v>
      </c>
      <c r="H1902" s="642" t="s">
        <v>3007</v>
      </c>
      <c r="I1902" s="642"/>
      <c r="J1902" s="391"/>
    </row>
    <row r="1903" spans="1:10" ht="12.75" customHeight="1">
      <c r="A1903" s="646">
        <v>5</v>
      </c>
      <c r="B1903" s="646" t="s">
        <v>1702</v>
      </c>
      <c r="C1903" s="662">
        <v>700000</v>
      </c>
      <c r="D1903" s="662">
        <v>800000</v>
      </c>
      <c r="E1903" s="662">
        <v>800000</v>
      </c>
      <c r="F1903" s="647">
        <f t="shared" si="241"/>
        <v>2300000</v>
      </c>
      <c r="G1903" s="642">
        <v>21700</v>
      </c>
      <c r="H1903" s="662">
        <v>742560</v>
      </c>
      <c r="I1903" s="642"/>
      <c r="J1903" s="391"/>
    </row>
    <row r="1904" spans="1:10" ht="12.75" customHeight="1">
      <c r="A1904" s="646">
        <f>A1903+1</f>
        <v>6</v>
      </c>
      <c r="B1904" s="646" t="s">
        <v>1544</v>
      </c>
      <c r="C1904" s="662">
        <v>400000</v>
      </c>
      <c r="D1904" s="662">
        <v>500000</v>
      </c>
      <c r="E1904" s="662">
        <v>500000</v>
      </c>
      <c r="F1904" s="647">
        <f t="shared" si="241"/>
        <v>1400000</v>
      </c>
      <c r="G1904" s="641">
        <v>247000</v>
      </c>
      <c r="H1904" s="662">
        <v>477360</v>
      </c>
      <c r="I1904" s="641"/>
      <c r="J1904" s="391"/>
    </row>
    <row r="1905" spans="1:11" ht="12.75" customHeight="1">
      <c r="A1905" s="646">
        <f>A1904+1</f>
        <v>7</v>
      </c>
      <c r="B1905" s="646" t="s">
        <v>897</v>
      </c>
      <c r="C1905" s="662">
        <v>700000</v>
      </c>
      <c r="D1905" s="662">
        <v>500000</v>
      </c>
      <c r="E1905" s="662">
        <v>500000</v>
      </c>
      <c r="F1905" s="647">
        <f t="shared" si="241"/>
        <v>1700000</v>
      </c>
      <c r="G1905" s="641">
        <v>589300</v>
      </c>
      <c r="H1905" s="662">
        <f>795600-82160</f>
        <v>713440</v>
      </c>
      <c r="I1905" s="641"/>
      <c r="J1905" s="391"/>
    </row>
    <row r="1906" spans="1:11" ht="12.75" customHeight="1">
      <c r="A1906" s="646">
        <v>8</v>
      </c>
      <c r="B1906" s="646" t="s">
        <v>1385</v>
      </c>
      <c r="C1906" s="642" t="s">
        <v>3007</v>
      </c>
      <c r="D1906" s="642" t="s">
        <v>3007</v>
      </c>
      <c r="E1906" s="642" t="s">
        <v>3007</v>
      </c>
      <c r="F1906" s="647">
        <f t="shared" si="241"/>
        <v>0</v>
      </c>
      <c r="G1906" s="642" t="s">
        <v>1386</v>
      </c>
      <c r="H1906" s="642" t="s">
        <v>3007</v>
      </c>
      <c r="I1906" s="642"/>
      <c r="J1906" s="391"/>
    </row>
    <row r="1907" spans="1:11" ht="12.75" customHeight="1">
      <c r="A1907" s="646">
        <v>9</v>
      </c>
      <c r="B1907" s="646" t="s">
        <v>755</v>
      </c>
      <c r="C1907" s="642" t="s">
        <v>3007</v>
      </c>
      <c r="D1907" s="642" t="s">
        <v>3007</v>
      </c>
      <c r="E1907" s="642" t="s">
        <v>3007</v>
      </c>
      <c r="F1907" s="647">
        <f t="shared" si="241"/>
        <v>0</v>
      </c>
      <c r="G1907" s="642" t="s">
        <v>1386</v>
      </c>
      <c r="H1907" s="642" t="s">
        <v>3007</v>
      </c>
      <c r="I1907" s="642"/>
      <c r="J1907" s="391"/>
    </row>
    <row r="1908" spans="1:11" ht="12.75" customHeight="1">
      <c r="A1908" s="646">
        <v>10</v>
      </c>
      <c r="B1908" s="646" t="s">
        <v>1680</v>
      </c>
      <c r="C1908" s="662">
        <v>100000</v>
      </c>
      <c r="D1908" s="662">
        <v>400000</v>
      </c>
      <c r="E1908" s="662">
        <v>400000</v>
      </c>
      <c r="F1908" s="647">
        <f t="shared" si="241"/>
        <v>900000</v>
      </c>
      <c r="G1908" s="641">
        <v>0</v>
      </c>
      <c r="H1908" s="662">
        <v>106080</v>
      </c>
      <c r="I1908" s="641"/>
      <c r="J1908" s="391"/>
    </row>
    <row r="1909" spans="1:11" ht="12.75" customHeight="1">
      <c r="A1909" s="646">
        <f>A1908+1</f>
        <v>11</v>
      </c>
      <c r="B1909" s="646" t="s">
        <v>1681</v>
      </c>
      <c r="C1909" s="662">
        <v>100000</v>
      </c>
      <c r="D1909" s="662">
        <v>100000</v>
      </c>
      <c r="E1909" s="662">
        <v>100000</v>
      </c>
      <c r="F1909" s="647">
        <f t="shared" si="241"/>
        <v>300000</v>
      </c>
      <c r="G1909" s="642">
        <v>69000</v>
      </c>
      <c r="H1909" s="662">
        <v>106080</v>
      </c>
      <c r="I1909" s="642"/>
      <c r="J1909" s="391"/>
    </row>
    <row r="1910" spans="1:11" ht="12.75" customHeight="1">
      <c r="A1910" s="646">
        <f>A1909+1</f>
        <v>12</v>
      </c>
      <c r="B1910" s="646" t="s">
        <v>1682</v>
      </c>
      <c r="C1910" s="662">
        <v>1000000</v>
      </c>
      <c r="D1910" s="662">
        <v>700000</v>
      </c>
      <c r="E1910" s="662">
        <v>700000</v>
      </c>
      <c r="F1910" s="647">
        <f t="shared" si="241"/>
        <v>2400000</v>
      </c>
      <c r="G1910" s="642">
        <v>0</v>
      </c>
      <c r="H1910" s="662">
        <v>795600</v>
      </c>
      <c r="I1910" s="642"/>
      <c r="J1910" s="391"/>
    </row>
    <row r="1911" spans="1:11" ht="12.75" customHeight="1">
      <c r="A1911" s="646">
        <f>A1910+1</f>
        <v>13</v>
      </c>
      <c r="B1911" s="646" t="s">
        <v>2249</v>
      </c>
      <c r="C1911" s="641">
        <v>100000</v>
      </c>
      <c r="D1911" s="641">
        <v>100000</v>
      </c>
      <c r="E1911" s="641">
        <v>100000</v>
      </c>
      <c r="F1911" s="647">
        <f t="shared" si="241"/>
        <v>300000</v>
      </c>
      <c r="G1911" s="642"/>
      <c r="H1911" s="641">
        <v>106080</v>
      </c>
      <c r="I1911" s="642"/>
      <c r="J1911" s="391"/>
    </row>
    <row r="1912" spans="1:11" ht="12.75" customHeight="1">
      <c r="A1912" s="646">
        <f>A1911+1</f>
        <v>14</v>
      </c>
      <c r="B1912" s="646" t="s">
        <v>756</v>
      </c>
      <c r="C1912" s="641">
        <v>200000</v>
      </c>
      <c r="D1912" s="641">
        <v>500000</v>
      </c>
      <c r="E1912" s="641">
        <v>500000</v>
      </c>
      <c r="F1912" s="647">
        <f t="shared" si="241"/>
        <v>1200000</v>
      </c>
      <c r="G1912" s="642"/>
      <c r="H1912" s="641">
        <v>212160</v>
      </c>
      <c r="I1912" s="642"/>
      <c r="J1912" s="391"/>
    </row>
    <row r="1913" spans="1:11" ht="12.75" customHeight="1">
      <c r="A1913" s="646"/>
      <c r="B1913" s="646"/>
      <c r="C1913" s="641"/>
      <c r="D1913" s="641"/>
      <c r="E1913" s="641"/>
      <c r="F1913" s="647"/>
      <c r="G1913" s="642"/>
      <c r="H1913" s="641"/>
      <c r="I1913" s="641"/>
      <c r="J1913" s="391"/>
    </row>
    <row r="1914" spans="1:11" ht="12.75" customHeight="1">
      <c r="A1914" s="646" t="s">
        <v>3388</v>
      </c>
      <c r="B1914" s="651" t="s">
        <v>819</v>
      </c>
      <c r="C1914" s="652">
        <f t="shared" ref="C1914:I1914" si="242">SUM(C1900:C1913)</f>
        <v>4000000</v>
      </c>
      <c r="D1914" s="652">
        <f t="shared" si="242"/>
        <v>4500000</v>
      </c>
      <c r="E1914" s="652">
        <f t="shared" si="242"/>
        <v>4500000</v>
      </c>
      <c r="F1914" s="652">
        <f t="shared" si="242"/>
        <v>13000000</v>
      </c>
      <c r="G1914" s="652">
        <f t="shared" si="242"/>
        <v>1426000</v>
      </c>
      <c r="H1914" s="652">
        <f>SUM(H1900:H1913)</f>
        <v>4108000</v>
      </c>
      <c r="I1914" s="652">
        <f t="shared" si="242"/>
        <v>0</v>
      </c>
      <c r="J1914" s="391"/>
      <c r="K1914" s="657">
        <f>4108000-H1914</f>
        <v>0</v>
      </c>
    </row>
    <row r="1915" spans="1:11" ht="12.75" customHeight="1">
      <c r="A1915" s="646"/>
      <c r="B1915" s="646"/>
      <c r="C1915" s="641"/>
      <c r="D1915" s="641"/>
      <c r="E1915" s="641"/>
      <c r="F1915" s="641"/>
      <c r="G1915" s="641"/>
      <c r="H1915" s="641"/>
      <c r="I1915" s="641"/>
      <c r="J1915" s="391"/>
    </row>
    <row r="1916" spans="1:11" ht="12.75" customHeight="1">
      <c r="A1916" s="653"/>
      <c r="B1916" s="653" t="s">
        <v>1684</v>
      </c>
      <c r="C1916" s="645">
        <f t="shared" ref="C1916:I1916" si="243">+C1914+C1898</f>
        <v>4000000</v>
      </c>
      <c r="D1916" s="645">
        <f t="shared" si="243"/>
        <v>4500000</v>
      </c>
      <c r="E1916" s="645">
        <f t="shared" si="243"/>
        <v>4500000</v>
      </c>
      <c r="F1916" s="645">
        <f t="shared" si="243"/>
        <v>13000000</v>
      </c>
      <c r="G1916" s="645">
        <f t="shared" si="243"/>
        <v>1426000</v>
      </c>
      <c r="H1916" s="645">
        <f>+H1914+H1898</f>
        <v>4108000</v>
      </c>
      <c r="I1916" s="645" t="e">
        <f t="shared" si="243"/>
        <v>#REF!</v>
      </c>
      <c r="J1916" s="391"/>
    </row>
    <row r="1917" spans="1:11" ht="12.75" customHeight="1">
      <c r="A1917" s="391"/>
      <c r="B1917" s="391"/>
      <c r="C1917" s="647"/>
      <c r="D1917" s="647"/>
      <c r="E1917" s="647"/>
      <c r="F1917" s="647"/>
      <c r="G1917" s="647"/>
      <c r="H1917" s="647"/>
      <c r="I1917" s="391"/>
      <c r="J1917" s="391"/>
    </row>
    <row r="1918" spans="1:11" ht="12.75" customHeight="1">
      <c r="A1918" s="391"/>
      <c r="B1918" s="391"/>
      <c r="C1918" s="647"/>
      <c r="D1918" s="308" t="s">
        <v>5434</v>
      </c>
      <c r="E1918" s="647"/>
      <c r="F1918" s="647"/>
      <c r="H1918" s="647"/>
      <c r="I1918" s="391"/>
      <c r="J1918" s="391"/>
    </row>
    <row r="1919" spans="1:11" ht="12.75" customHeight="1">
      <c r="A1919" s="655"/>
      <c r="B1919" s="633"/>
      <c r="C1919" s="655"/>
      <c r="D1919" s="308" t="s">
        <v>716</v>
      </c>
      <c r="E1919" s="655"/>
      <c r="F1919" s="647"/>
      <c r="H1919" s="655"/>
      <c r="I1919" s="391"/>
      <c r="J1919" s="391"/>
    </row>
    <row r="1920" spans="1:11" ht="12.75" customHeight="1">
      <c r="A1920" s="655"/>
      <c r="B1920" s="633"/>
      <c r="C1920" s="655"/>
      <c r="D1920" s="308" t="s">
        <v>3322</v>
      </c>
      <c r="E1920" s="655"/>
      <c r="F1920" s="647"/>
      <c r="H1920" s="655"/>
      <c r="I1920" s="391"/>
      <c r="J1920" s="391"/>
    </row>
    <row r="1921" spans="1:10" ht="12.75" customHeight="1">
      <c r="A1921" s="655"/>
      <c r="B1921" s="655"/>
      <c r="C1921" s="655"/>
      <c r="D1921" s="307" t="s">
        <v>3389</v>
      </c>
      <c r="E1921" s="655"/>
      <c r="F1921" s="647"/>
      <c r="H1921" s="655"/>
      <c r="I1921" s="391"/>
      <c r="J1921" s="391"/>
    </row>
    <row r="1922" spans="1:10" ht="12.75" customHeight="1">
      <c r="A1922" s="634" t="s">
        <v>1839</v>
      </c>
      <c r="B1922" s="635" t="s">
        <v>903</v>
      </c>
      <c r="C1922" s="1037" t="s">
        <v>4127</v>
      </c>
      <c r="D1922" s="1038"/>
      <c r="E1922" s="1039"/>
      <c r="F1922" s="635" t="s">
        <v>1684</v>
      </c>
      <c r="G1922" s="1037" t="s">
        <v>4132</v>
      </c>
      <c r="H1922" s="1038"/>
      <c r="I1922" s="1039"/>
      <c r="J1922" s="391"/>
    </row>
    <row r="1923" spans="1:10" ht="12.75" customHeight="1">
      <c r="A1923" s="636" t="s">
        <v>1620</v>
      </c>
      <c r="B1923" s="637"/>
      <c r="C1923" s="635" t="s">
        <v>1841</v>
      </c>
      <c r="D1923" s="635" t="s">
        <v>4133</v>
      </c>
      <c r="E1923" s="635" t="s">
        <v>4133</v>
      </c>
      <c r="F1923" s="1056" t="s">
        <v>4200</v>
      </c>
      <c r="G1923" s="1051" t="s">
        <v>4201</v>
      </c>
      <c r="H1923" s="635" t="s">
        <v>1841</v>
      </c>
      <c r="I1923" s="634" t="s">
        <v>4135</v>
      </c>
      <c r="J1923" s="391"/>
    </row>
    <row r="1924" spans="1:10" ht="12.75" customHeight="1">
      <c r="A1924" s="638" t="s">
        <v>387</v>
      </c>
      <c r="B1924" s="639"/>
      <c r="C1924" s="638">
        <v>2015</v>
      </c>
      <c r="D1924" s="638">
        <v>2016</v>
      </c>
      <c r="E1924" s="638">
        <v>2017</v>
      </c>
      <c r="F1924" s="1057"/>
      <c r="G1924" s="1052"/>
      <c r="H1924" s="638">
        <v>2014</v>
      </c>
      <c r="I1924" s="638" t="s">
        <v>4303</v>
      </c>
      <c r="J1924" s="391"/>
    </row>
    <row r="1925" spans="1:10" ht="12.75" customHeight="1">
      <c r="A1925" s="646" t="s">
        <v>3390</v>
      </c>
      <c r="B1925" s="646" t="s">
        <v>1693</v>
      </c>
      <c r="C1925" s="662">
        <v>1713353.1</v>
      </c>
      <c r="D1925" s="662">
        <v>2163200</v>
      </c>
      <c r="E1925" s="662">
        <v>2163200</v>
      </c>
      <c r="F1925" s="647">
        <f>SUM(C1925:E1925)</f>
        <v>6039753.0999999996</v>
      </c>
      <c r="G1925" s="641">
        <v>1930000</v>
      </c>
      <c r="H1925" s="662">
        <v>2163200</v>
      </c>
      <c r="I1925" s="641" t="e">
        <f>#REF!</f>
        <v>#REF!</v>
      </c>
      <c r="J1925" s="391"/>
    </row>
    <row r="1926" spans="1:10" ht="12.75" customHeight="1">
      <c r="A1926" s="646"/>
      <c r="B1926" s="646"/>
      <c r="C1926" s="662"/>
      <c r="D1926" s="662"/>
      <c r="E1926" s="662"/>
      <c r="F1926" s="647"/>
      <c r="G1926" s="641"/>
      <c r="H1926" s="662"/>
      <c r="I1926" s="641"/>
      <c r="J1926" s="391"/>
    </row>
    <row r="1927" spans="1:10" ht="12.75" customHeight="1">
      <c r="A1927" s="646">
        <v>2</v>
      </c>
      <c r="B1927" s="646" t="s">
        <v>1695</v>
      </c>
      <c r="C1927" s="662">
        <v>2000000</v>
      </c>
      <c r="D1927" s="662">
        <v>2000000</v>
      </c>
      <c r="E1927" s="662">
        <v>2000000</v>
      </c>
      <c r="F1927" s="647">
        <f t="shared" ref="F1927:F1939" si="244">SUM(C1927:E1927)</f>
        <v>6000000</v>
      </c>
      <c r="G1927" s="641">
        <v>240000</v>
      </c>
      <c r="H1927" s="662">
        <v>318240</v>
      </c>
      <c r="I1927" s="641">
        <v>1410000</v>
      </c>
      <c r="J1927" s="391"/>
    </row>
    <row r="1928" spans="1:10" ht="12.75" customHeight="1">
      <c r="A1928" s="646">
        <f>A1927+1</f>
        <v>3</v>
      </c>
      <c r="B1928" s="646" t="s">
        <v>1696</v>
      </c>
      <c r="C1928" s="641" t="s">
        <v>1386</v>
      </c>
      <c r="D1928" s="641" t="s">
        <v>1386</v>
      </c>
      <c r="E1928" s="641" t="s">
        <v>1386</v>
      </c>
      <c r="F1928" s="647">
        <f t="shared" si="244"/>
        <v>0</v>
      </c>
      <c r="G1928" s="642">
        <v>0</v>
      </c>
      <c r="H1928" s="641" t="s">
        <v>1386</v>
      </c>
      <c r="I1928" s="642" t="s">
        <v>1386</v>
      </c>
      <c r="J1928" s="391"/>
    </row>
    <row r="1929" spans="1:10" ht="12.75" customHeight="1">
      <c r="A1929" s="646">
        <v>4</v>
      </c>
      <c r="B1929" s="646" t="s">
        <v>1701</v>
      </c>
      <c r="C1929" s="641" t="s">
        <v>1386</v>
      </c>
      <c r="D1929" s="641" t="s">
        <v>1386</v>
      </c>
      <c r="E1929" s="641" t="s">
        <v>1386</v>
      </c>
      <c r="F1929" s="647">
        <f t="shared" si="244"/>
        <v>0</v>
      </c>
      <c r="G1929" s="642">
        <v>0</v>
      </c>
      <c r="H1929" s="641" t="s">
        <v>1386</v>
      </c>
      <c r="I1929" s="642" t="s">
        <v>1386</v>
      </c>
      <c r="J1929" s="391"/>
    </row>
    <row r="1930" spans="1:10" ht="12.75" customHeight="1">
      <c r="A1930" s="646">
        <v>5</v>
      </c>
      <c r="B1930" s="646" t="s">
        <v>1702</v>
      </c>
      <c r="C1930" s="662">
        <v>300000</v>
      </c>
      <c r="D1930" s="662">
        <v>300000</v>
      </c>
      <c r="E1930" s="662">
        <v>300000</v>
      </c>
      <c r="F1930" s="647">
        <f t="shared" si="244"/>
        <v>900000</v>
      </c>
      <c r="G1930" s="642">
        <v>104000</v>
      </c>
      <c r="H1930" s="662">
        <v>106080</v>
      </c>
      <c r="I1930" s="642">
        <v>100000</v>
      </c>
      <c r="J1930" s="391"/>
    </row>
    <row r="1931" spans="1:10" ht="12.75" customHeight="1">
      <c r="A1931" s="646">
        <f>A1930+1</f>
        <v>6</v>
      </c>
      <c r="B1931" s="646" t="s">
        <v>1544</v>
      </c>
      <c r="C1931" s="662">
        <v>300000</v>
      </c>
      <c r="D1931" s="662">
        <v>300000</v>
      </c>
      <c r="E1931" s="662">
        <v>300000</v>
      </c>
      <c r="F1931" s="647">
        <f t="shared" si="244"/>
        <v>900000</v>
      </c>
      <c r="G1931" s="642">
        <v>95000</v>
      </c>
      <c r="H1931" s="662">
        <v>106080</v>
      </c>
      <c r="I1931" s="642">
        <v>100000</v>
      </c>
      <c r="J1931" s="391"/>
    </row>
    <row r="1932" spans="1:10" ht="12.75" customHeight="1">
      <c r="A1932" s="646">
        <f>A1931+1</f>
        <v>7</v>
      </c>
      <c r="B1932" s="646" t="s">
        <v>897</v>
      </c>
      <c r="C1932" s="662">
        <v>500000</v>
      </c>
      <c r="D1932" s="662">
        <v>500000</v>
      </c>
      <c r="E1932" s="662">
        <v>500000</v>
      </c>
      <c r="F1932" s="647">
        <f t="shared" si="244"/>
        <v>1500000</v>
      </c>
      <c r="G1932" s="642">
        <v>0</v>
      </c>
      <c r="H1932" s="662">
        <v>106080</v>
      </c>
      <c r="I1932" s="642">
        <v>100000</v>
      </c>
      <c r="J1932" s="391"/>
    </row>
    <row r="1933" spans="1:10" ht="12.75" customHeight="1">
      <c r="A1933" s="646">
        <v>8</v>
      </c>
      <c r="B1933" s="646" t="s">
        <v>1385</v>
      </c>
      <c r="C1933" s="641" t="s">
        <v>1386</v>
      </c>
      <c r="D1933" s="641" t="s">
        <v>1386</v>
      </c>
      <c r="E1933" s="641" t="s">
        <v>1386</v>
      </c>
      <c r="F1933" s="647">
        <f t="shared" si="244"/>
        <v>0</v>
      </c>
      <c r="G1933" s="642">
        <v>0</v>
      </c>
      <c r="H1933" s="641" t="s">
        <v>1386</v>
      </c>
      <c r="I1933" s="642" t="s">
        <v>1386</v>
      </c>
      <c r="J1933" s="391"/>
    </row>
    <row r="1934" spans="1:10" ht="12.75" customHeight="1">
      <c r="A1934" s="646">
        <v>9</v>
      </c>
      <c r="B1934" s="646" t="s">
        <v>755</v>
      </c>
      <c r="C1934" s="641" t="s">
        <v>1386</v>
      </c>
      <c r="D1934" s="641" t="s">
        <v>1386</v>
      </c>
      <c r="E1934" s="641" t="s">
        <v>1386</v>
      </c>
      <c r="F1934" s="647">
        <f t="shared" si="244"/>
        <v>0</v>
      </c>
      <c r="G1934" s="642">
        <v>0</v>
      </c>
      <c r="H1934" s="641" t="s">
        <v>1386</v>
      </c>
      <c r="I1934" s="642" t="s">
        <v>1386</v>
      </c>
      <c r="J1934" s="391"/>
    </row>
    <row r="1935" spans="1:10" ht="12.75" customHeight="1">
      <c r="A1935" s="646">
        <v>10</v>
      </c>
      <c r="B1935" s="646" t="s">
        <v>1680</v>
      </c>
      <c r="C1935" s="641">
        <v>200000</v>
      </c>
      <c r="D1935" s="641">
        <v>200000</v>
      </c>
      <c r="E1935" s="641">
        <v>200000</v>
      </c>
      <c r="F1935" s="647">
        <f t="shared" si="244"/>
        <v>600000</v>
      </c>
      <c r="G1935" s="642">
        <v>0</v>
      </c>
      <c r="H1935" s="641" t="s">
        <v>1386</v>
      </c>
      <c r="I1935" s="642">
        <v>0</v>
      </c>
      <c r="J1935" s="391"/>
    </row>
    <row r="1936" spans="1:10" ht="12.75" customHeight="1">
      <c r="A1936" s="646">
        <f>A1935+1</f>
        <v>11</v>
      </c>
      <c r="B1936" s="646" t="s">
        <v>1681</v>
      </c>
      <c r="C1936" s="662">
        <v>100000</v>
      </c>
      <c r="D1936" s="662">
        <v>100000</v>
      </c>
      <c r="E1936" s="662">
        <v>100000</v>
      </c>
      <c r="F1936" s="647">
        <f t="shared" si="244"/>
        <v>300000</v>
      </c>
      <c r="G1936" s="642">
        <v>900000</v>
      </c>
      <c r="H1936" s="662">
        <v>106080</v>
      </c>
      <c r="I1936" s="642">
        <v>50000</v>
      </c>
      <c r="J1936" s="391"/>
    </row>
    <row r="1937" spans="1:11" ht="12.75" customHeight="1">
      <c r="A1937" s="646">
        <f>A1936+1</f>
        <v>12</v>
      </c>
      <c r="B1937" s="646" t="s">
        <v>1682</v>
      </c>
      <c r="C1937" s="662">
        <v>1500000</v>
      </c>
      <c r="D1937" s="662">
        <v>1500000</v>
      </c>
      <c r="E1937" s="662">
        <v>1500000</v>
      </c>
      <c r="F1937" s="647">
        <f t="shared" si="244"/>
        <v>4500000</v>
      </c>
      <c r="G1937" s="642">
        <v>1181000</v>
      </c>
      <c r="H1937" s="662">
        <f>1272960-45760</f>
        <v>1227200</v>
      </c>
      <c r="I1937" s="642">
        <v>1866500</v>
      </c>
      <c r="J1937" s="391"/>
    </row>
    <row r="1938" spans="1:11" ht="12.75" customHeight="1">
      <c r="A1938" s="646">
        <f>A1937+1</f>
        <v>13</v>
      </c>
      <c r="B1938" s="646" t="s">
        <v>2249</v>
      </c>
      <c r="C1938" s="641">
        <v>100000</v>
      </c>
      <c r="D1938" s="641">
        <v>100000</v>
      </c>
      <c r="E1938" s="641">
        <v>100000</v>
      </c>
      <c r="F1938" s="647">
        <f t="shared" si="244"/>
        <v>300000</v>
      </c>
      <c r="G1938" s="642"/>
      <c r="H1938" s="641">
        <v>106080</v>
      </c>
      <c r="I1938" s="642"/>
      <c r="J1938" s="391"/>
    </row>
    <row r="1939" spans="1:11" ht="12.75" customHeight="1">
      <c r="A1939" s="646">
        <f>A1938+1</f>
        <v>14</v>
      </c>
      <c r="B1939" s="646" t="s">
        <v>756</v>
      </c>
      <c r="C1939" s="641">
        <v>500000</v>
      </c>
      <c r="D1939" s="641">
        <v>200000</v>
      </c>
      <c r="E1939" s="641">
        <v>200000</v>
      </c>
      <c r="F1939" s="647">
        <f t="shared" si="244"/>
        <v>900000</v>
      </c>
      <c r="G1939" s="642"/>
      <c r="H1939" s="641">
        <v>212160</v>
      </c>
      <c r="I1939" s="642"/>
      <c r="J1939" s="391"/>
    </row>
    <row r="1940" spans="1:11" ht="12.75" customHeight="1">
      <c r="A1940" s="646"/>
      <c r="B1940" s="646"/>
      <c r="C1940" s="641"/>
      <c r="D1940" s="641"/>
      <c r="E1940" s="641"/>
      <c r="F1940" s="647"/>
      <c r="G1940" s="641"/>
      <c r="H1940" s="641"/>
      <c r="I1940" s="642">
        <v>0</v>
      </c>
      <c r="J1940" s="391"/>
    </row>
    <row r="1941" spans="1:11" ht="12.75" customHeight="1">
      <c r="A1941" s="646" t="s">
        <v>3391</v>
      </c>
      <c r="B1941" s="651" t="s">
        <v>819</v>
      </c>
      <c r="C1941" s="652">
        <f t="shared" ref="C1941:I1941" si="245">SUM(C1927:C1940)</f>
        <v>5500000</v>
      </c>
      <c r="D1941" s="652">
        <f t="shared" si="245"/>
        <v>5200000</v>
      </c>
      <c r="E1941" s="652">
        <f t="shared" si="245"/>
        <v>5200000</v>
      </c>
      <c r="F1941" s="652">
        <f t="shared" si="245"/>
        <v>15900000</v>
      </c>
      <c r="G1941" s="652">
        <f t="shared" si="245"/>
        <v>2520000</v>
      </c>
      <c r="H1941" s="652">
        <f>SUM(H1927:H1940)</f>
        <v>2288000</v>
      </c>
      <c r="I1941" s="652">
        <f t="shared" si="245"/>
        <v>3626500</v>
      </c>
      <c r="J1941" s="391"/>
      <c r="K1941" s="657">
        <f>2288000-H1941</f>
        <v>0</v>
      </c>
    </row>
    <row r="1942" spans="1:11" ht="12.75" customHeight="1">
      <c r="A1942" s="646"/>
      <c r="B1942" s="646"/>
      <c r="C1942" s="641"/>
      <c r="D1942" s="641"/>
      <c r="E1942" s="641"/>
      <c r="F1942" s="641"/>
      <c r="G1942" s="641"/>
      <c r="H1942" s="641"/>
      <c r="I1942" s="641"/>
      <c r="J1942" s="391"/>
    </row>
    <row r="1943" spans="1:11" ht="12.75" customHeight="1">
      <c r="A1943" s="653"/>
      <c r="B1943" s="653" t="s">
        <v>1684</v>
      </c>
      <c r="C1943" s="645">
        <f t="shared" ref="C1943:I1943" si="246">+C1941+C1925</f>
        <v>7213353.0999999996</v>
      </c>
      <c r="D1943" s="645">
        <f t="shared" si="246"/>
        <v>7363200</v>
      </c>
      <c r="E1943" s="645">
        <f t="shared" si="246"/>
        <v>7363200</v>
      </c>
      <c r="F1943" s="645">
        <f t="shared" si="246"/>
        <v>21939753.100000001</v>
      </c>
      <c r="G1943" s="645">
        <f t="shared" si="246"/>
        <v>4450000</v>
      </c>
      <c r="H1943" s="645">
        <f>+H1941+H1925</f>
        <v>4451200</v>
      </c>
      <c r="I1943" s="645" t="e">
        <f t="shared" si="246"/>
        <v>#REF!</v>
      </c>
      <c r="J1943" s="391"/>
    </row>
    <row r="1944" spans="1:11" ht="12.75" customHeight="1">
      <c r="A1944" s="391"/>
      <c r="B1944" s="391"/>
      <c r="C1944" s="647"/>
      <c r="D1944" s="647"/>
      <c r="E1944" s="647"/>
      <c r="F1944" s="647"/>
      <c r="G1944" s="647"/>
      <c r="H1944" s="647"/>
      <c r="I1944" s="391"/>
      <c r="J1944" s="391"/>
    </row>
    <row r="1945" spans="1:11" ht="12.75" customHeight="1">
      <c r="A1945" s="391"/>
      <c r="B1945" s="391"/>
      <c r="C1945" s="647"/>
      <c r="D1945" s="308" t="s">
        <v>5434</v>
      </c>
      <c r="E1945" s="647"/>
      <c r="F1945" s="647"/>
      <c r="H1945" s="647"/>
      <c r="I1945" s="391"/>
      <c r="J1945" s="391"/>
    </row>
    <row r="1946" spans="1:11" ht="12.75" customHeight="1">
      <c r="A1946" s="655"/>
      <c r="B1946" s="633"/>
      <c r="C1946" s="655"/>
      <c r="D1946" s="308" t="s">
        <v>716</v>
      </c>
      <c r="E1946" s="655"/>
      <c r="F1946" s="647"/>
      <c r="H1946" s="655"/>
      <c r="I1946" s="391"/>
      <c r="J1946" s="391"/>
    </row>
    <row r="1947" spans="1:11" ht="12.75" customHeight="1">
      <c r="A1947" s="655"/>
      <c r="B1947" s="633"/>
      <c r="C1947" s="655"/>
      <c r="D1947" s="308" t="s">
        <v>3392</v>
      </c>
      <c r="E1947" s="655"/>
      <c r="F1947" s="647"/>
      <c r="H1947" s="655"/>
      <c r="I1947" s="391"/>
      <c r="J1947" s="391"/>
    </row>
    <row r="1948" spans="1:11" ht="12.75" customHeight="1">
      <c r="A1948" s="655"/>
      <c r="B1948" s="655"/>
      <c r="C1948" s="655"/>
      <c r="D1948" s="307" t="s">
        <v>3323</v>
      </c>
      <c r="E1948" s="655"/>
      <c r="F1948" s="647"/>
      <c r="H1948" s="655"/>
      <c r="I1948" s="391"/>
      <c r="J1948" s="391"/>
    </row>
    <row r="1949" spans="1:11" ht="12.75" customHeight="1">
      <c r="A1949" s="634" t="s">
        <v>1839</v>
      </c>
      <c r="B1949" s="635" t="s">
        <v>903</v>
      </c>
      <c r="C1949" s="1037" t="s">
        <v>4127</v>
      </c>
      <c r="D1949" s="1038"/>
      <c r="E1949" s="1039"/>
      <c r="F1949" s="635" t="s">
        <v>1684</v>
      </c>
      <c r="G1949" s="1037" t="s">
        <v>4132</v>
      </c>
      <c r="H1949" s="1038"/>
      <c r="I1949" s="1039"/>
      <c r="J1949" s="391"/>
    </row>
    <row r="1950" spans="1:11" ht="12.75" customHeight="1">
      <c r="A1950" s="636" t="s">
        <v>1620</v>
      </c>
      <c r="B1950" s="637"/>
      <c r="C1950" s="635" t="s">
        <v>1841</v>
      </c>
      <c r="D1950" s="635" t="s">
        <v>4133</v>
      </c>
      <c r="E1950" s="635" t="s">
        <v>4133</v>
      </c>
      <c r="F1950" s="1056" t="s">
        <v>4200</v>
      </c>
      <c r="G1950" s="1051" t="s">
        <v>4201</v>
      </c>
      <c r="H1950" s="635" t="s">
        <v>1841</v>
      </c>
      <c r="I1950" s="634" t="s">
        <v>4135</v>
      </c>
      <c r="J1950" s="391"/>
    </row>
    <row r="1951" spans="1:11" ht="12.75" customHeight="1">
      <c r="A1951" s="638" t="s">
        <v>387</v>
      </c>
      <c r="B1951" s="639"/>
      <c r="C1951" s="638">
        <v>2015</v>
      </c>
      <c r="D1951" s="638">
        <v>2016</v>
      </c>
      <c r="E1951" s="638">
        <v>2017</v>
      </c>
      <c r="F1951" s="1057"/>
      <c r="G1951" s="1052"/>
      <c r="H1951" s="638">
        <v>2014</v>
      </c>
      <c r="I1951" s="638" t="s">
        <v>4303</v>
      </c>
      <c r="J1951" s="391"/>
    </row>
    <row r="1952" spans="1:11" ht="12.75" customHeight="1">
      <c r="A1952" s="646" t="s">
        <v>3390</v>
      </c>
      <c r="B1952" s="646" t="s">
        <v>1693</v>
      </c>
      <c r="C1952" s="662">
        <f>E1952*1.02</f>
        <v>0</v>
      </c>
      <c r="D1952" s="662">
        <v>0</v>
      </c>
      <c r="E1952" s="662">
        <v>0</v>
      </c>
      <c r="F1952" s="647">
        <f>SUM(C1952:E1952)</f>
        <v>0</v>
      </c>
      <c r="G1952" s="662">
        <v>0</v>
      </c>
      <c r="H1952" s="662">
        <v>0</v>
      </c>
      <c r="I1952" s="662" t="e">
        <f>#REF!</f>
        <v>#REF!</v>
      </c>
      <c r="J1952" s="391"/>
    </row>
    <row r="1953" spans="1:10" ht="12.75" customHeight="1">
      <c r="A1953" s="646"/>
      <c r="B1953" s="646"/>
      <c r="C1953" s="662"/>
      <c r="D1953" s="662"/>
      <c r="E1953" s="662"/>
      <c r="F1953" s="647"/>
      <c r="G1953" s="641"/>
      <c r="H1953" s="662"/>
      <c r="I1953" s="641"/>
      <c r="J1953" s="391"/>
    </row>
    <row r="1954" spans="1:10" ht="12.75" customHeight="1">
      <c r="A1954" s="646">
        <v>2</v>
      </c>
      <c r="B1954" s="646" t="s">
        <v>1695</v>
      </c>
      <c r="C1954" s="662">
        <v>1000000</v>
      </c>
      <c r="D1954" s="662">
        <v>1500000</v>
      </c>
      <c r="E1954" s="662">
        <v>1500000</v>
      </c>
      <c r="F1954" s="647">
        <f t="shared" ref="F1954:F1968" si="247">SUM(C1954:E1954)</f>
        <v>4000000</v>
      </c>
      <c r="G1954" s="662">
        <v>1087000</v>
      </c>
      <c r="H1954" s="662">
        <v>1591200</v>
      </c>
      <c r="I1954" s="662"/>
      <c r="J1954" s="391"/>
    </row>
    <row r="1955" spans="1:10" ht="12.75" customHeight="1">
      <c r="A1955" s="646">
        <f>A1954+1</f>
        <v>3</v>
      </c>
      <c r="B1955" s="646" t="s">
        <v>1696</v>
      </c>
      <c r="C1955" s="641" t="s">
        <v>1386</v>
      </c>
      <c r="D1955" s="662">
        <v>2000000</v>
      </c>
      <c r="E1955" s="662">
        <v>2000000</v>
      </c>
      <c r="F1955" s="647">
        <f t="shared" si="247"/>
        <v>4000000</v>
      </c>
      <c r="G1955" s="662">
        <v>888500</v>
      </c>
      <c r="H1955" s="662">
        <v>2121600</v>
      </c>
      <c r="I1955" s="662"/>
      <c r="J1955" s="391"/>
    </row>
    <row r="1956" spans="1:10" ht="12.75" customHeight="1">
      <c r="A1956" s="646">
        <v>4</v>
      </c>
      <c r="B1956" s="646" t="s">
        <v>1701</v>
      </c>
      <c r="C1956" s="641" t="s">
        <v>1386</v>
      </c>
      <c r="D1956" s="641" t="s">
        <v>1386</v>
      </c>
      <c r="E1956" s="641" t="s">
        <v>1386</v>
      </c>
      <c r="F1956" s="647">
        <f t="shared" si="247"/>
        <v>0</v>
      </c>
      <c r="G1956" s="662" t="s">
        <v>1386</v>
      </c>
      <c r="H1956" s="641" t="s">
        <v>1386</v>
      </c>
      <c r="I1956" s="662"/>
      <c r="J1956" s="391"/>
    </row>
    <row r="1957" spans="1:10" ht="12.75" customHeight="1">
      <c r="A1957" s="646">
        <v>5</v>
      </c>
      <c r="B1957" s="646" t="s">
        <v>1702</v>
      </c>
      <c r="C1957" s="662">
        <v>500000</v>
      </c>
      <c r="D1957" s="662">
        <v>500000</v>
      </c>
      <c r="E1957" s="662">
        <v>500000</v>
      </c>
      <c r="F1957" s="647">
        <f t="shared" si="247"/>
        <v>1500000</v>
      </c>
      <c r="G1957" s="662">
        <v>315000</v>
      </c>
      <c r="H1957" s="662">
        <v>530400</v>
      </c>
      <c r="I1957" s="662"/>
      <c r="J1957" s="391"/>
    </row>
    <row r="1958" spans="1:10" ht="12.75" customHeight="1">
      <c r="A1958" s="646">
        <f>A1957+1</f>
        <v>6</v>
      </c>
      <c r="B1958" s="646" t="s">
        <v>1544</v>
      </c>
      <c r="C1958" s="662">
        <v>500000</v>
      </c>
      <c r="D1958" s="662">
        <v>500000</v>
      </c>
      <c r="E1958" s="662">
        <v>500000</v>
      </c>
      <c r="F1958" s="647">
        <f t="shared" si="247"/>
        <v>1500000</v>
      </c>
      <c r="G1958" s="662">
        <v>385000</v>
      </c>
      <c r="H1958" s="662">
        <v>530400</v>
      </c>
      <c r="I1958" s="662"/>
      <c r="J1958" s="391"/>
    </row>
    <row r="1959" spans="1:10" ht="12.75" customHeight="1">
      <c r="A1959" s="646">
        <f>A1958+1</f>
        <v>7</v>
      </c>
      <c r="B1959" s="646" t="s">
        <v>897</v>
      </c>
      <c r="C1959" s="662">
        <v>2000000</v>
      </c>
      <c r="D1959" s="662">
        <v>2000000</v>
      </c>
      <c r="E1959" s="662">
        <v>2000000</v>
      </c>
      <c r="F1959" s="647">
        <f t="shared" si="247"/>
        <v>6000000</v>
      </c>
      <c r="G1959" s="662">
        <v>912000</v>
      </c>
      <c r="H1959" s="662">
        <v>2121600</v>
      </c>
      <c r="I1959" s="662"/>
      <c r="J1959" s="391"/>
    </row>
    <row r="1960" spans="1:10" ht="12.75" customHeight="1">
      <c r="A1960" s="646">
        <v>8</v>
      </c>
      <c r="B1960" s="646" t="s">
        <v>1385</v>
      </c>
      <c r="C1960" s="641" t="s">
        <v>1386</v>
      </c>
      <c r="D1960" s="641" t="s">
        <v>1386</v>
      </c>
      <c r="E1960" s="641" t="s">
        <v>1386</v>
      </c>
      <c r="F1960" s="647">
        <f t="shared" si="247"/>
        <v>0</v>
      </c>
      <c r="G1960" s="662" t="s">
        <v>1386</v>
      </c>
      <c r="H1960" s="641" t="s">
        <v>1386</v>
      </c>
      <c r="I1960" s="662"/>
      <c r="J1960" s="391"/>
    </row>
    <row r="1961" spans="1:10" ht="12.75" customHeight="1">
      <c r="A1961" s="646">
        <v>9</v>
      </c>
      <c r="B1961" s="646" t="s">
        <v>755</v>
      </c>
      <c r="C1961" s="641" t="s">
        <v>1386</v>
      </c>
      <c r="D1961" s="641" t="s">
        <v>1386</v>
      </c>
      <c r="E1961" s="641" t="s">
        <v>1386</v>
      </c>
      <c r="F1961" s="647">
        <f t="shared" si="247"/>
        <v>0</v>
      </c>
      <c r="G1961" s="662" t="s">
        <v>1386</v>
      </c>
      <c r="H1961" s="641" t="s">
        <v>1386</v>
      </c>
      <c r="I1961" s="662"/>
      <c r="J1961" s="391"/>
    </row>
    <row r="1962" spans="1:10" ht="12.75" customHeight="1">
      <c r="A1962" s="646">
        <v>10</v>
      </c>
      <c r="B1962" s="646" t="s">
        <v>1680</v>
      </c>
      <c r="C1962" s="662">
        <v>500000</v>
      </c>
      <c r="D1962" s="662">
        <v>500000</v>
      </c>
      <c r="E1962" s="662">
        <v>500000</v>
      </c>
      <c r="F1962" s="647">
        <f t="shared" si="247"/>
        <v>1500000</v>
      </c>
      <c r="G1962" s="662">
        <v>37000</v>
      </c>
      <c r="H1962" s="662">
        <v>212160</v>
      </c>
      <c r="I1962" s="662"/>
      <c r="J1962" s="391"/>
    </row>
    <row r="1963" spans="1:10" ht="12.75" customHeight="1">
      <c r="A1963" s="646">
        <f t="shared" ref="A1963:A1968" si="248">A1962+1</f>
        <v>11</v>
      </c>
      <c r="B1963" s="646" t="s">
        <v>1681</v>
      </c>
      <c r="C1963" s="662">
        <v>100000</v>
      </c>
      <c r="D1963" s="662">
        <v>100000</v>
      </c>
      <c r="E1963" s="662">
        <v>100000</v>
      </c>
      <c r="F1963" s="647">
        <f t="shared" si="247"/>
        <v>300000</v>
      </c>
      <c r="G1963" s="662">
        <v>52701.17</v>
      </c>
      <c r="H1963" s="662">
        <v>106080</v>
      </c>
      <c r="I1963" s="662"/>
      <c r="J1963" s="391"/>
    </row>
    <row r="1964" spans="1:10" ht="12.75" customHeight="1">
      <c r="A1964" s="646">
        <f t="shared" si="248"/>
        <v>12</v>
      </c>
      <c r="B1964" s="646" t="s">
        <v>1682</v>
      </c>
      <c r="C1964" s="662">
        <v>2000000</v>
      </c>
      <c r="D1964" s="662">
        <v>2000000</v>
      </c>
      <c r="E1964" s="662">
        <v>2000000</v>
      </c>
      <c r="F1964" s="647">
        <f t="shared" si="247"/>
        <v>6000000</v>
      </c>
      <c r="G1964" s="662">
        <v>635000</v>
      </c>
      <c r="H1964" s="662">
        <v>5304000</v>
      </c>
      <c r="I1964" s="662"/>
      <c r="J1964" s="391"/>
    </row>
    <row r="1965" spans="1:10" ht="12.75" customHeight="1">
      <c r="A1965" s="646">
        <f t="shared" si="248"/>
        <v>13</v>
      </c>
      <c r="B1965" s="646" t="s">
        <v>2249</v>
      </c>
      <c r="C1965" s="662">
        <v>100000</v>
      </c>
      <c r="D1965" s="662">
        <v>100000</v>
      </c>
      <c r="E1965" s="662">
        <v>100000</v>
      </c>
      <c r="F1965" s="647">
        <f t="shared" si="247"/>
        <v>300000</v>
      </c>
      <c r="G1965" s="662">
        <v>0</v>
      </c>
      <c r="H1965" s="662">
        <v>106080</v>
      </c>
      <c r="I1965" s="662"/>
      <c r="J1965" s="391"/>
    </row>
    <row r="1966" spans="1:10" ht="12.75" customHeight="1">
      <c r="A1966" s="646">
        <f t="shared" si="248"/>
        <v>14</v>
      </c>
      <c r="B1966" s="646" t="s">
        <v>1683</v>
      </c>
      <c r="C1966" s="662">
        <v>800000</v>
      </c>
      <c r="D1966" s="662">
        <v>800000</v>
      </c>
      <c r="E1966" s="662">
        <v>800000</v>
      </c>
      <c r="F1966" s="647">
        <f t="shared" si="247"/>
        <v>2400000</v>
      </c>
      <c r="G1966" s="662">
        <v>0</v>
      </c>
      <c r="H1966" s="662">
        <v>212160</v>
      </c>
      <c r="I1966" s="662"/>
      <c r="J1966" s="391"/>
    </row>
    <row r="1967" spans="1:10" ht="12.75" customHeight="1">
      <c r="A1967" s="646">
        <f t="shared" si="248"/>
        <v>15</v>
      </c>
      <c r="B1967" s="646" t="s">
        <v>3971</v>
      </c>
      <c r="C1967" s="662">
        <v>800000000</v>
      </c>
      <c r="D1967" s="662">
        <v>1100000000</v>
      </c>
      <c r="E1967" s="662">
        <v>1160000000</v>
      </c>
      <c r="F1967" s="647">
        <f t="shared" si="247"/>
        <v>3060000000</v>
      </c>
      <c r="G1967" s="662">
        <v>401392083</v>
      </c>
      <c r="H1967" s="662">
        <f>1183852800-23901280</f>
        <v>1159951520</v>
      </c>
      <c r="I1967" s="662">
        <f>105172156+7980000+1741000+71754533+12397712+83241915+7980000+2303850+1741000+4620000+1741000+116044837+7980000+105172156+7980000+1741000+71754533+4620000+1741000+65000000</f>
        <v>682706692</v>
      </c>
      <c r="J1967" s="391"/>
    </row>
    <row r="1968" spans="1:10" ht="12.75" customHeight="1">
      <c r="A1968" s="646">
        <f t="shared" si="248"/>
        <v>16</v>
      </c>
      <c r="B1968" s="646" t="s">
        <v>4159</v>
      </c>
      <c r="C1968" s="662" t="s">
        <v>3007</v>
      </c>
      <c r="D1968" s="662">
        <v>22000000</v>
      </c>
      <c r="E1968" s="662">
        <v>25000000</v>
      </c>
      <c r="F1968" s="647">
        <f t="shared" si="247"/>
        <v>47000000</v>
      </c>
      <c r="G1968" s="662">
        <v>8705000</v>
      </c>
      <c r="H1968" s="662">
        <v>22276800</v>
      </c>
      <c r="I1968" s="662">
        <f>1741000+1741000</f>
        <v>3482000</v>
      </c>
      <c r="J1968" s="391"/>
    </row>
    <row r="1969" spans="1:11" ht="12.75" customHeight="1">
      <c r="A1969" s="646"/>
      <c r="B1969" s="646"/>
      <c r="C1969" s="641"/>
      <c r="D1969" s="641"/>
      <c r="E1969" s="641"/>
      <c r="F1969" s="647"/>
      <c r="G1969" s="641"/>
      <c r="H1969" s="641"/>
      <c r="I1969" s="641"/>
      <c r="J1969" s="391"/>
    </row>
    <row r="1970" spans="1:11" ht="12.75" customHeight="1">
      <c r="A1970" s="646"/>
      <c r="B1970" s="646"/>
      <c r="C1970" s="641"/>
      <c r="D1970" s="641"/>
      <c r="E1970" s="641"/>
      <c r="F1970" s="647"/>
      <c r="G1970" s="641"/>
      <c r="H1970" s="641"/>
      <c r="I1970" s="641"/>
      <c r="J1970" s="391"/>
    </row>
    <row r="1971" spans="1:11" ht="12.75" customHeight="1">
      <c r="A1971" s="646" t="s">
        <v>3391</v>
      </c>
      <c r="B1971" s="651" t="s">
        <v>819</v>
      </c>
      <c r="C1971" s="652">
        <f t="shared" ref="C1971:I1971" si="249">SUM(C1954:C1970)</f>
        <v>807500000</v>
      </c>
      <c r="D1971" s="652">
        <f t="shared" si="249"/>
        <v>1132000000</v>
      </c>
      <c r="E1971" s="652">
        <f t="shared" si="249"/>
        <v>1195000000</v>
      </c>
      <c r="F1971" s="652">
        <f t="shared" si="249"/>
        <v>3134500000</v>
      </c>
      <c r="G1971" s="652">
        <f t="shared" si="249"/>
        <v>414409284.17000002</v>
      </c>
      <c r="H1971" s="652">
        <f>SUM(H1954:H1970)</f>
        <v>1195064000</v>
      </c>
      <c r="I1971" s="652">
        <f t="shared" si="249"/>
        <v>686188692</v>
      </c>
      <c r="J1971" s="391"/>
      <c r="K1971" s="657">
        <f>1195064000-H1971</f>
        <v>0</v>
      </c>
    </row>
    <row r="1972" spans="1:11" ht="12.75" customHeight="1">
      <c r="A1972" s="646"/>
      <c r="B1972" s="646"/>
      <c r="C1972" s="641"/>
      <c r="D1972" s="641"/>
      <c r="E1972" s="641"/>
      <c r="F1972" s="641"/>
      <c r="G1972" s="641"/>
      <c r="H1972" s="641"/>
      <c r="I1972" s="641"/>
      <c r="J1972" s="391"/>
    </row>
    <row r="1973" spans="1:11" ht="12.75" customHeight="1">
      <c r="A1973" s="653"/>
      <c r="B1973" s="653" t="s">
        <v>1684</v>
      </c>
      <c r="C1973" s="645">
        <f t="shared" ref="C1973:I1973" si="250">+C1971+C1952</f>
        <v>807500000</v>
      </c>
      <c r="D1973" s="645">
        <f t="shared" si="250"/>
        <v>1132000000</v>
      </c>
      <c r="E1973" s="645">
        <f t="shared" si="250"/>
        <v>1195000000</v>
      </c>
      <c r="F1973" s="645">
        <f t="shared" si="250"/>
        <v>3134500000</v>
      </c>
      <c r="G1973" s="645">
        <f t="shared" si="250"/>
        <v>414409284.17000002</v>
      </c>
      <c r="H1973" s="645">
        <f>+H1971+H1952</f>
        <v>1195064000</v>
      </c>
      <c r="I1973" s="645" t="e">
        <f t="shared" si="250"/>
        <v>#REF!</v>
      </c>
      <c r="J1973" s="391"/>
    </row>
    <row r="1974" spans="1:11" ht="12.75" customHeight="1">
      <c r="A1974" s="391"/>
      <c r="B1974" s="391"/>
      <c r="C1974" s="647"/>
      <c r="D1974" s="647"/>
      <c r="E1974" s="647"/>
      <c r="F1974" s="647"/>
      <c r="G1974" s="647"/>
      <c r="H1974" s="647"/>
      <c r="I1974" s="391"/>
      <c r="J1974" s="391"/>
    </row>
    <row r="1975" spans="1:11" ht="12.75" customHeight="1">
      <c r="A1975" s="391"/>
      <c r="B1975" s="391"/>
      <c r="C1975" s="647"/>
      <c r="D1975" s="308" t="s">
        <v>5434</v>
      </c>
      <c r="E1975" s="647"/>
      <c r="F1975" s="647"/>
      <c r="H1975" s="647"/>
      <c r="I1975" s="391"/>
      <c r="J1975" s="391"/>
    </row>
    <row r="1976" spans="1:11" ht="12.75" customHeight="1">
      <c r="A1976" s="655"/>
      <c r="B1976" s="633"/>
      <c r="C1976" s="655"/>
      <c r="D1976" s="308" t="s">
        <v>716</v>
      </c>
      <c r="E1976" s="655"/>
      <c r="F1976" s="647"/>
      <c r="H1976" s="655"/>
      <c r="I1976" s="391"/>
      <c r="J1976" s="391"/>
    </row>
    <row r="1977" spans="1:11" ht="12.75" customHeight="1">
      <c r="A1977" s="655"/>
      <c r="B1977" s="633"/>
      <c r="C1977" s="655"/>
      <c r="D1977" s="308" t="s">
        <v>4147</v>
      </c>
      <c r="E1977" s="655"/>
      <c r="F1977" s="647"/>
      <c r="H1977" s="655"/>
      <c r="I1977" s="391"/>
      <c r="J1977" s="391"/>
    </row>
    <row r="1978" spans="1:11" ht="12.75" customHeight="1">
      <c r="A1978" s="655"/>
      <c r="B1978" s="655"/>
      <c r="C1978" s="655"/>
      <c r="D1978" s="307" t="s">
        <v>32</v>
      </c>
      <c r="E1978" s="655"/>
      <c r="F1978" s="647"/>
      <c r="H1978" s="655"/>
      <c r="I1978" s="391"/>
      <c r="J1978" s="391"/>
    </row>
    <row r="1979" spans="1:11" ht="12.75" customHeight="1">
      <c r="A1979" s="634" t="s">
        <v>1839</v>
      </c>
      <c r="B1979" s="635" t="s">
        <v>903</v>
      </c>
      <c r="C1979" s="1037" t="s">
        <v>4127</v>
      </c>
      <c r="D1979" s="1038"/>
      <c r="E1979" s="1039"/>
      <c r="F1979" s="635" t="s">
        <v>1684</v>
      </c>
      <c r="G1979" s="1037" t="s">
        <v>4132</v>
      </c>
      <c r="H1979" s="1038"/>
      <c r="I1979" s="1039"/>
      <c r="J1979" s="391"/>
    </row>
    <row r="1980" spans="1:11" ht="12.75" customHeight="1">
      <c r="A1980" s="636" t="s">
        <v>1620</v>
      </c>
      <c r="B1980" s="637"/>
      <c r="C1980" s="635" t="s">
        <v>1841</v>
      </c>
      <c r="D1980" s="635" t="s">
        <v>4133</v>
      </c>
      <c r="E1980" s="635" t="s">
        <v>4133</v>
      </c>
      <c r="F1980" s="1056" t="s">
        <v>4200</v>
      </c>
      <c r="G1980" s="1051" t="s">
        <v>4201</v>
      </c>
      <c r="H1980" s="635" t="s">
        <v>1841</v>
      </c>
      <c r="I1980" s="634" t="s">
        <v>4135</v>
      </c>
      <c r="J1980" s="391"/>
    </row>
    <row r="1981" spans="1:11" ht="12.75" customHeight="1">
      <c r="A1981" s="638" t="s">
        <v>387</v>
      </c>
      <c r="B1981" s="639"/>
      <c r="C1981" s="638">
        <v>2015</v>
      </c>
      <c r="D1981" s="638">
        <v>2016</v>
      </c>
      <c r="E1981" s="638">
        <v>2017</v>
      </c>
      <c r="F1981" s="1057"/>
      <c r="G1981" s="1052"/>
      <c r="H1981" s="638">
        <v>2014</v>
      </c>
      <c r="I1981" s="638" t="s">
        <v>4303</v>
      </c>
      <c r="J1981" s="391"/>
    </row>
    <row r="1982" spans="1:11" ht="12.75" customHeight="1">
      <c r="A1982" s="646" t="s">
        <v>3390</v>
      </c>
      <c r="B1982" s="646" t="s">
        <v>1693</v>
      </c>
      <c r="C1982" s="662">
        <v>677000000</v>
      </c>
      <c r="D1982" s="662">
        <v>450000000</v>
      </c>
      <c r="E1982" s="662">
        <v>470000000</v>
      </c>
      <c r="F1982" s="647">
        <f>SUM(C1982:E1982)</f>
        <v>1597000000</v>
      </c>
      <c r="G1982" s="662">
        <v>0</v>
      </c>
      <c r="H1982" s="662">
        <v>470000000</v>
      </c>
      <c r="I1982" s="662" t="e">
        <f>#REF!</f>
        <v>#REF!</v>
      </c>
      <c r="J1982" s="391"/>
    </row>
    <row r="1983" spans="1:11" ht="12.75" customHeight="1">
      <c r="A1983" s="646"/>
      <c r="B1983" s="646"/>
      <c r="C1983" s="662"/>
      <c r="D1983" s="662"/>
      <c r="E1983" s="662"/>
      <c r="F1983" s="647"/>
      <c r="G1983" s="641"/>
      <c r="H1983" s="662"/>
      <c r="I1983" s="641"/>
      <c r="J1983" s="391"/>
    </row>
    <row r="1984" spans="1:11" ht="12.75" customHeight="1">
      <c r="A1984" s="646">
        <v>2</v>
      </c>
      <c r="B1984" s="646" t="s">
        <v>1695</v>
      </c>
      <c r="C1984" s="662">
        <v>5000000</v>
      </c>
      <c r="D1984" s="662">
        <v>3000000</v>
      </c>
      <c r="E1984" s="662">
        <v>3000000</v>
      </c>
      <c r="F1984" s="647">
        <f t="shared" ref="F1984:F2010" si="251">SUM(C1984:E1984)</f>
        <v>11000000</v>
      </c>
      <c r="G1984" s="662">
        <v>74700</v>
      </c>
      <c r="H1984" s="662">
        <v>5500000</v>
      </c>
      <c r="I1984" s="662">
        <v>2299500</v>
      </c>
      <c r="J1984" s="391"/>
    </row>
    <row r="1985" spans="1:10" ht="12.75" customHeight="1">
      <c r="A1985" s="646">
        <f>A1984+1</f>
        <v>3</v>
      </c>
      <c r="B1985" s="646" t="s">
        <v>1696</v>
      </c>
      <c r="C1985" s="662">
        <v>500000</v>
      </c>
      <c r="D1985" s="662">
        <v>300000</v>
      </c>
      <c r="E1985" s="662">
        <v>300000</v>
      </c>
      <c r="F1985" s="647">
        <f t="shared" si="251"/>
        <v>1100000</v>
      </c>
      <c r="G1985" s="662">
        <v>0</v>
      </c>
      <c r="H1985" s="662">
        <v>400000</v>
      </c>
      <c r="I1985" s="662">
        <v>53000</v>
      </c>
      <c r="J1985" s="391"/>
    </row>
    <row r="1986" spans="1:10" ht="12.75" customHeight="1">
      <c r="A1986" s="646">
        <v>4</v>
      </c>
      <c r="B1986" s="646" t="s">
        <v>1701</v>
      </c>
      <c r="C1986" s="641" t="s">
        <v>1386</v>
      </c>
      <c r="D1986" s="641" t="s">
        <v>1386</v>
      </c>
      <c r="E1986" s="641" t="s">
        <v>1386</v>
      </c>
      <c r="F1986" s="647">
        <f t="shared" si="251"/>
        <v>0</v>
      </c>
      <c r="G1986" s="662">
        <v>0</v>
      </c>
      <c r="H1986" s="641" t="s">
        <v>1386</v>
      </c>
      <c r="I1986" s="662" t="s">
        <v>1386</v>
      </c>
      <c r="J1986" s="391"/>
    </row>
    <row r="1987" spans="1:10" ht="12.75" customHeight="1">
      <c r="A1987" s="646">
        <v>5</v>
      </c>
      <c r="B1987" s="646" t="s">
        <v>1702</v>
      </c>
      <c r="C1987" s="662">
        <v>1000000</v>
      </c>
      <c r="D1987" s="662">
        <v>500000</v>
      </c>
      <c r="E1987" s="662">
        <v>500000</v>
      </c>
      <c r="F1987" s="647">
        <f t="shared" si="251"/>
        <v>2000000</v>
      </c>
      <c r="G1987" s="662">
        <v>59150</v>
      </c>
      <c r="H1987" s="662">
        <v>3000000</v>
      </c>
      <c r="I1987" s="662">
        <v>2826670</v>
      </c>
      <c r="J1987" s="391"/>
    </row>
    <row r="1988" spans="1:10" ht="12.75" customHeight="1">
      <c r="A1988" s="646">
        <f>A1987+1</f>
        <v>6</v>
      </c>
      <c r="B1988" s="646" t="s">
        <v>1544</v>
      </c>
      <c r="C1988" s="662">
        <v>4500000</v>
      </c>
      <c r="D1988" s="662">
        <v>2000000</v>
      </c>
      <c r="E1988" s="662">
        <v>2000000</v>
      </c>
      <c r="F1988" s="647">
        <f t="shared" si="251"/>
        <v>8500000</v>
      </c>
      <c r="G1988" s="662">
        <v>164250</v>
      </c>
      <c r="H1988" s="662">
        <v>5500000</v>
      </c>
      <c r="I1988" s="662">
        <v>296000</v>
      </c>
      <c r="J1988" s="391"/>
    </row>
    <row r="1989" spans="1:10" ht="12.75" customHeight="1">
      <c r="A1989" s="646">
        <f>A1988+1</f>
        <v>7</v>
      </c>
      <c r="B1989" s="646" t="s">
        <v>897</v>
      </c>
      <c r="C1989" s="662">
        <v>10000000</v>
      </c>
      <c r="D1989" s="662">
        <v>3000000</v>
      </c>
      <c r="E1989" s="662">
        <v>3000000</v>
      </c>
      <c r="F1989" s="647">
        <f t="shared" si="251"/>
        <v>16000000</v>
      </c>
      <c r="G1989" s="679">
        <v>59640.17</v>
      </c>
      <c r="H1989" s="662">
        <v>15000000</v>
      </c>
      <c r="I1989" s="679">
        <v>11183655.539999999</v>
      </c>
      <c r="J1989" s="391"/>
    </row>
    <row r="1990" spans="1:10" ht="12.75" customHeight="1">
      <c r="A1990" s="646">
        <v>8</v>
      </c>
      <c r="B1990" s="646" t="s">
        <v>1385</v>
      </c>
      <c r="C1990" s="641" t="s">
        <v>1386</v>
      </c>
      <c r="D1990" s="641" t="s">
        <v>1386</v>
      </c>
      <c r="E1990" s="641" t="s">
        <v>1386</v>
      </c>
      <c r="F1990" s="647">
        <f t="shared" si="251"/>
        <v>0</v>
      </c>
      <c r="G1990" s="662">
        <v>0</v>
      </c>
      <c r="H1990" s="641">
        <v>3000000</v>
      </c>
      <c r="I1990" s="662">
        <v>1300000</v>
      </c>
      <c r="J1990" s="391"/>
    </row>
    <row r="1991" spans="1:10" ht="12.75" customHeight="1">
      <c r="A1991" s="646">
        <v>9</v>
      </c>
      <c r="B1991" s="646" t="s">
        <v>755</v>
      </c>
      <c r="C1991" s="641" t="s">
        <v>1386</v>
      </c>
      <c r="D1991" s="641" t="s">
        <v>1386</v>
      </c>
      <c r="E1991" s="641" t="s">
        <v>1386</v>
      </c>
      <c r="F1991" s="647">
        <f t="shared" si="251"/>
        <v>0</v>
      </c>
      <c r="G1991" s="662">
        <v>0</v>
      </c>
      <c r="H1991" s="641" t="s">
        <v>1386</v>
      </c>
      <c r="I1991" s="662" t="s">
        <v>1386</v>
      </c>
      <c r="J1991" s="391"/>
    </row>
    <row r="1992" spans="1:10" ht="12.75" customHeight="1">
      <c r="A1992" s="646">
        <v>10</v>
      </c>
      <c r="B1992" s="646" t="s">
        <v>1680</v>
      </c>
      <c r="C1992" s="662">
        <v>3000000</v>
      </c>
      <c r="D1992" s="662">
        <v>200000</v>
      </c>
      <c r="E1992" s="662">
        <v>200000</v>
      </c>
      <c r="F1992" s="647">
        <f t="shared" si="251"/>
        <v>3400000</v>
      </c>
      <c r="G1992" s="662">
        <v>0</v>
      </c>
      <c r="H1992" s="662">
        <v>7200000</v>
      </c>
      <c r="I1992" s="662">
        <v>5524000</v>
      </c>
      <c r="J1992" s="391"/>
    </row>
    <row r="1993" spans="1:10" ht="12.75" customHeight="1">
      <c r="A1993" s="646">
        <f>A1992+1</f>
        <v>11</v>
      </c>
      <c r="B1993" s="646" t="s">
        <v>1681</v>
      </c>
      <c r="C1993" s="662">
        <v>100000</v>
      </c>
      <c r="D1993" s="662">
        <v>100000</v>
      </c>
      <c r="E1993" s="662">
        <v>100000</v>
      </c>
      <c r="F1993" s="647">
        <f t="shared" si="251"/>
        <v>300000</v>
      </c>
      <c r="G1993" s="662">
        <v>0</v>
      </c>
      <c r="H1993" s="662">
        <v>2000000</v>
      </c>
      <c r="I1993" s="662">
        <v>1483300</v>
      </c>
      <c r="J1993" s="391"/>
    </row>
    <row r="1994" spans="1:10" ht="12.75" customHeight="1">
      <c r="A1994" s="646">
        <f>A1993+1</f>
        <v>12</v>
      </c>
      <c r="B1994" s="646" t="s">
        <v>1682</v>
      </c>
      <c r="C1994" s="662">
        <v>2000000</v>
      </c>
      <c r="D1994" s="662">
        <v>5200000</v>
      </c>
      <c r="E1994" s="662">
        <v>5200000</v>
      </c>
      <c r="F1994" s="647">
        <f t="shared" si="251"/>
        <v>12400000</v>
      </c>
      <c r="G1994" s="662">
        <v>1534770</v>
      </c>
      <c r="H1994" s="662">
        <v>6000000</v>
      </c>
      <c r="I1994" s="662">
        <v>16385952.859999999</v>
      </c>
      <c r="J1994" s="391"/>
    </row>
    <row r="1995" spans="1:10" ht="12.75" customHeight="1">
      <c r="A1995" s="646">
        <f>A1994+1</f>
        <v>13</v>
      </c>
      <c r="B1995" s="646" t="s">
        <v>2249</v>
      </c>
      <c r="C1995" s="662">
        <v>1000000</v>
      </c>
      <c r="D1995" s="662">
        <v>104000</v>
      </c>
      <c r="E1995" s="662">
        <v>104000</v>
      </c>
      <c r="F1995" s="647">
        <f t="shared" si="251"/>
        <v>1208000</v>
      </c>
      <c r="G1995" s="662">
        <v>0</v>
      </c>
      <c r="H1995" s="662">
        <v>100000</v>
      </c>
      <c r="I1995" s="662">
        <v>712000</v>
      </c>
      <c r="J1995" s="391"/>
    </row>
    <row r="1996" spans="1:10" ht="12.75" customHeight="1">
      <c r="A1996" s="646">
        <f>A1995+1</f>
        <v>14</v>
      </c>
      <c r="B1996" s="646" t="s">
        <v>1683</v>
      </c>
      <c r="C1996" s="662">
        <v>2000000</v>
      </c>
      <c r="D1996" s="662">
        <v>208000</v>
      </c>
      <c r="E1996" s="662">
        <v>208000</v>
      </c>
      <c r="F1996" s="647">
        <f t="shared" si="251"/>
        <v>2416000</v>
      </c>
      <c r="G1996" s="662">
        <v>0</v>
      </c>
      <c r="H1996" s="662">
        <v>2000000</v>
      </c>
      <c r="I1996" s="662">
        <v>0</v>
      </c>
      <c r="J1996" s="391"/>
    </row>
    <row r="1997" spans="1:10" ht="12.75" customHeight="1">
      <c r="A1997" s="646">
        <f>A1996+1</f>
        <v>15</v>
      </c>
      <c r="B1997" s="646" t="s">
        <v>4160</v>
      </c>
      <c r="C1997" s="662" t="s">
        <v>1386</v>
      </c>
      <c r="D1997" s="662">
        <v>7600000</v>
      </c>
      <c r="E1997" s="662">
        <v>15600000</v>
      </c>
      <c r="F1997" s="647">
        <f t="shared" si="251"/>
        <v>23200000</v>
      </c>
      <c r="G1997" s="662">
        <v>0</v>
      </c>
      <c r="H1997" s="662">
        <v>2000000</v>
      </c>
      <c r="I1997" s="662">
        <v>0</v>
      </c>
      <c r="J1997" s="391"/>
    </row>
    <row r="1998" spans="1:10" ht="12.75" customHeight="1">
      <c r="A1998" s="646">
        <f t="shared" ref="A1998:A2009" si="252">A1997+1</f>
        <v>16</v>
      </c>
      <c r="B1998" s="646" t="s">
        <v>4165</v>
      </c>
      <c r="C1998" s="662" t="s">
        <v>1386</v>
      </c>
      <c r="D1998" s="662">
        <v>800000</v>
      </c>
      <c r="E1998" s="662">
        <v>800000</v>
      </c>
      <c r="F1998" s="647">
        <f t="shared" si="251"/>
        <v>1600000</v>
      </c>
      <c r="G1998" s="662"/>
      <c r="H1998" s="662">
        <v>800000</v>
      </c>
      <c r="I1998" s="662">
        <v>0</v>
      </c>
      <c r="J1998" s="391"/>
    </row>
    <row r="1999" spans="1:10" ht="12.75" customHeight="1">
      <c r="A1999" s="646">
        <f t="shared" si="252"/>
        <v>17</v>
      </c>
      <c r="B1999" s="646" t="s">
        <v>24</v>
      </c>
      <c r="C1999" s="662" t="s">
        <v>1386</v>
      </c>
      <c r="D1999" s="662">
        <v>2000000</v>
      </c>
      <c r="E1999" s="662">
        <v>2000000</v>
      </c>
      <c r="F1999" s="647">
        <f t="shared" si="251"/>
        <v>4000000</v>
      </c>
      <c r="G1999" s="662"/>
      <c r="H1999" s="662">
        <v>2000000</v>
      </c>
      <c r="I1999" s="662">
        <v>0</v>
      </c>
      <c r="J1999" s="391"/>
    </row>
    <row r="2000" spans="1:10" ht="12.75" customHeight="1">
      <c r="A2000" s="646">
        <f t="shared" si="252"/>
        <v>18</v>
      </c>
      <c r="B2000" s="646" t="s">
        <v>4163</v>
      </c>
      <c r="C2000" s="662" t="s">
        <v>1386</v>
      </c>
      <c r="D2000" s="662">
        <v>2000000</v>
      </c>
      <c r="E2000" s="662">
        <v>2000000</v>
      </c>
      <c r="F2000" s="647">
        <f t="shared" si="251"/>
        <v>4000000</v>
      </c>
      <c r="G2000" s="662"/>
      <c r="H2000" s="662">
        <v>2000000</v>
      </c>
      <c r="I2000" s="662">
        <v>0</v>
      </c>
      <c r="J2000" s="391"/>
    </row>
    <row r="2001" spans="1:11" ht="12.75" customHeight="1">
      <c r="A2001" s="646">
        <f t="shared" si="252"/>
        <v>19</v>
      </c>
      <c r="B2001" s="646" t="s">
        <v>4162</v>
      </c>
      <c r="C2001" s="662" t="s">
        <v>1386</v>
      </c>
      <c r="D2001" s="662">
        <v>1500000</v>
      </c>
      <c r="E2001" s="662">
        <v>1500000</v>
      </c>
      <c r="F2001" s="647">
        <f t="shared" si="251"/>
        <v>3000000</v>
      </c>
      <c r="G2001" s="662"/>
      <c r="H2001" s="662">
        <v>1500000</v>
      </c>
      <c r="I2001" s="662">
        <v>0</v>
      </c>
      <c r="J2001" s="391"/>
    </row>
    <row r="2002" spans="1:11" ht="12.75" customHeight="1">
      <c r="A2002" s="646">
        <f t="shared" si="252"/>
        <v>20</v>
      </c>
      <c r="B2002" s="646" t="s">
        <v>4161</v>
      </c>
      <c r="C2002" s="662" t="s">
        <v>1386</v>
      </c>
      <c r="D2002" s="662">
        <v>1500000</v>
      </c>
      <c r="E2002" s="662">
        <v>1500000</v>
      </c>
      <c r="F2002" s="647">
        <f t="shared" si="251"/>
        <v>3000000</v>
      </c>
      <c r="G2002" s="662"/>
      <c r="H2002" s="662">
        <v>1500000</v>
      </c>
      <c r="I2002" s="662">
        <v>0</v>
      </c>
      <c r="J2002" s="391"/>
    </row>
    <row r="2003" spans="1:11" ht="12.75" customHeight="1">
      <c r="A2003" s="646">
        <f t="shared" si="252"/>
        <v>21</v>
      </c>
      <c r="B2003" s="646" t="s">
        <v>4164</v>
      </c>
      <c r="C2003" s="641">
        <v>3000000</v>
      </c>
      <c r="D2003" s="641">
        <v>3000000</v>
      </c>
      <c r="E2003" s="641">
        <v>3000000</v>
      </c>
      <c r="F2003" s="647">
        <f t="shared" si="251"/>
        <v>9000000</v>
      </c>
      <c r="G2003" s="641"/>
      <c r="H2003" s="641">
        <v>3000000</v>
      </c>
      <c r="I2003" s="662">
        <v>235000</v>
      </c>
      <c r="J2003" s="391"/>
    </row>
    <row r="2004" spans="1:11" ht="12.75" customHeight="1">
      <c r="A2004" s="646">
        <f t="shared" si="252"/>
        <v>22</v>
      </c>
      <c r="B2004" s="646" t="s">
        <v>4166</v>
      </c>
      <c r="C2004" s="641">
        <v>1500000</v>
      </c>
      <c r="D2004" s="641">
        <v>1500000</v>
      </c>
      <c r="E2004" s="641">
        <v>1500000</v>
      </c>
      <c r="F2004" s="647">
        <f t="shared" si="251"/>
        <v>4500000</v>
      </c>
      <c r="G2004" s="641"/>
      <c r="H2004" s="641">
        <v>1500000</v>
      </c>
      <c r="I2004" s="662">
        <v>87750</v>
      </c>
      <c r="J2004" s="391"/>
    </row>
    <row r="2005" spans="1:11" ht="12.75" customHeight="1">
      <c r="A2005" s="646">
        <f t="shared" si="252"/>
        <v>23</v>
      </c>
      <c r="B2005" s="646" t="s">
        <v>353</v>
      </c>
      <c r="C2005" s="641">
        <v>17000000</v>
      </c>
      <c r="D2005" s="641">
        <v>17000000</v>
      </c>
      <c r="E2005" s="641">
        <v>17000000</v>
      </c>
      <c r="F2005" s="647">
        <f t="shared" si="251"/>
        <v>51000000</v>
      </c>
      <c r="G2005" s="641"/>
      <c r="H2005" s="641">
        <v>3500000</v>
      </c>
      <c r="I2005" s="641">
        <v>10645694</v>
      </c>
      <c r="J2005" s="391"/>
    </row>
    <row r="2006" spans="1:11" ht="12.75" customHeight="1">
      <c r="A2006" s="646">
        <f t="shared" si="252"/>
        <v>24</v>
      </c>
      <c r="B2006" s="646" t="s">
        <v>4167</v>
      </c>
      <c r="C2006" s="641">
        <v>25000000</v>
      </c>
      <c r="D2006" s="641">
        <v>25000000</v>
      </c>
      <c r="E2006" s="641">
        <v>25000000</v>
      </c>
      <c r="F2006" s="647">
        <f t="shared" si="251"/>
        <v>75000000</v>
      </c>
      <c r="G2006" s="641"/>
      <c r="H2006" s="641">
        <v>25000000</v>
      </c>
      <c r="I2006" s="641">
        <v>18710550</v>
      </c>
      <c r="J2006" s="391"/>
    </row>
    <row r="2007" spans="1:11" ht="12.75" customHeight="1">
      <c r="A2007" s="646">
        <f t="shared" si="252"/>
        <v>25</v>
      </c>
      <c r="B2007" s="646" t="s">
        <v>4168</v>
      </c>
      <c r="C2007" s="641" t="s">
        <v>1386</v>
      </c>
      <c r="D2007" s="641" t="s">
        <v>1386</v>
      </c>
      <c r="E2007" s="641" t="s">
        <v>1386</v>
      </c>
      <c r="F2007" s="647">
        <f t="shared" si="251"/>
        <v>0</v>
      </c>
      <c r="G2007" s="641"/>
      <c r="H2007" s="641">
        <v>800000</v>
      </c>
      <c r="I2007" s="641">
        <v>0</v>
      </c>
      <c r="J2007" s="391"/>
    </row>
    <row r="2008" spans="1:11" ht="12.75" customHeight="1">
      <c r="A2008" s="646">
        <f t="shared" si="252"/>
        <v>26</v>
      </c>
      <c r="B2008" s="646" t="s">
        <v>4169</v>
      </c>
      <c r="C2008" s="641">
        <v>38000000</v>
      </c>
      <c r="D2008" s="641">
        <v>38000000</v>
      </c>
      <c r="E2008" s="641">
        <v>38000000</v>
      </c>
      <c r="F2008" s="647">
        <f t="shared" si="251"/>
        <v>114000000</v>
      </c>
      <c r="G2008" s="641"/>
      <c r="H2008" s="641">
        <f>28000000-1124000</f>
        <v>26876000</v>
      </c>
      <c r="I2008" s="641">
        <v>30825000</v>
      </c>
      <c r="J2008" s="391"/>
    </row>
    <row r="2009" spans="1:11" ht="12.75" customHeight="1">
      <c r="A2009" s="646">
        <f t="shared" si="252"/>
        <v>27</v>
      </c>
      <c r="B2009" s="646" t="s">
        <v>4170</v>
      </c>
      <c r="C2009" s="641">
        <v>800000</v>
      </c>
      <c r="D2009" s="641">
        <v>800000</v>
      </c>
      <c r="E2009" s="641">
        <v>800000</v>
      </c>
      <c r="F2009" s="647">
        <f t="shared" si="251"/>
        <v>2400000</v>
      </c>
      <c r="G2009" s="641"/>
      <c r="H2009" s="641">
        <v>3500000</v>
      </c>
      <c r="I2009" s="641">
        <v>1100000</v>
      </c>
      <c r="J2009" s="391"/>
    </row>
    <row r="2010" spans="1:11" ht="12.75" customHeight="1">
      <c r="A2010" s="646"/>
      <c r="B2010" s="646"/>
      <c r="C2010" s="641"/>
      <c r="D2010" s="641"/>
      <c r="E2010" s="641"/>
      <c r="F2010" s="647">
        <f t="shared" si="251"/>
        <v>0</v>
      </c>
      <c r="G2010" s="641"/>
      <c r="H2010" s="641"/>
      <c r="I2010" s="641"/>
      <c r="J2010" s="391"/>
    </row>
    <row r="2011" spans="1:11" ht="12.75" customHeight="1">
      <c r="A2011" s="646" t="s">
        <v>3391</v>
      </c>
      <c r="B2011" s="651" t="s">
        <v>819</v>
      </c>
      <c r="C2011" s="652">
        <f t="shared" ref="C2011:I2011" si="253">SUM(C1984:C2010)</f>
        <v>114400000</v>
      </c>
      <c r="D2011" s="652">
        <f t="shared" si="253"/>
        <v>115312000</v>
      </c>
      <c r="E2011" s="652">
        <f t="shared" si="253"/>
        <v>123312000</v>
      </c>
      <c r="F2011" s="652">
        <f t="shared" si="253"/>
        <v>353024000</v>
      </c>
      <c r="G2011" s="652">
        <f t="shared" si="253"/>
        <v>1892510.17</v>
      </c>
      <c r="H2011" s="652">
        <f>SUM(H1984:H2010)</f>
        <v>123676000</v>
      </c>
      <c r="I2011" s="652">
        <f t="shared" si="253"/>
        <v>103668072.40000001</v>
      </c>
      <c r="J2011" s="391"/>
      <c r="K2011" s="657">
        <f>123676000-H2011</f>
        <v>0</v>
      </c>
    </row>
    <row r="2012" spans="1:11" ht="12.75" customHeight="1">
      <c r="A2012" s="646"/>
      <c r="B2012" s="646"/>
      <c r="C2012" s="641"/>
      <c r="D2012" s="641"/>
      <c r="E2012" s="641"/>
      <c r="F2012" s="641"/>
      <c r="G2012" s="641"/>
      <c r="H2012" s="641"/>
      <c r="I2012" s="641"/>
      <c r="J2012" s="391"/>
    </row>
    <row r="2013" spans="1:11" ht="12.75" customHeight="1">
      <c r="A2013" s="653"/>
      <c r="B2013" s="653" t="s">
        <v>1684</v>
      </c>
      <c r="C2013" s="645">
        <f t="shared" ref="C2013:I2013" si="254">+C2011+C1982</f>
        <v>791400000</v>
      </c>
      <c r="D2013" s="645">
        <f t="shared" si="254"/>
        <v>565312000</v>
      </c>
      <c r="E2013" s="645">
        <f t="shared" si="254"/>
        <v>593312000</v>
      </c>
      <c r="F2013" s="645">
        <f t="shared" si="254"/>
        <v>1950024000</v>
      </c>
      <c r="G2013" s="645">
        <f t="shared" si="254"/>
        <v>1892510.17</v>
      </c>
      <c r="H2013" s="645">
        <f>+H2011+H1982</f>
        <v>593676000</v>
      </c>
      <c r="I2013" s="645" t="e">
        <f t="shared" si="254"/>
        <v>#REF!</v>
      </c>
      <c r="J2013" s="391"/>
    </row>
    <row r="2014" spans="1:11" ht="12.75" customHeight="1">
      <c r="A2014" s="391"/>
      <c r="B2014" s="391"/>
      <c r="C2014" s="647"/>
      <c r="D2014" s="647"/>
      <c r="E2014" s="647"/>
      <c r="F2014" s="647"/>
      <c r="G2014" s="647"/>
      <c r="H2014" s="647"/>
      <c r="I2014" s="391"/>
      <c r="J2014" s="391"/>
    </row>
    <row r="2015" spans="1:11" ht="12.75" customHeight="1">
      <c r="A2015" s="391"/>
      <c r="B2015" s="391"/>
      <c r="C2015" s="647"/>
      <c r="D2015" s="308" t="s">
        <v>5434</v>
      </c>
      <c r="E2015" s="647"/>
      <c r="F2015" s="647"/>
      <c r="H2015" s="647"/>
      <c r="I2015" s="391"/>
      <c r="J2015" s="391"/>
    </row>
    <row r="2016" spans="1:11" ht="12.75" customHeight="1">
      <c r="A2016" s="655"/>
      <c r="B2016" s="633"/>
      <c r="C2016" s="655"/>
      <c r="D2016" s="308" t="s">
        <v>716</v>
      </c>
      <c r="E2016" s="655"/>
      <c r="F2016" s="647"/>
      <c r="H2016" s="655"/>
      <c r="I2016" s="391"/>
      <c r="J2016" s="391"/>
    </row>
    <row r="2017" spans="1:10" ht="12.75" customHeight="1">
      <c r="A2017" s="655"/>
      <c r="B2017" s="633"/>
      <c r="C2017" s="655"/>
      <c r="D2017" s="308" t="s">
        <v>95</v>
      </c>
      <c r="E2017" s="655"/>
      <c r="F2017" s="647"/>
      <c r="H2017" s="655"/>
      <c r="I2017" s="391"/>
      <c r="J2017" s="391"/>
    </row>
    <row r="2018" spans="1:10" ht="12.75" customHeight="1">
      <c r="A2018" s="655"/>
      <c r="B2018" s="655"/>
      <c r="C2018" s="655"/>
      <c r="D2018" s="307" t="s">
        <v>96</v>
      </c>
      <c r="E2018" s="655"/>
      <c r="F2018" s="647"/>
      <c r="H2018" s="655"/>
      <c r="I2018" s="391"/>
      <c r="J2018" s="391"/>
    </row>
    <row r="2019" spans="1:10" ht="12.75" customHeight="1">
      <c r="A2019" s="634" t="s">
        <v>1839</v>
      </c>
      <c r="B2019" s="635" t="s">
        <v>903</v>
      </c>
      <c r="C2019" s="1037" t="s">
        <v>4127</v>
      </c>
      <c r="D2019" s="1038"/>
      <c r="E2019" s="1039"/>
      <c r="F2019" s="635" t="s">
        <v>1684</v>
      </c>
      <c r="G2019" s="1037" t="s">
        <v>4132</v>
      </c>
      <c r="H2019" s="1038"/>
      <c r="I2019" s="1039"/>
      <c r="J2019" s="391"/>
    </row>
    <row r="2020" spans="1:10" ht="12.75" customHeight="1">
      <c r="A2020" s="636" t="s">
        <v>1620</v>
      </c>
      <c r="B2020" s="637"/>
      <c r="C2020" s="635" t="s">
        <v>1841</v>
      </c>
      <c r="D2020" s="635" t="s">
        <v>4133</v>
      </c>
      <c r="E2020" s="635" t="s">
        <v>4133</v>
      </c>
      <c r="F2020" s="1056" t="s">
        <v>4200</v>
      </c>
      <c r="G2020" s="1051" t="s">
        <v>4201</v>
      </c>
      <c r="H2020" s="635" t="s">
        <v>1841</v>
      </c>
      <c r="I2020" s="634" t="s">
        <v>4135</v>
      </c>
      <c r="J2020" s="391"/>
    </row>
    <row r="2021" spans="1:10" ht="12.75" customHeight="1">
      <c r="A2021" s="638" t="s">
        <v>387</v>
      </c>
      <c r="B2021" s="639"/>
      <c r="C2021" s="638">
        <v>2015</v>
      </c>
      <c r="D2021" s="638">
        <v>2016</v>
      </c>
      <c r="E2021" s="638">
        <v>2017</v>
      </c>
      <c r="F2021" s="1057"/>
      <c r="G2021" s="1052"/>
      <c r="H2021" s="638">
        <v>2014</v>
      </c>
      <c r="I2021" s="638" t="s">
        <v>4303</v>
      </c>
      <c r="J2021" s="391"/>
    </row>
    <row r="2022" spans="1:10" ht="12.75" customHeight="1">
      <c r="A2022" s="646" t="s">
        <v>3390</v>
      </c>
      <c r="B2022" s="646" t="s">
        <v>1693</v>
      </c>
      <c r="C2022" s="662">
        <f>E2022*1.02</f>
        <v>0</v>
      </c>
      <c r="D2022" s="662">
        <v>0</v>
      </c>
      <c r="E2022" s="662">
        <v>0</v>
      </c>
      <c r="F2022" s="647">
        <f>SUM(C2022:E2022)</f>
        <v>0</v>
      </c>
      <c r="G2022" s="662">
        <v>0</v>
      </c>
      <c r="H2022" s="662">
        <v>0</v>
      </c>
      <c r="I2022" s="662" t="e">
        <f>#REF!</f>
        <v>#REF!</v>
      </c>
      <c r="J2022" s="391"/>
    </row>
    <row r="2023" spans="1:10" ht="12.75" customHeight="1">
      <c r="A2023" s="646"/>
      <c r="B2023" s="646"/>
      <c r="C2023" s="662"/>
      <c r="D2023" s="662"/>
      <c r="E2023" s="662"/>
      <c r="F2023" s="647"/>
      <c r="G2023" s="641"/>
      <c r="H2023" s="662"/>
      <c r="I2023" s="641"/>
      <c r="J2023" s="391"/>
    </row>
    <row r="2024" spans="1:10" ht="12.75" customHeight="1">
      <c r="A2024" s="646">
        <v>2</v>
      </c>
      <c r="B2024" s="646" t="s">
        <v>1695</v>
      </c>
      <c r="C2024" s="662">
        <v>1000000</v>
      </c>
      <c r="D2024" s="662">
        <v>1000000</v>
      </c>
      <c r="E2024" s="662">
        <v>1000000</v>
      </c>
      <c r="F2024" s="647">
        <f t="shared" ref="F2024:F2039" si="255">SUM(C2024:E2024)</f>
        <v>3000000</v>
      </c>
      <c r="G2024" s="662">
        <v>450000</v>
      </c>
      <c r="H2024" s="662">
        <v>2121600</v>
      </c>
      <c r="I2024" s="662"/>
      <c r="J2024" s="391"/>
    </row>
    <row r="2025" spans="1:10" ht="12.75" customHeight="1">
      <c r="A2025" s="646">
        <f>A2024+1</f>
        <v>3</v>
      </c>
      <c r="B2025" s="646" t="s">
        <v>1696</v>
      </c>
      <c r="C2025" s="641" t="s">
        <v>1386</v>
      </c>
      <c r="D2025" s="641" t="s">
        <v>1386</v>
      </c>
      <c r="E2025" s="641" t="s">
        <v>1386</v>
      </c>
      <c r="F2025" s="647">
        <f t="shared" si="255"/>
        <v>0</v>
      </c>
      <c r="G2025" s="641" t="s">
        <v>1386</v>
      </c>
      <c r="H2025" s="641" t="s">
        <v>1386</v>
      </c>
      <c r="I2025" s="641"/>
      <c r="J2025" s="391"/>
    </row>
    <row r="2026" spans="1:10" ht="12.75" customHeight="1">
      <c r="A2026" s="646">
        <v>4</v>
      </c>
      <c r="B2026" s="646" t="s">
        <v>1701</v>
      </c>
      <c r="C2026" s="641" t="s">
        <v>1386</v>
      </c>
      <c r="D2026" s="641" t="s">
        <v>1386</v>
      </c>
      <c r="E2026" s="641" t="s">
        <v>1386</v>
      </c>
      <c r="F2026" s="647">
        <f t="shared" si="255"/>
        <v>0</v>
      </c>
      <c r="G2026" s="641" t="s">
        <v>1386</v>
      </c>
      <c r="H2026" s="641" t="s">
        <v>1386</v>
      </c>
      <c r="I2026" s="641"/>
      <c r="J2026" s="391"/>
    </row>
    <row r="2027" spans="1:10" ht="12.75" customHeight="1">
      <c r="A2027" s="646">
        <v>5</v>
      </c>
      <c r="B2027" s="646" t="s">
        <v>1702</v>
      </c>
      <c r="C2027" s="662">
        <v>500000</v>
      </c>
      <c r="D2027" s="662">
        <v>500000</v>
      </c>
      <c r="E2027" s="680">
        <v>500000</v>
      </c>
      <c r="F2027" s="647">
        <f t="shared" si="255"/>
        <v>1500000</v>
      </c>
      <c r="G2027" s="662">
        <v>325000</v>
      </c>
      <c r="H2027" s="662">
        <v>530400</v>
      </c>
      <c r="I2027" s="662"/>
      <c r="J2027" s="391"/>
    </row>
    <row r="2028" spans="1:10" ht="12.75" customHeight="1">
      <c r="A2028" s="646">
        <f>A2027+1</f>
        <v>6</v>
      </c>
      <c r="B2028" s="646" t="s">
        <v>1544</v>
      </c>
      <c r="C2028" s="662">
        <v>500000</v>
      </c>
      <c r="D2028" s="662">
        <v>500000</v>
      </c>
      <c r="E2028" s="681">
        <v>500000</v>
      </c>
      <c r="F2028" s="647">
        <f t="shared" si="255"/>
        <v>1500000</v>
      </c>
      <c r="G2028" s="662">
        <v>150000</v>
      </c>
      <c r="H2028" s="662">
        <v>530400</v>
      </c>
      <c r="I2028" s="662"/>
      <c r="J2028" s="391"/>
    </row>
    <row r="2029" spans="1:10" ht="12.75" customHeight="1">
      <c r="A2029" s="646">
        <f>A2028+1</f>
        <v>7</v>
      </c>
      <c r="B2029" s="646" t="s">
        <v>897</v>
      </c>
      <c r="C2029" s="662">
        <v>600000</v>
      </c>
      <c r="D2029" s="662">
        <v>800000</v>
      </c>
      <c r="E2029" s="681">
        <v>800000</v>
      </c>
      <c r="F2029" s="647">
        <f t="shared" si="255"/>
        <v>2200000</v>
      </c>
      <c r="G2029" s="679">
        <v>135000</v>
      </c>
      <c r="H2029" s="662">
        <v>3182400</v>
      </c>
      <c r="I2029" s="679"/>
      <c r="J2029" s="391"/>
    </row>
    <row r="2030" spans="1:10" ht="12.75" customHeight="1">
      <c r="A2030" s="646">
        <v>8</v>
      </c>
      <c r="B2030" s="646" t="s">
        <v>1385</v>
      </c>
      <c r="C2030" s="641" t="s">
        <v>1386</v>
      </c>
      <c r="D2030" s="641" t="s">
        <v>1386</v>
      </c>
      <c r="E2030" s="677" t="s">
        <v>4297</v>
      </c>
      <c r="F2030" s="647">
        <f t="shared" si="255"/>
        <v>0</v>
      </c>
      <c r="G2030" s="641" t="s">
        <v>1386</v>
      </c>
      <c r="H2030" s="641" t="s">
        <v>1386</v>
      </c>
      <c r="I2030" s="641"/>
      <c r="J2030" s="391"/>
    </row>
    <row r="2031" spans="1:10" ht="12.75" customHeight="1">
      <c r="A2031" s="646">
        <v>9</v>
      </c>
      <c r="B2031" s="646" t="s">
        <v>755</v>
      </c>
      <c r="C2031" s="641" t="s">
        <v>1386</v>
      </c>
      <c r="D2031" s="641" t="s">
        <v>1386</v>
      </c>
      <c r="E2031" s="677" t="s">
        <v>4297</v>
      </c>
      <c r="F2031" s="647">
        <f t="shared" si="255"/>
        <v>0</v>
      </c>
      <c r="G2031" s="641" t="s">
        <v>1386</v>
      </c>
      <c r="H2031" s="641" t="s">
        <v>1386</v>
      </c>
      <c r="I2031" s="641"/>
      <c r="J2031" s="391"/>
    </row>
    <row r="2032" spans="1:10" ht="12.75" customHeight="1">
      <c r="A2032" s="646">
        <v>10</v>
      </c>
      <c r="B2032" s="646" t="s">
        <v>1680</v>
      </c>
      <c r="C2032" s="662">
        <v>200000</v>
      </c>
      <c r="D2032" s="662">
        <v>500000</v>
      </c>
      <c r="E2032" s="681">
        <v>500000</v>
      </c>
      <c r="F2032" s="647">
        <f t="shared" si="255"/>
        <v>1200000</v>
      </c>
      <c r="G2032" s="662">
        <v>0</v>
      </c>
      <c r="H2032" s="662">
        <v>3182400</v>
      </c>
      <c r="I2032" s="662"/>
      <c r="J2032" s="391"/>
    </row>
    <row r="2033" spans="1:11" ht="12.75" customHeight="1">
      <c r="A2033" s="646">
        <f t="shared" ref="A2033:A2039" si="256">A2032+1</f>
        <v>11</v>
      </c>
      <c r="B2033" s="646" t="s">
        <v>1681</v>
      </c>
      <c r="C2033" s="662">
        <v>100000</v>
      </c>
      <c r="D2033" s="662">
        <v>100000</v>
      </c>
      <c r="E2033" s="681">
        <v>100000</v>
      </c>
      <c r="F2033" s="647">
        <f t="shared" si="255"/>
        <v>300000</v>
      </c>
      <c r="G2033" s="662">
        <v>0</v>
      </c>
      <c r="H2033" s="662">
        <v>106080</v>
      </c>
      <c r="I2033" s="662"/>
      <c r="J2033" s="391"/>
    </row>
    <row r="2034" spans="1:11" ht="12.75" customHeight="1">
      <c r="A2034" s="646">
        <f t="shared" si="256"/>
        <v>12</v>
      </c>
      <c r="B2034" s="646" t="s">
        <v>1682</v>
      </c>
      <c r="C2034" s="662">
        <v>1000000</v>
      </c>
      <c r="D2034" s="662">
        <v>800000</v>
      </c>
      <c r="E2034" s="681">
        <v>800000</v>
      </c>
      <c r="F2034" s="647">
        <f t="shared" si="255"/>
        <v>2600000</v>
      </c>
      <c r="G2034" s="662">
        <v>650000</v>
      </c>
      <c r="H2034" s="662">
        <f>3500640-405600</f>
        <v>3095040</v>
      </c>
      <c r="I2034" s="662"/>
      <c r="J2034" s="391"/>
    </row>
    <row r="2035" spans="1:11" ht="12.75" customHeight="1">
      <c r="A2035" s="646">
        <f t="shared" si="256"/>
        <v>13</v>
      </c>
      <c r="B2035" s="646" t="s">
        <v>2249</v>
      </c>
      <c r="C2035" s="662">
        <v>100000</v>
      </c>
      <c r="D2035" s="662">
        <v>100000</v>
      </c>
      <c r="E2035" s="681">
        <v>100000</v>
      </c>
      <c r="F2035" s="647">
        <f t="shared" si="255"/>
        <v>300000</v>
      </c>
      <c r="G2035" s="662">
        <v>0</v>
      </c>
      <c r="H2035" s="662">
        <v>106080</v>
      </c>
      <c r="I2035" s="662"/>
      <c r="J2035" s="391"/>
    </row>
    <row r="2036" spans="1:11" ht="12.75" customHeight="1">
      <c r="A2036" s="646">
        <f t="shared" si="256"/>
        <v>14</v>
      </c>
      <c r="B2036" s="646" t="s">
        <v>1683</v>
      </c>
      <c r="C2036" s="662">
        <v>200000</v>
      </c>
      <c r="D2036" s="662">
        <v>700000</v>
      </c>
      <c r="E2036" s="681">
        <v>700000</v>
      </c>
      <c r="F2036" s="647">
        <f t="shared" si="255"/>
        <v>1600000</v>
      </c>
      <c r="G2036" s="662">
        <v>0</v>
      </c>
      <c r="H2036" s="662">
        <v>2121600</v>
      </c>
      <c r="I2036" s="662"/>
      <c r="J2036" s="391"/>
    </row>
    <row r="2037" spans="1:11" ht="27.75" customHeight="1">
      <c r="A2037" s="682">
        <f t="shared" si="256"/>
        <v>15</v>
      </c>
      <c r="B2037" s="682" t="s">
        <v>97</v>
      </c>
      <c r="C2037" s="683" t="s">
        <v>3007</v>
      </c>
      <c r="D2037" s="683">
        <v>1000000</v>
      </c>
      <c r="E2037" s="684">
        <v>1000000</v>
      </c>
      <c r="F2037" s="647">
        <f t="shared" si="255"/>
        <v>2000000</v>
      </c>
      <c r="G2037" s="683">
        <v>0</v>
      </c>
      <c r="H2037" s="683">
        <v>5304000</v>
      </c>
      <c r="I2037" s="683"/>
      <c r="J2037" s="391"/>
    </row>
    <row r="2038" spans="1:11" ht="12.75" customHeight="1">
      <c r="A2038" s="646">
        <f t="shared" si="256"/>
        <v>16</v>
      </c>
      <c r="B2038" s="646" t="s">
        <v>181</v>
      </c>
      <c r="C2038" s="641"/>
      <c r="D2038" s="641"/>
      <c r="E2038" s="641"/>
      <c r="F2038" s="647">
        <f t="shared" si="255"/>
        <v>0</v>
      </c>
      <c r="G2038" s="641">
        <v>0</v>
      </c>
      <c r="H2038" s="641"/>
      <c r="I2038" s="641"/>
      <c r="J2038" s="391"/>
    </row>
    <row r="2039" spans="1:11" ht="12.75" customHeight="1">
      <c r="A2039" s="646">
        <f t="shared" si="256"/>
        <v>17</v>
      </c>
      <c r="B2039" s="646" t="s">
        <v>182</v>
      </c>
      <c r="C2039" s="641"/>
      <c r="D2039" s="641"/>
      <c r="E2039" s="641"/>
      <c r="F2039" s="647">
        <f t="shared" si="255"/>
        <v>0</v>
      </c>
      <c r="G2039" s="641">
        <v>0</v>
      </c>
      <c r="H2039" s="641"/>
      <c r="I2039" s="641"/>
      <c r="J2039" s="391"/>
    </row>
    <row r="2040" spans="1:11" ht="12.75" customHeight="1">
      <c r="A2040" s="646" t="s">
        <v>3391</v>
      </c>
      <c r="B2040" s="651" t="s">
        <v>819</v>
      </c>
      <c r="C2040" s="652">
        <f t="shared" ref="C2040:I2040" si="257">SUM(C2024:C2039)</f>
        <v>4200000</v>
      </c>
      <c r="D2040" s="652">
        <f t="shared" si="257"/>
        <v>6000000</v>
      </c>
      <c r="E2040" s="652">
        <f t="shared" si="257"/>
        <v>6000000</v>
      </c>
      <c r="F2040" s="652">
        <f t="shared" si="257"/>
        <v>16200000</v>
      </c>
      <c r="G2040" s="652">
        <f>SUM(G2024:G2039)</f>
        <v>1710000</v>
      </c>
      <c r="H2040" s="652">
        <f>SUM(H2024:H2039)</f>
        <v>20280000</v>
      </c>
      <c r="I2040" s="652">
        <f t="shared" si="257"/>
        <v>0</v>
      </c>
      <c r="J2040" s="391"/>
      <c r="K2040" s="657">
        <f>20280000-H2040</f>
        <v>0</v>
      </c>
    </row>
    <row r="2041" spans="1:11" ht="12.75" customHeight="1">
      <c r="A2041" s="646"/>
      <c r="B2041" s="646"/>
      <c r="C2041" s="641"/>
      <c r="D2041" s="641"/>
      <c r="E2041" s="641"/>
      <c r="F2041" s="641"/>
      <c r="G2041" s="641"/>
      <c r="H2041" s="641"/>
      <c r="I2041" s="641"/>
      <c r="J2041" s="391"/>
    </row>
    <row r="2042" spans="1:11" ht="12.75" customHeight="1">
      <c r="A2042" s="653"/>
      <c r="B2042" s="653" t="s">
        <v>1684</v>
      </c>
      <c r="C2042" s="645">
        <f t="shared" ref="C2042:I2042" si="258">+C2040+C2022</f>
        <v>4200000</v>
      </c>
      <c r="D2042" s="645">
        <f t="shared" si="258"/>
        <v>6000000</v>
      </c>
      <c r="E2042" s="645">
        <f t="shared" si="258"/>
        <v>6000000</v>
      </c>
      <c r="F2042" s="645">
        <f t="shared" si="258"/>
        <v>16200000</v>
      </c>
      <c r="G2042" s="645">
        <f t="shared" si="258"/>
        <v>1710000</v>
      </c>
      <c r="H2042" s="645">
        <f>+H2040+H2022</f>
        <v>20280000</v>
      </c>
      <c r="I2042" s="645" t="e">
        <f t="shared" si="258"/>
        <v>#REF!</v>
      </c>
      <c r="J2042" s="391"/>
    </row>
    <row r="2043" spans="1:11" ht="12.75" customHeight="1">
      <c r="A2043" s="391"/>
      <c r="B2043" s="391"/>
      <c r="C2043" s="647"/>
      <c r="D2043" s="647"/>
      <c r="E2043" s="647"/>
      <c r="F2043" s="647"/>
      <c r="G2043" s="647"/>
      <c r="H2043" s="647"/>
      <c r="I2043" s="391"/>
      <c r="J2043" s="391"/>
    </row>
    <row r="2044" spans="1:11" ht="12.75" customHeight="1">
      <c r="A2044" s="391"/>
      <c r="B2044" s="391"/>
      <c r="C2044" s="647"/>
      <c r="D2044" s="308" t="s">
        <v>5434</v>
      </c>
      <c r="E2044" s="647"/>
      <c r="F2044" s="647"/>
      <c r="H2044" s="647"/>
      <c r="I2044" s="391"/>
      <c r="J2044" s="391"/>
    </row>
    <row r="2045" spans="1:11" ht="12.75" customHeight="1">
      <c r="A2045" s="655"/>
      <c r="B2045" s="633"/>
      <c r="C2045" s="655"/>
      <c r="D2045" s="308" t="s">
        <v>716</v>
      </c>
      <c r="E2045" s="655"/>
      <c r="F2045" s="647"/>
      <c r="H2045" s="655"/>
      <c r="I2045" s="391"/>
      <c r="J2045" s="391"/>
    </row>
    <row r="2046" spans="1:11" ht="12.75" customHeight="1">
      <c r="A2046" s="655"/>
      <c r="B2046" s="633"/>
      <c r="C2046" s="655"/>
      <c r="D2046" s="308" t="s">
        <v>183</v>
      </c>
      <c r="E2046" s="655"/>
      <c r="F2046" s="647"/>
      <c r="H2046" s="655"/>
      <c r="I2046" s="391"/>
      <c r="J2046" s="391"/>
    </row>
    <row r="2047" spans="1:11" ht="12.75" customHeight="1">
      <c r="A2047" s="655"/>
      <c r="B2047" s="655"/>
      <c r="C2047" s="655"/>
      <c r="D2047" s="307" t="s">
        <v>184</v>
      </c>
      <c r="E2047" s="655"/>
      <c r="F2047" s="647"/>
      <c r="H2047" s="655"/>
      <c r="I2047" s="391"/>
      <c r="J2047" s="391"/>
    </row>
    <row r="2048" spans="1:11" ht="12.75" customHeight="1">
      <c r="A2048" s="634" t="s">
        <v>1839</v>
      </c>
      <c r="B2048" s="635" t="s">
        <v>903</v>
      </c>
      <c r="C2048" s="1037" t="s">
        <v>4127</v>
      </c>
      <c r="D2048" s="1038"/>
      <c r="E2048" s="1039"/>
      <c r="F2048" s="635" t="s">
        <v>1684</v>
      </c>
      <c r="G2048" s="1037" t="s">
        <v>4132</v>
      </c>
      <c r="H2048" s="1038"/>
      <c r="I2048" s="1039"/>
      <c r="J2048" s="391"/>
    </row>
    <row r="2049" spans="1:10" ht="12.75" customHeight="1">
      <c r="A2049" s="636" t="s">
        <v>1620</v>
      </c>
      <c r="B2049" s="637"/>
      <c r="C2049" s="635" t="s">
        <v>1841</v>
      </c>
      <c r="D2049" s="635" t="s">
        <v>4133</v>
      </c>
      <c r="E2049" s="635" t="s">
        <v>4133</v>
      </c>
      <c r="F2049" s="1056" t="s">
        <v>4200</v>
      </c>
      <c r="G2049" s="1051" t="s">
        <v>4201</v>
      </c>
      <c r="H2049" s="635" t="s">
        <v>1841</v>
      </c>
      <c r="I2049" s="634" t="s">
        <v>4135</v>
      </c>
      <c r="J2049" s="391"/>
    </row>
    <row r="2050" spans="1:10" ht="12.75" customHeight="1">
      <c r="A2050" s="638" t="s">
        <v>387</v>
      </c>
      <c r="B2050" s="639"/>
      <c r="C2050" s="638">
        <v>2015</v>
      </c>
      <c r="D2050" s="638">
        <v>2016</v>
      </c>
      <c r="E2050" s="638">
        <v>2017</v>
      </c>
      <c r="F2050" s="1057"/>
      <c r="G2050" s="1052"/>
      <c r="H2050" s="638">
        <v>2014</v>
      </c>
      <c r="I2050" s="638" t="s">
        <v>4303</v>
      </c>
      <c r="J2050" s="391"/>
    </row>
    <row r="2051" spans="1:10" ht="12.75" customHeight="1">
      <c r="A2051" s="646" t="s">
        <v>3390</v>
      </c>
      <c r="B2051" s="646" t="s">
        <v>1693</v>
      </c>
      <c r="C2051" s="662">
        <v>0</v>
      </c>
      <c r="D2051" s="662">
        <v>31200000</v>
      </c>
      <c r="E2051" s="662">
        <v>31200000</v>
      </c>
      <c r="F2051" s="647">
        <f>SUM(C2051:E2051)</f>
        <v>62400000</v>
      </c>
      <c r="G2051" s="662">
        <v>0</v>
      </c>
      <c r="H2051" s="662">
        <v>31200000</v>
      </c>
      <c r="I2051" s="662" t="e">
        <f>#REF!</f>
        <v>#REF!</v>
      </c>
      <c r="J2051" s="391"/>
    </row>
    <row r="2052" spans="1:10" ht="12.75" customHeight="1">
      <c r="A2052" s="646"/>
      <c r="B2052" s="646"/>
      <c r="C2052" s="662"/>
      <c r="D2052" s="662"/>
      <c r="E2052" s="662"/>
      <c r="F2052" s="662"/>
      <c r="G2052" s="641"/>
      <c r="H2052" s="662"/>
      <c r="I2052" s="662"/>
      <c r="J2052" s="391"/>
    </row>
    <row r="2053" spans="1:10" ht="12.75" customHeight="1">
      <c r="A2053" s="646">
        <v>2</v>
      </c>
      <c r="B2053" s="646" t="s">
        <v>1695</v>
      </c>
      <c r="C2053" s="662">
        <v>2000000</v>
      </c>
      <c r="D2053" s="662">
        <v>2000000</v>
      </c>
      <c r="E2053" s="662">
        <v>2000000</v>
      </c>
      <c r="F2053" s="647">
        <f t="shared" ref="F2053:F2073" si="259">SUM(C2053:E2053)</f>
        <v>6000000</v>
      </c>
      <c r="G2053" s="662"/>
      <c r="H2053" s="662">
        <v>2000000</v>
      </c>
      <c r="I2053" s="662"/>
      <c r="J2053" s="391"/>
    </row>
    <row r="2054" spans="1:10" ht="12.75" customHeight="1">
      <c r="A2054" s="646">
        <f>A2053+1</f>
        <v>3</v>
      </c>
      <c r="B2054" s="646" t="s">
        <v>1696</v>
      </c>
      <c r="C2054" s="641" t="s">
        <v>1386</v>
      </c>
      <c r="D2054" s="641" t="s">
        <v>1386</v>
      </c>
      <c r="E2054" s="641" t="s">
        <v>1386</v>
      </c>
      <c r="F2054" s="647">
        <f t="shared" si="259"/>
        <v>0</v>
      </c>
      <c r="G2054" s="662"/>
      <c r="H2054" s="641" t="s">
        <v>1386</v>
      </c>
      <c r="I2054" s="662"/>
      <c r="J2054" s="391"/>
    </row>
    <row r="2055" spans="1:10" ht="12.75" customHeight="1">
      <c r="A2055" s="646">
        <v>4</v>
      </c>
      <c r="B2055" s="646" t="s">
        <v>1701</v>
      </c>
      <c r="C2055" s="641" t="s">
        <v>1386</v>
      </c>
      <c r="D2055" s="641" t="s">
        <v>1386</v>
      </c>
      <c r="E2055" s="641" t="s">
        <v>1386</v>
      </c>
      <c r="F2055" s="647">
        <f t="shared" si="259"/>
        <v>0</v>
      </c>
      <c r="G2055" s="662"/>
      <c r="H2055" s="641" t="s">
        <v>1386</v>
      </c>
      <c r="I2055" s="662"/>
      <c r="J2055" s="391"/>
    </row>
    <row r="2056" spans="1:10" ht="12.75" customHeight="1">
      <c r="A2056" s="646">
        <v>5</v>
      </c>
      <c r="B2056" s="646" t="s">
        <v>1702</v>
      </c>
      <c r="C2056" s="662">
        <v>500000</v>
      </c>
      <c r="D2056" s="662">
        <v>500000</v>
      </c>
      <c r="E2056" s="662">
        <v>500000</v>
      </c>
      <c r="F2056" s="647">
        <f t="shared" si="259"/>
        <v>1500000</v>
      </c>
      <c r="G2056" s="662"/>
      <c r="H2056" s="662">
        <v>500000</v>
      </c>
      <c r="I2056" s="662"/>
      <c r="J2056" s="391"/>
    </row>
    <row r="2057" spans="1:10" ht="12.75" customHeight="1">
      <c r="A2057" s="646">
        <f>A2056+1</f>
        <v>6</v>
      </c>
      <c r="B2057" s="646" t="s">
        <v>1544</v>
      </c>
      <c r="C2057" s="662">
        <v>500000</v>
      </c>
      <c r="D2057" s="662">
        <v>500000</v>
      </c>
      <c r="E2057" s="662">
        <v>500000</v>
      </c>
      <c r="F2057" s="647">
        <f t="shared" si="259"/>
        <v>1500000</v>
      </c>
      <c r="G2057" s="662"/>
      <c r="H2057" s="662">
        <v>500000</v>
      </c>
      <c r="I2057" s="662"/>
      <c r="J2057" s="391"/>
    </row>
    <row r="2058" spans="1:10" ht="12.75" customHeight="1">
      <c r="A2058" s="646">
        <f>A2057+1</f>
        <v>7</v>
      </c>
      <c r="B2058" s="646" t="s">
        <v>897</v>
      </c>
      <c r="C2058" s="662">
        <v>1500000</v>
      </c>
      <c r="D2058" s="662">
        <v>1500000</v>
      </c>
      <c r="E2058" s="662">
        <v>1500000</v>
      </c>
      <c r="F2058" s="647">
        <f t="shared" si="259"/>
        <v>4500000</v>
      </c>
      <c r="G2058" s="679"/>
      <c r="H2058" s="662">
        <v>1500000</v>
      </c>
      <c r="I2058" s="662"/>
      <c r="J2058" s="391"/>
    </row>
    <row r="2059" spans="1:10" ht="12.75" customHeight="1">
      <c r="A2059" s="646">
        <v>8</v>
      </c>
      <c r="B2059" s="646" t="s">
        <v>1385</v>
      </c>
      <c r="C2059" s="641" t="s">
        <v>1386</v>
      </c>
      <c r="D2059" s="641" t="s">
        <v>1386</v>
      </c>
      <c r="E2059" s="641" t="s">
        <v>1386</v>
      </c>
      <c r="F2059" s="647">
        <f t="shared" si="259"/>
        <v>0</v>
      </c>
      <c r="G2059" s="662"/>
      <c r="H2059" s="641" t="s">
        <v>1386</v>
      </c>
      <c r="I2059" s="662"/>
      <c r="J2059" s="391"/>
    </row>
    <row r="2060" spans="1:10" ht="12.75" customHeight="1">
      <c r="A2060" s="646">
        <v>9</v>
      </c>
      <c r="B2060" s="646" t="s">
        <v>755</v>
      </c>
      <c r="C2060" s="641" t="s">
        <v>1386</v>
      </c>
      <c r="D2060" s="641" t="s">
        <v>1386</v>
      </c>
      <c r="E2060" s="641" t="s">
        <v>1386</v>
      </c>
      <c r="F2060" s="647">
        <f t="shared" si="259"/>
        <v>0</v>
      </c>
      <c r="G2060" s="662"/>
      <c r="H2060" s="641" t="s">
        <v>1386</v>
      </c>
      <c r="I2060" s="662"/>
      <c r="J2060" s="391"/>
    </row>
    <row r="2061" spans="1:10" ht="12.75" customHeight="1">
      <c r="A2061" s="646">
        <v>10</v>
      </c>
      <c r="B2061" s="646" t="s">
        <v>1680</v>
      </c>
      <c r="C2061" s="662">
        <v>300000</v>
      </c>
      <c r="D2061" s="662">
        <v>300000</v>
      </c>
      <c r="E2061" s="662">
        <v>520000</v>
      </c>
      <c r="F2061" s="647">
        <f t="shared" si="259"/>
        <v>1120000</v>
      </c>
      <c r="G2061" s="662"/>
      <c r="H2061" s="662">
        <v>300000</v>
      </c>
      <c r="I2061" s="662"/>
      <c r="J2061" s="391"/>
    </row>
    <row r="2062" spans="1:10" ht="12.75" customHeight="1">
      <c r="A2062" s="646">
        <f t="shared" ref="A2062:A2073" si="260">A2061+1</f>
        <v>11</v>
      </c>
      <c r="B2062" s="646" t="s">
        <v>1681</v>
      </c>
      <c r="C2062" s="662">
        <v>100000</v>
      </c>
      <c r="D2062" s="662">
        <v>100000</v>
      </c>
      <c r="E2062" s="662">
        <v>104000</v>
      </c>
      <c r="F2062" s="647">
        <f t="shared" si="259"/>
        <v>304000</v>
      </c>
      <c r="G2062" s="662"/>
      <c r="H2062" s="662">
        <v>100000</v>
      </c>
      <c r="I2062" s="662"/>
      <c r="J2062" s="391"/>
    </row>
    <row r="2063" spans="1:10" ht="12.75" customHeight="1">
      <c r="A2063" s="646">
        <f t="shared" si="260"/>
        <v>12</v>
      </c>
      <c r="B2063" s="646" t="s">
        <v>1682</v>
      </c>
      <c r="C2063" s="662">
        <v>3000000</v>
      </c>
      <c r="D2063" s="662">
        <v>3000000</v>
      </c>
      <c r="E2063" s="662">
        <v>3120000</v>
      </c>
      <c r="F2063" s="647">
        <f t="shared" si="259"/>
        <v>9120000</v>
      </c>
      <c r="G2063" s="662"/>
      <c r="H2063" s="662">
        <v>3000000</v>
      </c>
      <c r="I2063" s="662"/>
      <c r="J2063" s="391"/>
    </row>
    <row r="2064" spans="1:10" ht="12.75" customHeight="1">
      <c r="A2064" s="646">
        <f t="shared" si="260"/>
        <v>13</v>
      </c>
      <c r="B2064" s="646" t="s">
        <v>2249</v>
      </c>
      <c r="C2064" s="662">
        <v>100000</v>
      </c>
      <c r="D2064" s="662">
        <v>100000</v>
      </c>
      <c r="E2064" s="662">
        <v>104000</v>
      </c>
      <c r="F2064" s="647">
        <f t="shared" si="259"/>
        <v>304000</v>
      </c>
      <c r="G2064" s="662"/>
      <c r="H2064" s="662">
        <v>100000</v>
      </c>
      <c r="I2064" s="662"/>
      <c r="J2064" s="391"/>
    </row>
    <row r="2065" spans="1:11" ht="12.75" customHeight="1">
      <c r="A2065" s="646">
        <f t="shared" si="260"/>
        <v>14</v>
      </c>
      <c r="B2065" s="646" t="s">
        <v>1683</v>
      </c>
      <c r="C2065" s="662">
        <v>800000</v>
      </c>
      <c r="D2065" s="662">
        <v>800000</v>
      </c>
      <c r="E2065" s="662">
        <v>832000</v>
      </c>
      <c r="F2065" s="647">
        <f t="shared" si="259"/>
        <v>2432000</v>
      </c>
      <c r="G2065" s="662"/>
      <c r="H2065" s="662">
        <v>800000</v>
      </c>
      <c r="I2065" s="662"/>
      <c r="J2065" s="391"/>
    </row>
    <row r="2066" spans="1:11" ht="13.5" customHeight="1">
      <c r="A2066" s="646">
        <f t="shared" si="260"/>
        <v>15</v>
      </c>
      <c r="B2066" s="682" t="s">
        <v>3508</v>
      </c>
      <c r="C2066" s="683">
        <v>500000</v>
      </c>
      <c r="D2066" s="683">
        <v>500000</v>
      </c>
      <c r="E2066" s="683">
        <v>5200000</v>
      </c>
      <c r="F2066" s="647">
        <f t="shared" si="259"/>
        <v>6200000</v>
      </c>
      <c r="G2066" s="683"/>
      <c r="H2066" s="683">
        <v>500000</v>
      </c>
      <c r="I2066" s="662"/>
      <c r="J2066" s="391"/>
    </row>
    <row r="2067" spans="1:11" ht="12.75" customHeight="1">
      <c r="A2067" s="646">
        <f t="shared" si="260"/>
        <v>16</v>
      </c>
      <c r="B2067" s="646" t="s">
        <v>185</v>
      </c>
      <c r="C2067" s="641">
        <v>200000</v>
      </c>
      <c r="D2067" s="641">
        <v>200000</v>
      </c>
      <c r="E2067" s="641">
        <v>400000</v>
      </c>
      <c r="F2067" s="647">
        <f t="shared" si="259"/>
        <v>800000</v>
      </c>
      <c r="G2067" s="641"/>
      <c r="H2067" s="641">
        <v>200000</v>
      </c>
      <c r="I2067" s="662"/>
      <c r="J2067" s="391"/>
    </row>
    <row r="2068" spans="1:11" ht="12.75" customHeight="1">
      <c r="A2068" s="646">
        <f t="shared" si="260"/>
        <v>17</v>
      </c>
      <c r="B2068" s="646" t="s">
        <v>186</v>
      </c>
      <c r="C2068" s="641">
        <v>300000</v>
      </c>
      <c r="D2068" s="641">
        <v>300000</v>
      </c>
      <c r="E2068" s="641">
        <v>550000</v>
      </c>
      <c r="F2068" s="647">
        <f t="shared" si="259"/>
        <v>1150000</v>
      </c>
      <c r="G2068" s="641"/>
      <c r="H2068" s="641">
        <v>300000</v>
      </c>
      <c r="I2068" s="662"/>
      <c r="J2068" s="391"/>
    </row>
    <row r="2069" spans="1:11" ht="12.75" customHeight="1">
      <c r="A2069" s="646">
        <f t="shared" si="260"/>
        <v>18</v>
      </c>
      <c r="B2069" s="646" t="s">
        <v>1004</v>
      </c>
      <c r="C2069" s="641">
        <v>500000</v>
      </c>
      <c r="D2069" s="641">
        <v>500000</v>
      </c>
      <c r="E2069" s="641">
        <v>700000</v>
      </c>
      <c r="F2069" s="647"/>
      <c r="G2069" s="641"/>
      <c r="H2069" s="641">
        <v>560000</v>
      </c>
      <c r="I2069" s="662"/>
      <c r="J2069" s="391"/>
    </row>
    <row r="2070" spans="1:11" ht="12.75" customHeight="1">
      <c r="A2070" s="646">
        <f t="shared" si="260"/>
        <v>19</v>
      </c>
      <c r="B2070" s="646" t="s">
        <v>187</v>
      </c>
      <c r="C2070" s="641">
        <v>1000000</v>
      </c>
      <c r="D2070" s="641">
        <v>1000000</v>
      </c>
      <c r="E2070" s="641">
        <v>1500000</v>
      </c>
      <c r="F2070" s="647">
        <f t="shared" si="259"/>
        <v>3500000</v>
      </c>
      <c r="G2070" s="641"/>
      <c r="H2070" s="641">
        <v>3500000</v>
      </c>
      <c r="I2070" s="662"/>
      <c r="J2070" s="391"/>
    </row>
    <row r="2071" spans="1:11" ht="12.75" customHeight="1">
      <c r="A2071" s="646">
        <f t="shared" si="260"/>
        <v>20</v>
      </c>
      <c r="B2071" s="646" t="s">
        <v>98</v>
      </c>
      <c r="C2071" s="641">
        <v>500000</v>
      </c>
      <c r="D2071" s="641">
        <v>500000</v>
      </c>
      <c r="E2071" s="641">
        <v>650000</v>
      </c>
      <c r="F2071" s="647">
        <f t="shared" si="259"/>
        <v>1650000</v>
      </c>
      <c r="G2071" s="641"/>
      <c r="H2071" s="641">
        <v>500000</v>
      </c>
      <c r="I2071" s="662"/>
      <c r="J2071" s="391"/>
    </row>
    <row r="2072" spans="1:11" ht="12.75" customHeight="1">
      <c r="A2072" s="646">
        <f t="shared" si="260"/>
        <v>21</v>
      </c>
      <c r="B2072" s="646" t="s">
        <v>99</v>
      </c>
      <c r="C2072" s="641">
        <v>200000</v>
      </c>
      <c r="D2072" s="641">
        <v>200000</v>
      </c>
      <c r="E2072" s="641">
        <v>400000</v>
      </c>
      <c r="F2072" s="647">
        <f t="shared" si="259"/>
        <v>800000</v>
      </c>
      <c r="G2072" s="641"/>
      <c r="H2072" s="641">
        <v>200000</v>
      </c>
      <c r="I2072" s="662"/>
      <c r="J2072" s="391"/>
    </row>
    <row r="2073" spans="1:11" ht="12.75" customHeight="1">
      <c r="A2073" s="646">
        <f t="shared" si="260"/>
        <v>22</v>
      </c>
      <c r="B2073" s="646" t="s">
        <v>100</v>
      </c>
      <c r="C2073" s="641" t="s">
        <v>3007</v>
      </c>
      <c r="D2073" s="641" t="s">
        <v>3007</v>
      </c>
      <c r="E2073" s="641"/>
      <c r="F2073" s="647">
        <f t="shared" si="259"/>
        <v>0</v>
      </c>
      <c r="G2073" s="641"/>
      <c r="H2073" s="641" t="s">
        <v>3007</v>
      </c>
      <c r="I2073" s="662"/>
      <c r="J2073" s="391"/>
    </row>
    <row r="2074" spans="1:11" ht="12.75" customHeight="1">
      <c r="A2074" s="646" t="s">
        <v>3391</v>
      </c>
      <c r="B2074" s="651" t="s">
        <v>819</v>
      </c>
      <c r="C2074" s="652">
        <f t="shared" ref="C2074:H2074" si="261">SUM(C2053:C2073)</f>
        <v>12000000</v>
      </c>
      <c r="D2074" s="652">
        <f t="shared" si="261"/>
        <v>12000000</v>
      </c>
      <c r="E2074" s="652">
        <f t="shared" si="261"/>
        <v>18580000</v>
      </c>
      <c r="F2074" s="652">
        <f t="shared" si="261"/>
        <v>40880000</v>
      </c>
      <c r="G2074" s="652">
        <f t="shared" si="261"/>
        <v>0</v>
      </c>
      <c r="H2074" s="652">
        <f t="shared" si="261"/>
        <v>14560000</v>
      </c>
      <c r="I2074" s="662"/>
      <c r="J2074" s="391"/>
      <c r="K2074" s="657">
        <f>14560000-H2074</f>
        <v>0</v>
      </c>
    </row>
    <row r="2075" spans="1:11" ht="12.75" customHeight="1">
      <c r="A2075" s="646"/>
      <c r="B2075" s="646"/>
      <c r="C2075" s="641"/>
      <c r="D2075" s="641"/>
      <c r="E2075" s="641"/>
      <c r="F2075" s="647"/>
      <c r="G2075" s="641"/>
      <c r="H2075" s="641"/>
      <c r="I2075" s="662"/>
      <c r="J2075" s="391"/>
    </row>
    <row r="2076" spans="1:11" ht="12.75" customHeight="1">
      <c r="A2076" s="653"/>
      <c r="B2076" s="653" t="s">
        <v>1684</v>
      </c>
      <c r="C2076" s="645">
        <f>+C2074+C2051</f>
        <v>12000000</v>
      </c>
      <c r="D2076" s="645">
        <v>45760000</v>
      </c>
      <c r="E2076" s="645">
        <v>45760000</v>
      </c>
      <c r="F2076" s="645">
        <v>45760000</v>
      </c>
      <c r="G2076" s="645">
        <f>+G2074+G2051</f>
        <v>0</v>
      </c>
      <c r="H2076" s="645">
        <f>+H2074+H2051</f>
        <v>45760000</v>
      </c>
      <c r="I2076" s="645" t="e">
        <f>+I2074+I2051</f>
        <v>#REF!</v>
      </c>
      <c r="J2076" s="391"/>
    </row>
    <row r="2077" spans="1:11" ht="12.75" customHeight="1">
      <c r="A2077" s="391"/>
      <c r="B2077" s="391"/>
      <c r="C2077" s="647"/>
      <c r="D2077" s="647"/>
      <c r="E2077" s="647"/>
      <c r="F2077" s="647"/>
      <c r="G2077" s="647"/>
      <c r="H2077" s="647"/>
      <c r="I2077" s="391"/>
      <c r="J2077" s="391"/>
    </row>
    <row r="2078" spans="1:11" ht="12.75" customHeight="1">
      <c r="A2078" s="391"/>
      <c r="B2078" s="391"/>
      <c r="C2078" s="647"/>
      <c r="D2078" s="308" t="s">
        <v>5434</v>
      </c>
      <c r="E2078" s="647"/>
      <c r="F2078" s="647"/>
      <c r="H2078" s="647"/>
      <c r="I2078" s="391"/>
      <c r="J2078" s="391"/>
    </row>
    <row r="2079" spans="1:11" ht="12.75" customHeight="1">
      <c r="A2079" s="655"/>
      <c r="B2079" s="633"/>
      <c r="C2079" s="655"/>
      <c r="D2079" s="308" t="s">
        <v>716</v>
      </c>
      <c r="E2079" s="655"/>
      <c r="F2079" s="647"/>
      <c r="H2079" s="655"/>
      <c r="I2079" s="391"/>
      <c r="J2079" s="391"/>
    </row>
    <row r="2080" spans="1:11" ht="12.75" customHeight="1">
      <c r="A2080" s="655"/>
      <c r="B2080" s="633"/>
      <c r="C2080" s="655"/>
      <c r="D2080" s="308" t="s">
        <v>101</v>
      </c>
      <c r="E2080" s="655"/>
      <c r="F2080" s="647"/>
      <c r="H2080" s="655"/>
      <c r="I2080" s="391"/>
      <c r="J2080" s="391"/>
    </row>
    <row r="2081" spans="1:10" ht="12.75" customHeight="1">
      <c r="A2081" s="655"/>
      <c r="B2081" s="655"/>
      <c r="C2081" s="655"/>
      <c r="D2081" s="307" t="s">
        <v>102</v>
      </c>
      <c r="E2081" s="655"/>
      <c r="F2081" s="647"/>
      <c r="H2081" s="655"/>
      <c r="I2081" s="391"/>
      <c r="J2081" s="391"/>
    </row>
    <row r="2082" spans="1:10" ht="12.75" customHeight="1">
      <c r="A2082" s="634" t="s">
        <v>1839</v>
      </c>
      <c r="B2082" s="635" t="s">
        <v>903</v>
      </c>
      <c r="C2082" s="1037" t="s">
        <v>4127</v>
      </c>
      <c r="D2082" s="1038"/>
      <c r="E2082" s="1039"/>
      <c r="F2082" s="635" t="s">
        <v>1684</v>
      </c>
      <c r="G2082" s="1037" t="s">
        <v>4132</v>
      </c>
      <c r="H2082" s="1038"/>
      <c r="I2082" s="1039"/>
      <c r="J2082" s="391"/>
    </row>
    <row r="2083" spans="1:10" ht="12.75" customHeight="1">
      <c r="A2083" s="636" t="s">
        <v>1620</v>
      </c>
      <c r="B2083" s="637"/>
      <c r="C2083" s="635" t="s">
        <v>1841</v>
      </c>
      <c r="D2083" s="635" t="s">
        <v>4133</v>
      </c>
      <c r="E2083" s="635" t="s">
        <v>4133</v>
      </c>
      <c r="F2083" s="1056" t="s">
        <v>4200</v>
      </c>
      <c r="G2083" s="1051" t="s">
        <v>4201</v>
      </c>
      <c r="H2083" s="635" t="s">
        <v>1841</v>
      </c>
      <c r="I2083" s="634" t="s">
        <v>4135</v>
      </c>
      <c r="J2083" s="391"/>
    </row>
    <row r="2084" spans="1:10" ht="12.75" customHeight="1">
      <c r="A2084" s="638" t="s">
        <v>387</v>
      </c>
      <c r="B2084" s="639"/>
      <c r="C2084" s="638">
        <v>2015</v>
      </c>
      <c r="D2084" s="638">
        <v>2016</v>
      </c>
      <c r="E2084" s="638">
        <v>2017</v>
      </c>
      <c r="F2084" s="1057"/>
      <c r="G2084" s="1052"/>
      <c r="H2084" s="638">
        <v>2014</v>
      </c>
      <c r="I2084" s="638" t="s">
        <v>4303</v>
      </c>
      <c r="J2084" s="391"/>
    </row>
    <row r="2085" spans="1:10" ht="12.75" customHeight="1">
      <c r="A2085" s="646" t="s">
        <v>3390</v>
      </c>
      <c r="B2085" s="646" t="s">
        <v>1693</v>
      </c>
      <c r="C2085" s="662">
        <f>E2085*1.02</f>
        <v>0</v>
      </c>
      <c r="D2085" s="662">
        <v>0</v>
      </c>
      <c r="E2085" s="662">
        <v>0</v>
      </c>
      <c r="F2085" s="647">
        <f>SUM(C2085:E2085)</f>
        <v>0</v>
      </c>
      <c r="G2085" s="662"/>
      <c r="H2085" s="662">
        <v>0</v>
      </c>
      <c r="I2085" s="662" t="e">
        <f>#REF!</f>
        <v>#REF!</v>
      </c>
      <c r="J2085" s="391"/>
    </row>
    <row r="2086" spans="1:10" ht="12.75" customHeight="1">
      <c r="A2086" s="646"/>
      <c r="B2086" s="646"/>
      <c r="C2086" s="662"/>
      <c r="D2086" s="662"/>
      <c r="E2086" s="662"/>
      <c r="F2086" s="647"/>
      <c r="G2086" s="641"/>
      <c r="H2086" s="662"/>
      <c r="I2086" s="662"/>
      <c r="J2086" s="391"/>
    </row>
    <row r="2087" spans="1:10" ht="12.75" customHeight="1">
      <c r="A2087" s="646">
        <v>2</v>
      </c>
      <c r="B2087" s="646" t="s">
        <v>1695</v>
      </c>
      <c r="C2087" s="662">
        <v>1500000</v>
      </c>
      <c r="D2087" s="662">
        <v>1500000</v>
      </c>
      <c r="E2087" s="662">
        <v>1500000</v>
      </c>
      <c r="F2087" s="647">
        <f t="shared" ref="F2087:F2099" si="262">SUM(C2087:E2087)</f>
        <v>4500000</v>
      </c>
      <c r="G2087" s="662"/>
      <c r="H2087" s="662">
        <v>2015520</v>
      </c>
      <c r="I2087" s="662">
        <v>804900</v>
      </c>
      <c r="J2087" s="391"/>
    </row>
    <row r="2088" spans="1:10" ht="12.75" customHeight="1">
      <c r="A2088" s="646">
        <f>A2087+1</f>
        <v>3</v>
      </c>
      <c r="B2088" s="646" t="s">
        <v>1696</v>
      </c>
      <c r="C2088" s="641" t="s">
        <v>1386</v>
      </c>
      <c r="D2088" s="641" t="s">
        <v>1386</v>
      </c>
      <c r="E2088" s="641" t="s">
        <v>1386</v>
      </c>
      <c r="F2088" s="647">
        <f t="shared" si="262"/>
        <v>0</v>
      </c>
      <c r="G2088" s="662"/>
      <c r="H2088" s="641" t="s">
        <v>1386</v>
      </c>
      <c r="I2088" s="662" t="s">
        <v>1386</v>
      </c>
      <c r="J2088" s="391"/>
    </row>
    <row r="2089" spans="1:10" ht="12.75" customHeight="1">
      <c r="A2089" s="646">
        <v>4</v>
      </c>
      <c r="B2089" s="646" t="s">
        <v>1701</v>
      </c>
      <c r="C2089" s="641" t="s">
        <v>1386</v>
      </c>
      <c r="D2089" s="641" t="s">
        <v>1386</v>
      </c>
      <c r="E2089" s="641" t="s">
        <v>1386</v>
      </c>
      <c r="F2089" s="647">
        <f t="shared" si="262"/>
        <v>0</v>
      </c>
      <c r="G2089" s="662"/>
      <c r="H2089" s="641" t="s">
        <v>1386</v>
      </c>
      <c r="I2089" s="662" t="s">
        <v>1386</v>
      </c>
      <c r="J2089" s="391"/>
    </row>
    <row r="2090" spans="1:10" ht="12.75" customHeight="1">
      <c r="A2090" s="646">
        <v>5</v>
      </c>
      <c r="B2090" s="646" t="s">
        <v>1702</v>
      </c>
      <c r="C2090" s="662">
        <v>200000</v>
      </c>
      <c r="D2090" s="662">
        <v>200000</v>
      </c>
      <c r="E2090" s="662">
        <v>200000</v>
      </c>
      <c r="F2090" s="647">
        <f t="shared" si="262"/>
        <v>600000</v>
      </c>
      <c r="G2090" s="662"/>
      <c r="H2090" s="662">
        <v>212160</v>
      </c>
      <c r="I2090" s="662">
        <v>78500</v>
      </c>
      <c r="J2090" s="391"/>
    </row>
    <row r="2091" spans="1:10" ht="12.75" customHeight="1">
      <c r="A2091" s="646">
        <f>A2090+1</f>
        <v>6</v>
      </c>
      <c r="B2091" s="646" t="s">
        <v>1544</v>
      </c>
      <c r="C2091" s="662">
        <v>200000</v>
      </c>
      <c r="D2091" s="662">
        <v>200000</v>
      </c>
      <c r="E2091" s="662">
        <v>200000</v>
      </c>
      <c r="F2091" s="647">
        <f t="shared" si="262"/>
        <v>600000</v>
      </c>
      <c r="G2091" s="662"/>
      <c r="H2091" s="662">
        <v>212160</v>
      </c>
      <c r="I2091" s="662">
        <v>500600</v>
      </c>
      <c r="J2091" s="391"/>
    </row>
    <row r="2092" spans="1:10" ht="12.75" customHeight="1">
      <c r="A2092" s="646">
        <f>A2091+1</f>
        <v>7</v>
      </c>
      <c r="B2092" s="646" t="s">
        <v>897</v>
      </c>
      <c r="C2092" s="662">
        <v>500000</v>
      </c>
      <c r="D2092" s="662">
        <v>500000</v>
      </c>
      <c r="E2092" s="662">
        <v>500000</v>
      </c>
      <c r="F2092" s="647">
        <f t="shared" si="262"/>
        <v>1500000</v>
      </c>
      <c r="G2092" s="679"/>
      <c r="H2092" s="662">
        <v>530400</v>
      </c>
      <c r="I2092" s="679">
        <v>246300</v>
      </c>
      <c r="J2092" s="391"/>
    </row>
    <row r="2093" spans="1:10" ht="12.75" customHeight="1">
      <c r="A2093" s="646">
        <v>8</v>
      </c>
      <c r="B2093" s="646" t="s">
        <v>1385</v>
      </c>
      <c r="C2093" s="641" t="s">
        <v>1386</v>
      </c>
      <c r="D2093" s="641" t="s">
        <v>1386</v>
      </c>
      <c r="E2093" s="641" t="s">
        <v>1386</v>
      </c>
      <c r="F2093" s="647">
        <f t="shared" si="262"/>
        <v>0</v>
      </c>
      <c r="G2093" s="662"/>
      <c r="H2093" s="641" t="s">
        <v>1386</v>
      </c>
      <c r="I2093" s="662" t="s">
        <v>1386</v>
      </c>
      <c r="J2093" s="391"/>
    </row>
    <row r="2094" spans="1:10" ht="12.75" customHeight="1">
      <c r="A2094" s="646">
        <v>9</v>
      </c>
      <c r="B2094" s="646" t="s">
        <v>755</v>
      </c>
      <c r="C2094" s="641" t="s">
        <v>1386</v>
      </c>
      <c r="D2094" s="641" t="s">
        <v>1386</v>
      </c>
      <c r="E2094" s="641" t="s">
        <v>1386</v>
      </c>
      <c r="F2094" s="647">
        <f t="shared" si="262"/>
        <v>0</v>
      </c>
      <c r="G2094" s="662"/>
      <c r="H2094" s="641" t="s">
        <v>1386</v>
      </c>
      <c r="I2094" s="662" t="s">
        <v>1386</v>
      </c>
      <c r="J2094" s="391"/>
    </row>
    <row r="2095" spans="1:10" ht="12.75" customHeight="1">
      <c r="A2095" s="646">
        <v>10</v>
      </c>
      <c r="B2095" s="646" t="s">
        <v>1680</v>
      </c>
      <c r="C2095" s="662">
        <v>300000</v>
      </c>
      <c r="D2095" s="662">
        <v>500000</v>
      </c>
      <c r="E2095" s="662">
        <v>800000</v>
      </c>
      <c r="F2095" s="647">
        <f t="shared" si="262"/>
        <v>1600000</v>
      </c>
      <c r="G2095" s="662"/>
      <c r="H2095" s="662">
        <v>212160</v>
      </c>
      <c r="I2095" s="662">
        <v>5000</v>
      </c>
      <c r="J2095" s="391"/>
    </row>
    <row r="2096" spans="1:10" ht="12.75" customHeight="1">
      <c r="A2096" s="646">
        <f>A2095+1</f>
        <v>11</v>
      </c>
      <c r="B2096" s="646" t="s">
        <v>1681</v>
      </c>
      <c r="C2096" s="662">
        <v>100000</v>
      </c>
      <c r="D2096" s="662">
        <v>100000</v>
      </c>
      <c r="E2096" s="662">
        <v>100000</v>
      </c>
      <c r="F2096" s="647">
        <f t="shared" si="262"/>
        <v>300000</v>
      </c>
      <c r="G2096" s="662"/>
      <c r="H2096" s="662">
        <v>106080</v>
      </c>
      <c r="I2096" s="662">
        <v>75400</v>
      </c>
      <c r="J2096" s="391"/>
    </row>
    <row r="2097" spans="1:11" ht="12.75" customHeight="1">
      <c r="A2097" s="646">
        <f>A2096+1</f>
        <v>12</v>
      </c>
      <c r="B2097" s="646" t="s">
        <v>1682</v>
      </c>
      <c r="C2097" s="662">
        <v>2000000</v>
      </c>
      <c r="D2097" s="662">
        <v>2000000</v>
      </c>
      <c r="E2097" s="662">
        <v>2000000</v>
      </c>
      <c r="F2097" s="647">
        <f t="shared" si="262"/>
        <v>6000000</v>
      </c>
      <c r="G2097" s="662"/>
      <c r="H2097" s="662">
        <f>2121600-124800</f>
        <v>1996800</v>
      </c>
      <c r="I2097" s="662">
        <v>1046793</v>
      </c>
      <c r="J2097" s="391"/>
    </row>
    <row r="2098" spans="1:11" ht="12.75" customHeight="1">
      <c r="A2098" s="646">
        <f>A2097+1</f>
        <v>13</v>
      </c>
      <c r="B2098" s="646" t="s">
        <v>2249</v>
      </c>
      <c r="C2098" s="641" t="s">
        <v>1386</v>
      </c>
      <c r="D2098" s="641" t="s">
        <v>1386</v>
      </c>
      <c r="E2098" s="641" t="s">
        <v>1386</v>
      </c>
      <c r="F2098" s="647">
        <f t="shared" si="262"/>
        <v>0</v>
      </c>
      <c r="G2098" s="662"/>
      <c r="H2098" s="662">
        <v>106080</v>
      </c>
      <c r="I2098" s="662">
        <v>0</v>
      </c>
      <c r="J2098" s="391"/>
    </row>
    <row r="2099" spans="1:11" ht="12.75" customHeight="1">
      <c r="A2099" s="646">
        <f>A2098+1</f>
        <v>14</v>
      </c>
      <c r="B2099" s="646" t="s">
        <v>1683</v>
      </c>
      <c r="C2099" s="662">
        <v>800000</v>
      </c>
      <c r="D2099" s="662">
        <v>1000000</v>
      </c>
      <c r="E2099" s="662">
        <v>1000000</v>
      </c>
      <c r="F2099" s="647">
        <f t="shared" si="262"/>
        <v>2800000</v>
      </c>
      <c r="G2099" s="662"/>
      <c r="H2099" s="662">
        <v>848640</v>
      </c>
      <c r="I2099" s="662">
        <v>76900</v>
      </c>
      <c r="J2099" s="391"/>
    </row>
    <row r="2100" spans="1:11" ht="12.75" customHeight="1">
      <c r="A2100" s="646"/>
      <c r="B2100" s="646"/>
      <c r="C2100" s="662"/>
      <c r="D2100" s="662"/>
      <c r="E2100" s="662"/>
      <c r="F2100" s="647"/>
      <c r="G2100" s="662"/>
      <c r="H2100" s="662"/>
      <c r="I2100" s="662"/>
      <c r="J2100" s="391"/>
    </row>
    <row r="2101" spans="1:11" ht="12.75" customHeight="1">
      <c r="A2101" s="646" t="s">
        <v>3391</v>
      </c>
      <c r="B2101" s="651" t="s">
        <v>819</v>
      </c>
      <c r="C2101" s="652">
        <f t="shared" ref="C2101:I2101" si="263">SUM(C2087:C2099)</f>
        <v>5600000</v>
      </c>
      <c r="D2101" s="652">
        <f t="shared" si="263"/>
        <v>6000000</v>
      </c>
      <c r="E2101" s="652">
        <f t="shared" si="263"/>
        <v>6300000</v>
      </c>
      <c r="F2101" s="652">
        <f t="shared" si="263"/>
        <v>17900000</v>
      </c>
      <c r="G2101" s="652">
        <f t="shared" si="263"/>
        <v>0</v>
      </c>
      <c r="H2101" s="652">
        <f>SUM(H2087:H2099)</f>
        <v>6240000</v>
      </c>
      <c r="I2101" s="652">
        <f t="shared" si="263"/>
        <v>2834393</v>
      </c>
      <c r="J2101" s="391"/>
      <c r="K2101" s="657">
        <f>6240000-H2101</f>
        <v>0</v>
      </c>
    </row>
    <row r="2102" spans="1:11" ht="12.75" customHeight="1">
      <c r="A2102" s="646"/>
      <c r="B2102" s="646"/>
      <c r="C2102" s="641"/>
      <c r="D2102" s="641"/>
      <c r="E2102" s="641"/>
      <c r="F2102" s="641"/>
      <c r="G2102" s="641"/>
      <c r="H2102" s="641"/>
      <c r="I2102" s="641"/>
      <c r="J2102" s="391"/>
    </row>
    <row r="2103" spans="1:11" ht="12.75" customHeight="1">
      <c r="A2103" s="653"/>
      <c r="B2103" s="653" t="s">
        <v>1684</v>
      </c>
      <c r="C2103" s="645">
        <f t="shared" ref="C2103:I2103" si="264">+C2101+C2085</f>
        <v>5600000</v>
      </c>
      <c r="D2103" s="645">
        <f t="shared" si="264"/>
        <v>6000000</v>
      </c>
      <c r="E2103" s="645">
        <f t="shared" si="264"/>
        <v>6300000</v>
      </c>
      <c r="F2103" s="645">
        <f t="shared" si="264"/>
        <v>17900000</v>
      </c>
      <c r="G2103" s="645">
        <f t="shared" si="264"/>
        <v>0</v>
      </c>
      <c r="H2103" s="645">
        <f>+H2101+H2085</f>
        <v>6240000</v>
      </c>
      <c r="I2103" s="645" t="e">
        <f t="shared" si="264"/>
        <v>#REF!</v>
      </c>
      <c r="J2103" s="391"/>
    </row>
    <row r="2104" spans="1:11" ht="12.75" customHeight="1">
      <c r="A2104" s="685"/>
      <c r="B2104" s="685"/>
      <c r="C2104" s="686"/>
      <c r="D2104" s="647"/>
      <c r="E2104" s="647"/>
      <c r="F2104" s="647"/>
      <c r="G2104" s="647"/>
      <c r="H2104" s="686"/>
      <c r="I2104" s="647"/>
      <c r="J2104" s="391"/>
    </row>
    <row r="2105" spans="1:11" ht="12.75" customHeight="1">
      <c r="A2105" s="391"/>
      <c r="B2105" s="391"/>
      <c r="C2105" s="647"/>
      <c r="D2105" s="308" t="s">
        <v>5434</v>
      </c>
      <c r="E2105" s="647"/>
      <c r="F2105" s="647"/>
      <c r="G2105" s="60"/>
      <c r="H2105" s="647"/>
      <c r="I2105" s="391"/>
      <c r="J2105" s="391"/>
    </row>
    <row r="2106" spans="1:11" ht="12.75" customHeight="1">
      <c r="A2106" s="655"/>
      <c r="B2106" s="633"/>
      <c r="C2106" s="655"/>
      <c r="D2106" s="308" t="s">
        <v>716</v>
      </c>
      <c r="E2106" s="655"/>
      <c r="F2106" s="647"/>
      <c r="G2106" s="60"/>
      <c r="H2106" s="655"/>
      <c r="I2106" s="391"/>
      <c r="J2106" s="391"/>
    </row>
    <row r="2107" spans="1:11" ht="12.75" customHeight="1">
      <c r="A2107" s="655"/>
      <c r="B2107" s="633"/>
      <c r="C2107" s="655"/>
      <c r="D2107" s="308" t="s">
        <v>103</v>
      </c>
      <c r="E2107" s="655"/>
      <c r="F2107" s="647"/>
      <c r="G2107" s="60"/>
      <c r="H2107" s="655"/>
      <c r="I2107" s="391"/>
      <c r="J2107" s="391"/>
    </row>
    <row r="2108" spans="1:11" ht="12.75" customHeight="1">
      <c r="A2108" s="655"/>
      <c r="B2108" s="655"/>
      <c r="C2108" s="655"/>
      <c r="D2108" s="307" t="s">
        <v>104</v>
      </c>
      <c r="E2108" s="655"/>
      <c r="F2108" s="647"/>
      <c r="G2108" s="60"/>
      <c r="H2108" s="655"/>
      <c r="I2108" s="391"/>
      <c r="J2108" s="391"/>
    </row>
    <row r="2109" spans="1:11" ht="12.75" customHeight="1">
      <c r="A2109" s="634" t="s">
        <v>1839</v>
      </c>
      <c r="B2109" s="635" t="s">
        <v>903</v>
      </c>
      <c r="C2109" s="1037" t="s">
        <v>4127</v>
      </c>
      <c r="D2109" s="1038"/>
      <c r="E2109" s="1039"/>
      <c r="F2109" s="635" t="s">
        <v>1684</v>
      </c>
      <c r="G2109" s="1037" t="s">
        <v>4132</v>
      </c>
      <c r="H2109" s="1038"/>
      <c r="I2109" s="1039"/>
      <c r="J2109" s="391"/>
    </row>
    <row r="2110" spans="1:11" ht="12.75" customHeight="1">
      <c r="A2110" s="636" t="s">
        <v>1620</v>
      </c>
      <c r="B2110" s="637"/>
      <c r="C2110" s="635" t="s">
        <v>1841</v>
      </c>
      <c r="D2110" s="635" t="s">
        <v>4133</v>
      </c>
      <c r="E2110" s="635" t="s">
        <v>4133</v>
      </c>
      <c r="F2110" s="1056" t="s">
        <v>4200</v>
      </c>
      <c r="G2110" s="1051" t="s">
        <v>4201</v>
      </c>
      <c r="H2110" s="635" t="s">
        <v>1841</v>
      </c>
      <c r="I2110" s="634" t="s">
        <v>4135</v>
      </c>
      <c r="J2110" s="391"/>
    </row>
    <row r="2111" spans="1:11" ht="12.75" customHeight="1">
      <c r="A2111" s="638" t="s">
        <v>387</v>
      </c>
      <c r="B2111" s="639"/>
      <c r="C2111" s="638">
        <v>2015</v>
      </c>
      <c r="D2111" s="638">
        <v>2016</v>
      </c>
      <c r="E2111" s="638">
        <v>2017</v>
      </c>
      <c r="F2111" s="1057"/>
      <c r="G2111" s="1052"/>
      <c r="H2111" s="638">
        <v>2014</v>
      </c>
      <c r="I2111" s="638" t="s">
        <v>4303</v>
      </c>
      <c r="J2111" s="391"/>
    </row>
    <row r="2112" spans="1:11" ht="12.75" customHeight="1">
      <c r="A2112" s="646" t="s">
        <v>3390</v>
      </c>
      <c r="B2112" s="646" t="s">
        <v>1693</v>
      </c>
      <c r="C2112" s="662">
        <f>E2112*1.02</f>
        <v>0</v>
      </c>
      <c r="D2112" s="662">
        <v>0</v>
      </c>
      <c r="E2112" s="662">
        <v>0</v>
      </c>
      <c r="F2112" s="647">
        <f>SUM(C2112:E2112)</f>
        <v>0</v>
      </c>
      <c r="G2112" s="662"/>
      <c r="H2112" s="662">
        <v>0</v>
      </c>
      <c r="I2112" s="662" t="e">
        <f>#REF!</f>
        <v>#REF!</v>
      </c>
      <c r="J2112" s="391"/>
    </row>
    <row r="2113" spans="1:10" ht="12.75" customHeight="1">
      <c r="A2113" s="646"/>
      <c r="B2113" s="646"/>
      <c r="C2113" s="662"/>
      <c r="D2113" s="662"/>
      <c r="E2113" s="662"/>
      <c r="F2113" s="647"/>
      <c r="G2113" s="641"/>
      <c r="H2113" s="662"/>
      <c r="I2113" s="662"/>
      <c r="J2113" s="391"/>
    </row>
    <row r="2114" spans="1:10" ht="12.75" customHeight="1">
      <c r="A2114" s="646">
        <v>2</v>
      </c>
      <c r="B2114" s="646" t="s">
        <v>2722</v>
      </c>
      <c r="C2114" s="662">
        <v>1500000</v>
      </c>
      <c r="D2114" s="662">
        <v>1500000</v>
      </c>
      <c r="E2114" s="662">
        <v>1500000</v>
      </c>
      <c r="F2114" s="647">
        <f t="shared" ref="F2114:F2128" si="265">SUM(C2114:E2114)</f>
        <v>4500000</v>
      </c>
      <c r="G2114" s="662">
        <v>906000</v>
      </c>
      <c r="H2114" s="662">
        <v>1591200</v>
      </c>
      <c r="I2114" s="662">
        <v>721000</v>
      </c>
      <c r="J2114" s="391"/>
    </row>
    <row r="2115" spans="1:10" ht="12.75" customHeight="1">
      <c r="A2115" s="646">
        <f>A2114+1</f>
        <v>3</v>
      </c>
      <c r="B2115" s="646" t="s">
        <v>1696</v>
      </c>
      <c r="C2115" s="641" t="s">
        <v>1386</v>
      </c>
      <c r="D2115" s="641" t="s">
        <v>1386</v>
      </c>
      <c r="E2115" s="641" t="s">
        <v>1386</v>
      </c>
      <c r="F2115" s="647">
        <f t="shared" si="265"/>
        <v>0</v>
      </c>
      <c r="G2115" s="662"/>
      <c r="H2115" s="641" t="s">
        <v>1386</v>
      </c>
      <c r="I2115" s="662" t="s">
        <v>1386</v>
      </c>
      <c r="J2115" s="391"/>
    </row>
    <row r="2116" spans="1:10" ht="12.75" customHeight="1">
      <c r="A2116" s="646">
        <v>4</v>
      </c>
      <c r="B2116" s="646" t="s">
        <v>1701</v>
      </c>
      <c r="C2116" s="641" t="s">
        <v>1386</v>
      </c>
      <c r="D2116" s="641" t="s">
        <v>1386</v>
      </c>
      <c r="E2116" s="641" t="s">
        <v>1386</v>
      </c>
      <c r="F2116" s="647">
        <f t="shared" si="265"/>
        <v>0</v>
      </c>
      <c r="G2116" s="662"/>
      <c r="H2116" s="641" t="s">
        <v>1386</v>
      </c>
      <c r="I2116" s="641" t="s">
        <v>1386</v>
      </c>
      <c r="J2116" s="391"/>
    </row>
    <row r="2117" spans="1:10" ht="12.75" customHeight="1">
      <c r="A2117" s="646">
        <v>5</v>
      </c>
      <c r="B2117" s="646" t="s">
        <v>1702</v>
      </c>
      <c r="C2117" s="662">
        <v>500000</v>
      </c>
      <c r="D2117" s="662">
        <v>500000</v>
      </c>
      <c r="E2117" s="662">
        <v>500000</v>
      </c>
      <c r="F2117" s="647">
        <f t="shared" si="265"/>
        <v>1500000</v>
      </c>
      <c r="G2117" s="662">
        <v>308000</v>
      </c>
      <c r="H2117" s="662">
        <v>424320</v>
      </c>
      <c r="I2117" s="662">
        <v>45000</v>
      </c>
      <c r="J2117" s="391"/>
    </row>
    <row r="2118" spans="1:10" ht="12.75" customHeight="1">
      <c r="A2118" s="646">
        <f>A2117+1</f>
        <v>6</v>
      </c>
      <c r="B2118" s="646" t="s">
        <v>1544</v>
      </c>
      <c r="C2118" s="662">
        <v>500000</v>
      </c>
      <c r="D2118" s="662">
        <v>300000</v>
      </c>
      <c r="E2118" s="662">
        <v>300000</v>
      </c>
      <c r="F2118" s="647">
        <f t="shared" si="265"/>
        <v>1100000</v>
      </c>
      <c r="G2118" s="662">
        <v>372000</v>
      </c>
      <c r="H2118" s="662">
        <v>530400</v>
      </c>
      <c r="I2118" s="662">
        <v>50000</v>
      </c>
      <c r="J2118" s="391"/>
    </row>
    <row r="2119" spans="1:10" ht="12.75" customHeight="1">
      <c r="A2119" s="646">
        <f>A2118+1</f>
        <v>7</v>
      </c>
      <c r="B2119" s="646" t="s">
        <v>897</v>
      </c>
      <c r="C2119" s="662">
        <v>500000</v>
      </c>
      <c r="D2119" s="662">
        <v>500000</v>
      </c>
      <c r="E2119" s="662">
        <v>500000</v>
      </c>
      <c r="F2119" s="647">
        <f t="shared" si="265"/>
        <v>1500000</v>
      </c>
      <c r="G2119" s="679">
        <v>315000</v>
      </c>
      <c r="H2119" s="662">
        <v>530400</v>
      </c>
      <c r="I2119" s="679">
        <v>76000</v>
      </c>
      <c r="J2119" s="391"/>
    </row>
    <row r="2120" spans="1:10" ht="12.75" customHeight="1">
      <c r="A2120" s="646">
        <v>8</v>
      </c>
      <c r="B2120" s="646" t="s">
        <v>1385</v>
      </c>
      <c r="C2120" s="641" t="s">
        <v>1386</v>
      </c>
      <c r="D2120" s="641" t="s">
        <v>1386</v>
      </c>
      <c r="E2120" s="641" t="s">
        <v>1386</v>
      </c>
      <c r="F2120" s="647">
        <f t="shared" si="265"/>
        <v>0</v>
      </c>
      <c r="G2120" s="662"/>
      <c r="H2120" s="641" t="s">
        <v>1386</v>
      </c>
      <c r="I2120" s="641" t="s">
        <v>1386</v>
      </c>
      <c r="J2120" s="391"/>
    </row>
    <row r="2121" spans="1:10" ht="12.75" customHeight="1">
      <c r="A2121" s="646">
        <v>9</v>
      </c>
      <c r="B2121" s="646" t="s">
        <v>755</v>
      </c>
      <c r="C2121" s="641" t="s">
        <v>1386</v>
      </c>
      <c r="D2121" s="641" t="s">
        <v>1386</v>
      </c>
      <c r="E2121" s="641" t="s">
        <v>1386</v>
      </c>
      <c r="F2121" s="647">
        <f t="shared" si="265"/>
        <v>0</v>
      </c>
      <c r="G2121" s="662"/>
      <c r="H2121" s="641" t="s">
        <v>1386</v>
      </c>
      <c r="I2121" s="641" t="s">
        <v>1386</v>
      </c>
      <c r="J2121" s="391"/>
    </row>
    <row r="2122" spans="1:10" ht="12.75" customHeight="1">
      <c r="A2122" s="646">
        <v>10</v>
      </c>
      <c r="B2122" s="646" t="s">
        <v>1680</v>
      </c>
      <c r="C2122" s="662">
        <v>200000</v>
      </c>
      <c r="D2122" s="662">
        <v>300000</v>
      </c>
      <c r="E2122" s="662">
        <v>300000</v>
      </c>
      <c r="F2122" s="647">
        <f t="shared" si="265"/>
        <v>800000</v>
      </c>
      <c r="G2122" s="662">
        <v>0</v>
      </c>
      <c r="H2122" s="662">
        <v>106080</v>
      </c>
      <c r="I2122" s="662">
        <v>0</v>
      </c>
      <c r="J2122" s="391"/>
    </row>
    <row r="2123" spans="1:10" ht="12.75" customHeight="1">
      <c r="A2123" s="646">
        <f t="shared" ref="A2123:A2128" si="266">A2122+1</f>
        <v>11</v>
      </c>
      <c r="B2123" s="646" t="s">
        <v>1681</v>
      </c>
      <c r="C2123" s="662">
        <v>100000</v>
      </c>
      <c r="D2123" s="662">
        <v>100000</v>
      </c>
      <c r="E2123" s="662">
        <v>100000</v>
      </c>
      <c r="F2123" s="647">
        <f t="shared" si="265"/>
        <v>300000</v>
      </c>
      <c r="G2123" s="662">
        <v>100000</v>
      </c>
      <c r="H2123" s="662">
        <v>106080</v>
      </c>
      <c r="I2123" s="662">
        <v>0</v>
      </c>
      <c r="J2123" s="391"/>
    </row>
    <row r="2124" spans="1:10" ht="12.75" customHeight="1">
      <c r="A2124" s="646">
        <f t="shared" si="266"/>
        <v>12</v>
      </c>
      <c r="B2124" s="646" t="s">
        <v>1682</v>
      </c>
      <c r="C2124" s="662">
        <v>2500000</v>
      </c>
      <c r="D2124" s="662">
        <v>2500000</v>
      </c>
      <c r="E2124" s="662">
        <v>2500000</v>
      </c>
      <c r="F2124" s="647">
        <f t="shared" si="265"/>
        <v>7500000</v>
      </c>
      <c r="G2124" s="662">
        <v>720000</v>
      </c>
      <c r="H2124" s="662">
        <v>1060800</v>
      </c>
      <c r="I2124" s="662">
        <v>789000</v>
      </c>
      <c r="J2124" s="391"/>
    </row>
    <row r="2125" spans="1:10" ht="12.75" customHeight="1">
      <c r="A2125" s="646">
        <f t="shared" si="266"/>
        <v>13</v>
      </c>
      <c r="B2125" s="646" t="s">
        <v>2249</v>
      </c>
      <c r="C2125" s="662">
        <v>100000</v>
      </c>
      <c r="D2125" s="662">
        <v>100000</v>
      </c>
      <c r="E2125" s="662">
        <v>100000</v>
      </c>
      <c r="F2125" s="647">
        <f t="shared" si="265"/>
        <v>300000</v>
      </c>
      <c r="G2125" s="662"/>
      <c r="H2125" s="662">
        <v>106080</v>
      </c>
      <c r="I2125" s="662">
        <v>0</v>
      </c>
      <c r="J2125" s="391"/>
    </row>
    <row r="2126" spans="1:10" ht="12.75" customHeight="1">
      <c r="A2126" s="646">
        <f t="shared" si="266"/>
        <v>14</v>
      </c>
      <c r="B2126" s="646" t="s">
        <v>1683</v>
      </c>
      <c r="C2126" s="662">
        <v>200000</v>
      </c>
      <c r="D2126" s="662">
        <v>200000</v>
      </c>
      <c r="E2126" s="662">
        <v>600000</v>
      </c>
      <c r="F2126" s="647">
        <f t="shared" si="265"/>
        <v>1000000</v>
      </c>
      <c r="G2126" s="662">
        <v>85000</v>
      </c>
      <c r="H2126" s="662">
        <v>530400</v>
      </c>
      <c r="I2126" s="662">
        <v>0</v>
      </c>
      <c r="J2126" s="391"/>
    </row>
    <row r="2127" spans="1:10" ht="12.75" customHeight="1">
      <c r="A2127" s="646">
        <f t="shared" si="266"/>
        <v>15</v>
      </c>
      <c r="B2127" s="646" t="s">
        <v>105</v>
      </c>
      <c r="C2127" s="662" t="s">
        <v>1386</v>
      </c>
      <c r="D2127" s="662">
        <v>8000000</v>
      </c>
      <c r="E2127" s="662">
        <v>9000000</v>
      </c>
      <c r="F2127" s="647">
        <f t="shared" si="265"/>
        <v>17000000</v>
      </c>
      <c r="G2127" s="662"/>
      <c r="H2127" s="662">
        <f>21216000-929760</f>
        <v>20286240</v>
      </c>
      <c r="I2127" s="662">
        <v>0</v>
      </c>
      <c r="J2127" s="391"/>
    </row>
    <row r="2128" spans="1:10" ht="12.75" customHeight="1">
      <c r="A2128" s="646">
        <f t="shared" si="266"/>
        <v>16</v>
      </c>
      <c r="B2128" s="646" t="s">
        <v>196</v>
      </c>
      <c r="C2128" s="662" t="s">
        <v>1386</v>
      </c>
      <c r="D2128" s="662">
        <v>7000000</v>
      </c>
      <c r="E2128" s="662">
        <v>8000000</v>
      </c>
      <c r="F2128" s="647">
        <f t="shared" si="265"/>
        <v>15000000</v>
      </c>
      <c r="G2128" s="662"/>
      <c r="H2128" s="662">
        <v>21216000</v>
      </c>
      <c r="I2128" s="662">
        <v>0</v>
      </c>
      <c r="J2128" s="391"/>
    </row>
    <row r="2129" spans="1:11" ht="12.75" customHeight="1">
      <c r="A2129" s="646"/>
      <c r="B2129" s="646"/>
      <c r="C2129" s="662"/>
      <c r="D2129" s="662"/>
      <c r="E2129" s="662"/>
      <c r="F2129" s="647"/>
      <c r="G2129" s="662"/>
      <c r="H2129" s="662"/>
      <c r="I2129" s="662"/>
      <c r="J2129" s="391"/>
    </row>
    <row r="2130" spans="1:11" ht="12.75" customHeight="1">
      <c r="A2130" s="646" t="s">
        <v>3391</v>
      </c>
      <c r="B2130" s="651" t="s">
        <v>819</v>
      </c>
      <c r="C2130" s="652">
        <f>SUM(C2114:C2128)</f>
        <v>6100000</v>
      </c>
      <c r="D2130" s="652">
        <f>SUM(D2114:D2128)</f>
        <v>21000000</v>
      </c>
      <c r="E2130" s="652">
        <f>SUM(E2114:E2128)</f>
        <v>23400000</v>
      </c>
      <c r="F2130" s="652">
        <f>SUM(F2114:F2128)</f>
        <v>50500000</v>
      </c>
      <c r="G2130" s="652">
        <f>SUM(G2114:G2126)</f>
        <v>2806000</v>
      </c>
      <c r="H2130" s="652">
        <f>SUM(H2114:H2128)</f>
        <v>46488000</v>
      </c>
      <c r="I2130" s="652">
        <f>SUM(I2114:I2128)</f>
        <v>1681000</v>
      </c>
      <c r="J2130" s="391"/>
      <c r="K2130" s="657">
        <f>46488000-H2130</f>
        <v>0</v>
      </c>
    </row>
    <row r="2131" spans="1:11" ht="12.75" customHeight="1">
      <c r="A2131" s="646"/>
      <c r="B2131" s="646"/>
      <c r="C2131" s="641"/>
      <c r="D2131" s="641"/>
      <c r="E2131" s="641"/>
      <c r="F2131" s="641"/>
      <c r="G2131" s="641"/>
      <c r="H2131" s="641"/>
      <c r="I2131" s="641"/>
      <c r="J2131" s="391"/>
    </row>
    <row r="2132" spans="1:11" ht="12.75" customHeight="1">
      <c r="A2132" s="653"/>
      <c r="B2132" s="653" t="s">
        <v>1684</v>
      </c>
      <c r="C2132" s="645">
        <f t="shared" ref="C2132:I2132" si="267">+C2130+C2112</f>
        <v>6100000</v>
      </c>
      <c r="D2132" s="645">
        <f t="shared" si="267"/>
        <v>21000000</v>
      </c>
      <c r="E2132" s="645">
        <f t="shared" si="267"/>
        <v>23400000</v>
      </c>
      <c r="F2132" s="645">
        <f t="shared" si="267"/>
        <v>50500000</v>
      </c>
      <c r="G2132" s="645">
        <f t="shared" si="267"/>
        <v>2806000</v>
      </c>
      <c r="H2132" s="645">
        <f>+H2130+H2112</f>
        <v>46488000</v>
      </c>
      <c r="I2132" s="645" t="e">
        <f t="shared" si="267"/>
        <v>#REF!</v>
      </c>
      <c r="J2132" s="391"/>
    </row>
    <row r="2133" spans="1:11" ht="12.75" customHeight="1">
      <c r="A2133" s="391"/>
      <c r="B2133" s="391"/>
      <c r="C2133" s="647"/>
      <c r="D2133" s="308" t="s">
        <v>5434</v>
      </c>
      <c r="E2133" s="647"/>
      <c r="F2133" s="647"/>
      <c r="G2133" s="60"/>
      <c r="H2133" s="647"/>
      <c r="I2133" s="391"/>
      <c r="J2133" s="391"/>
    </row>
    <row r="2134" spans="1:11" ht="12.75" customHeight="1">
      <c r="A2134" s="655"/>
      <c r="B2134" s="633"/>
      <c r="C2134" s="655"/>
      <c r="D2134" s="308" t="s">
        <v>716</v>
      </c>
      <c r="E2134" s="655"/>
      <c r="F2134" s="647"/>
      <c r="G2134" s="60"/>
      <c r="H2134" s="655"/>
      <c r="I2134" s="391"/>
      <c r="J2134" s="391"/>
    </row>
    <row r="2135" spans="1:11" ht="12.75" customHeight="1">
      <c r="A2135" s="655"/>
      <c r="B2135" s="633"/>
      <c r="C2135" s="655"/>
      <c r="D2135" s="308" t="s">
        <v>4102</v>
      </c>
      <c r="E2135" s="655"/>
      <c r="F2135" s="647"/>
      <c r="G2135" s="60"/>
      <c r="H2135" s="655"/>
      <c r="I2135" s="391"/>
      <c r="J2135" s="391"/>
    </row>
    <row r="2136" spans="1:11" ht="12.75" customHeight="1">
      <c r="A2136" s="655"/>
      <c r="B2136" s="655"/>
      <c r="C2136" s="655"/>
      <c r="D2136" s="307" t="s">
        <v>57</v>
      </c>
      <c r="E2136" s="655"/>
      <c r="F2136" s="647"/>
      <c r="G2136" s="60"/>
      <c r="H2136" s="655"/>
      <c r="I2136" s="391"/>
      <c r="J2136" s="391"/>
    </row>
    <row r="2137" spans="1:11" ht="12.75" customHeight="1">
      <c r="A2137" s="634" t="s">
        <v>1839</v>
      </c>
      <c r="B2137" s="635" t="s">
        <v>903</v>
      </c>
      <c r="C2137" s="1037" t="s">
        <v>4127</v>
      </c>
      <c r="D2137" s="1038"/>
      <c r="E2137" s="1039"/>
      <c r="F2137" s="635" t="s">
        <v>1684</v>
      </c>
      <c r="G2137" s="1037" t="s">
        <v>4132</v>
      </c>
      <c r="H2137" s="1038"/>
      <c r="I2137" s="1039"/>
      <c r="J2137" s="391"/>
    </row>
    <row r="2138" spans="1:11" ht="12.75" customHeight="1">
      <c r="A2138" s="636" t="s">
        <v>1620</v>
      </c>
      <c r="B2138" s="637"/>
      <c r="C2138" s="635" t="s">
        <v>1841</v>
      </c>
      <c r="D2138" s="635" t="s">
        <v>4133</v>
      </c>
      <c r="E2138" s="635" t="s">
        <v>4133</v>
      </c>
      <c r="F2138" s="1056" t="s">
        <v>4200</v>
      </c>
      <c r="G2138" s="1051" t="s">
        <v>4201</v>
      </c>
      <c r="H2138" s="635" t="s">
        <v>1841</v>
      </c>
      <c r="I2138" s="634" t="s">
        <v>4135</v>
      </c>
      <c r="J2138" s="391"/>
    </row>
    <row r="2139" spans="1:11" ht="12.75" customHeight="1">
      <c r="A2139" s="638" t="s">
        <v>387</v>
      </c>
      <c r="B2139" s="639"/>
      <c r="C2139" s="638">
        <v>2015</v>
      </c>
      <c r="D2139" s="638">
        <v>2016</v>
      </c>
      <c r="E2139" s="638">
        <v>2017</v>
      </c>
      <c r="F2139" s="1057"/>
      <c r="G2139" s="1052"/>
      <c r="H2139" s="638">
        <v>2014</v>
      </c>
      <c r="I2139" s="638" t="s">
        <v>4303</v>
      </c>
      <c r="J2139" s="391"/>
    </row>
    <row r="2140" spans="1:11" ht="12.75" customHeight="1">
      <c r="A2140" s="646" t="s">
        <v>3390</v>
      </c>
      <c r="B2140" s="646" t="s">
        <v>1693</v>
      </c>
      <c r="C2140" s="662">
        <f>E2140*1.02</f>
        <v>0</v>
      </c>
      <c r="D2140" s="662">
        <v>0</v>
      </c>
      <c r="E2140" s="662">
        <v>0</v>
      </c>
      <c r="F2140" s="662"/>
      <c r="G2140" s="662"/>
      <c r="H2140" s="662">
        <v>0</v>
      </c>
      <c r="I2140" s="662" t="e">
        <f>#REF!</f>
        <v>#REF!</v>
      </c>
      <c r="J2140" s="391"/>
    </row>
    <row r="2141" spans="1:11" ht="12.75" customHeight="1">
      <c r="A2141" s="646"/>
      <c r="B2141" s="646"/>
      <c r="C2141" s="662"/>
      <c r="D2141" s="662"/>
      <c r="E2141" s="662"/>
      <c r="F2141" s="662"/>
      <c r="G2141" s="641"/>
      <c r="H2141" s="662"/>
      <c r="I2141" s="662"/>
      <c r="J2141" s="391"/>
    </row>
    <row r="2142" spans="1:11" ht="12.75" customHeight="1">
      <c r="A2142" s="646">
        <v>2</v>
      </c>
      <c r="B2142" s="646" t="s">
        <v>1695</v>
      </c>
      <c r="C2142" s="641" t="s">
        <v>1386</v>
      </c>
      <c r="D2142" s="662">
        <v>2080000</v>
      </c>
      <c r="E2142" s="662">
        <v>2080000</v>
      </c>
      <c r="F2142" s="662"/>
      <c r="G2142" s="662"/>
      <c r="H2142" s="662">
        <v>2121600</v>
      </c>
      <c r="I2142" s="662"/>
      <c r="J2142" s="391"/>
    </row>
    <row r="2143" spans="1:11" ht="12.75" customHeight="1">
      <c r="A2143" s="646">
        <f>A2142+1</f>
        <v>3</v>
      </c>
      <c r="B2143" s="646" t="s">
        <v>1696</v>
      </c>
      <c r="C2143" s="641" t="s">
        <v>1386</v>
      </c>
      <c r="D2143" s="641" t="s">
        <v>1386</v>
      </c>
      <c r="E2143" s="641" t="s">
        <v>1386</v>
      </c>
      <c r="F2143" s="662"/>
      <c r="G2143" s="662"/>
      <c r="H2143" s="641" t="s">
        <v>1386</v>
      </c>
      <c r="I2143" s="662"/>
      <c r="J2143" s="391"/>
    </row>
    <row r="2144" spans="1:11" ht="12.75" customHeight="1">
      <c r="A2144" s="646">
        <v>4</v>
      </c>
      <c r="B2144" s="646" t="s">
        <v>1701</v>
      </c>
      <c r="C2144" s="641" t="s">
        <v>1386</v>
      </c>
      <c r="D2144" s="641" t="s">
        <v>1386</v>
      </c>
      <c r="E2144" s="641" t="s">
        <v>1386</v>
      </c>
      <c r="F2144" s="662"/>
      <c r="G2144" s="662"/>
      <c r="H2144" s="641" t="s">
        <v>1386</v>
      </c>
      <c r="I2144" s="662"/>
      <c r="J2144" s="391"/>
    </row>
    <row r="2145" spans="1:11" ht="12.75" customHeight="1">
      <c r="A2145" s="646">
        <v>5</v>
      </c>
      <c r="B2145" s="646" t="s">
        <v>1702</v>
      </c>
      <c r="C2145" s="641" t="s">
        <v>1386</v>
      </c>
      <c r="D2145" s="662">
        <v>520000</v>
      </c>
      <c r="E2145" s="662">
        <v>520000</v>
      </c>
      <c r="F2145" s="662"/>
      <c r="G2145" s="662"/>
      <c r="H2145" s="662">
        <v>530400</v>
      </c>
      <c r="I2145" s="662"/>
      <c r="J2145" s="391"/>
    </row>
    <row r="2146" spans="1:11" ht="12.75" customHeight="1">
      <c r="A2146" s="646">
        <f>A2145+1</f>
        <v>6</v>
      </c>
      <c r="B2146" s="646" t="s">
        <v>1544</v>
      </c>
      <c r="C2146" s="641" t="s">
        <v>1386</v>
      </c>
      <c r="D2146" s="662">
        <v>208000</v>
      </c>
      <c r="E2146" s="662">
        <v>208000</v>
      </c>
      <c r="F2146" s="662"/>
      <c r="G2146" s="662"/>
      <c r="H2146" s="662">
        <v>212160</v>
      </c>
      <c r="I2146" s="662"/>
      <c r="J2146" s="391"/>
    </row>
    <row r="2147" spans="1:11" ht="12.75" customHeight="1">
      <c r="A2147" s="646">
        <f>A2146+1</f>
        <v>7</v>
      </c>
      <c r="B2147" s="646" t="s">
        <v>897</v>
      </c>
      <c r="C2147" s="641" t="s">
        <v>1386</v>
      </c>
      <c r="D2147" s="662">
        <v>2080000</v>
      </c>
      <c r="E2147" s="662">
        <v>2080000</v>
      </c>
      <c r="F2147" s="662"/>
      <c r="G2147" s="679"/>
      <c r="H2147" s="662">
        <v>2121600</v>
      </c>
      <c r="I2147" s="662"/>
      <c r="J2147" s="391"/>
    </row>
    <row r="2148" spans="1:11" ht="12.75" customHeight="1">
      <c r="A2148" s="646">
        <v>8</v>
      </c>
      <c r="B2148" s="646" t="s">
        <v>1385</v>
      </c>
      <c r="C2148" s="641" t="s">
        <v>1386</v>
      </c>
      <c r="D2148" s="641" t="s">
        <v>1386</v>
      </c>
      <c r="E2148" s="641" t="s">
        <v>1386</v>
      </c>
      <c r="F2148" s="662"/>
      <c r="G2148" s="662"/>
      <c r="H2148" s="641" t="s">
        <v>1386</v>
      </c>
      <c r="I2148" s="662"/>
      <c r="J2148" s="391"/>
    </row>
    <row r="2149" spans="1:11" ht="12.75" customHeight="1">
      <c r="A2149" s="646">
        <v>9</v>
      </c>
      <c r="B2149" s="646" t="s">
        <v>755</v>
      </c>
      <c r="C2149" s="641" t="s">
        <v>1386</v>
      </c>
      <c r="D2149" s="641" t="s">
        <v>1386</v>
      </c>
      <c r="E2149" s="641" t="s">
        <v>1386</v>
      </c>
      <c r="F2149" s="662"/>
      <c r="G2149" s="662"/>
      <c r="H2149" s="641" t="s">
        <v>1386</v>
      </c>
      <c r="I2149" s="662"/>
      <c r="J2149" s="391"/>
    </row>
    <row r="2150" spans="1:11" ht="12.75" customHeight="1">
      <c r="A2150" s="646">
        <v>10</v>
      </c>
      <c r="B2150" s="646" t="s">
        <v>1680</v>
      </c>
      <c r="C2150" s="641" t="s">
        <v>1386</v>
      </c>
      <c r="D2150" s="662">
        <v>1040000</v>
      </c>
      <c r="E2150" s="662">
        <v>1040000</v>
      </c>
      <c r="F2150" s="662"/>
      <c r="G2150" s="662"/>
      <c r="H2150" s="662">
        <v>1060800</v>
      </c>
      <c r="I2150" s="662"/>
      <c r="J2150" s="391"/>
    </row>
    <row r="2151" spans="1:11" ht="12.75" customHeight="1">
      <c r="A2151" s="646">
        <f>A2150+1</f>
        <v>11</v>
      </c>
      <c r="B2151" s="646" t="s">
        <v>1681</v>
      </c>
      <c r="C2151" s="641" t="s">
        <v>1386</v>
      </c>
      <c r="D2151" s="662">
        <v>104000</v>
      </c>
      <c r="E2151" s="662">
        <v>104000</v>
      </c>
      <c r="F2151" s="662"/>
      <c r="G2151" s="662"/>
      <c r="H2151" s="662">
        <v>106080</v>
      </c>
      <c r="I2151" s="662"/>
      <c r="J2151" s="391"/>
    </row>
    <row r="2152" spans="1:11" ht="12.75" customHeight="1">
      <c r="A2152" s="646">
        <f>A2151+1</f>
        <v>12</v>
      </c>
      <c r="B2152" s="646" t="s">
        <v>1682</v>
      </c>
      <c r="C2152" s="641" t="s">
        <v>1386</v>
      </c>
      <c r="D2152" s="662">
        <v>3120000</v>
      </c>
      <c r="E2152" s="662">
        <v>3120000</v>
      </c>
      <c r="F2152" s="662"/>
      <c r="G2152" s="662"/>
      <c r="H2152" s="662">
        <v>3182400</v>
      </c>
      <c r="I2152" s="662"/>
      <c r="J2152" s="391"/>
    </row>
    <row r="2153" spans="1:11" ht="12.75" customHeight="1">
      <c r="A2153" s="646">
        <f>A2152+1</f>
        <v>13</v>
      </c>
      <c r="B2153" s="646" t="s">
        <v>2249</v>
      </c>
      <c r="C2153" s="641" t="s">
        <v>1386</v>
      </c>
      <c r="D2153" s="662">
        <v>104000</v>
      </c>
      <c r="E2153" s="662">
        <v>104000</v>
      </c>
      <c r="F2153" s="662"/>
      <c r="G2153" s="662"/>
      <c r="H2153" s="662">
        <v>106080</v>
      </c>
      <c r="I2153" s="662"/>
      <c r="J2153" s="391"/>
    </row>
    <row r="2154" spans="1:11" ht="12.75" customHeight="1">
      <c r="A2154" s="646">
        <f>A2153+1</f>
        <v>14</v>
      </c>
      <c r="B2154" s="646" t="s">
        <v>1683</v>
      </c>
      <c r="C2154" s="641" t="s">
        <v>1386</v>
      </c>
      <c r="D2154" s="662">
        <v>832000</v>
      </c>
      <c r="E2154" s="662">
        <v>832000</v>
      </c>
      <c r="F2154" s="662"/>
      <c r="G2154" s="662"/>
      <c r="H2154" s="662">
        <v>848640</v>
      </c>
      <c r="I2154" s="662"/>
      <c r="J2154" s="391"/>
    </row>
    <row r="2155" spans="1:11" ht="12.75" customHeight="1">
      <c r="A2155" s="646">
        <f>A2154+1</f>
        <v>15</v>
      </c>
      <c r="B2155" s="646" t="s">
        <v>4110</v>
      </c>
      <c r="C2155" s="641" t="s">
        <v>1386</v>
      </c>
      <c r="D2155" s="662">
        <v>5200000</v>
      </c>
      <c r="E2155" s="662">
        <v>5200000</v>
      </c>
      <c r="F2155" s="662"/>
      <c r="G2155" s="662"/>
      <c r="H2155" s="662">
        <f>5304000-305760</f>
        <v>4998240</v>
      </c>
      <c r="I2155" s="662"/>
      <c r="J2155" s="391"/>
    </row>
    <row r="2156" spans="1:11" ht="12.75" customHeight="1">
      <c r="A2156" s="646"/>
      <c r="B2156" s="646"/>
      <c r="C2156" s="662"/>
      <c r="D2156" s="662"/>
      <c r="E2156" s="662"/>
      <c r="F2156" s="662"/>
      <c r="G2156" s="662"/>
      <c r="H2156" s="662"/>
      <c r="I2156" s="662"/>
      <c r="J2156" s="391"/>
    </row>
    <row r="2157" spans="1:11" ht="12.75" customHeight="1">
      <c r="A2157" s="646" t="s">
        <v>3391</v>
      </c>
      <c r="B2157" s="651" t="s">
        <v>819</v>
      </c>
      <c r="C2157" s="652">
        <f t="shared" ref="C2157:I2157" si="268">SUM(C2142:C2156)</f>
        <v>0</v>
      </c>
      <c r="D2157" s="652">
        <f t="shared" si="268"/>
        <v>15288000</v>
      </c>
      <c r="E2157" s="652">
        <f t="shared" si="268"/>
        <v>15288000</v>
      </c>
      <c r="F2157" s="652">
        <f t="shared" si="268"/>
        <v>0</v>
      </c>
      <c r="G2157" s="652">
        <f t="shared" si="268"/>
        <v>0</v>
      </c>
      <c r="H2157" s="652">
        <f t="shared" si="268"/>
        <v>15288000</v>
      </c>
      <c r="I2157" s="652">
        <f t="shared" si="268"/>
        <v>0</v>
      </c>
      <c r="J2157" s="391"/>
      <c r="K2157" s="657">
        <f>15288000-H2157</f>
        <v>0</v>
      </c>
    </row>
    <row r="2158" spans="1:11" ht="12.75" customHeight="1">
      <c r="A2158" s="646"/>
      <c r="B2158" s="646"/>
      <c r="C2158" s="641"/>
      <c r="D2158" s="641"/>
      <c r="E2158" s="641"/>
      <c r="F2158" s="647"/>
      <c r="G2158" s="641"/>
      <c r="H2158" s="641"/>
      <c r="I2158" s="662"/>
      <c r="J2158" s="391"/>
    </row>
    <row r="2159" spans="1:11" ht="12.75" customHeight="1">
      <c r="A2159" s="653"/>
      <c r="B2159" s="653" t="s">
        <v>1684</v>
      </c>
      <c r="C2159" s="645">
        <f>+C2157+C2140</f>
        <v>0</v>
      </c>
      <c r="D2159" s="645">
        <f t="shared" ref="D2159:I2159" si="269">+D2157+D2140</f>
        <v>15288000</v>
      </c>
      <c r="E2159" s="645">
        <f t="shared" si="269"/>
        <v>15288000</v>
      </c>
      <c r="F2159" s="645">
        <f t="shared" si="269"/>
        <v>0</v>
      </c>
      <c r="G2159" s="645">
        <f t="shared" si="269"/>
        <v>0</v>
      </c>
      <c r="H2159" s="645">
        <f t="shared" si="269"/>
        <v>15288000</v>
      </c>
      <c r="I2159" s="645" t="e">
        <f t="shared" si="269"/>
        <v>#REF!</v>
      </c>
      <c r="J2159" s="391"/>
    </row>
    <row r="2160" spans="1:11" ht="12.75" customHeight="1">
      <c r="A2160" s="391"/>
      <c r="B2160" s="391"/>
      <c r="C2160" s="647"/>
      <c r="D2160" s="647"/>
      <c r="E2160" s="647"/>
      <c r="F2160" s="647"/>
      <c r="G2160" s="647"/>
      <c r="H2160" s="647"/>
      <c r="I2160" s="391"/>
      <c r="J2160" s="391"/>
    </row>
    <row r="2161" spans="1:10" ht="12.75" customHeight="1">
      <c r="A2161" s="391"/>
      <c r="B2161" s="391"/>
      <c r="C2161" s="647"/>
      <c r="D2161" s="308" t="s">
        <v>5434</v>
      </c>
      <c r="E2161" s="647"/>
      <c r="F2161" s="647"/>
      <c r="G2161" s="60"/>
      <c r="H2161" s="647"/>
      <c r="I2161" s="391"/>
      <c r="J2161" s="391"/>
    </row>
    <row r="2162" spans="1:10" ht="12.75" customHeight="1">
      <c r="A2162" s="655"/>
      <c r="B2162" s="633"/>
      <c r="C2162" s="655"/>
      <c r="D2162" s="308" t="s">
        <v>716</v>
      </c>
      <c r="E2162" s="655"/>
      <c r="F2162" s="647"/>
      <c r="G2162" s="60"/>
      <c r="H2162" s="655"/>
      <c r="I2162" s="391"/>
      <c r="J2162" s="391"/>
    </row>
    <row r="2163" spans="1:10" ht="12.75" customHeight="1">
      <c r="A2163" s="655"/>
      <c r="B2163" s="633"/>
      <c r="C2163" s="655"/>
      <c r="D2163" s="308" t="s">
        <v>4122</v>
      </c>
      <c r="E2163" s="655"/>
      <c r="F2163" s="647"/>
      <c r="G2163" s="60"/>
      <c r="H2163" s="655"/>
      <c r="I2163" s="391"/>
      <c r="J2163" s="391"/>
    </row>
    <row r="2164" spans="1:10" ht="12.75" customHeight="1">
      <c r="A2164" s="655"/>
      <c r="B2164" s="655"/>
      <c r="C2164" s="655"/>
      <c r="D2164" s="307" t="s">
        <v>4123</v>
      </c>
      <c r="E2164" s="655"/>
      <c r="F2164" s="647"/>
      <c r="G2164" s="60"/>
      <c r="H2164" s="655"/>
      <c r="I2164" s="391"/>
      <c r="J2164" s="391"/>
    </row>
    <row r="2165" spans="1:10" ht="12.75" customHeight="1">
      <c r="A2165" s="634" t="s">
        <v>1839</v>
      </c>
      <c r="B2165" s="635" t="s">
        <v>903</v>
      </c>
      <c r="C2165" s="1037" t="s">
        <v>4127</v>
      </c>
      <c r="D2165" s="1038"/>
      <c r="E2165" s="1039"/>
      <c r="F2165" s="635" t="s">
        <v>1684</v>
      </c>
      <c r="G2165" s="1037" t="s">
        <v>4132</v>
      </c>
      <c r="H2165" s="1038"/>
      <c r="I2165" s="1039"/>
      <c r="J2165" s="391"/>
    </row>
    <row r="2166" spans="1:10" ht="12.75" customHeight="1">
      <c r="A2166" s="636" t="s">
        <v>1620</v>
      </c>
      <c r="B2166" s="637"/>
      <c r="C2166" s="635" t="s">
        <v>1841</v>
      </c>
      <c r="D2166" s="635" t="s">
        <v>4133</v>
      </c>
      <c r="E2166" s="635" t="s">
        <v>4133</v>
      </c>
      <c r="F2166" s="1056" t="s">
        <v>4200</v>
      </c>
      <c r="G2166" s="1051" t="s">
        <v>4201</v>
      </c>
      <c r="H2166" s="635" t="s">
        <v>1841</v>
      </c>
      <c r="I2166" s="634" t="s">
        <v>4135</v>
      </c>
      <c r="J2166" s="391"/>
    </row>
    <row r="2167" spans="1:10" ht="12.75" customHeight="1">
      <c r="A2167" s="638" t="s">
        <v>387</v>
      </c>
      <c r="B2167" s="639"/>
      <c r="C2167" s="638">
        <v>2015</v>
      </c>
      <c r="D2167" s="638">
        <v>2016</v>
      </c>
      <c r="E2167" s="638">
        <v>2017</v>
      </c>
      <c r="F2167" s="1057"/>
      <c r="G2167" s="1052"/>
      <c r="H2167" s="638">
        <v>2014</v>
      </c>
      <c r="I2167" s="638" t="s">
        <v>4303</v>
      </c>
      <c r="J2167" s="391"/>
    </row>
    <row r="2168" spans="1:10" ht="12.75" customHeight="1">
      <c r="A2168" s="646" t="s">
        <v>3390</v>
      </c>
      <c r="B2168" s="646" t="s">
        <v>1693</v>
      </c>
      <c r="C2168" s="662">
        <f>E2168*1.02</f>
        <v>0</v>
      </c>
      <c r="D2168" s="662">
        <v>0</v>
      </c>
      <c r="E2168" s="662">
        <v>0</v>
      </c>
      <c r="F2168" s="662"/>
      <c r="G2168" s="662"/>
      <c r="H2168" s="662">
        <v>0</v>
      </c>
      <c r="I2168" s="662" t="e">
        <f>#REF!</f>
        <v>#REF!</v>
      </c>
      <c r="J2168" s="391"/>
    </row>
    <row r="2169" spans="1:10" ht="12.75" customHeight="1">
      <c r="A2169" s="646"/>
      <c r="B2169" s="646"/>
      <c r="C2169" s="662"/>
      <c r="D2169" s="662"/>
      <c r="E2169" s="662"/>
      <c r="F2169" s="662"/>
      <c r="G2169" s="641"/>
      <c r="H2169" s="662"/>
      <c r="I2169" s="662"/>
      <c r="J2169" s="391"/>
    </row>
    <row r="2170" spans="1:10" ht="12.75" customHeight="1">
      <c r="A2170" s="646">
        <v>2</v>
      </c>
      <c r="B2170" s="646" t="s">
        <v>1695</v>
      </c>
      <c r="C2170" s="662">
        <v>2000000</v>
      </c>
      <c r="D2170" s="662">
        <v>2000000</v>
      </c>
      <c r="E2170" s="662">
        <v>2000000</v>
      </c>
      <c r="F2170" s="662">
        <f>SUM(C2170:E2170)</f>
        <v>6000000</v>
      </c>
      <c r="G2170" s="662"/>
      <c r="H2170" s="662">
        <v>2439840</v>
      </c>
      <c r="I2170" s="662"/>
      <c r="J2170" s="391"/>
    </row>
    <row r="2171" spans="1:10" ht="12.75" customHeight="1">
      <c r="A2171" s="646">
        <f>A2170+1</f>
        <v>3</v>
      </c>
      <c r="B2171" s="646" t="s">
        <v>1696</v>
      </c>
      <c r="C2171" s="641" t="s">
        <v>1386</v>
      </c>
      <c r="D2171" s="641" t="s">
        <v>1386</v>
      </c>
      <c r="E2171" s="641" t="s">
        <v>1386</v>
      </c>
      <c r="F2171" s="662">
        <f t="shared" ref="F2171:F2182" si="270">SUM(C2171:E2171)</f>
        <v>0</v>
      </c>
      <c r="G2171" s="662"/>
      <c r="H2171" s="641" t="s">
        <v>1386</v>
      </c>
      <c r="I2171" s="662"/>
      <c r="J2171" s="391"/>
    </row>
    <row r="2172" spans="1:10" ht="12.75" customHeight="1">
      <c r="A2172" s="646">
        <v>4</v>
      </c>
      <c r="B2172" s="646" t="s">
        <v>1701</v>
      </c>
      <c r="C2172" s="641" t="s">
        <v>1386</v>
      </c>
      <c r="D2172" s="641" t="s">
        <v>1386</v>
      </c>
      <c r="E2172" s="641" t="s">
        <v>1386</v>
      </c>
      <c r="F2172" s="662">
        <f t="shared" si="270"/>
        <v>0</v>
      </c>
      <c r="G2172" s="662"/>
      <c r="H2172" s="641" t="s">
        <v>1386</v>
      </c>
      <c r="I2172" s="662"/>
      <c r="J2172" s="391"/>
    </row>
    <row r="2173" spans="1:10" ht="12.75" customHeight="1">
      <c r="A2173" s="646">
        <v>5</v>
      </c>
      <c r="B2173" s="646" t="s">
        <v>1702</v>
      </c>
      <c r="C2173" s="662">
        <v>500000</v>
      </c>
      <c r="D2173" s="662">
        <v>500000</v>
      </c>
      <c r="E2173" s="662">
        <v>500000</v>
      </c>
      <c r="F2173" s="662">
        <f t="shared" si="270"/>
        <v>1500000</v>
      </c>
      <c r="G2173" s="662"/>
      <c r="H2173" s="662">
        <v>530400</v>
      </c>
      <c r="I2173" s="662"/>
      <c r="J2173" s="391"/>
    </row>
    <row r="2174" spans="1:10" ht="12.75" customHeight="1">
      <c r="A2174" s="646">
        <f>A2173+1</f>
        <v>6</v>
      </c>
      <c r="B2174" s="646" t="s">
        <v>1544</v>
      </c>
      <c r="C2174" s="662">
        <v>200000</v>
      </c>
      <c r="D2174" s="662">
        <v>200000</v>
      </c>
      <c r="E2174" s="662">
        <v>200000</v>
      </c>
      <c r="F2174" s="662">
        <f t="shared" si="270"/>
        <v>600000</v>
      </c>
      <c r="G2174" s="662"/>
      <c r="H2174" s="662">
        <v>212160</v>
      </c>
      <c r="I2174" s="662"/>
      <c r="J2174" s="391"/>
    </row>
    <row r="2175" spans="1:10" ht="12.75" customHeight="1">
      <c r="A2175" s="646">
        <f>A2174+1</f>
        <v>7</v>
      </c>
      <c r="B2175" s="646" t="s">
        <v>897</v>
      </c>
      <c r="C2175" s="662">
        <v>1000000</v>
      </c>
      <c r="D2175" s="662">
        <v>1000000</v>
      </c>
      <c r="E2175" s="662">
        <v>1000000</v>
      </c>
      <c r="F2175" s="662">
        <f t="shared" si="270"/>
        <v>3000000</v>
      </c>
      <c r="G2175" s="679"/>
      <c r="H2175" s="662">
        <v>2121600</v>
      </c>
      <c r="I2175" s="662"/>
      <c r="J2175" s="391"/>
    </row>
    <row r="2176" spans="1:10" ht="12.75" customHeight="1">
      <c r="A2176" s="646">
        <v>8</v>
      </c>
      <c r="B2176" s="646" t="s">
        <v>1385</v>
      </c>
      <c r="C2176" s="641" t="s">
        <v>1386</v>
      </c>
      <c r="D2176" s="641" t="s">
        <v>1386</v>
      </c>
      <c r="E2176" s="641" t="s">
        <v>1386</v>
      </c>
      <c r="F2176" s="662">
        <f t="shared" si="270"/>
        <v>0</v>
      </c>
      <c r="G2176" s="662"/>
      <c r="H2176" s="641" t="s">
        <v>1386</v>
      </c>
      <c r="I2176" s="662"/>
      <c r="J2176" s="391"/>
    </row>
    <row r="2177" spans="1:10" ht="12.75" customHeight="1">
      <c r="A2177" s="646">
        <v>9</v>
      </c>
      <c r="B2177" s="646" t="s">
        <v>755</v>
      </c>
      <c r="C2177" s="641" t="s">
        <v>1386</v>
      </c>
      <c r="D2177" s="641" t="s">
        <v>1386</v>
      </c>
      <c r="E2177" s="641" t="s">
        <v>1386</v>
      </c>
      <c r="F2177" s="662">
        <f t="shared" si="270"/>
        <v>0</v>
      </c>
      <c r="G2177" s="662"/>
      <c r="H2177" s="641" t="s">
        <v>1386</v>
      </c>
      <c r="I2177" s="662"/>
      <c r="J2177" s="391"/>
    </row>
    <row r="2178" spans="1:10" ht="12.75" customHeight="1">
      <c r="A2178" s="646">
        <v>10</v>
      </c>
      <c r="B2178" s="646" t="s">
        <v>1680</v>
      </c>
      <c r="C2178" s="662">
        <v>200000</v>
      </c>
      <c r="D2178" s="662">
        <v>200000</v>
      </c>
      <c r="E2178" s="662">
        <v>200000</v>
      </c>
      <c r="F2178" s="662">
        <f t="shared" si="270"/>
        <v>600000</v>
      </c>
      <c r="G2178" s="662"/>
      <c r="H2178" s="662">
        <v>1060800</v>
      </c>
      <c r="I2178" s="662"/>
      <c r="J2178" s="391"/>
    </row>
    <row r="2179" spans="1:10" ht="12.75" customHeight="1">
      <c r="A2179" s="646">
        <f>A2178+1</f>
        <v>11</v>
      </c>
      <c r="B2179" s="646" t="s">
        <v>1681</v>
      </c>
      <c r="C2179" s="662">
        <v>100000</v>
      </c>
      <c r="D2179" s="662">
        <v>100000</v>
      </c>
      <c r="E2179" s="662">
        <v>100000</v>
      </c>
      <c r="F2179" s="662">
        <f t="shared" si="270"/>
        <v>300000</v>
      </c>
      <c r="G2179" s="662"/>
      <c r="H2179" s="662">
        <v>106080</v>
      </c>
      <c r="I2179" s="662"/>
      <c r="J2179" s="391"/>
    </row>
    <row r="2180" spans="1:10" ht="12.75" customHeight="1">
      <c r="A2180" s="646">
        <f>A2179+1</f>
        <v>12</v>
      </c>
      <c r="B2180" s="646" t="s">
        <v>1682</v>
      </c>
      <c r="C2180" s="662">
        <v>2000000</v>
      </c>
      <c r="D2180" s="662">
        <v>3000000</v>
      </c>
      <c r="E2180" s="662">
        <v>4000000</v>
      </c>
      <c r="F2180" s="662">
        <f t="shared" si="270"/>
        <v>9000000</v>
      </c>
      <c r="G2180" s="662"/>
      <c r="H2180" s="662">
        <f>3182400-608000</f>
        <v>2574400</v>
      </c>
      <c r="I2180" s="662"/>
      <c r="J2180" s="391"/>
    </row>
    <row r="2181" spans="1:10" ht="12.75" customHeight="1">
      <c r="A2181" s="646">
        <f>A2180+1</f>
        <v>13</v>
      </c>
      <c r="B2181" s="646" t="s">
        <v>2249</v>
      </c>
      <c r="C2181" s="662">
        <v>100000</v>
      </c>
      <c r="D2181" s="662">
        <v>100000</v>
      </c>
      <c r="E2181" s="662">
        <v>100000</v>
      </c>
      <c r="F2181" s="662">
        <f t="shared" si="270"/>
        <v>300000</v>
      </c>
      <c r="G2181" s="662"/>
      <c r="H2181" s="662">
        <v>106080</v>
      </c>
      <c r="I2181" s="662"/>
      <c r="J2181" s="391"/>
    </row>
    <row r="2182" spans="1:10" ht="12.75" customHeight="1">
      <c r="A2182" s="646">
        <f>A2181+1</f>
        <v>14</v>
      </c>
      <c r="B2182" s="646" t="s">
        <v>1683</v>
      </c>
      <c r="C2182" s="662">
        <v>400000</v>
      </c>
      <c r="D2182" s="662">
        <v>400000</v>
      </c>
      <c r="E2182" s="662">
        <v>400000</v>
      </c>
      <c r="F2182" s="662">
        <f t="shared" si="270"/>
        <v>1200000</v>
      </c>
      <c r="G2182" s="662"/>
      <c r="H2182" s="662">
        <v>848640</v>
      </c>
      <c r="I2182" s="662"/>
      <c r="J2182" s="391"/>
    </row>
    <row r="2183" spans="1:10" ht="12.75" customHeight="1">
      <c r="A2183" s="646"/>
      <c r="B2183" s="646"/>
      <c r="C2183" s="662"/>
      <c r="D2183" s="662"/>
      <c r="E2183" s="662"/>
      <c r="F2183" s="662"/>
      <c r="G2183" s="662"/>
      <c r="H2183" s="662"/>
      <c r="I2183" s="662"/>
      <c r="J2183" s="391"/>
    </row>
    <row r="2184" spans="1:10" ht="12.75" customHeight="1">
      <c r="A2184" s="646" t="s">
        <v>3391</v>
      </c>
      <c r="B2184" s="651" t="s">
        <v>819</v>
      </c>
      <c r="C2184" s="652">
        <f>SUM(C2170:C2183)</f>
        <v>6500000</v>
      </c>
      <c r="D2184" s="652">
        <f t="shared" ref="D2184:I2184" si="271">SUM(D2170:D2183)</f>
        <v>7500000</v>
      </c>
      <c r="E2184" s="652">
        <f t="shared" si="271"/>
        <v>8500000</v>
      </c>
      <c r="F2184" s="652">
        <f t="shared" si="271"/>
        <v>22500000</v>
      </c>
      <c r="G2184" s="652">
        <f t="shared" si="271"/>
        <v>0</v>
      </c>
      <c r="H2184" s="652">
        <f t="shared" si="271"/>
        <v>10000000</v>
      </c>
      <c r="I2184" s="652">
        <f t="shared" si="271"/>
        <v>0</v>
      </c>
      <c r="J2184" s="391"/>
    </row>
    <row r="2185" spans="1:10" ht="12.75" customHeight="1">
      <c r="A2185" s="646"/>
      <c r="B2185" s="646"/>
      <c r="C2185" s="641"/>
      <c r="D2185" s="641"/>
      <c r="E2185" s="641"/>
      <c r="F2185" s="647"/>
      <c r="G2185" s="641"/>
      <c r="H2185" s="641"/>
      <c r="I2185" s="662"/>
      <c r="J2185" s="391"/>
    </row>
    <row r="2186" spans="1:10" ht="12.75" customHeight="1">
      <c r="A2186" s="653"/>
      <c r="B2186" s="653" t="s">
        <v>1684</v>
      </c>
      <c r="C2186" s="645">
        <f>+C2184+C2168</f>
        <v>6500000</v>
      </c>
      <c r="D2186" s="645">
        <f t="shared" ref="D2186:I2186" si="272">+D2184+D2168</f>
        <v>7500000</v>
      </c>
      <c r="E2186" s="645">
        <f t="shared" si="272"/>
        <v>8500000</v>
      </c>
      <c r="F2186" s="645">
        <f t="shared" si="272"/>
        <v>22500000</v>
      </c>
      <c r="G2186" s="645">
        <f t="shared" si="272"/>
        <v>0</v>
      </c>
      <c r="H2186" s="645">
        <f t="shared" si="272"/>
        <v>10000000</v>
      </c>
      <c r="I2186" s="645" t="e">
        <f t="shared" si="272"/>
        <v>#REF!</v>
      </c>
      <c r="J2186" s="391"/>
    </row>
    <row r="2187" spans="1:10" ht="12.75" customHeight="1">
      <c r="A2187" s="391"/>
      <c r="B2187" s="391"/>
      <c r="C2187" s="647"/>
      <c r="D2187" s="647"/>
      <c r="E2187" s="647"/>
      <c r="F2187" s="647"/>
      <c r="G2187" s="647"/>
      <c r="H2187" s="647"/>
      <c r="I2187" s="391"/>
      <c r="J2187" s="391"/>
    </row>
    <row r="2188" spans="1:10" ht="12.75" customHeight="1">
      <c r="A2188" s="391"/>
      <c r="B2188" s="391"/>
      <c r="C2188" s="647"/>
      <c r="D2188" s="308" t="s">
        <v>5434</v>
      </c>
      <c r="E2188" s="647"/>
      <c r="F2188" s="647"/>
      <c r="G2188" s="60"/>
      <c r="H2188" s="647"/>
      <c r="I2188" s="391"/>
      <c r="J2188" s="391"/>
    </row>
    <row r="2189" spans="1:10" ht="12.75" customHeight="1">
      <c r="A2189" s="655"/>
      <c r="B2189" s="633"/>
      <c r="C2189" s="655"/>
      <c r="D2189" s="308" t="s">
        <v>716</v>
      </c>
      <c r="E2189" s="655"/>
      <c r="F2189" s="647"/>
      <c r="G2189" s="60"/>
      <c r="H2189" s="655"/>
      <c r="I2189" s="391"/>
      <c r="J2189" s="391"/>
    </row>
    <row r="2190" spans="1:10" ht="12.75" customHeight="1">
      <c r="A2190" s="655"/>
      <c r="B2190" s="633"/>
      <c r="C2190" s="655"/>
      <c r="D2190" s="308" t="s">
        <v>4124</v>
      </c>
      <c r="E2190" s="655"/>
      <c r="F2190" s="647"/>
      <c r="G2190" s="60"/>
      <c r="H2190" s="655"/>
      <c r="I2190" s="391"/>
      <c r="J2190" s="391"/>
    </row>
    <row r="2191" spans="1:10" ht="12.75" customHeight="1">
      <c r="A2191" s="655"/>
      <c r="B2191" s="655"/>
      <c r="C2191" s="655"/>
      <c r="D2191" s="307" t="s">
        <v>4125</v>
      </c>
      <c r="E2191" s="655"/>
      <c r="F2191" s="647"/>
      <c r="G2191" s="60"/>
      <c r="H2191" s="655"/>
      <c r="I2191" s="391"/>
      <c r="J2191" s="391"/>
    </row>
    <row r="2192" spans="1:10" ht="12.75" customHeight="1">
      <c r="A2192" s="634" t="s">
        <v>1839</v>
      </c>
      <c r="B2192" s="635" t="s">
        <v>903</v>
      </c>
      <c r="C2192" s="1037" t="s">
        <v>4127</v>
      </c>
      <c r="D2192" s="1038"/>
      <c r="E2192" s="1039"/>
      <c r="F2192" s="635" t="s">
        <v>1684</v>
      </c>
      <c r="G2192" s="1037" t="s">
        <v>4132</v>
      </c>
      <c r="H2192" s="1038"/>
      <c r="I2192" s="1039"/>
      <c r="J2192" s="391"/>
    </row>
    <row r="2193" spans="1:10" ht="12.75" customHeight="1">
      <c r="A2193" s="636" t="s">
        <v>1620</v>
      </c>
      <c r="B2193" s="637"/>
      <c r="C2193" s="635" t="s">
        <v>1841</v>
      </c>
      <c r="D2193" s="635" t="s">
        <v>4133</v>
      </c>
      <c r="E2193" s="635" t="s">
        <v>4133</v>
      </c>
      <c r="F2193" s="1056" t="s">
        <v>4200</v>
      </c>
      <c r="G2193" s="1051" t="s">
        <v>4201</v>
      </c>
      <c r="H2193" s="635" t="s">
        <v>1841</v>
      </c>
      <c r="I2193" s="634" t="s">
        <v>4135</v>
      </c>
      <c r="J2193" s="391"/>
    </row>
    <row r="2194" spans="1:10" ht="12.75" customHeight="1">
      <c r="A2194" s="638" t="s">
        <v>387</v>
      </c>
      <c r="B2194" s="639"/>
      <c r="C2194" s="638">
        <v>2015</v>
      </c>
      <c r="D2194" s="638">
        <v>2016</v>
      </c>
      <c r="E2194" s="638">
        <v>2017</v>
      </c>
      <c r="F2194" s="1057"/>
      <c r="G2194" s="1052"/>
      <c r="H2194" s="638">
        <v>2014</v>
      </c>
      <c r="I2194" s="638" t="s">
        <v>4303</v>
      </c>
      <c r="J2194" s="391"/>
    </row>
    <row r="2195" spans="1:10" ht="12.75" customHeight="1">
      <c r="A2195" s="646" t="s">
        <v>3390</v>
      </c>
      <c r="B2195" s="646" t="s">
        <v>1693</v>
      </c>
      <c r="C2195" s="662">
        <v>120000000</v>
      </c>
      <c r="D2195" s="662">
        <v>150000000</v>
      </c>
      <c r="E2195" s="662">
        <v>150000000</v>
      </c>
      <c r="F2195" s="647">
        <f>SUM(C2195:E2195)</f>
        <v>420000000</v>
      </c>
      <c r="G2195" s="662">
        <v>116696352</v>
      </c>
      <c r="H2195" s="662">
        <v>400000000</v>
      </c>
      <c r="I2195" s="662" t="e">
        <f>#REF!</f>
        <v>#REF!</v>
      </c>
      <c r="J2195" s="391"/>
    </row>
    <row r="2196" spans="1:10" ht="12.75" customHeight="1">
      <c r="A2196" s="646"/>
      <c r="B2196" s="646"/>
      <c r="C2196" s="662"/>
      <c r="D2196" s="662"/>
      <c r="E2196" s="662"/>
      <c r="F2196" s="647">
        <f t="shared" ref="F2196:F2215" si="273">SUM(C2196:E2196)</f>
        <v>0</v>
      </c>
      <c r="G2196" s="641"/>
      <c r="H2196" s="662"/>
      <c r="I2196" s="662"/>
      <c r="J2196" s="391"/>
    </row>
    <row r="2197" spans="1:10" ht="12.75" customHeight="1">
      <c r="A2197" s="646">
        <v>2</v>
      </c>
      <c r="B2197" s="646" t="s">
        <v>1695</v>
      </c>
      <c r="C2197" s="662" t="s">
        <v>1386</v>
      </c>
      <c r="D2197" s="662" t="s">
        <v>1386</v>
      </c>
      <c r="E2197" s="662" t="s">
        <v>1386</v>
      </c>
      <c r="F2197" s="647">
        <f t="shared" si="273"/>
        <v>0</v>
      </c>
      <c r="G2197" s="662"/>
      <c r="H2197" s="662" t="s">
        <v>1386</v>
      </c>
      <c r="I2197" s="662"/>
      <c r="J2197" s="391"/>
    </row>
    <row r="2198" spans="1:10" ht="12.75" customHeight="1">
      <c r="A2198" s="646">
        <f>A2197+1</f>
        <v>3</v>
      </c>
      <c r="B2198" s="646" t="s">
        <v>1696</v>
      </c>
      <c r="C2198" s="662" t="s">
        <v>1386</v>
      </c>
      <c r="D2198" s="662" t="s">
        <v>1386</v>
      </c>
      <c r="E2198" s="662" t="s">
        <v>1386</v>
      </c>
      <c r="F2198" s="647">
        <f t="shared" si="273"/>
        <v>0</v>
      </c>
      <c r="G2198" s="662"/>
      <c r="H2198" s="662" t="s">
        <v>1386</v>
      </c>
      <c r="I2198" s="662"/>
      <c r="J2198" s="391"/>
    </row>
    <row r="2199" spans="1:10" ht="12.75" customHeight="1">
      <c r="A2199" s="646">
        <v>4</v>
      </c>
      <c r="B2199" s="646" t="s">
        <v>1701</v>
      </c>
      <c r="C2199" s="662" t="s">
        <v>1386</v>
      </c>
      <c r="D2199" s="662" t="s">
        <v>1386</v>
      </c>
      <c r="E2199" s="662" t="s">
        <v>1386</v>
      </c>
      <c r="F2199" s="647">
        <f t="shared" si="273"/>
        <v>0</v>
      </c>
      <c r="G2199" s="662"/>
      <c r="H2199" s="662" t="s">
        <v>1386</v>
      </c>
      <c r="I2199" s="662"/>
      <c r="J2199" s="391"/>
    </row>
    <row r="2200" spans="1:10" ht="12.75" customHeight="1">
      <c r="A2200" s="646">
        <v>5</v>
      </c>
      <c r="B2200" s="646" t="s">
        <v>1702</v>
      </c>
      <c r="C2200" s="662" t="s">
        <v>1386</v>
      </c>
      <c r="D2200" s="662" t="s">
        <v>1386</v>
      </c>
      <c r="E2200" s="662" t="s">
        <v>1386</v>
      </c>
      <c r="F2200" s="647">
        <f t="shared" si="273"/>
        <v>0</v>
      </c>
      <c r="G2200" s="662"/>
      <c r="H2200" s="662" t="s">
        <v>1386</v>
      </c>
      <c r="I2200" s="662"/>
      <c r="J2200" s="391"/>
    </row>
    <row r="2201" spans="1:10" ht="12.75" customHeight="1">
      <c r="A2201" s="646">
        <f>A2200+1</f>
        <v>6</v>
      </c>
      <c r="B2201" s="646" t="s">
        <v>1544</v>
      </c>
      <c r="C2201" s="662" t="s">
        <v>1386</v>
      </c>
      <c r="D2201" s="662" t="s">
        <v>1386</v>
      </c>
      <c r="E2201" s="662" t="s">
        <v>1386</v>
      </c>
      <c r="F2201" s="647">
        <f t="shared" si="273"/>
        <v>0</v>
      </c>
      <c r="G2201" s="662"/>
      <c r="H2201" s="662" t="s">
        <v>1386</v>
      </c>
      <c r="I2201" s="662"/>
      <c r="J2201" s="391"/>
    </row>
    <row r="2202" spans="1:10" ht="12.75" customHeight="1">
      <c r="A2202" s="646">
        <f>A2201+1</f>
        <v>7</v>
      </c>
      <c r="B2202" s="646" t="s">
        <v>897</v>
      </c>
      <c r="C2202" s="662" t="s">
        <v>1386</v>
      </c>
      <c r="D2202" s="662" t="s">
        <v>1386</v>
      </c>
      <c r="E2202" s="662" t="s">
        <v>1386</v>
      </c>
      <c r="F2202" s="647">
        <f t="shared" si="273"/>
        <v>0</v>
      </c>
      <c r="G2202" s="679"/>
      <c r="H2202" s="662" t="s">
        <v>1386</v>
      </c>
      <c r="I2202" s="662"/>
      <c r="J2202" s="391"/>
    </row>
    <row r="2203" spans="1:10" ht="12.75" customHeight="1">
      <c r="A2203" s="646">
        <v>8</v>
      </c>
      <c r="B2203" s="646" t="s">
        <v>1385</v>
      </c>
      <c r="C2203" s="662" t="s">
        <v>1386</v>
      </c>
      <c r="D2203" s="662" t="s">
        <v>1386</v>
      </c>
      <c r="E2203" s="662" t="s">
        <v>1386</v>
      </c>
      <c r="F2203" s="647">
        <f t="shared" si="273"/>
        <v>0</v>
      </c>
      <c r="G2203" s="662"/>
      <c r="H2203" s="662" t="s">
        <v>1386</v>
      </c>
      <c r="I2203" s="662"/>
      <c r="J2203" s="391"/>
    </row>
    <row r="2204" spans="1:10" ht="12.75" customHeight="1">
      <c r="A2204" s="646">
        <v>9</v>
      </c>
      <c r="B2204" s="646" t="s">
        <v>755</v>
      </c>
      <c r="C2204" s="662" t="s">
        <v>1386</v>
      </c>
      <c r="D2204" s="662" t="s">
        <v>1386</v>
      </c>
      <c r="E2204" s="662" t="s">
        <v>1386</v>
      </c>
      <c r="F2204" s="647">
        <f t="shared" si="273"/>
        <v>0</v>
      </c>
      <c r="G2204" s="662"/>
      <c r="H2204" s="662" t="s">
        <v>1386</v>
      </c>
      <c r="I2204" s="662"/>
      <c r="J2204" s="391"/>
    </row>
    <row r="2205" spans="1:10" ht="12.75" customHeight="1">
      <c r="A2205" s="646">
        <v>10</v>
      </c>
      <c r="B2205" s="646" t="s">
        <v>1680</v>
      </c>
      <c r="C2205" s="662" t="s">
        <v>1386</v>
      </c>
      <c r="D2205" s="662" t="s">
        <v>1386</v>
      </c>
      <c r="E2205" s="662" t="s">
        <v>1386</v>
      </c>
      <c r="F2205" s="647">
        <f t="shared" si="273"/>
        <v>0</v>
      </c>
      <c r="G2205" s="662"/>
      <c r="H2205" s="662" t="s">
        <v>1386</v>
      </c>
      <c r="I2205" s="662"/>
      <c r="J2205" s="391"/>
    </row>
    <row r="2206" spans="1:10" ht="12.75" customHeight="1">
      <c r="A2206" s="646">
        <f t="shared" ref="A2206:A2214" si="274">A2205+1</f>
        <v>11</v>
      </c>
      <c r="B2206" s="646" t="s">
        <v>1681</v>
      </c>
      <c r="C2206" s="662" t="s">
        <v>1386</v>
      </c>
      <c r="D2206" s="662" t="s">
        <v>1386</v>
      </c>
      <c r="E2206" s="662" t="s">
        <v>1386</v>
      </c>
      <c r="F2206" s="647">
        <f t="shared" si="273"/>
        <v>0</v>
      </c>
      <c r="G2206" s="662"/>
      <c r="H2206" s="662" t="s">
        <v>1386</v>
      </c>
      <c r="I2206" s="662"/>
      <c r="J2206" s="391"/>
    </row>
    <row r="2207" spans="1:10" ht="12.75" customHeight="1">
      <c r="A2207" s="646">
        <f t="shared" si="274"/>
        <v>12</v>
      </c>
      <c r="B2207" s="646" t="s">
        <v>1682</v>
      </c>
      <c r="C2207" s="662" t="s">
        <v>1386</v>
      </c>
      <c r="D2207" s="662" t="s">
        <v>1386</v>
      </c>
      <c r="E2207" s="662" t="s">
        <v>1386</v>
      </c>
      <c r="F2207" s="647">
        <f t="shared" si="273"/>
        <v>0</v>
      </c>
      <c r="G2207" s="662"/>
      <c r="H2207" s="662" t="s">
        <v>1386</v>
      </c>
      <c r="I2207" s="662"/>
      <c r="J2207" s="391"/>
    </row>
    <row r="2208" spans="1:10" ht="12.75" customHeight="1">
      <c r="A2208" s="646">
        <f t="shared" si="274"/>
        <v>13</v>
      </c>
      <c r="B2208" s="646" t="s">
        <v>2249</v>
      </c>
      <c r="C2208" s="662" t="s">
        <v>1386</v>
      </c>
      <c r="D2208" s="662" t="s">
        <v>1386</v>
      </c>
      <c r="E2208" s="662" t="s">
        <v>1386</v>
      </c>
      <c r="F2208" s="647">
        <f t="shared" si="273"/>
        <v>0</v>
      </c>
      <c r="G2208" s="662"/>
      <c r="H2208" s="662" t="s">
        <v>1386</v>
      </c>
      <c r="I2208" s="662"/>
      <c r="J2208" s="391"/>
    </row>
    <row r="2209" spans="1:11" ht="12.75" customHeight="1">
      <c r="A2209" s="646">
        <f t="shared" si="274"/>
        <v>14</v>
      </c>
      <c r="B2209" s="646" t="s">
        <v>1683</v>
      </c>
      <c r="C2209" s="662" t="s">
        <v>1386</v>
      </c>
      <c r="D2209" s="662" t="s">
        <v>1386</v>
      </c>
      <c r="E2209" s="662" t="s">
        <v>1386</v>
      </c>
      <c r="F2209" s="647">
        <f t="shared" si="273"/>
        <v>0</v>
      </c>
      <c r="G2209" s="662"/>
      <c r="H2209" s="662" t="s">
        <v>1386</v>
      </c>
      <c r="I2209" s="662"/>
      <c r="J2209" s="391"/>
    </row>
    <row r="2210" spans="1:11" ht="12.75" customHeight="1">
      <c r="A2210" s="646">
        <f t="shared" si="274"/>
        <v>15</v>
      </c>
      <c r="B2210" s="646" t="s">
        <v>4170</v>
      </c>
      <c r="C2210" s="662" t="s">
        <v>1386</v>
      </c>
      <c r="D2210" s="662" t="s">
        <v>1386</v>
      </c>
      <c r="E2210" s="662" t="s">
        <v>1386</v>
      </c>
      <c r="F2210" s="647">
        <f t="shared" si="273"/>
        <v>0</v>
      </c>
      <c r="G2210" s="662"/>
      <c r="H2210" s="662" t="s">
        <v>1386</v>
      </c>
      <c r="I2210" s="662"/>
      <c r="J2210" s="391"/>
    </row>
    <row r="2211" spans="1:11" ht="12.75" customHeight="1">
      <c r="A2211" s="646">
        <f t="shared" si="274"/>
        <v>16</v>
      </c>
      <c r="B2211" s="646" t="s">
        <v>4213</v>
      </c>
      <c r="C2211" s="662" t="s">
        <v>1386</v>
      </c>
      <c r="D2211" s="662" t="s">
        <v>1386</v>
      </c>
      <c r="E2211" s="662" t="s">
        <v>1386</v>
      </c>
      <c r="F2211" s="647">
        <f t="shared" si="273"/>
        <v>0</v>
      </c>
      <c r="G2211" s="662"/>
      <c r="H2211" s="662" t="s">
        <v>1386</v>
      </c>
      <c r="I2211" s="662"/>
      <c r="J2211" s="391"/>
    </row>
    <row r="2212" spans="1:11" ht="12.75" customHeight="1">
      <c r="A2212" s="646">
        <f t="shared" si="274"/>
        <v>17</v>
      </c>
      <c r="B2212" s="646" t="s">
        <v>3508</v>
      </c>
      <c r="C2212" s="662" t="s">
        <v>1386</v>
      </c>
      <c r="D2212" s="662" t="s">
        <v>1386</v>
      </c>
      <c r="E2212" s="662" t="s">
        <v>1386</v>
      </c>
      <c r="F2212" s="647">
        <f>SUM(C2212:E2212)</f>
        <v>0</v>
      </c>
      <c r="G2212" s="662"/>
      <c r="H2212" s="662" t="s">
        <v>1386</v>
      </c>
      <c r="I2212" s="662"/>
      <c r="J2212" s="391"/>
    </row>
    <row r="2213" spans="1:11" ht="12.75" customHeight="1">
      <c r="A2213" s="646">
        <f t="shared" si="274"/>
        <v>18</v>
      </c>
      <c r="B2213" s="646" t="s">
        <v>4215</v>
      </c>
      <c r="C2213" s="662" t="s">
        <v>1386</v>
      </c>
      <c r="D2213" s="662" t="s">
        <v>1386</v>
      </c>
      <c r="E2213" s="662" t="s">
        <v>1386</v>
      </c>
      <c r="F2213" s="647">
        <f>SUM(C2213:E2213)</f>
        <v>0</v>
      </c>
      <c r="G2213" s="662"/>
      <c r="H2213" s="662" t="s">
        <v>1386</v>
      </c>
      <c r="I2213" s="662"/>
      <c r="J2213" s="391"/>
    </row>
    <row r="2214" spans="1:11" ht="12.75" customHeight="1">
      <c r="A2214" s="646">
        <f t="shared" si="274"/>
        <v>19</v>
      </c>
      <c r="B2214" s="646" t="s">
        <v>4214</v>
      </c>
      <c r="C2214" s="662" t="s">
        <v>1386</v>
      </c>
      <c r="D2214" s="662" t="s">
        <v>1386</v>
      </c>
      <c r="E2214" s="662" t="s">
        <v>1386</v>
      </c>
      <c r="F2214" s="647">
        <f>SUM(C2214:E2214)</f>
        <v>0</v>
      </c>
      <c r="G2214" s="662"/>
      <c r="H2214" s="662" t="s">
        <v>1386</v>
      </c>
      <c r="I2214" s="662"/>
      <c r="J2214" s="391"/>
    </row>
    <row r="2215" spans="1:11" ht="12.75" customHeight="1">
      <c r="A2215" s="646">
        <v>20</v>
      </c>
      <c r="B2215" s="646" t="s">
        <v>4301</v>
      </c>
      <c r="C2215" s="662">
        <v>265000000</v>
      </c>
      <c r="D2215" s="662">
        <v>285000000</v>
      </c>
      <c r="E2215" s="662">
        <v>285000000</v>
      </c>
      <c r="F2215" s="647">
        <f t="shared" si="273"/>
        <v>835000000</v>
      </c>
      <c r="G2215" s="662"/>
      <c r="H2215" s="662">
        <v>300000000</v>
      </c>
      <c r="I2215" s="662">
        <f>99117264+7980000+1741000</f>
        <v>108838264</v>
      </c>
      <c r="J2215" s="391"/>
      <c r="K2215" s="60">
        <f>265/12</f>
        <v>22.083333333333332</v>
      </c>
    </row>
    <row r="2216" spans="1:11" ht="12.75" customHeight="1">
      <c r="A2216" s="646" t="s">
        <v>3391</v>
      </c>
      <c r="B2216" s="651" t="s">
        <v>819</v>
      </c>
      <c r="C2216" s="652">
        <f>SUM(C2197:C2215)</f>
        <v>265000000</v>
      </c>
      <c r="D2216" s="652">
        <f t="shared" ref="D2216:I2216" si="275">SUM(D2197:D2215)</f>
        <v>285000000</v>
      </c>
      <c r="E2216" s="652">
        <f t="shared" si="275"/>
        <v>285000000</v>
      </c>
      <c r="F2216" s="652">
        <f t="shared" si="275"/>
        <v>835000000</v>
      </c>
      <c r="G2216" s="652">
        <f t="shared" si="275"/>
        <v>0</v>
      </c>
      <c r="H2216" s="652">
        <f t="shared" si="275"/>
        <v>300000000</v>
      </c>
      <c r="I2216" s="652">
        <f t="shared" si="275"/>
        <v>108838264</v>
      </c>
      <c r="J2216" s="391"/>
      <c r="K2216" s="60">
        <f>22.0833*11</f>
        <v>242.91630000000001</v>
      </c>
    </row>
    <row r="2217" spans="1:11" ht="12.75" customHeight="1">
      <c r="A2217" s="646"/>
      <c r="B2217" s="646"/>
      <c r="C2217" s="641"/>
      <c r="D2217" s="641"/>
      <c r="E2217" s="641"/>
      <c r="F2217" s="647"/>
      <c r="G2217" s="641"/>
      <c r="H2217" s="641"/>
      <c r="I2217" s="662"/>
      <c r="J2217" s="391"/>
    </row>
    <row r="2218" spans="1:11" ht="12.75" customHeight="1">
      <c r="A2218" s="653"/>
      <c r="B2218" s="653" t="s">
        <v>1684</v>
      </c>
      <c r="C2218" s="645">
        <f>+C2216+C2195</f>
        <v>385000000</v>
      </c>
      <c r="D2218" s="645">
        <v>388960000</v>
      </c>
      <c r="E2218" s="645">
        <v>388960000</v>
      </c>
      <c r="F2218" s="645">
        <f>+F2216+F2195</f>
        <v>1255000000</v>
      </c>
      <c r="G2218" s="645">
        <f>+G2216+G2195</f>
        <v>116696352</v>
      </c>
      <c r="H2218" s="645">
        <f>+H2216+H2195</f>
        <v>700000000</v>
      </c>
      <c r="I2218" s="645" t="e">
        <f>+I2216+I2195</f>
        <v>#REF!</v>
      </c>
      <c r="J2218" s="391"/>
    </row>
    <row r="2219" spans="1:11" ht="12.75" customHeight="1">
      <c r="A2219" s="391"/>
      <c r="B2219" s="391"/>
      <c r="C2219" s="391"/>
      <c r="D2219" s="647"/>
      <c r="E2219" s="647"/>
      <c r="F2219" s="647"/>
      <c r="G2219" s="647"/>
      <c r="H2219" s="391"/>
      <c r="I2219" s="391"/>
      <c r="J2219" s="391"/>
    </row>
    <row r="2220" spans="1:11" ht="12.75" customHeight="1">
      <c r="A2220" s="391"/>
      <c r="B2220" s="391"/>
      <c r="C2220" s="647"/>
      <c r="D2220" s="308" t="s">
        <v>5434</v>
      </c>
      <c r="E2220" s="647"/>
      <c r="F2220" s="647"/>
      <c r="G2220" s="60"/>
      <c r="H2220" s="647"/>
      <c r="I2220" s="391"/>
      <c r="J2220" s="391"/>
    </row>
    <row r="2221" spans="1:11" ht="12.75" customHeight="1">
      <c r="A2221" s="655"/>
      <c r="B2221" s="633"/>
      <c r="C2221" s="655"/>
      <c r="D2221" s="308" t="s">
        <v>716</v>
      </c>
      <c r="E2221" s="655"/>
      <c r="F2221" s="647"/>
      <c r="G2221" s="60"/>
      <c r="H2221" s="655"/>
      <c r="I2221" s="391"/>
      <c r="J2221" s="391"/>
    </row>
    <row r="2222" spans="1:11" ht="12.75" customHeight="1">
      <c r="A2222" s="655"/>
      <c r="B2222" s="633"/>
      <c r="C2222" s="655"/>
      <c r="D2222" s="308" t="s">
        <v>4171</v>
      </c>
      <c r="E2222" s="655"/>
      <c r="F2222" s="647"/>
      <c r="G2222" s="60"/>
      <c r="H2222" s="655"/>
      <c r="I2222" s="391"/>
      <c r="J2222" s="391"/>
    </row>
    <row r="2223" spans="1:11" ht="12.75" customHeight="1">
      <c r="A2223" s="655"/>
      <c r="B2223" s="655"/>
      <c r="C2223" s="655"/>
      <c r="D2223" s="307" t="s">
        <v>4172</v>
      </c>
      <c r="E2223" s="655"/>
      <c r="F2223" s="647"/>
      <c r="G2223" s="60"/>
      <c r="H2223" s="655"/>
      <c r="I2223" s="391"/>
      <c r="J2223" s="391"/>
    </row>
    <row r="2224" spans="1:11" ht="12.75" customHeight="1">
      <c r="A2224" s="634" t="s">
        <v>1839</v>
      </c>
      <c r="B2224" s="635" t="s">
        <v>903</v>
      </c>
      <c r="C2224" s="1037" t="s">
        <v>4127</v>
      </c>
      <c r="D2224" s="1038"/>
      <c r="E2224" s="1039"/>
      <c r="F2224" s="635" t="s">
        <v>1684</v>
      </c>
      <c r="G2224" s="1037" t="s">
        <v>4132</v>
      </c>
      <c r="H2224" s="1038"/>
      <c r="I2224" s="1039"/>
      <c r="J2224" s="391"/>
    </row>
    <row r="2225" spans="1:10" ht="12.75" customHeight="1">
      <c r="A2225" s="636" t="s">
        <v>1620</v>
      </c>
      <c r="B2225" s="637"/>
      <c r="C2225" s="635" t="s">
        <v>1841</v>
      </c>
      <c r="D2225" s="635" t="s">
        <v>4133</v>
      </c>
      <c r="E2225" s="635" t="s">
        <v>4133</v>
      </c>
      <c r="F2225" s="1056" t="s">
        <v>4200</v>
      </c>
      <c r="G2225" s="1051" t="s">
        <v>4201</v>
      </c>
      <c r="H2225" s="635" t="s">
        <v>1841</v>
      </c>
      <c r="I2225" s="634" t="s">
        <v>4135</v>
      </c>
      <c r="J2225" s="391"/>
    </row>
    <row r="2226" spans="1:10" ht="12.75" customHeight="1">
      <c r="A2226" s="638" t="s">
        <v>387</v>
      </c>
      <c r="B2226" s="639"/>
      <c r="C2226" s="638">
        <v>2015</v>
      </c>
      <c r="D2226" s="638">
        <v>2016</v>
      </c>
      <c r="E2226" s="638">
        <v>2017</v>
      </c>
      <c r="F2226" s="1057"/>
      <c r="G2226" s="1052"/>
      <c r="H2226" s="638">
        <v>2014</v>
      </c>
      <c r="I2226" s="638" t="s">
        <v>4303</v>
      </c>
      <c r="J2226" s="391"/>
    </row>
    <row r="2227" spans="1:10" ht="12.75" customHeight="1">
      <c r="A2227" s="646" t="s">
        <v>3390</v>
      </c>
      <c r="B2227" s="646" t="s">
        <v>1693</v>
      </c>
      <c r="C2227" s="662">
        <f>E2227*1.02</f>
        <v>0</v>
      </c>
      <c r="D2227" s="662">
        <f>F2227*1.02</f>
        <v>0</v>
      </c>
      <c r="E2227" s="662">
        <f>G2227*1.02</f>
        <v>0</v>
      </c>
      <c r="F2227" s="662">
        <f>H2227*1.02</f>
        <v>0</v>
      </c>
      <c r="G2227" s="662">
        <f>I2227*1.02</f>
        <v>0</v>
      </c>
      <c r="H2227" s="662">
        <v>0</v>
      </c>
      <c r="I2227" s="662">
        <v>0</v>
      </c>
      <c r="J2227" s="391"/>
    </row>
    <row r="2228" spans="1:10" ht="12.75" customHeight="1">
      <c r="A2228" s="646"/>
      <c r="B2228" s="646"/>
      <c r="C2228" s="662"/>
      <c r="D2228" s="662"/>
      <c r="E2228" s="662"/>
      <c r="F2228" s="647"/>
      <c r="G2228" s="641"/>
      <c r="H2228" s="662"/>
      <c r="I2228" s="662"/>
      <c r="J2228" s="391"/>
    </row>
    <row r="2229" spans="1:10" ht="12.75" customHeight="1">
      <c r="A2229" s="646">
        <v>2</v>
      </c>
      <c r="B2229" s="646" t="s">
        <v>1695</v>
      </c>
      <c r="C2229" s="662">
        <v>1000000</v>
      </c>
      <c r="D2229" s="662">
        <v>1000000</v>
      </c>
      <c r="E2229" s="662">
        <v>1000000</v>
      </c>
      <c r="F2229" s="647">
        <f>SUM(C2229:E2229)</f>
        <v>3000000</v>
      </c>
      <c r="G2229" s="662"/>
      <c r="H2229" s="662">
        <v>2000000</v>
      </c>
      <c r="I2229" s="662">
        <v>792000</v>
      </c>
      <c r="J2229" s="391"/>
    </row>
    <row r="2230" spans="1:10" ht="12.75" customHeight="1">
      <c r="A2230" s="646">
        <f>A2229+1</f>
        <v>3</v>
      </c>
      <c r="B2230" s="646" t="s">
        <v>1696</v>
      </c>
      <c r="C2230" s="662" t="s">
        <v>1386</v>
      </c>
      <c r="D2230" s="662" t="s">
        <v>1386</v>
      </c>
      <c r="E2230" s="662" t="s">
        <v>1386</v>
      </c>
      <c r="F2230" s="647">
        <f t="shared" ref="F2230:F2242" si="276">SUM(C2230:E2230)</f>
        <v>0</v>
      </c>
      <c r="G2230" s="662"/>
      <c r="H2230" s="662" t="s">
        <v>1386</v>
      </c>
      <c r="I2230" s="662"/>
      <c r="J2230" s="391"/>
    </row>
    <row r="2231" spans="1:10" ht="12.75" customHeight="1">
      <c r="A2231" s="646">
        <v>4</v>
      </c>
      <c r="B2231" s="646" t="s">
        <v>1701</v>
      </c>
      <c r="C2231" s="662" t="s">
        <v>1386</v>
      </c>
      <c r="D2231" s="662" t="s">
        <v>1386</v>
      </c>
      <c r="E2231" s="662" t="s">
        <v>1386</v>
      </c>
      <c r="F2231" s="647">
        <f t="shared" si="276"/>
        <v>0</v>
      </c>
      <c r="G2231" s="662"/>
      <c r="H2231" s="662" t="s">
        <v>1386</v>
      </c>
      <c r="I2231" s="662"/>
      <c r="J2231" s="391"/>
    </row>
    <row r="2232" spans="1:10" ht="12.75" customHeight="1">
      <c r="A2232" s="646">
        <v>5</v>
      </c>
      <c r="B2232" s="646" t="s">
        <v>1702</v>
      </c>
      <c r="C2232" s="662">
        <v>100000</v>
      </c>
      <c r="D2232" s="662">
        <v>100000</v>
      </c>
      <c r="E2232" s="662">
        <v>100000</v>
      </c>
      <c r="F2232" s="647">
        <f t="shared" si="276"/>
        <v>300000</v>
      </c>
      <c r="G2232" s="662"/>
      <c r="H2232" s="662">
        <v>100000</v>
      </c>
      <c r="I2232" s="662">
        <v>41000</v>
      </c>
      <c r="J2232" s="391"/>
    </row>
    <row r="2233" spans="1:10" ht="12.75" customHeight="1">
      <c r="A2233" s="646">
        <f>A2232+1</f>
        <v>6</v>
      </c>
      <c r="B2233" s="646" t="s">
        <v>1544</v>
      </c>
      <c r="C2233" s="662">
        <v>300000</v>
      </c>
      <c r="D2233" s="662">
        <v>500000</v>
      </c>
      <c r="E2233" s="662">
        <v>500000</v>
      </c>
      <c r="F2233" s="647">
        <f t="shared" si="276"/>
        <v>1300000</v>
      </c>
      <c r="G2233" s="662"/>
      <c r="H2233" s="662">
        <v>500000</v>
      </c>
      <c r="I2233" s="662">
        <v>45450</v>
      </c>
      <c r="J2233" s="391"/>
    </row>
    <row r="2234" spans="1:10" ht="12.75" customHeight="1">
      <c r="A2234" s="646">
        <f>A2233+1</f>
        <v>7</v>
      </c>
      <c r="B2234" s="646" t="s">
        <v>897</v>
      </c>
      <c r="C2234" s="662">
        <v>500000</v>
      </c>
      <c r="D2234" s="662">
        <v>500000</v>
      </c>
      <c r="E2234" s="662">
        <v>500000</v>
      </c>
      <c r="F2234" s="647">
        <f t="shared" si="276"/>
        <v>1500000</v>
      </c>
      <c r="G2234" s="679"/>
      <c r="H2234" s="662">
        <v>500000</v>
      </c>
      <c r="I2234" s="662">
        <v>28000</v>
      </c>
      <c r="J2234" s="391"/>
    </row>
    <row r="2235" spans="1:10" ht="12.75" customHeight="1">
      <c r="A2235" s="646">
        <v>8</v>
      </c>
      <c r="B2235" s="646" t="s">
        <v>1385</v>
      </c>
      <c r="C2235" s="662" t="s">
        <v>1386</v>
      </c>
      <c r="D2235" s="662" t="s">
        <v>1386</v>
      </c>
      <c r="E2235" s="662" t="s">
        <v>1386</v>
      </c>
      <c r="F2235" s="647">
        <f t="shared" si="276"/>
        <v>0</v>
      </c>
      <c r="G2235" s="662"/>
      <c r="H2235" s="662" t="s">
        <v>1386</v>
      </c>
      <c r="I2235" s="662"/>
      <c r="J2235" s="391"/>
    </row>
    <row r="2236" spans="1:10" ht="12.75" customHeight="1">
      <c r="A2236" s="646">
        <v>9</v>
      </c>
      <c r="B2236" s="646" t="s">
        <v>755</v>
      </c>
      <c r="C2236" s="662" t="s">
        <v>1386</v>
      </c>
      <c r="D2236" s="662" t="s">
        <v>1386</v>
      </c>
      <c r="E2236" s="662" t="s">
        <v>1386</v>
      </c>
      <c r="F2236" s="647">
        <f t="shared" si="276"/>
        <v>0</v>
      </c>
      <c r="G2236" s="662"/>
      <c r="H2236" s="662" t="s">
        <v>1386</v>
      </c>
      <c r="I2236" s="662"/>
      <c r="J2236" s="391"/>
    </row>
    <row r="2237" spans="1:10" ht="12.75" customHeight="1">
      <c r="A2237" s="646">
        <v>10</v>
      </c>
      <c r="B2237" s="646" t="s">
        <v>1680</v>
      </c>
      <c r="C2237" s="662">
        <v>200000</v>
      </c>
      <c r="D2237" s="662">
        <v>200000</v>
      </c>
      <c r="E2237" s="662">
        <v>200000</v>
      </c>
      <c r="F2237" s="647">
        <f t="shared" si="276"/>
        <v>600000</v>
      </c>
      <c r="G2237" s="662"/>
      <c r="H2237" s="662">
        <v>100000</v>
      </c>
      <c r="I2237" s="662"/>
      <c r="J2237" s="391"/>
    </row>
    <row r="2238" spans="1:10" ht="12.75" customHeight="1">
      <c r="A2238" s="646">
        <f>A2237+1</f>
        <v>11</v>
      </c>
      <c r="B2238" s="646" t="s">
        <v>1681</v>
      </c>
      <c r="C2238" s="662">
        <v>100000</v>
      </c>
      <c r="D2238" s="662">
        <v>100000</v>
      </c>
      <c r="E2238" s="662">
        <v>100000</v>
      </c>
      <c r="F2238" s="647">
        <f t="shared" si="276"/>
        <v>300000</v>
      </c>
      <c r="G2238" s="662"/>
      <c r="H2238" s="662">
        <v>100000</v>
      </c>
      <c r="I2238" s="662"/>
      <c r="J2238" s="391"/>
    </row>
    <row r="2239" spans="1:10" ht="12.75" customHeight="1">
      <c r="A2239" s="646">
        <f>A2238+1</f>
        <v>12</v>
      </c>
      <c r="B2239" s="646" t="s">
        <v>1682</v>
      </c>
      <c r="C2239" s="662">
        <v>1000000</v>
      </c>
      <c r="D2239" s="662">
        <v>1000000</v>
      </c>
      <c r="E2239" s="662">
        <v>1000000</v>
      </c>
      <c r="F2239" s="647">
        <f t="shared" si="276"/>
        <v>3000000</v>
      </c>
      <c r="G2239" s="662"/>
      <c r="H2239" s="662">
        <v>2000000</v>
      </c>
      <c r="I2239" s="662">
        <v>391031.65</v>
      </c>
      <c r="J2239" s="391"/>
    </row>
    <row r="2240" spans="1:10" ht="12.75" customHeight="1">
      <c r="A2240" s="646">
        <f>A2239+1</f>
        <v>13</v>
      </c>
      <c r="B2240" s="646" t="s">
        <v>2249</v>
      </c>
      <c r="C2240" s="662">
        <v>100000</v>
      </c>
      <c r="D2240" s="662">
        <v>100000</v>
      </c>
      <c r="E2240" s="662">
        <v>100000</v>
      </c>
      <c r="F2240" s="647">
        <f t="shared" si="276"/>
        <v>300000</v>
      </c>
      <c r="G2240" s="662"/>
      <c r="H2240" s="662">
        <v>100000</v>
      </c>
      <c r="I2240" s="662"/>
      <c r="J2240" s="391"/>
    </row>
    <row r="2241" spans="1:10" ht="12.75" customHeight="1">
      <c r="A2241" s="646">
        <f>A2240+1</f>
        <v>14</v>
      </c>
      <c r="B2241" s="646" t="s">
        <v>1683</v>
      </c>
      <c r="C2241" s="662">
        <v>200000</v>
      </c>
      <c r="D2241" s="662">
        <v>500000</v>
      </c>
      <c r="E2241" s="662">
        <v>500000</v>
      </c>
      <c r="F2241" s="647">
        <f t="shared" si="276"/>
        <v>1200000</v>
      </c>
      <c r="G2241" s="662"/>
      <c r="H2241" s="662">
        <v>500000</v>
      </c>
      <c r="I2241" s="662"/>
      <c r="J2241" s="391"/>
    </row>
    <row r="2242" spans="1:10" ht="12.75" customHeight="1">
      <c r="A2242" s="646">
        <f>A2241+1</f>
        <v>15</v>
      </c>
      <c r="B2242" s="646" t="s">
        <v>4157</v>
      </c>
      <c r="C2242" s="662" t="s">
        <v>3007</v>
      </c>
      <c r="D2242" s="662">
        <v>500000</v>
      </c>
      <c r="E2242" s="662">
        <v>500000</v>
      </c>
      <c r="F2242" s="647">
        <f t="shared" si="276"/>
        <v>1000000</v>
      </c>
      <c r="G2242" s="662"/>
      <c r="H2242" s="662">
        <v>2000000</v>
      </c>
      <c r="I2242" s="662">
        <v>888000</v>
      </c>
      <c r="J2242" s="391"/>
    </row>
    <row r="2243" spans="1:10" ht="12.75" customHeight="1">
      <c r="A2243" s="646"/>
      <c r="B2243" s="646"/>
      <c r="C2243" s="662"/>
      <c r="D2243" s="662"/>
      <c r="E2243" s="662"/>
      <c r="F2243" s="647"/>
      <c r="G2243" s="662"/>
      <c r="H2243" s="662"/>
      <c r="I2243" s="662"/>
      <c r="J2243" s="391"/>
    </row>
    <row r="2244" spans="1:10" ht="12.75" customHeight="1">
      <c r="A2244" s="646" t="s">
        <v>3391</v>
      </c>
      <c r="B2244" s="651" t="s">
        <v>819</v>
      </c>
      <c r="C2244" s="652">
        <f>SUM(C2229:C2243)</f>
        <v>3500000</v>
      </c>
      <c r="D2244" s="652">
        <f>SUM(D2229:D2243)</f>
        <v>4500000</v>
      </c>
      <c r="E2244" s="652">
        <f>SUM(E2229:E2243)</f>
        <v>4500000</v>
      </c>
      <c r="F2244" s="652">
        <f>SUM(F2229:F2243)</f>
        <v>12500000</v>
      </c>
      <c r="G2244" s="652">
        <f>SUM(G2229:G2241)</f>
        <v>0</v>
      </c>
      <c r="H2244" s="652">
        <f>SUM(H2229:H2243)</f>
        <v>7900000</v>
      </c>
      <c r="I2244" s="652">
        <f>SUM(I2229:I2243)</f>
        <v>2185481.65</v>
      </c>
      <c r="J2244" s="391"/>
    </row>
    <row r="2245" spans="1:10" ht="12.75" customHeight="1">
      <c r="A2245" s="646"/>
      <c r="B2245" s="646"/>
      <c r="C2245" s="641"/>
      <c r="D2245" s="641"/>
      <c r="E2245" s="641"/>
      <c r="F2245" s="641"/>
      <c r="G2245" s="641"/>
      <c r="H2245" s="641"/>
      <c r="I2245" s="662"/>
      <c r="J2245" s="391"/>
    </row>
    <row r="2246" spans="1:10" ht="12.75" customHeight="1">
      <c r="A2246" s="653"/>
      <c r="B2246" s="653" t="s">
        <v>1684</v>
      </c>
      <c r="C2246" s="645">
        <f t="shared" ref="C2246:I2246" si="277">+C2244+C2227</f>
        <v>3500000</v>
      </c>
      <c r="D2246" s="645">
        <f t="shared" si="277"/>
        <v>4500000</v>
      </c>
      <c r="E2246" s="645">
        <f t="shared" si="277"/>
        <v>4500000</v>
      </c>
      <c r="F2246" s="645">
        <f t="shared" si="277"/>
        <v>12500000</v>
      </c>
      <c r="G2246" s="645">
        <f t="shared" si="277"/>
        <v>0</v>
      </c>
      <c r="H2246" s="645">
        <f>+H2244+H2227</f>
        <v>7900000</v>
      </c>
      <c r="I2246" s="645">
        <f t="shared" si="277"/>
        <v>2185481.65</v>
      </c>
      <c r="J2246" s="391"/>
    </row>
    <row r="2247" spans="1:10" ht="12.75" customHeight="1">
      <c r="A2247" s="391"/>
      <c r="B2247" s="391"/>
      <c r="C2247" s="391"/>
      <c r="D2247" s="647"/>
      <c r="E2247" s="647"/>
      <c r="F2247" s="647"/>
      <c r="G2247" s="647"/>
      <c r="H2247" s="391"/>
      <c r="I2247" s="391"/>
      <c r="J2247" s="391"/>
    </row>
    <row r="2248" spans="1:10" ht="12.75" customHeight="1">
      <c r="A2248" s="391"/>
      <c r="B2248" s="391"/>
      <c r="C2248" s="647"/>
      <c r="D2248" s="308" t="s">
        <v>5434</v>
      </c>
      <c r="E2248" s="647"/>
      <c r="F2248" s="647"/>
      <c r="G2248" s="60"/>
      <c r="H2248" s="647"/>
      <c r="I2248" s="391"/>
      <c r="J2248" s="391"/>
    </row>
    <row r="2249" spans="1:10" ht="12.75" customHeight="1">
      <c r="A2249" s="655"/>
      <c r="B2249" s="633"/>
      <c r="C2249" s="655"/>
      <c r="D2249" s="308" t="s">
        <v>716</v>
      </c>
      <c r="E2249" s="655"/>
      <c r="F2249" s="647"/>
      <c r="G2249" s="60"/>
      <c r="H2249" s="655"/>
      <c r="I2249" s="391"/>
      <c r="J2249" s="391"/>
    </row>
    <row r="2250" spans="1:10" ht="12.75" customHeight="1">
      <c r="A2250" s="655"/>
      <c r="B2250" s="633"/>
      <c r="C2250" s="655"/>
      <c r="D2250" s="308" t="s">
        <v>4219</v>
      </c>
      <c r="E2250" s="655"/>
      <c r="F2250" s="647"/>
      <c r="G2250" s="60"/>
      <c r="H2250" s="655"/>
      <c r="I2250" s="391"/>
      <c r="J2250" s="391"/>
    </row>
    <row r="2251" spans="1:10" ht="12.75" customHeight="1">
      <c r="A2251" s="655"/>
      <c r="B2251" s="655"/>
      <c r="C2251" s="655"/>
      <c r="D2251" s="307" t="s">
        <v>4220</v>
      </c>
      <c r="E2251" s="655"/>
      <c r="F2251" s="647"/>
      <c r="G2251" s="60"/>
      <c r="H2251" s="655"/>
      <c r="I2251" s="391"/>
      <c r="J2251" s="391"/>
    </row>
    <row r="2252" spans="1:10" ht="12.75" customHeight="1">
      <c r="A2252" s="634" t="s">
        <v>1839</v>
      </c>
      <c r="B2252" s="635" t="s">
        <v>903</v>
      </c>
      <c r="C2252" s="1037" t="s">
        <v>4127</v>
      </c>
      <c r="D2252" s="1038"/>
      <c r="E2252" s="1039"/>
      <c r="F2252" s="635" t="s">
        <v>1684</v>
      </c>
      <c r="G2252" s="1037" t="s">
        <v>4132</v>
      </c>
      <c r="H2252" s="1038"/>
      <c r="I2252" s="1039"/>
      <c r="J2252" s="391"/>
    </row>
    <row r="2253" spans="1:10" ht="12.75" customHeight="1">
      <c r="A2253" s="636" t="s">
        <v>1620</v>
      </c>
      <c r="B2253" s="637"/>
      <c r="C2253" s="635" t="s">
        <v>1841</v>
      </c>
      <c r="D2253" s="635" t="s">
        <v>4133</v>
      </c>
      <c r="E2253" s="635" t="s">
        <v>4133</v>
      </c>
      <c r="F2253" s="1056" t="s">
        <v>4200</v>
      </c>
      <c r="G2253" s="1051" t="s">
        <v>4201</v>
      </c>
      <c r="H2253" s="635" t="s">
        <v>1841</v>
      </c>
      <c r="I2253" s="634" t="s">
        <v>4135</v>
      </c>
      <c r="J2253" s="391"/>
    </row>
    <row r="2254" spans="1:10" ht="12.75" customHeight="1">
      <c r="A2254" s="638" t="s">
        <v>387</v>
      </c>
      <c r="B2254" s="639"/>
      <c r="C2254" s="638">
        <v>2015</v>
      </c>
      <c r="D2254" s="638">
        <v>2016</v>
      </c>
      <c r="E2254" s="638">
        <v>2017</v>
      </c>
      <c r="F2254" s="1057"/>
      <c r="G2254" s="1052"/>
      <c r="H2254" s="638">
        <v>2014</v>
      </c>
      <c r="I2254" s="638" t="s">
        <v>4303</v>
      </c>
      <c r="J2254" s="391"/>
    </row>
    <row r="2255" spans="1:10" ht="12.75" customHeight="1">
      <c r="A2255" s="646" t="s">
        <v>3390</v>
      </c>
      <c r="B2255" s="646" t="s">
        <v>1693</v>
      </c>
      <c r="C2255" s="662">
        <f>E2255*1.02</f>
        <v>0</v>
      </c>
      <c r="D2255" s="662">
        <f>F2255*1.02</f>
        <v>0</v>
      </c>
      <c r="E2255" s="662">
        <f>G2255*1.02</f>
        <v>0</v>
      </c>
      <c r="F2255" s="662">
        <f>H2255*1.02</f>
        <v>0</v>
      </c>
      <c r="G2255" s="662">
        <f>I2255*1.02</f>
        <v>0</v>
      </c>
      <c r="H2255" s="662">
        <v>0</v>
      </c>
      <c r="I2255" s="662">
        <v>0</v>
      </c>
      <c r="J2255" s="391"/>
    </row>
    <row r="2256" spans="1:10" ht="12.75" customHeight="1">
      <c r="A2256" s="646"/>
      <c r="B2256" s="646"/>
      <c r="C2256" s="662"/>
      <c r="D2256" s="662"/>
      <c r="E2256" s="662"/>
      <c r="F2256" s="647"/>
      <c r="G2256" s="641"/>
      <c r="H2256" s="662"/>
      <c r="I2256" s="662"/>
      <c r="J2256" s="391"/>
    </row>
    <row r="2257" spans="1:10" ht="12.75" customHeight="1">
      <c r="A2257" s="646">
        <v>2</v>
      </c>
      <c r="B2257" s="646" t="s">
        <v>1695</v>
      </c>
      <c r="C2257" s="662">
        <v>1000000</v>
      </c>
      <c r="D2257" s="662">
        <v>2000000</v>
      </c>
      <c r="E2257" s="662">
        <v>2000000</v>
      </c>
      <c r="F2257" s="647">
        <f>SUM(C2257:E2257)</f>
        <v>5000000</v>
      </c>
      <c r="G2257" s="662"/>
      <c r="H2257" s="662"/>
      <c r="I2257" s="662">
        <v>365250</v>
      </c>
      <c r="J2257" s="391"/>
    </row>
    <row r="2258" spans="1:10" ht="12.75" customHeight="1">
      <c r="A2258" s="646">
        <f>A2257+1</f>
        <v>3</v>
      </c>
      <c r="B2258" s="646" t="s">
        <v>1696</v>
      </c>
      <c r="C2258" s="662" t="s">
        <v>1386</v>
      </c>
      <c r="D2258" s="662" t="s">
        <v>1386</v>
      </c>
      <c r="E2258" s="662" t="s">
        <v>1386</v>
      </c>
      <c r="F2258" s="647">
        <f t="shared" ref="F2258:F2270" si="278">SUM(C2258:E2258)</f>
        <v>0</v>
      </c>
      <c r="G2258" s="662"/>
      <c r="H2258" s="662"/>
      <c r="I2258" s="662"/>
      <c r="J2258" s="391"/>
    </row>
    <row r="2259" spans="1:10" ht="12.75" customHeight="1">
      <c r="A2259" s="646">
        <v>4</v>
      </c>
      <c r="B2259" s="646" t="s">
        <v>1701</v>
      </c>
      <c r="C2259" s="662" t="s">
        <v>1386</v>
      </c>
      <c r="D2259" s="662" t="s">
        <v>1386</v>
      </c>
      <c r="E2259" s="662" t="s">
        <v>1386</v>
      </c>
      <c r="F2259" s="647">
        <f t="shared" si="278"/>
        <v>0</v>
      </c>
      <c r="G2259" s="662"/>
      <c r="H2259" s="662"/>
      <c r="I2259" s="662"/>
      <c r="J2259" s="391"/>
    </row>
    <row r="2260" spans="1:10" ht="12.75" customHeight="1">
      <c r="A2260" s="646">
        <v>5</v>
      </c>
      <c r="B2260" s="646" t="s">
        <v>1702</v>
      </c>
      <c r="C2260" s="662">
        <v>200000</v>
      </c>
      <c r="D2260" s="662">
        <v>100000</v>
      </c>
      <c r="E2260" s="662">
        <v>100000</v>
      </c>
      <c r="F2260" s="647">
        <f t="shared" si="278"/>
        <v>400000</v>
      </c>
      <c r="G2260" s="662"/>
      <c r="H2260" s="662"/>
      <c r="I2260" s="662">
        <v>14750</v>
      </c>
      <c r="J2260" s="391"/>
    </row>
    <row r="2261" spans="1:10" ht="12.75" customHeight="1">
      <c r="A2261" s="646">
        <f>A2260+1</f>
        <v>6</v>
      </c>
      <c r="B2261" s="646" t="s">
        <v>1544</v>
      </c>
      <c r="C2261" s="662">
        <v>400000</v>
      </c>
      <c r="D2261" s="662">
        <v>500000</v>
      </c>
      <c r="E2261" s="662">
        <v>500000</v>
      </c>
      <c r="F2261" s="647">
        <f t="shared" si="278"/>
        <v>1400000</v>
      </c>
      <c r="G2261" s="662"/>
      <c r="H2261" s="662"/>
      <c r="I2261" s="662">
        <v>100000</v>
      </c>
      <c r="J2261" s="391"/>
    </row>
    <row r="2262" spans="1:10" ht="12.75" customHeight="1">
      <c r="A2262" s="646">
        <f>A2261+1</f>
        <v>7</v>
      </c>
      <c r="B2262" s="646" t="s">
        <v>897</v>
      </c>
      <c r="C2262" s="662">
        <v>600000</v>
      </c>
      <c r="D2262" s="662">
        <v>500000</v>
      </c>
      <c r="E2262" s="662">
        <v>500000</v>
      </c>
      <c r="F2262" s="647">
        <f t="shared" si="278"/>
        <v>1600000</v>
      </c>
      <c r="G2262" s="679"/>
      <c r="H2262" s="662"/>
      <c r="I2262" s="662">
        <v>40000</v>
      </c>
      <c r="J2262" s="391"/>
    </row>
    <row r="2263" spans="1:10" ht="12.75" customHeight="1">
      <c r="A2263" s="646">
        <v>8</v>
      </c>
      <c r="B2263" s="646" t="s">
        <v>1385</v>
      </c>
      <c r="C2263" s="662" t="s">
        <v>1386</v>
      </c>
      <c r="D2263" s="662" t="s">
        <v>1386</v>
      </c>
      <c r="E2263" s="662" t="s">
        <v>1386</v>
      </c>
      <c r="F2263" s="647">
        <f t="shared" si="278"/>
        <v>0</v>
      </c>
      <c r="G2263" s="662"/>
      <c r="H2263" s="662"/>
      <c r="I2263" s="662"/>
      <c r="J2263" s="391"/>
    </row>
    <row r="2264" spans="1:10" ht="12.75" customHeight="1">
      <c r="A2264" s="646">
        <v>9</v>
      </c>
      <c r="B2264" s="646" t="s">
        <v>755</v>
      </c>
      <c r="C2264" s="662" t="s">
        <v>1386</v>
      </c>
      <c r="D2264" s="662" t="s">
        <v>1386</v>
      </c>
      <c r="E2264" s="662" t="s">
        <v>1386</v>
      </c>
      <c r="F2264" s="647">
        <f t="shared" si="278"/>
        <v>0</v>
      </c>
      <c r="G2264" s="662"/>
      <c r="H2264" s="662"/>
      <c r="I2264" s="662"/>
      <c r="J2264" s="391"/>
    </row>
    <row r="2265" spans="1:10" ht="12.75" customHeight="1">
      <c r="A2265" s="646">
        <v>10</v>
      </c>
      <c r="B2265" s="646" t="s">
        <v>1680</v>
      </c>
      <c r="C2265" s="662">
        <v>200000</v>
      </c>
      <c r="D2265" s="662">
        <v>200000</v>
      </c>
      <c r="E2265" s="662">
        <v>200000</v>
      </c>
      <c r="F2265" s="647">
        <f t="shared" si="278"/>
        <v>600000</v>
      </c>
      <c r="G2265" s="662"/>
      <c r="H2265" s="662"/>
      <c r="I2265" s="662">
        <v>300000</v>
      </c>
      <c r="J2265" s="391"/>
    </row>
    <row r="2266" spans="1:10" ht="12.75" customHeight="1">
      <c r="A2266" s="646">
        <f>A2265+1</f>
        <v>11</v>
      </c>
      <c r="B2266" s="646" t="s">
        <v>1681</v>
      </c>
      <c r="C2266" s="662">
        <v>100000</v>
      </c>
      <c r="D2266" s="662">
        <v>100000</v>
      </c>
      <c r="E2266" s="662">
        <v>100000</v>
      </c>
      <c r="F2266" s="647">
        <f t="shared" si="278"/>
        <v>300000</v>
      </c>
      <c r="G2266" s="662"/>
      <c r="H2266" s="662"/>
      <c r="I2266" s="662">
        <v>85000</v>
      </c>
      <c r="J2266" s="391"/>
    </row>
    <row r="2267" spans="1:10" ht="12.75" customHeight="1">
      <c r="A2267" s="646">
        <f>A2266+1</f>
        <v>12</v>
      </c>
      <c r="B2267" s="646" t="s">
        <v>1682</v>
      </c>
      <c r="C2267" s="662">
        <v>1500000</v>
      </c>
      <c r="D2267" s="662">
        <v>1500000</v>
      </c>
      <c r="E2267" s="662">
        <v>1500000</v>
      </c>
      <c r="F2267" s="647">
        <f t="shared" si="278"/>
        <v>4500000</v>
      </c>
      <c r="G2267" s="662"/>
      <c r="H2267" s="662"/>
      <c r="I2267" s="662">
        <v>1744329.32</v>
      </c>
      <c r="J2267" s="391"/>
    </row>
    <row r="2268" spans="1:10" ht="12.75" customHeight="1">
      <c r="A2268" s="646">
        <f>A2267+1</f>
        <v>13</v>
      </c>
      <c r="B2268" s="646" t="s">
        <v>2249</v>
      </c>
      <c r="C2268" s="662">
        <v>100000</v>
      </c>
      <c r="D2268" s="662">
        <v>100000</v>
      </c>
      <c r="E2268" s="662">
        <v>100000</v>
      </c>
      <c r="F2268" s="647">
        <f t="shared" si="278"/>
        <v>300000</v>
      </c>
      <c r="G2268" s="662"/>
      <c r="H2268" s="662"/>
      <c r="I2268" s="662"/>
      <c r="J2268" s="391"/>
    </row>
    <row r="2269" spans="1:10" ht="12.75" customHeight="1">
      <c r="A2269" s="646">
        <f>A2268+1</f>
        <v>14</v>
      </c>
      <c r="B2269" s="646" t="s">
        <v>1683</v>
      </c>
      <c r="C2269" s="662">
        <v>400000</v>
      </c>
      <c r="D2269" s="662">
        <v>500000</v>
      </c>
      <c r="E2269" s="662">
        <v>500000</v>
      </c>
      <c r="F2269" s="647">
        <f t="shared" si="278"/>
        <v>1400000</v>
      </c>
      <c r="G2269" s="662"/>
      <c r="H2269" s="662"/>
      <c r="I2269" s="662"/>
      <c r="J2269" s="391"/>
    </row>
    <row r="2270" spans="1:10" ht="12.75" customHeight="1">
      <c r="A2270" s="646">
        <f>A2269+1</f>
        <v>15</v>
      </c>
      <c r="B2270" s="646" t="s">
        <v>4223</v>
      </c>
      <c r="C2270" s="662">
        <v>2500000</v>
      </c>
      <c r="D2270" s="662">
        <v>2500000</v>
      </c>
      <c r="E2270" s="662">
        <v>2500000</v>
      </c>
      <c r="F2270" s="647">
        <f t="shared" si="278"/>
        <v>7500000</v>
      </c>
      <c r="G2270" s="662"/>
      <c r="H2270" s="662"/>
      <c r="I2270" s="662">
        <v>0</v>
      </c>
      <c r="J2270" s="391"/>
    </row>
    <row r="2271" spans="1:10" ht="12.75" customHeight="1">
      <c r="A2271" s="646"/>
      <c r="B2271" s="646"/>
      <c r="C2271" s="662"/>
      <c r="D2271" s="662"/>
      <c r="E2271" s="662"/>
      <c r="F2271" s="647"/>
      <c r="G2271" s="662"/>
      <c r="H2271" s="662"/>
      <c r="I2271" s="662"/>
      <c r="J2271" s="391"/>
    </row>
    <row r="2272" spans="1:10" ht="12.75" customHeight="1">
      <c r="A2272" s="646" t="s">
        <v>3391</v>
      </c>
      <c r="B2272" s="651" t="s">
        <v>819</v>
      </c>
      <c r="C2272" s="652">
        <f t="shared" ref="C2272:I2272" si="279">SUM(C2257:C2271)</f>
        <v>7000000</v>
      </c>
      <c r="D2272" s="652">
        <f t="shared" si="279"/>
        <v>8000000</v>
      </c>
      <c r="E2272" s="652">
        <f t="shared" si="279"/>
        <v>8000000</v>
      </c>
      <c r="F2272" s="652">
        <f t="shared" si="279"/>
        <v>23000000</v>
      </c>
      <c r="G2272" s="652">
        <f t="shared" si="279"/>
        <v>0</v>
      </c>
      <c r="H2272" s="652">
        <f t="shared" si="279"/>
        <v>0</v>
      </c>
      <c r="I2272" s="652">
        <f t="shared" si="279"/>
        <v>2649329.3200000003</v>
      </c>
      <c r="J2272" s="391"/>
    </row>
    <row r="2273" spans="1:10" ht="12.75" customHeight="1">
      <c r="A2273" s="646"/>
      <c r="B2273" s="646"/>
      <c r="C2273" s="641"/>
      <c r="D2273" s="641"/>
      <c r="E2273" s="641"/>
      <c r="F2273" s="641"/>
      <c r="G2273" s="641"/>
      <c r="H2273" s="641"/>
      <c r="I2273" s="641"/>
      <c r="J2273" s="391"/>
    </row>
    <row r="2274" spans="1:10" ht="12.75" customHeight="1">
      <c r="A2274" s="653"/>
      <c r="B2274" s="653" t="s">
        <v>1684</v>
      </c>
      <c r="C2274" s="645">
        <f t="shared" ref="C2274:I2274" si="280">+C2272+C2255</f>
        <v>7000000</v>
      </c>
      <c r="D2274" s="645">
        <f t="shared" si="280"/>
        <v>8000000</v>
      </c>
      <c r="E2274" s="645">
        <f t="shared" si="280"/>
        <v>8000000</v>
      </c>
      <c r="F2274" s="645">
        <f t="shared" si="280"/>
        <v>23000000</v>
      </c>
      <c r="G2274" s="645">
        <f t="shared" si="280"/>
        <v>0</v>
      </c>
      <c r="H2274" s="645">
        <f t="shared" si="280"/>
        <v>0</v>
      </c>
      <c r="I2274" s="645">
        <f t="shared" si="280"/>
        <v>2649329.3200000003</v>
      </c>
      <c r="J2274" s="391"/>
    </row>
    <row r="2275" spans="1:10" ht="12.75" customHeight="1">
      <c r="A2275" s="391"/>
      <c r="B2275" s="391"/>
      <c r="C2275" s="391"/>
      <c r="D2275" s="647"/>
      <c r="E2275" s="647"/>
      <c r="F2275" s="647"/>
      <c r="G2275" s="647"/>
      <c r="H2275" s="391"/>
      <c r="I2275" s="391"/>
      <c r="J2275" s="391"/>
    </row>
    <row r="2276" spans="1:10" ht="12.75" customHeight="1">
      <c r="A2276" s="391"/>
      <c r="B2276" s="391"/>
      <c r="C2276" s="647"/>
      <c r="D2276" s="308" t="s">
        <v>5434</v>
      </c>
      <c r="E2276" s="647"/>
      <c r="F2276" s="647"/>
      <c r="G2276" s="60"/>
      <c r="H2276" s="647"/>
      <c r="I2276" s="391"/>
      <c r="J2276" s="391"/>
    </row>
    <row r="2277" spans="1:10" ht="12.75" customHeight="1">
      <c r="A2277" s="655"/>
      <c r="B2277" s="633"/>
      <c r="C2277" s="655"/>
      <c r="D2277" s="308" t="s">
        <v>716</v>
      </c>
      <c r="E2277" s="655"/>
      <c r="F2277" s="647"/>
      <c r="G2277" s="60"/>
      <c r="H2277" s="655"/>
      <c r="I2277" s="391"/>
      <c r="J2277" s="391"/>
    </row>
    <row r="2278" spans="1:10" ht="12.75" customHeight="1">
      <c r="A2278" s="655"/>
      <c r="B2278" s="633"/>
      <c r="C2278" s="655"/>
      <c r="D2278" s="308" t="s">
        <v>4221</v>
      </c>
      <c r="E2278" s="655"/>
      <c r="F2278" s="647"/>
      <c r="G2278" s="60"/>
      <c r="H2278" s="655"/>
      <c r="I2278" s="391"/>
      <c r="J2278" s="391"/>
    </row>
    <row r="2279" spans="1:10" ht="12.75" customHeight="1">
      <c r="A2279" s="655"/>
      <c r="B2279" s="655"/>
      <c r="C2279" s="655"/>
      <c r="D2279" s="307" t="s">
        <v>4222</v>
      </c>
      <c r="E2279" s="655"/>
      <c r="F2279" s="647"/>
      <c r="G2279" s="60"/>
      <c r="H2279" s="655"/>
      <c r="I2279" s="391"/>
      <c r="J2279" s="391"/>
    </row>
    <row r="2280" spans="1:10" ht="12.75" customHeight="1">
      <c r="A2280" s="634" t="s">
        <v>1839</v>
      </c>
      <c r="B2280" s="635" t="s">
        <v>903</v>
      </c>
      <c r="C2280" s="1037" t="s">
        <v>4127</v>
      </c>
      <c r="D2280" s="1038"/>
      <c r="E2280" s="1039"/>
      <c r="F2280" s="635" t="s">
        <v>1684</v>
      </c>
      <c r="G2280" s="1037" t="s">
        <v>4132</v>
      </c>
      <c r="H2280" s="1038"/>
      <c r="I2280" s="1039"/>
      <c r="J2280" s="391"/>
    </row>
    <row r="2281" spans="1:10" ht="12.75" customHeight="1">
      <c r="A2281" s="636" t="s">
        <v>1620</v>
      </c>
      <c r="B2281" s="637"/>
      <c r="C2281" s="635" t="s">
        <v>1841</v>
      </c>
      <c r="D2281" s="635" t="s">
        <v>4133</v>
      </c>
      <c r="E2281" s="635" t="s">
        <v>4133</v>
      </c>
      <c r="F2281" s="1056" t="s">
        <v>4200</v>
      </c>
      <c r="G2281" s="1051" t="s">
        <v>4201</v>
      </c>
      <c r="H2281" s="635" t="s">
        <v>1841</v>
      </c>
      <c r="I2281" s="634" t="s">
        <v>4135</v>
      </c>
      <c r="J2281" s="391"/>
    </row>
    <row r="2282" spans="1:10" ht="12.75" customHeight="1">
      <c r="A2282" s="638" t="s">
        <v>387</v>
      </c>
      <c r="B2282" s="639"/>
      <c r="C2282" s="638">
        <v>2015</v>
      </c>
      <c r="D2282" s="638">
        <v>2016</v>
      </c>
      <c r="E2282" s="638">
        <v>2017</v>
      </c>
      <c r="F2282" s="1057"/>
      <c r="G2282" s="1052"/>
      <c r="H2282" s="638">
        <v>2014</v>
      </c>
      <c r="I2282" s="638" t="s">
        <v>4303</v>
      </c>
      <c r="J2282" s="391"/>
    </row>
    <row r="2283" spans="1:10" ht="12.75" customHeight="1">
      <c r="A2283" s="646" t="s">
        <v>3390</v>
      </c>
      <c r="B2283" s="646" t="s">
        <v>1693</v>
      </c>
      <c r="C2283" s="662">
        <f>E2283*1.02</f>
        <v>0</v>
      </c>
      <c r="D2283" s="662">
        <f>F2283*1.02</f>
        <v>0</v>
      </c>
      <c r="E2283" s="662">
        <f>G2283*1.02</f>
        <v>0</v>
      </c>
      <c r="F2283" s="662">
        <f>H2283*1.02</f>
        <v>0</v>
      </c>
      <c r="G2283" s="662">
        <f>I2283*1.02</f>
        <v>0</v>
      </c>
      <c r="H2283" s="662">
        <v>0</v>
      </c>
      <c r="I2283" s="662">
        <v>0</v>
      </c>
      <c r="J2283" s="391"/>
    </row>
    <row r="2284" spans="1:10" ht="12.75" customHeight="1">
      <c r="A2284" s="646"/>
      <c r="B2284" s="646"/>
      <c r="C2284" s="662"/>
      <c r="D2284" s="662"/>
      <c r="E2284" s="662"/>
      <c r="F2284" s="647"/>
      <c r="G2284" s="641"/>
      <c r="H2284" s="662"/>
      <c r="I2284" s="662"/>
      <c r="J2284" s="391"/>
    </row>
    <row r="2285" spans="1:10" ht="12.75" customHeight="1">
      <c r="A2285" s="646">
        <v>2</v>
      </c>
      <c r="B2285" s="646" t="s">
        <v>1695</v>
      </c>
      <c r="C2285" s="662">
        <v>1500000</v>
      </c>
      <c r="D2285" s="662">
        <v>2000000</v>
      </c>
      <c r="E2285" s="662">
        <v>2000000</v>
      </c>
      <c r="F2285" s="647">
        <f>SUM(C2285:E2285)</f>
        <v>5500000</v>
      </c>
      <c r="G2285" s="662"/>
      <c r="H2285" s="662"/>
      <c r="I2285" s="662">
        <v>385000</v>
      </c>
      <c r="J2285" s="391"/>
    </row>
    <row r="2286" spans="1:10" ht="12.75" customHeight="1">
      <c r="A2286" s="646">
        <f>A2285+1</f>
        <v>3</v>
      </c>
      <c r="B2286" s="646" t="s">
        <v>1696</v>
      </c>
      <c r="C2286" s="662" t="s">
        <v>1386</v>
      </c>
      <c r="D2286" s="662" t="s">
        <v>1386</v>
      </c>
      <c r="E2286" s="662" t="s">
        <v>1386</v>
      </c>
      <c r="F2286" s="647">
        <f t="shared" ref="F2286:F2298" si="281">SUM(C2286:E2286)</f>
        <v>0</v>
      </c>
      <c r="G2286" s="662"/>
      <c r="H2286" s="662"/>
      <c r="I2286" s="662"/>
      <c r="J2286" s="391"/>
    </row>
    <row r="2287" spans="1:10" ht="12.75" customHeight="1">
      <c r="A2287" s="646">
        <v>4</v>
      </c>
      <c r="B2287" s="646" t="s">
        <v>1701</v>
      </c>
      <c r="C2287" s="662" t="s">
        <v>1386</v>
      </c>
      <c r="D2287" s="662" t="s">
        <v>1386</v>
      </c>
      <c r="E2287" s="662" t="s">
        <v>1386</v>
      </c>
      <c r="F2287" s="647">
        <f t="shared" si="281"/>
        <v>0</v>
      </c>
      <c r="G2287" s="662"/>
      <c r="H2287" s="662"/>
      <c r="I2287" s="662"/>
      <c r="J2287" s="391"/>
    </row>
    <row r="2288" spans="1:10" ht="12.75" customHeight="1">
      <c r="A2288" s="646">
        <v>5</v>
      </c>
      <c r="B2288" s="646" t="s">
        <v>1702</v>
      </c>
      <c r="C2288" s="662">
        <v>800000</v>
      </c>
      <c r="D2288" s="662">
        <v>800000</v>
      </c>
      <c r="E2288" s="662">
        <v>800000</v>
      </c>
      <c r="F2288" s="647">
        <f t="shared" si="281"/>
        <v>2400000</v>
      </c>
      <c r="G2288" s="662"/>
      <c r="H2288" s="662"/>
      <c r="I2288" s="662">
        <v>252000</v>
      </c>
      <c r="J2288" s="391"/>
    </row>
    <row r="2289" spans="1:10" ht="12.75" customHeight="1">
      <c r="A2289" s="646">
        <f>A2288+1</f>
        <v>6</v>
      </c>
      <c r="B2289" s="646" t="s">
        <v>1544</v>
      </c>
      <c r="C2289" s="662">
        <v>500000</v>
      </c>
      <c r="D2289" s="662">
        <v>500000</v>
      </c>
      <c r="E2289" s="662">
        <v>500000</v>
      </c>
      <c r="F2289" s="647">
        <f t="shared" si="281"/>
        <v>1500000</v>
      </c>
      <c r="G2289" s="662"/>
      <c r="H2289" s="662"/>
      <c r="I2289" s="662">
        <v>682400</v>
      </c>
      <c r="J2289" s="391"/>
    </row>
    <row r="2290" spans="1:10" ht="12.75" customHeight="1">
      <c r="A2290" s="646">
        <f>A2289+1</f>
        <v>7</v>
      </c>
      <c r="B2290" s="646" t="s">
        <v>897</v>
      </c>
      <c r="C2290" s="662">
        <v>1000000</v>
      </c>
      <c r="D2290" s="662">
        <v>800000</v>
      </c>
      <c r="E2290" s="662">
        <v>800000</v>
      </c>
      <c r="F2290" s="647">
        <f t="shared" si="281"/>
        <v>2600000</v>
      </c>
      <c r="G2290" s="679"/>
      <c r="H2290" s="662"/>
      <c r="I2290" s="662"/>
      <c r="J2290" s="391"/>
    </row>
    <row r="2291" spans="1:10" ht="12.75" customHeight="1">
      <c r="A2291" s="646">
        <v>8</v>
      </c>
      <c r="B2291" s="646" t="s">
        <v>1385</v>
      </c>
      <c r="C2291" s="662" t="s">
        <v>1386</v>
      </c>
      <c r="D2291" s="662" t="s">
        <v>1386</v>
      </c>
      <c r="E2291" s="662" t="s">
        <v>1386</v>
      </c>
      <c r="F2291" s="647">
        <f t="shared" si="281"/>
        <v>0</v>
      </c>
      <c r="G2291" s="662"/>
      <c r="H2291" s="662"/>
      <c r="I2291" s="662"/>
      <c r="J2291" s="391"/>
    </row>
    <row r="2292" spans="1:10" ht="12.75" customHeight="1">
      <c r="A2292" s="646">
        <v>9</v>
      </c>
      <c r="B2292" s="646" t="s">
        <v>755</v>
      </c>
      <c r="C2292" s="662" t="s">
        <v>1386</v>
      </c>
      <c r="D2292" s="662" t="s">
        <v>1386</v>
      </c>
      <c r="E2292" s="662" t="s">
        <v>1386</v>
      </c>
      <c r="F2292" s="647">
        <f t="shared" si="281"/>
        <v>0</v>
      </c>
      <c r="G2292" s="662"/>
      <c r="H2292" s="662"/>
      <c r="I2292" s="662"/>
      <c r="J2292" s="391"/>
    </row>
    <row r="2293" spans="1:10" ht="12.75" customHeight="1">
      <c r="A2293" s="646">
        <v>10</v>
      </c>
      <c r="B2293" s="646" t="s">
        <v>1680</v>
      </c>
      <c r="C2293" s="662">
        <v>200000</v>
      </c>
      <c r="D2293" s="662">
        <v>200000</v>
      </c>
      <c r="E2293" s="662">
        <v>200000</v>
      </c>
      <c r="F2293" s="647">
        <f t="shared" si="281"/>
        <v>600000</v>
      </c>
      <c r="G2293" s="662"/>
      <c r="H2293" s="662"/>
      <c r="I2293" s="662"/>
      <c r="J2293" s="391"/>
    </row>
    <row r="2294" spans="1:10" ht="12.75" customHeight="1">
      <c r="A2294" s="646">
        <f t="shared" ref="A2294:A2299" si="282">A2293+1</f>
        <v>11</v>
      </c>
      <c r="B2294" s="646" t="s">
        <v>1681</v>
      </c>
      <c r="C2294" s="662">
        <v>100000</v>
      </c>
      <c r="D2294" s="662">
        <v>100000</v>
      </c>
      <c r="E2294" s="662">
        <v>100000</v>
      </c>
      <c r="F2294" s="647">
        <f t="shared" si="281"/>
        <v>300000</v>
      </c>
      <c r="G2294" s="662"/>
      <c r="H2294" s="662"/>
      <c r="I2294" s="662"/>
      <c r="J2294" s="391"/>
    </row>
    <row r="2295" spans="1:10" ht="12.75" customHeight="1">
      <c r="A2295" s="646">
        <f t="shared" si="282"/>
        <v>12</v>
      </c>
      <c r="B2295" s="646" t="s">
        <v>1682</v>
      </c>
      <c r="C2295" s="662">
        <v>3000000</v>
      </c>
      <c r="D2295" s="662">
        <v>3000000</v>
      </c>
      <c r="E2295" s="662">
        <v>3000000</v>
      </c>
      <c r="F2295" s="647">
        <f t="shared" si="281"/>
        <v>9000000</v>
      </c>
      <c r="G2295" s="662"/>
      <c r="H2295" s="662"/>
      <c r="I2295" s="662">
        <v>580190</v>
      </c>
      <c r="J2295" s="391"/>
    </row>
    <row r="2296" spans="1:10" ht="12.75" customHeight="1">
      <c r="A2296" s="646">
        <f t="shared" si="282"/>
        <v>13</v>
      </c>
      <c r="B2296" s="646" t="s">
        <v>2249</v>
      </c>
      <c r="C2296" s="662">
        <v>100000</v>
      </c>
      <c r="D2296" s="662">
        <v>100000</v>
      </c>
      <c r="E2296" s="662">
        <v>100000</v>
      </c>
      <c r="F2296" s="647">
        <f t="shared" si="281"/>
        <v>300000</v>
      </c>
      <c r="G2296" s="662"/>
      <c r="H2296" s="662"/>
      <c r="I2296" s="662"/>
      <c r="J2296" s="391"/>
    </row>
    <row r="2297" spans="1:10" ht="12.75" customHeight="1">
      <c r="A2297" s="646">
        <f t="shared" si="282"/>
        <v>14</v>
      </c>
      <c r="B2297" s="646" t="s">
        <v>1683</v>
      </c>
      <c r="C2297" s="662">
        <v>300000</v>
      </c>
      <c r="D2297" s="662">
        <v>500000</v>
      </c>
      <c r="E2297" s="662">
        <v>500000</v>
      </c>
      <c r="F2297" s="647">
        <f t="shared" si="281"/>
        <v>1300000</v>
      </c>
      <c r="G2297" s="662"/>
      <c r="H2297" s="662"/>
      <c r="I2297" s="662"/>
      <c r="J2297" s="391"/>
    </row>
    <row r="2298" spans="1:10" ht="12.75" customHeight="1">
      <c r="A2298" s="646">
        <f t="shared" si="282"/>
        <v>15</v>
      </c>
      <c r="B2298" s="646" t="s">
        <v>4224</v>
      </c>
      <c r="C2298" s="683" t="s">
        <v>1386</v>
      </c>
      <c r="D2298" s="662">
        <v>2000000</v>
      </c>
      <c r="E2298" s="662">
        <v>2000000</v>
      </c>
      <c r="F2298" s="647">
        <f t="shared" si="281"/>
        <v>4000000</v>
      </c>
      <c r="G2298" s="662"/>
      <c r="H2298" s="662"/>
      <c r="I2298" s="662"/>
      <c r="J2298" s="391"/>
    </row>
    <row r="2299" spans="1:10" ht="25.5">
      <c r="A2299" s="646">
        <f t="shared" si="282"/>
        <v>16</v>
      </c>
      <c r="B2299" s="682" t="s">
        <v>4225</v>
      </c>
      <c r="C2299" s="687">
        <v>2500000</v>
      </c>
      <c r="D2299" s="662">
        <v>2000000</v>
      </c>
      <c r="E2299" s="662">
        <v>2000000</v>
      </c>
      <c r="F2299" s="647">
        <f>SUM(C2299:E2299)</f>
        <v>6500000</v>
      </c>
      <c r="G2299" s="662"/>
      <c r="H2299" s="662"/>
      <c r="I2299" s="662"/>
      <c r="J2299" s="391"/>
    </row>
    <row r="2300" spans="1:10" ht="12.75" customHeight="1">
      <c r="A2300" s="646"/>
      <c r="B2300" s="646"/>
      <c r="C2300" s="683"/>
      <c r="D2300" s="662"/>
      <c r="E2300" s="662"/>
      <c r="F2300" s="647"/>
      <c r="G2300" s="662"/>
      <c r="H2300" s="662"/>
      <c r="I2300" s="662"/>
      <c r="J2300" s="391"/>
    </row>
    <row r="2301" spans="1:10" ht="12.75" customHeight="1">
      <c r="A2301" s="646" t="s">
        <v>3391</v>
      </c>
      <c r="B2301" s="651" t="s">
        <v>819</v>
      </c>
      <c r="C2301" s="652">
        <f>SUM(C2285:C2300)</f>
        <v>10000000</v>
      </c>
      <c r="D2301" s="652">
        <f>SUM(D2285:D2300)</f>
        <v>12000000</v>
      </c>
      <c r="E2301" s="652">
        <f>SUM(E2285:E2300)</f>
        <v>12000000</v>
      </c>
      <c r="F2301" s="652">
        <f>SUM(F2285:F2300)</f>
        <v>34000000</v>
      </c>
      <c r="G2301" s="652">
        <f>SUM(G2285:G2297)</f>
        <v>0</v>
      </c>
      <c r="H2301" s="652">
        <f>SUM(H2285:H2300)</f>
        <v>0</v>
      </c>
      <c r="I2301" s="662"/>
      <c r="J2301" s="391"/>
    </row>
    <row r="2302" spans="1:10" ht="12.75" customHeight="1">
      <c r="A2302" s="646"/>
      <c r="B2302" s="646"/>
      <c r="C2302" s="641"/>
      <c r="D2302" s="641"/>
      <c r="E2302" s="641"/>
      <c r="F2302" s="641"/>
      <c r="G2302" s="641"/>
      <c r="H2302" s="641"/>
      <c r="I2302" s="662"/>
      <c r="J2302" s="391"/>
    </row>
    <row r="2303" spans="1:10" ht="12.75" customHeight="1">
      <c r="A2303" s="653"/>
      <c r="B2303" s="653" t="s">
        <v>1684</v>
      </c>
      <c r="C2303" s="645">
        <f t="shared" ref="C2303:I2303" si="283">+C2301+C2283</f>
        <v>10000000</v>
      </c>
      <c r="D2303" s="645">
        <f t="shared" si="283"/>
        <v>12000000</v>
      </c>
      <c r="E2303" s="645">
        <f t="shared" si="283"/>
        <v>12000000</v>
      </c>
      <c r="F2303" s="645">
        <f t="shared" si="283"/>
        <v>34000000</v>
      </c>
      <c r="G2303" s="645">
        <f t="shared" si="283"/>
        <v>0</v>
      </c>
      <c r="H2303" s="645">
        <f t="shared" si="283"/>
        <v>0</v>
      </c>
      <c r="I2303" s="645">
        <f t="shared" si="283"/>
        <v>0</v>
      </c>
      <c r="J2303" s="391"/>
    </row>
    <row r="2304" spans="1:10" ht="12.75" customHeight="1">
      <c r="A2304" s="391"/>
      <c r="B2304" s="391"/>
      <c r="C2304" s="391"/>
      <c r="D2304" s="647"/>
      <c r="E2304" s="647"/>
      <c r="F2304" s="647"/>
      <c r="G2304" s="647"/>
      <c r="H2304" s="391"/>
      <c r="I2304" s="391"/>
      <c r="J2304" s="391"/>
    </row>
    <row r="2305" spans="1:10" ht="12.75" customHeight="1">
      <c r="A2305" s="391"/>
      <c r="B2305" s="391"/>
      <c r="C2305" s="391"/>
      <c r="D2305" s="647"/>
      <c r="E2305" s="647"/>
      <c r="F2305" s="647"/>
      <c r="G2305" s="647"/>
      <c r="H2305" s="391"/>
      <c r="I2305" s="391"/>
      <c r="J2305" s="391"/>
    </row>
    <row r="2306" spans="1:10" ht="12.75" customHeight="1">
      <c r="A2306" s="391"/>
      <c r="B2306" s="391"/>
      <c r="C2306" s="391"/>
      <c r="D2306" s="647"/>
      <c r="E2306" s="647"/>
      <c r="F2306" s="647"/>
      <c r="G2306" s="647"/>
      <c r="H2306" s="391"/>
      <c r="I2306" s="391"/>
      <c r="J2306" s="391"/>
    </row>
    <row r="2307" spans="1:10" ht="12.75" customHeight="1">
      <c r="A2307" s="391"/>
      <c r="B2307" s="391"/>
      <c r="C2307" s="391"/>
      <c r="D2307" s="647"/>
      <c r="E2307" s="647"/>
      <c r="F2307" s="647"/>
      <c r="G2307" s="647"/>
      <c r="H2307" s="391"/>
      <c r="I2307" s="391"/>
      <c r="J2307" s="391"/>
    </row>
    <row r="2308" spans="1:10" ht="12.75" customHeight="1">
      <c r="A2308" s="391"/>
      <c r="B2308" s="391"/>
      <c r="C2308" s="391"/>
      <c r="D2308" s="647"/>
      <c r="E2308" s="647"/>
      <c r="F2308" s="647"/>
      <c r="G2308" s="647"/>
      <c r="H2308" s="391"/>
      <c r="I2308" s="391"/>
      <c r="J2308" s="391"/>
    </row>
    <row r="2309" spans="1:10" ht="12.75" customHeight="1">
      <c r="A2309" s="391"/>
      <c r="B2309" s="391"/>
      <c r="C2309" s="391"/>
      <c r="D2309" s="647"/>
      <c r="E2309" s="647"/>
      <c r="F2309" s="647"/>
      <c r="G2309" s="647"/>
      <c r="H2309" s="391"/>
      <c r="I2309" s="391"/>
      <c r="J2309" s="391"/>
    </row>
    <row r="2310" spans="1:10" ht="12.75" customHeight="1">
      <c r="A2310" s="391"/>
      <c r="B2310" s="391"/>
      <c r="C2310" s="391"/>
      <c r="D2310" s="647"/>
      <c r="E2310" s="647"/>
      <c r="F2310" s="647"/>
      <c r="G2310" s="647"/>
      <c r="H2310" s="391"/>
      <c r="I2310" s="391"/>
      <c r="J2310" s="391"/>
    </row>
    <row r="2311" spans="1:10" ht="12.75" customHeight="1">
      <c r="A2311" s="391"/>
      <c r="B2311" s="391"/>
      <c r="C2311" s="391"/>
      <c r="D2311" s="647"/>
      <c r="E2311" s="647"/>
      <c r="F2311" s="647"/>
      <c r="G2311" s="647"/>
      <c r="H2311" s="391"/>
      <c r="I2311" s="391"/>
      <c r="J2311" s="391"/>
    </row>
    <row r="2312" spans="1:10" ht="12.75" customHeight="1">
      <c r="A2312" s="391"/>
      <c r="B2312" s="391"/>
      <c r="C2312" s="391"/>
      <c r="D2312" s="647"/>
      <c r="E2312" s="647"/>
      <c r="F2312" s="647"/>
      <c r="G2312" s="647"/>
      <c r="H2312" s="391"/>
      <c r="I2312" s="391"/>
      <c r="J2312" s="391"/>
    </row>
    <row r="2313" spans="1:10" ht="12.75" customHeight="1">
      <c r="A2313" s="391"/>
      <c r="B2313" s="391" t="s">
        <v>4498</v>
      </c>
      <c r="C2313" s="391"/>
      <c r="D2313" s="647"/>
      <c r="E2313" s="647"/>
      <c r="F2313" s="647"/>
      <c r="G2313" s="647"/>
      <c r="H2313" s="647">
        <f>4252000+1030000+1000000</f>
        <v>6282000</v>
      </c>
      <c r="I2313" s="391"/>
      <c r="J2313" s="391"/>
    </row>
    <row r="2314" spans="1:10" ht="12.75" customHeight="1">
      <c r="A2314" s="391"/>
      <c r="B2314" s="391"/>
      <c r="C2314" s="391"/>
      <c r="D2314" s="647"/>
      <c r="E2314" s="647"/>
      <c r="F2314" s="647"/>
      <c r="G2314" s="647"/>
      <c r="H2314" s="391"/>
      <c r="I2314" s="391"/>
      <c r="J2314" s="391"/>
    </row>
    <row r="2315" spans="1:10" ht="12.75" customHeight="1">
      <c r="A2315" s="391"/>
      <c r="B2315" s="391"/>
      <c r="C2315" s="391"/>
      <c r="D2315" s="647"/>
      <c r="E2315" s="647"/>
      <c r="F2315" s="647"/>
      <c r="G2315" s="647"/>
      <c r="H2315" s="391"/>
      <c r="I2315" s="391"/>
      <c r="J2315" s="391"/>
    </row>
    <row r="2316" spans="1:10" ht="12.75" customHeight="1">
      <c r="A2316" s="391"/>
      <c r="B2316" s="391"/>
      <c r="C2316" s="391"/>
      <c r="D2316" s="647"/>
      <c r="E2316" s="647"/>
      <c r="F2316" s="647"/>
      <c r="G2316" s="647"/>
      <c r="H2316" s="391"/>
      <c r="I2316" s="391"/>
      <c r="J2316" s="391"/>
    </row>
    <row r="2317" spans="1:10" ht="12.75" customHeight="1">
      <c r="A2317" s="391"/>
      <c r="B2317" s="391"/>
      <c r="C2317" s="391"/>
      <c r="D2317" s="647"/>
      <c r="E2317" s="647"/>
      <c r="F2317" s="647"/>
      <c r="G2317" s="647"/>
      <c r="H2317" s="391"/>
      <c r="I2317" s="391"/>
      <c r="J2317" s="391"/>
    </row>
    <row r="2318" spans="1:10" ht="12.75" customHeight="1">
      <c r="A2318" s="391"/>
      <c r="B2318" s="391"/>
      <c r="C2318" s="391"/>
      <c r="D2318" s="647"/>
      <c r="E2318" s="647"/>
      <c r="F2318" s="647"/>
      <c r="G2318" s="647"/>
      <c r="H2318" s="391"/>
      <c r="I2318" s="391"/>
      <c r="J2318" s="391"/>
    </row>
    <row r="2319" spans="1:10" ht="12.75" customHeight="1">
      <c r="A2319" s="391"/>
      <c r="B2319" s="391"/>
      <c r="C2319" s="391"/>
      <c r="D2319" s="647"/>
      <c r="E2319" s="647"/>
      <c r="F2319" s="647"/>
      <c r="G2319" s="647"/>
      <c r="H2319" s="391"/>
      <c r="I2319" s="391"/>
      <c r="J2319" s="391"/>
    </row>
    <row r="2320" spans="1:10" ht="12.75" customHeight="1">
      <c r="A2320" s="391"/>
      <c r="B2320" s="391"/>
      <c r="C2320" s="391"/>
      <c r="D2320" s="647"/>
      <c r="E2320" s="647"/>
      <c r="F2320" s="647"/>
      <c r="G2320" s="647"/>
      <c r="H2320" s="391"/>
      <c r="I2320" s="391"/>
      <c r="J2320" s="391"/>
    </row>
    <row r="2321" spans="1:10" ht="12.75" customHeight="1">
      <c r="A2321" s="391"/>
      <c r="B2321" s="391"/>
      <c r="C2321" s="391"/>
      <c r="D2321" s="647"/>
      <c r="E2321" s="647"/>
      <c r="F2321" s="647"/>
      <c r="G2321" s="647"/>
      <c r="H2321" s="391"/>
      <c r="I2321" s="391"/>
      <c r="J2321" s="391"/>
    </row>
    <row r="2322" spans="1:10" ht="12.75" customHeight="1">
      <c r="A2322" s="391"/>
      <c r="B2322" s="391"/>
      <c r="C2322" s="391"/>
      <c r="D2322" s="647"/>
      <c r="E2322" s="647"/>
      <c r="F2322" s="647"/>
      <c r="G2322" s="647"/>
      <c r="H2322" s="391"/>
      <c r="I2322" s="391"/>
      <c r="J2322" s="391"/>
    </row>
    <row r="2323" spans="1:10" ht="12.75" customHeight="1">
      <c r="A2323" s="391"/>
      <c r="B2323" s="391"/>
      <c r="C2323" s="391"/>
      <c r="D2323" s="647"/>
      <c r="E2323" s="647"/>
      <c r="F2323" s="647"/>
      <c r="G2323" s="647"/>
      <c r="H2323" s="391"/>
      <c r="I2323" s="391"/>
      <c r="J2323" s="391"/>
    </row>
    <row r="2324" spans="1:10" ht="12.75" customHeight="1">
      <c r="A2324" s="391"/>
      <c r="B2324" s="391"/>
      <c r="C2324" s="391"/>
      <c r="D2324" s="647"/>
      <c r="E2324" s="647"/>
      <c r="F2324" s="647"/>
      <c r="G2324" s="647"/>
      <c r="H2324" s="391"/>
      <c r="I2324" s="391"/>
      <c r="J2324" s="391"/>
    </row>
    <row r="2325" spans="1:10" ht="12.75" customHeight="1">
      <c r="A2325" s="391"/>
      <c r="B2325" s="391"/>
      <c r="C2325" s="391"/>
      <c r="D2325" s="647"/>
      <c r="E2325" s="647"/>
      <c r="F2325" s="647"/>
      <c r="G2325" s="647"/>
      <c r="H2325" s="391"/>
      <c r="I2325" s="391"/>
      <c r="J2325" s="391"/>
    </row>
    <row r="2326" spans="1:10" ht="12.75" customHeight="1">
      <c r="A2326" s="391"/>
      <c r="B2326" s="391"/>
      <c r="C2326" s="391"/>
      <c r="D2326" s="647"/>
      <c r="E2326" s="647"/>
      <c r="F2326" s="647"/>
      <c r="G2326" s="647"/>
      <c r="H2326" s="391"/>
      <c r="I2326" s="391"/>
      <c r="J2326" s="391"/>
    </row>
    <row r="2327" spans="1:10" ht="12.75" customHeight="1">
      <c r="A2327" s="391"/>
      <c r="B2327" s="391"/>
      <c r="C2327" s="391"/>
      <c r="D2327" s="647"/>
      <c r="E2327" s="647"/>
      <c r="F2327" s="647"/>
      <c r="G2327" s="647"/>
      <c r="H2327" s="391"/>
      <c r="I2327" s="391"/>
      <c r="J2327" s="391"/>
    </row>
    <row r="2328" spans="1:10" ht="12.75" customHeight="1">
      <c r="A2328" s="391"/>
      <c r="B2328" s="391"/>
      <c r="C2328" s="391"/>
      <c r="D2328" s="647"/>
      <c r="E2328" s="647"/>
      <c r="F2328" s="647"/>
      <c r="G2328" s="647"/>
      <c r="H2328" s="391"/>
      <c r="I2328" s="391"/>
      <c r="J2328" s="391"/>
    </row>
    <row r="2329" spans="1:10" ht="12.75" customHeight="1">
      <c r="A2329" s="391"/>
      <c r="B2329" s="391"/>
      <c r="C2329" s="391"/>
      <c r="D2329" s="647"/>
      <c r="E2329" s="647"/>
      <c r="F2329" s="647"/>
      <c r="G2329" s="647"/>
      <c r="H2329" s="391"/>
      <c r="I2329" s="391"/>
      <c r="J2329" s="391"/>
    </row>
    <row r="2330" spans="1:10" ht="12.75" customHeight="1">
      <c r="A2330" s="391"/>
      <c r="B2330" s="391"/>
      <c r="C2330" s="391"/>
      <c r="D2330" s="647"/>
      <c r="E2330" s="647"/>
      <c r="F2330" s="647"/>
      <c r="G2330" s="647"/>
      <c r="H2330" s="391"/>
      <c r="I2330" s="391"/>
      <c r="J2330" s="391"/>
    </row>
    <row r="2331" spans="1:10" ht="12.75" customHeight="1">
      <c r="A2331" s="391"/>
      <c r="B2331" s="391"/>
      <c r="C2331" s="391"/>
      <c r="D2331" s="647"/>
      <c r="E2331" s="647"/>
      <c r="F2331" s="647"/>
      <c r="G2331" s="647"/>
      <c r="H2331" s="391"/>
      <c r="I2331" s="391"/>
      <c r="J2331" s="391"/>
    </row>
    <row r="2332" spans="1:10" ht="12.75" customHeight="1">
      <c r="A2332" s="391"/>
      <c r="B2332" s="391"/>
      <c r="C2332" s="391"/>
      <c r="D2332" s="647"/>
      <c r="E2332" s="647"/>
      <c r="F2332" s="647"/>
      <c r="G2332" s="647"/>
      <c r="H2332" s="391"/>
      <c r="I2332" s="391"/>
      <c r="J2332" s="391"/>
    </row>
    <row r="2333" spans="1:10" ht="12.75" customHeight="1">
      <c r="A2333" s="391"/>
      <c r="B2333" s="391"/>
      <c r="C2333" s="391"/>
      <c r="D2333" s="647"/>
      <c r="E2333" s="647"/>
      <c r="F2333" s="647"/>
      <c r="G2333" s="647"/>
      <c r="H2333" s="391"/>
      <c r="I2333" s="391"/>
      <c r="J2333" s="391"/>
    </row>
    <row r="2334" spans="1:10" ht="12.75" customHeight="1">
      <c r="A2334" s="391"/>
      <c r="B2334" s="391"/>
      <c r="C2334" s="391"/>
      <c r="D2334" s="647"/>
      <c r="E2334" s="647"/>
      <c r="F2334" s="647"/>
      <c r="G2334" s="647"/>
      <c r="H2334" s="391"/>
      <c r="I2334" s="391"/>
      <c r="J2334" s="391"/>
    </row>
    <row r="2335" spans="1:10" ht="12.75" customHeight="1">
      <c r="A2335" s="391"/>
      <c r="B2335" s="391"/>
      <c r="C2335" s="391"/>
      <c r="D2335" s="647"/>
      <c r="E2335" s="647"/>
      <c r="F2335" s="647"/>
      <c r="G2335" s="647"/>
      <c r="H2335" s="391"/>
      <c r="I2335" s="391"/>
      <c r="J2335" s="391"/>
    </row>
    <row r="2336" spans="1:10" ht="12.75" customHeight="1">
      <c r="A2336" s="391"/>
      <c r="B2336" s="391"/>
      <c r="C2336" s="391"/>
      <c r="D2336" s="647"/>
      <c r="E2336" s="647"/>
      <c r="F2336" s="647"/>
      <c r="G2336" s="647"/>
      <c r="H2336" s="391"/>
      <c r="I2336" s="391"/>
      <c r="J2336" s="391"/>
    </row>
    <row r="2337" spans="1:10" ht="12.75" customHeight="1">
      <c r="A2337" s="391"/>
      <c r="B2337" s="391"/>
      <c r="C2337" s="391"/>
      <c r="D2337" s="647"/>
      <c r="E2337" s="647"/>
      <c r="F2337" s="647"/>
      <c r="G2337" s="647"/>
      <c r="H2337" s="391"/>
      <c r="I2337" s="391"/>
      <c r="J2337" s="391"/>
    </row>
    <row r="2338" spans="1:10" ht="12.75" customHeight="1">
      <c r="A2338" s="391"/>
      <c r="B2338" s="391"/>
      <c r="C2338" s="391"/>
      <c r="D2338" s="647"/>
      <c r="E2338" s="647"/>
      <c r="F2338" s="647"/>
      <c r="G2338" s="647"/>
      <c r="H2338" s="391"/>
      <c r="I2338" s="391"/>
      <c r="J2338" s="391"/>
    </row>
    <row r="2339" spans="1:10" ht="12.75" customHeight="1">
      <c r="A2339" s="391"/>
      <c r="B2339" s="391"/>
      <c r="C2339" s="391"/>
      <c r="D2339" s="647"/>
      <c r="E2339" s="647"/>
      <c r="F2339" s="647"/>
      <c r="G2339" s="647"/>
      <c r="H2339" s="391"/>
      <c r="I2339" s="391"/>
      <c r="J2339" s="391"/>
    </row>
    <row r="2340" spans="1:10" ht="12.75" customHeight="1">
      <c r="A2340" s="391"/>
      <c r="B2340" s="391"/>
      <c r="C2340" s="391"/>
      <c r="D2340" s="647"/>
      <c r="E2340" s="647"/>
      <c r="F2340" s="647"/>
      <c r="G2340" s="647"/>
      <c r="H2340" s="391"/>
      <c r="I2340" s="391"/>
      <c r="J2340" s="391"/>
    </row>
    <row r="2341" spans="1:10" ht="12.75" customHeight="1">
      <c r="A2341" s="391"/>
      <c r="B2341" s="391"/>
      <c r="C2341" s="391"/>
      <c r="D2341" s="647"/>
      <c r="E2341" s="647"/>
      <c r="F2341" s="647"/>
      <c r="G2341" s="647"/>
      <c r="H2341" s="391"/>
      <c r="I2341" s="391"/>
      <c r="J2341" s="391"/>
    </row>
    <row r="2342" spans="1:10" ht="12.75" customHeight="1">
      <c r="A2342" s="391"/>
      <c r="B2342" s="391"/>
      <c r="C2342" s="391"/>
      <c r="D2342" s="647"/>
      <c r="E2342" s="647"/>
      <c r="F2342" s="647"/>
      <c r="G2342" s="647"/>
      <c r="H2342" s="391"/>
      <c r="I2342" s="391"/>
      <c r="J2342" s="391"/>
    </row>
    <row r="2343" spans="1:10" ht="12.75" customHeight="1">
      <c r="A2343" s="391"/>
      <c r="B2343" s="391"/>
      <c r="C2343" s="391"/>
      <c r="D2343" s="647"/>
      <c r="E2343" s="647"/>
      <c r="F2343" s="647"/>
      <c r="G2343" s="647"/>
      <c r="H2343" s="391"/>
      <c r="I2343" s="391"/>
      <c r="J2343" s="391"/>
    </row>
    <row r="2344" spans="1:10" ht="12.75" customHeight="1">
      <c r="A2344" s="391"/>
      <c r="B2344" s="391"/>
      <c r="C2344" s="391"/>
      <c r="D2344" s="647"/>
      <c r="E2344" s="647"/>
      <c r="F2344" s="647"/>
      <c r="G2344" s="647"/>
      <c r="H2344" s="391"/>
      <c r="I2344" s="391"/>
      <c r="J2344" s="391"/>
    </row>
    <row r="2345" spans="1:10" ht="12.75" customHeight="1">
      <c r="A2345" s="391"/>
      <c r="B2345" s="391"/>
      <c r="C2345" s="391"/>
      <c r="D2345" s="647"/>
      <c r="E2345" s="647"/>
      <c r="F2345" s="647"/>
      <c r="G2345" s="647"/>
      <c r="H2345" s="391"/>
      <c r="I2345" s="391"/>
      <c r="J2345" s="391"/>
    </row>
    <row r="2346" spans="1:10" ht="12.75" customHeight="1">
      <c r="A2346" s="391"/>
      <c r="B2346" s="391"/>
      <c r="C2346" s="391"/>
      <c r="D2346" s="647"/>
      <c r="E2346" s="647"/>
      <c r="F2346" s="647"/>
      <c r="G2346" s="647"/>
      <c r="H2346" s="391"/>
      <c r="I2346" s="391"/>
      <c r="J2346" s="391"/>
    </row>
    <row r="2347" spans="1:10" ht="12.75" customHeight="1">
      <c r="A2347" s="391"/>
      <c r="B2347" s="391"/>
      <c r="C2347" s="391"/>
      <c r="D2347" s="647"/>
      <c r="E2347" s="647"/>
      <c r="F2347" s="647"/>
      <c r="G2347" s="647"/>
      <c r="H2347" s="391"/>
      <c r="I2347" s="391"/>
      <c r="J2347" s="391"/>
    </row>
    <row r="2348" spans="1:10" ht="12.75" customHeight="1">
      <c r="A2348" s="391"/>
      <c r="B2348" s="391"/>
      <c r="C2348" s="391"/>
      <c r="D2348" s="647"/>
      <c r="E2348" s="647"/>
      <c r="F2348" s="647"/>
      <c r="G2348" s="647"/>
      <c r="H2348" s="391"/>
      <c r="I2348" s="391"/>
      <c r="J2348" s="391"/>
    </row>
    <row r="2349" spans="1:10" ht="12.75" customHeight="1">
      <c r="A2349" s="391"/>
      <c r="B2349" s="391"/>
      <c r="C2349" s="391"/>
      <c r="D2349" s="647"/>
      <c r="E2349" s="647"/>
      <c r="F2349" s="647"/>
      <c r="G2349" s="647"/>
      <c r="H2349" s="391"/>
      <c r="I2349" s="391"/>
      <c r="J2349" s="391"/>
    </row>
    <row r="2350" spans="1:10" ht="12.75" customHeight="1">
      <c r="A2350" s="391"/>
      <c r="B2350" s="391"/>
      <c r="C2350" s="391"/>
      <c r="D2350" s="647"/>
      <c r="E2350" s="647"/>
      <c r="F2350" s="647"/>
      <c r="G2350" s="647"/>
      <c r="H2350" s="391"/>
      <c r="I2350" s="391"/>
      <c r="J2350" s="391"/>
    </row>
    <row r="2351" spans="1:10" ht="12.75" customHeight="1">
      <c r="A2351" s="391"/>
      <c r="B2351" s="391"/>
      <c r="C2351" s="391"/>
      <c r="D2351" s="647"/>
      <c r="E2351" s="647"/>
      <c r="F2351" s="647"/>
      <c r="G2351" s="647"/>
      <c r="H2351" s="391"/>
      <c r="I2351" s="391"/>
      <c r="J2351" s="391"/>
    </row>
    <row r="2352" spans="1:10" ht="12.75" customHeight="1">
      <c r="A2352" s="391"/>
      <c r="B2352" s="391"/>
      <c r="C2352" s="391"/>
      <c r="D2352" s="647"/>
      <c r="E2352" s="647"/>
      <c r="F2352" s="647"/>
      <c r="G2352" s="647"/>
      <c r="H2352" s="391"/>
      <c r="I2352" s="391"/>
      <c r="J2352" s="391"/>
    </row>
    <row r="2353" spans="1:10" ht="12.75" customHeight="1">
      <c r="A2353" s="391"/>
      <c r="B2353" s="391"/>
      <c r="C2353" s="391"/>
      <c r="D2353" s="647"/>
      <c r="E2353" s="647"/>
      <c r="F2353" s="647"/>
      <c r="G2353" s="647"/>
      <c r="H2353" s="391"/>
      <c r="I2353" s="391"/>
      <c r="J2353" s="391"/>
    </row>
    <row r="2354" spans="1:10" ht="12.75" customHeight="1">
      <c r="A2354" s="391"/>
      <c r="B2354" s="391"/>
      <c r="C2354" s="391"/>
      <c r="D2354" s="647"/>
      <c r="E2354" s="647"/>
      <c r="F2354" s="647"/>
      <c r="G2354" s="647"/>
      <c r="H2354" s="391"/>
      <c r="I2354" s="391"/>
      <c r="J2354" s="391"/>
    </row>
    <row r="2355" spans="1:10" ht="12.75" customHeight="1">
      <c r="A2355" s="391"/>
      <c r="B2355" s="391"/>
      <c r="C2355" s="391"/>
      <c r="D2355" s="647"/>
      <c r="E2355" s="647"/>
      <c r="F2355" s="647"/>
      <c r="G2355" s="647"/>
      <c r="H2355" s="391"/>
      <c r="I2355" s="391"/>
      <c r="J2355" s="391"/>
    </row>
    <row r="2356" spans="1:10" ht="12.75" customHeight="1">
      <c r="A2356" s="391"/>
      <c r="B2356" s="391"/>
      <c r="C2356" s="391"/>
      <c r="D2356" s="647"/>
      <c r="E2356" s="647"/>
      <c r="F2356" s="647"/>
      <c r="G2356" s="647"/>
      <c r="H2356" s="391"/>
      <c r="I2356" s="391"/>
      <c r="J2356" s="391"/>
    </row>
    <row r="2357" spans="1:10" ht="12.75" customHeight="1">
      <c r="A2357" s="391"/>
      <c r="B2357" s="391"/>
      <c r="C2357" s="391"/>
      <c r="D2357" s="647"/>
      <c r="E2357" s="647"/>
      <c r="F2357" s="647"/>
      <c r="G2357" s="647"/>
      <c r="H2357" s="391"/>
      <c r="I2357" s="391"/>
      <c r="J2357" s="391"/>
    </row>
    <row r="2358" spans="1:10" ht="12.75" customHeight="1">
      <c r="A2358" s="391"/>
      <c r="B2358" s="391"/>
      <c r="C2358" s="391"/>
      <c r="D2358" s="647"/>
      <c r="E2358" s="647"/>
      <c r="F2358" s="647"/>
      <c r="G2358" s="647"/>
      <c r="H2358" s="391"/>
      <c r="I2358" s="391"/>
      <c r="J2358" s="391"/>
    </row>
    <row r="2359" spans="1:10" ht="12.75" customHeight="1">
      <c r="A2359" s="391"/>
      <c r="B2359" s="391"/>
      <c r="C2359" s="391"/>
      <c r="D2359" s="647"/>
      <c r="E2359" s="647"/>
      <c r="F2359" s="647"/>
      <c r="G2359" s="647"/>
      <c r="H2359" s="391"/>
      <c r="I2359" s="391"/>
      <c r="J2359" s="391"/>
    </row>
    <row r="2360" spans="1:10" ht="12.75" customHeight="1">
      <c r="A2360" s="391"/>
      <c r="B2360" s="391"/>
      <c r="C2360" s="391"/>
      <c r="D2360" s="647"/>
      <c r="E2360" s="647"/>
      <c r="F2360" s="647"/>
      <c r="G2360" s="647"/>
      <c r="H2360" s="391"/>
      <c r="I2360" s="391"/>
      <c r="J2360" s="391"/>
    </row>
    <row r="2361" spans="1:10" ht="12.75" customHeight="1">
      <c r="A2361" s="391"/>
      <c r="B2361" s="391"/>
      <c r="C2361" s="391"/>
      <c r="D2361" s="647"/>
      <c r="E2361" s="647"/>
      <c r="F2361" s="647"/>
      <c r="G2361" s="647"/>
      <c r="H2361" s="391"/>
      <c r="I2361" s="391"/>
      <c r="J2361" s="391"/>
    </row>
    <row r="2362" spans="1:10" ht="12.75" customHeight="1">
      <c r="A2362" s="391"/>
      <c r="B2362" s="391"/>
      <c r="C2362" s="391"/>
      <c r="D2362" s="647"/>
      <c r="E2362" s="647"/>
      <c r="F2362" s="647"/>
      <c r="G2362" s="647"/>
      <c r="H2362" s="391"/>
      <c r="I2362" s="391"/>
      <c r="J2362" s="391"/>
    </row>
    <row r="2363" spans="1:10" ht="12.75" customHeight="1">
      <c r="A2363" s="391"/>
      <c r="B2363" s="391"/>
      <c r="C2363" s="391"/>
      <c r="D2363" s="647"/>
      <c r="E2363" s="647"/>
      <c r="F2363" s="647"/>
      <c r="G2363" s="647"/>
      <c r="H2363" s="391"/>
      <c r="I2363" s="391"/>
      <c r="J2363" s="391"/>
    </row>
    <row r="2364" spans="1:10" ht="12.75" customHeight="1">
      <c r="A2364" s="391"/>
      <c r="B2364" s="391"/>
      <c r="C2364" s="391"/>
      <c r="D2364" s="647"/>
      <c r="E2364" s="647"/>
      <c r="F2364" s="647"/>
      <c r="G2364" s="647"/>
      <c r="H2364" s="391"/>
      <c r="I2364" s="391"/>
      <c r="J2364" s="391"/>
    </row>
    <row r="2365" spans="1:10" ht="12.75" customHeight="1">
      <c r="A2365" s="391"/>
      <c r="B2365" s="391"/>
      <c r="C2365" s="391"/>
      <c r="D2365" s="647"/>
      <c r="E2365" s="647"/>
      <c r="F2365" s="647"/>
      <c r="G2365" s="647"/>
      <c r="H2365" s="391"/>
      <c r="I2365" s="391"/>
      <c r="J2365" s="391"/>
    </row>
    <row r="2366" spans="1:10" ht="12.75" customHeight="1">
      <c r="A2366" s="391"/>
      <c r="B2366" s="391"/>
      <c r="C2366" s="391"/>
      <c r="D2366" s="647"/>
      <c r="E2366" s="647"/>
      <c r="F2366" s="647"/>
      <c r="G2366" s="647"/>
      <c r="H2366" s="391"/>
      <c r="I2366" s="391"/>
      <c r="J2366" s="391"/>
    </row>
    <row r="2367" spans="1:10" ht="12.75" customHeight="1">
      <c r="A2367" s="391"/>
      <c r="B2367" s="391"/>
      <c r="C2367" s="391"/>
      <c r="D2367" s="647"/>
      <c r="E2367" s="647"/>
      <c r="F2367" s="647"/>
      <c r="G2367" s="647"/>
      <c r="H2367" s="391"/>
      <c r="I2367" s="391"/>
      <c r="J2367" s="391"/>
    </row>
    <row r="2368" spans="1:10" ht="12.75" customHeight="1">
      <c r="A2368" s="391"/>
      <c r="B2368" s="391"/>
      <c r="C2368" s="391"/>
      <c r="D2368" s="647"/>
      <c r="E2368" s="647"/>
      <c r="F2368" s="647"/>
      <c r="G2368" s="647"/>
      <c r="H2368" s="391"/>
      <c r="I2368" s="391"/>
      <c r="J2368" s="391"/>
    </row>
    <row r="2369" spans="1:10" ht="12.75" customHeight="1">
      <c r="A2369" s="391"/>
      <c r="B2369" s="391"/>
      <c r="C2369" s="391"/>
      <c r="D2369" s="647"/>
      <c r="E2369" s="647"/>
      <c r="F2369" s="647"/>
      <c r="G2369" s="647"/>
      <c r="H2369" s="391"/>
      <c r="I2369" s="391"/>
      <c r="J2369" s="391"/>
    </row>
    <row r="2370" spans="1:10" ht="12.75" customHeight="1">
      <c r="A2370" s="391"/>
      <c r="B2370" s="391"/>
      <c r="C2370" s="391"/>
      <c r="D2370" s="647"/>
      <c r="E2370" s="647"/>
      <c r="F2370" s="647"/>
      <c r="G2370" s="647"/>
      <c r="H2370" s="391"/>
      <c r="I2370" s="391"/>
      <c r="J2370" s="391"/>
    </row>
    <row r="2371" spans="1:10" ht="12.75" customHeight="1">
      <c r="A2371" s="391"/>
      <c r="B2371" s="391"/>
      <c r="C2371" s="391"/>
      <c r="D2371" s="647"/>
      <c r="E2371" s="647"/>
      <c r="F2371" s="647"/>
      <c r="G2371" s="647"/>
      <c r="H2371" s="391"/>
      <c r="I2371" s="391"/>
      <c r="J2371" s="391"/>
    </row>
    <row r="2372" spans="1:10" ht="12.75" customHeight="1">
      <c r="A2372" s="391"/>
      <c r="B2372" s="391"/>
      <c r="C2372" s="391"/>
      <c r="D2372" s="647"/>
      <c r="E2372" s="647"/>
      <c r="F2372" s="647"/>
      <c r="G2372" s="647"/>
      <c r="H2372" s="391"/>
      <c r="I2372" s="391"/>
      <c r="J2372" s="391"/>
    </row>
    <row r="2373" spans="1:10" ht="12.75" customHeight="1">
      <c r="A2373" s="391"/>
      <c r="B2373" s="391"/>
      <c r="C2373" s="391"/>
      <c r="D2373" s="647"/>
      <c r="E2373" s="647"/>
      <c r="F2373" s="647"/>
      <c r="G2373" s="647"/>
      <c r="H2373" s="391"/>
      <c r="I2373" s="391"/>
      <c r="J2373" s="391"/>
    </row>
    <row r="2374" spans="1:10" ht="12.75" customHeight="1">
      <c r="A2374" s="391"/>
      <c r="B2374" s="391"/>
      <c r="C2374" s="391"/>
      <c r="D2374" s="647"/>
      <c r="E2374" s="647"/>
      <c r="F2374" s="647"/>
      <c r="G2374" s="647"/>
      <c r="H2374" s="391"/>
      <c r="I2374" s="391"/>
      <c r="J2374" s="391"/>
    </row>
    <row r="2375" spans="1:10" ht="12.75" customHeight="1">
      <c r="A2375" s="391"/>
      <c r="B2375" s="391"/>
      <c r="C2375" s="391"/>
      <c r="D2375" s="647"/>
      <c r="E2375" s="647"/>
      <c r="F2375" s="647"/>
      <c r="G2375" s="647"/>
      <c r="H2375" s="391"/>
      <c r="I2375" s="391"/>
      <c r="J2375" s="391"/>
    </row>
    <row r="2376" spans="1:10" ht="12.75" customHeight="1">
      <c r="A2376" s="391"/>
      <c r="B2376" s="391"/>
      <c r="C2376" s="391"/>
      <c r="D2376" s="647"/>
      <c r="E2376" s="647"/>
      <c r="F2376" s="647"/>
      <c r="G2376" s="647"/>
      <c r="H2376" s="391"/>
      <c r="I2376" s="391"/>
      <c r="J2376" s="391"/>
    </row>
    <row r="2377" spans="1:10" ht="12.75" customHeight="1">
      <c r="A2377" s="391"/>
      <c r="B2377" s="391"/>
      <c r="C2377" s="391"/>
      <c r="D2377" s="647"/>
      <c r="E2377" s="647"/>
      <c r="F2377" s="647"/>
      <c r="G2377" s="647"/>
      <c r="H2377" s="391"/>
      <c r="I2377" s="391"/>
      <c r="J2377" s="391"/>
    </row>
    <row r="2378" spans="1:10" ht="12.75" customHeight="1">
      <c r="A2378" s="391"/>
      <c r="B2378" s="391"/>
      <c r="C2378" s="391"/>
      <c r="D2378" s="647"/>
      <c r="E2378" s="647"/>
      <c r="F2378" s="647"/>
      <c r="G2378" s="647"/>
      <c r="H2378" s="391"/>
      <c r="I2378" s="391"/>
      <c r="J2378" s="391"/>
    </row>
    <row r="2379" spans="1:10" ht="12.75" customHeight="1">
      <c r="A2379" s="391"/>
      <c r="B2379" s="391"/>
      <c r="C2379" s="391"/>
      <c r="D2379" s="647"/>
      <c r="E2379" s="647"/>
      <c r="F2379" s="647"/>
      <c r="G2379" s="647"/>
      <c r="H2379" s="391"/>
      <c r="I2379" s="391"/>
      <c r="J2379" s="391"/>
    </row>
    <row r="2380" spans="1:10" ht="12.75" customHeight="1">
      <c r="A2380" s="391"/>
      <c r="B2380" s="391"/>
      <c r="C2380" s="391"/>
      <c r="D2380" s="647"/>
      <c r="E2380" s="647"/>
      <c r="F2380" s="647"/>
      <c r="G2380" s="647"/>
      <c r="H2380" s="391"/>
      <c r="I2380" s="391"/>
      <c r="J2380" s="391"/>
    </row>
    <row r="2381" spans="1:10" ht="12.75" customHeight="1">
      <c r="A2381" s="391"/>
      <c r="B2381" s="391"/>
      <c r="C2381" s="391"/>
      <c r="D2381" s="647"/>
      <c r="E2381" s="647"/>
      <c r="F2381" s="647"/>
      <c r="G2381" s="647"/>
      <c r="H2381" s="391"/>
      <c r="I2381" s="391"/>
      <c r="J2381" s="391"/>
    </row>
    <row r="2382" spans="1:10" ht="12.75" customHeight="1">
      <c r="A2382" s="391"/>
      <c r="B2382" s="391"/>
      <c r="C2382" s="391"/>
      <c r="D2382" s="647"/>
      <c r="E2382" s="647"/>
      <c r="F2382" s="647"/>
      <c r="G2382" s="647"/>
      <c r="H2382" s="391"/>
      <c r="I2382" s="391"/>
      <c r="J2382" s="391"/>
    </row>
    <row r="2383" spans="1:10" ht="12.75" customHeight="1">
      <c r="A2383" s="391"/>
      <c r="B2383" s="391"/>
      <c r="C2383" s="391"/>
      <c r="D2383" s="647"/>
      <c r="E2383" s="647"/>
      <c r="F2383" s="647"/>
      <c r="G2383" s="647"/>
      <c r="H2383" s="391"/>
      <c r="I2383" s="391"/>
      <c r="J2383" s="391"/>
    </row>
    <row r="2384" spans="1:10" ht="12.75" customHeight="1">
      <c r="A2384" s="391"/>
      <c r="B2384" s="391"/>
      <c r="C2384" s="391"/>
      <c r="D2384" s="647"/>
      <c r="E2384" s="647"/>
      <c r="F2384" s="647"/>
      <c r="G2384" s="647"/>
      <c r="H2384" s="391"/>
      <c r="I2384" s="391"/>
      <c r="J2384" s="391"/>
    </row>
    <row r="2385" spans="1:10" ht="12.75" customHeight="1">
      <c r="A2385" s="391"/>
      <c r="B2385" s="391"/>
      <c r="C2385" s="391"/>
      <c r="D2385" s="647"/>
      <c r="E2385" s="647"/>
      <c r="F2385" s="647"/>
      <c r="G2385" s="647"/>
      <c r="H2385" s="391"/>
      <c r="I2385" s="391"/>
      <c r="J2385" s="391"/>
    </row>
    <row r="2386" spans="1:10" ht="12.75" customHeight="1">
      <c r="A2386" s="391"/>
      <c r="B2386" s="391"/>
      <c r="C2386" s="391"/>
      <c r="D2386" s="647"/>
      <c r="E2386" s="647"/>
      <c r="F2386" s="647"/>
      <c r="G2386" s="647"/>
      <c r="H2386" s="391"/>
      <c r="I2386" s="391"/>
      <c r="J2386" s="391"/>
    </row>
    <row r="2387" spans="1:10" ht="12.75" customHeight="1">
      <c r="A2387" s="391"/>
      <c r="B2387" s="391"/>
      <c r="C2387" s="391"/>
      <c r="D2387" s="647"/>
      <c r="E2387" s="647"/>
      <c r="F2387" s="647"/>
      <c r="G2387" s="647"/>
      <c r="H2387" s="391"/>
      <c r="I2387" s="391"/>
      <c r="J2387" s="391"/>
    </row>
    <row r="2388" spans="1:10" ht="12.75" customHeight="1">
      <c r="A2388" s="391"/>
      <c r="B2388" s="391"/>
      <c r="C2388" s="391"/>
      <c r="D2388" s="647"/>
      <c r="E2388" s="647"/>
      <c r="F2388" s="647"/>
      <c r="G2388" s="647"/>
      <c r="H2388" s="391"/>
      <c r="I2388" s="391"/>
      <c r="J2388" s="391"/>
    </row>
    <row r="2389" spans="1:10" ht="12.75" customHeight="1">
      <c r="A2389" s="391"/>
      <c r="B2389" s="391"/>
      <c r="C2389" s="391"/>
      <c r="D2389" s="647"/>
      <c r="E2389" s="647"/>
      <c r="F2389" s="647"/>
      <c r="G2389" s="647"/>
      <c r="H2389" s="391"/>
      <c r="I2389" s="391"/>
      <c r="J2389" s="391"/>
    </row>
    <row r="2390" spans="1:10" ht="12.75" customHeight="1">
      <c r="A2390" s="391"/>
      <c r="B2390" s="391"/>
      <c r="C2390" s="391"/>
      <c r="D2390" s="647"/>
      <c r="E2390" s="647"/>
      <c r="F2390" s="647"/>
      <c r="G2390" s="647"/>
      <c r="H2390" s="391"/>
      <c r="I2390" s="391"/>
      <c r="J2390" s="391"/>
    </row>
    <row r="2391" spans="1:10" ht="12.75" customHeight="1">
      <c r="A2391" s="391"/>
      <c r="B2391" s="391"/>
      <c r="C2391" s="391"/>
      <c r="D2391" s="647"/>
      <c r="E2391" s="647"/>
      <c r="F2391" s="647"/>
      <c r="G2391" s="647"/>
      <c r="H2391" s="391"/>
      <c r="I2391" s="391"/>
      <c r="J2391" s="391"/>
    </row>
    <row r="2392" spans="1:10" ht="12.75" customHeight="1">
      <c r="A2392" s="391"/>
      <c r="B2392" s="391"/>
      <c r="C2392" s="391"/>
      <c r="D2392" s="647"/>
      <c r="E2392" s="647"/>
      <c r="F2392" s="647"/>
      <c r="G2392" s="647"/>
      <c r="H2392" s="391"/>
      <c r="I2392" s="391"/>
      <c r="J2392" s="391"/>
    </row>
    <row r="2393" spans="1:10" ht="12.75" customHeight="1">
      <c r="A2393" s="391"/>
      <c r="B2393" s="391"/>
      <c r="C2393" s="391"/>
      <c r="D2393" s="647"/>
      <c r="E2393" s="647"/>
      <c r="F2393" s="647"/>
      <c r="G2393" s="647"/>
      <c r="H2393" s="391"/>
      <c r="I2393" s="391"/>
      <c r="J2393" s="391"/>
    </row>
    <row r="2394" spans="1:10" ht="12.75" customHeight="1">
      <c r="A2394" s="391"/>
      <c r="B2394" s="391"/>
      <c r="C2394" s="391"/>
      <c r="D2394" s="647"/>
      <c r="E2394" s="647"/>
      <c r="F2394" s="647"/>
      <c r="G2394" s="647"/>
      <c r="H2394" s="391"/>
      <c r="I2394" s="391"/>
      <c r="J2394" s="391"/>
    </row>
    <row r="2395" spans="1:10" ht="12.75" customHeight="1">
      <c r="A2395" s="391"/>
      <c r="B2395" s="391"/>
      <c r="C2395" s="391"/>
      <c r="D2395" s="647"/>
      <c r="E2395" s="647"/>
      <c r="F2395" s="647"/>
      <c r="G2395" s="647"/>
      <c r="H2395" s="391"/>
      <c r="I2395" s="391"/>
      <c r="J2395" s="391"/>
    </row>
    <row r="2396" spans="1:10" ht="12.75" customHeight="1">
      <c r="A2396" s="391"/>
      <c r="B2396" s="391"/>
      <c r="C2396" s="391"/>
      <c r="D2396" s="647"/>
      <c r="E2396" s="647"/>
      <c r="F2396" s="647"/>
      <c r="G2396" s="647"/>
      <c r="H2396" s="391"/>
      <c r="I2396" s="391"/>
      <c r="J2396" s="391"/>
    </row>
    <row r="2397" spans="1:10" ht="12.75" customHeight="1">
      <c r="A2397" s="391"/>
      <c r="B2397" s="391"/>
      <c r="C2397" s="391"/>
      <c r="D2397" s="647"/>
      <c r="E2397" s="647"/>
      <c r="F2397" s="647"/>
      <c r="G2397" s="647"/>
      <c r="H2397" s="391"/>
      <c r="I2397" s="391"/>
      <c r="J2397" s="391"/>
    </row>
    <row r="2398" spans="1:10" ht="12.75" customHeight="1">
      <c r="A2398" s="391"/>
      <c r="B2398" s="391"/>
      <c r="C2398" s="391"/>
      <c r="D2398" s="647"/>
      <c r="E2398" s="647"/>
      <c r="F2398" s="647"/>
      <c r="G2398" s="647"/>
      <c r="H2398" s="391"/>
      <c r="I2398" s="391"/>
      <c r="J2398" s="391"/>
    </row>
    <row r="2399" spans="1:10" ht="12.75" customHeight="1">
      <c r="A2399" s="391"/>
      <c r="B2399" s="391"/>
      <c r="C2399" s="391"/>
      <c r="D2399" s="647"/>
      <c r="E2399" s="647"/>
      <c r="F2399" s="647"/>
      <c r="G2399" s="647"/>
      <c r="H2399" s="391"/>
      <c r="I2399" s="391"/>
      <c r="J2399" s="391"/>
    </row>
    <row r="2400" spans="1:10" ht="12.75" customHeight="1">
      <c r="A2400" s="391"/>
      <c r="B2400" s="391"/>
      <c r="C2400" s="391"/>
      <c r="D2400" s="647"/>
      <c r="E2400" s="647"/>
      <c r="F2400" s="647"/>
      <c r="G2400" s="647"/>
      <c r="H2400" s="391"/>
      <c r="I2400" s="391"/>
      <c r="J2400" s="391"/>
    </row>
    <row r="2401" spans="1:10" ht="12.75" customHeight="1">
      <c r="A2401" s="391"/>
      <c r="B2401" s="391"/>
      <c r="C2401" s="391"/>
      <c r="D2401" s="647"/>
      <c r="E2401" s="647"/>
      <c r="F2401" s="647"/>
      <c r="G2401" s="647"/>
      <c r="H2401" s="391"/>
      <c r="I2401" s="391"/>
      <c r="J2401" s="391"/>
    </row>
    <row r="2402" spans="1:10" ht="12.75" customHeight="1">
      <c r="A2402" s="391"/>
      <c r="B2402" s="391"/>
      <c r="C2402" s="391"/>
      <c r="D2402" s="647"/>
      <c r="E2402" s="647"/>
      <c r="F2402" s="647"/>
      <c r="G2402" s="647"/>
      <c r="H2402" s="391"/>
      <c r="I2402" s="391"/>
      <c r="J2402" s="391"/>
    </row>
    <row r="2403" spans="1:10" ht="12.75" customHeight="1">
      <c r="A2403" s="391"/>
      <c r="B2403" s="391"/>
      <c r="C2403" s="391"/>
      <c r="D2403" s="647"/>
      <c r="E2403" s="647"/>
      <c r="F2403" s="647"/>
      <c r="G2403" s="647"/>
      <c r="H2403" s="391"/>
      <c r="I2403" s="391"/>
      <c r="J2403" s="391"/>
    </row>
    <row r="2404" spans="1:10" ht="12.75" customHeight="1">
      <c r="A2404" s="391"/>
      <c r="B2404" s="391"/>
      <c r="C2404" s="391"/>
      <c r="D2404" s="647"/>
      <c r="E2404" s="647"/>
      <c r="F2404" s="647"/>
      <c r="G2404" s="647"/>
      <c r="H2404" s="391"/>
      <c r="I2404" s="391"/>
      <c r="J2404" s="391"/>
    </row>
    <row r="2405" spans="1:10" ht="12.75" customHeight="1">
      <c r="A2405" s="391"/>
      <c r="B2405" s="391"/>
      <c r="C2405" s="391"/>
      <c r="D2405" s="647"/>
      <c r="E2405" s="647"/>
      <c r="F2405" s="647"/>
      <c r="G2405" s="647"/>
      <c r="H2405" s="391"/>
      <c r="I2405" s="391"/>
      <c r="J2405" s="391"/>
    </row>
    <row r="2406" spans="1:10" ht="12.75" customHeight="1">
      <c r="A2406" s="391"/>
      <c r="B2406" s="391"/>
      <c r="C2406" s="391"/>
      <c r="D2406" s="647"/>
      <c r="E2406" s="647"/>
      <c r="F2406" s="647"/>
      <c r="G2406" s="647"/>
      <c r="H2406" s="391"/>
      <c r="I2406" s="391"/>
      <c r="J2406" s="391"/>
    </row>
    <row r="2407" spans="1:10" ht="12.75" customHeight="1">
      <c r="A2407" s="391"/>
      <c r="B2407" s="391"/>
      <c r="C2407" s="391"/>
      <c r="D2407" s="647"/>
      <c r="E2407" s="647"/>
      <c r="F2407" s="647"/>
      <c r="G2407" s="647"/>
      <c r="H2407" s="391"/>
      <c r="I2407" s="391"/>
      <c r="J2407" s="391"/>
    </row>
    <row r="2408" spans="1:10" ht="12.75" customHeight="1">
      <c r="A2408" s="391"/>
      <c r="B2408" s="391"/>
      <c r="C2408" s="391"/>
      <c r="D2408" s="647"/>
      <c r="E2408" s="647"/>
      <c r="F2408" s="647"/>
      <c r="G2408" s="647"/>
      <c r="H2408" s="391"/>
      <c r="I2408" s="391"/>
      <c r="J2408" s="391"/>
    </row>
    <row r="2409" spans="1:10" ht="12.75" customHeight="1">
      <c r="A2409" s="391"/>
      <c r="B2409" s="391"/>
      <c r="C2409" s="391"/>
      <c r="D2409" s="647"/>
      <c r="E2409" s="647"/>
      <c r="F2409" s="647"/>
      <c r="G2409" s="647"/>
      <c r="H2409" s="391"/>
      <c r="I2409" s="391"/>
      <c r="J2409" s="391"/>
    </row>
    <row r="2410" spans="1:10" ht="12.75" customHeight="1">
      <c r="A2410" s="391"/>
      <c r="B2410" s="391"/>
      <c r="C2410" s="391"/>
      <c r="D2410" s="647"/>
      <c r="E2410" s="647"/>
      <c r="F2410" s="647"/>
      <c r="G2410" s="647"/>
      <c r="H2410" s="391"/>
      <c r="I2410" s="391"/>
      <c r="J2410" s="391"/>
    </row>
    <row r="2411" spans="1:10" ht="12.75" customHeight="1">
      <c r="A2411" s="391"/>
      <c r="B2411" s="391"/>
      <c r="C2411" s="391"/>
      <c r="D2411" s="647"/>
      <c r="E2411" s="647"/>
      <c r="F2411" s="647"/>
      <c r="G2411" s="647"/>
      <c r="H2411" s="391"/>
      <c r="I2411" s="391"/>
      <c r="J2411" s="391"/>
    </row>
    <row r="2412" spans="1:10" ht="12.75" customHeight="1">
      <c r="A2412" s="391"/>
      <c r="B2412" s="391"/>
      <c r="C2412" s="391"/>
      <c r="D2412" s="647"/>
      <c r="E2412" s="647"/>
      <c r="F2412" s="647"/>
      <c r="G2412" s="647"/>
      <c r="H2412" s="391"/>
      <c r="I2412" s="391"/>
      <c r="J2412" s="391"/>
    </row>
    <row r="2413" spans="1:10" ht="12.75" customHeight="1">
      <c r="A2413" s="391"/>
      <c r="B2413" s="391"/>
      <c r="C2413" s="391"/>
      <c r="D2413" s="647"/>
      <c r="E2413" s="647"/>
      <c r="F2413" s="647"/>
      <c r="G2413" s="647"/>
      <c r="H2413" s="391"/>
      <c r="I2413" s="391"/>
      <c r="J2413" s="391"/>
    </row>
    <row r="2414" spans="1:10" ht="12.75" customHeight="1">
      <c r="A2414" s="391"/>
      <c r="B2414" s="391"/>
      <c r="C2414" s="391"/>
      <c r="D2414" s="647"/>
      <c r="E2414" s="647"/>
      <c r="F2414" s="647"/>
      <c r="G2414" s="647"/>
      <c r="H2414" s="391"/>
      <c r="I2414" s="391"/>
      <c r="J2414" s="391"/>
    </row>
    <row r="2415" spans="1:10" ht="12.75" customHeight="1">
      <c r="A2415" s="391"/>
      <c r="B2415" s="391"/>
      <c r="C2415" s="391"/>
      <c r="D2415" s="647"/>
      <c r="E2415" s="647"/>
      <c r="F2415" s="647"/>
      <c r="G2415" s="647"/>
      <c r="H2415" s="391"/>
      <c r="I2415" s="391"/>
      <c r="J2415" s="391"/>
    </row>
    <row r="2416" spans="1:10" ht="12.75" customHeight="1">
      <c r="A2416" s="391"/>
      <c r="B2416" s="391"/>
      <c r="C2416" s="391"/>
      <c r="D2416" s="647"/>
      <c r="E2416" s="647"/>
      <c r="F2416" s="647"/>
      <c r="G2416" s="647"/>
      <c r="H2416" s="391"/>
      <c r="I2416" s="391"/>
      <c r="J2416" s="391"/>
    </row>
    <row r="2417" spans="1:10" ht="12.75" customHeight="1">
      <c r="A2417" s="391"/>
      <c r="B2417" s="391"/>
      <c r="C2417" s="391"/>
      <c r="D2417" s="647"/>
      <c r="E2417" s="647"/>
      <c r="F2417" s="647"/>
      <c r="G2417" s="647"/>
      <c r="H2417" s="391"/>
      <c r="I2417" s="391"/>
      <c r="J2417" s="391"/>
    </row>
    <row r="2418" spans="1:10" ht="12.75" customHeight="1">
      <c r="A2418" s="391"/>
      <c r="B2418" s="391"/>
      <c r="C2418" s="391"/>
      <c r="D2418" s="647"/>
      <c r="E2418" s="647"/>
      <c r="F2418" s="647"/>
      <c r="G2418" s="647"/>
      <c r="H2418" s="391"/>
      <c r="I2418" s="391"/>
      <c r="J2418" s="391"/>
    </row>
    <row r="2419" spans="1:10" ht="12.75" customHeight="1">
      <c r="A2419" s="391"/>
      <c r="B2419" s="391"/>
      <c r="C2419" s="391"/>
      <c r="D2419" s="647"/>
      <c r="E2419" s="647"/>
      <c r="F2419" s="647"/>
      <c r="G2419" s="647"/>
      <c r="H2419" s="391"/>
      <c r="I2419" s="391"/>
      <c r="J2419" s="391"/>
    </row>
    <row r="2420" spans="1:10" ht="12.75" customHeight="1">
      <c r="A2420" s="391"/>
      <c r="B2420" s="391"/>
      <c r="C2420" s="391"/>
      <c r="D2420" s="647"/>
      <c r="E2420" s="647"/>
      <c r="F2420" s="647"/>
      <c r="G2420" s="647"/>
      <c r="H2420" s="391"/>
      <c r="I2420" s="391"/>
      <c r="J2420" s="391"/>
    </row>
    <row r="2421" spans="1:10" ht="12.75" customHeight="1">
      <c r="A2421" s="391"/>
      <c r="B2421" s="391"/>
      <c r="C2421" s="391"/>
      <c r="D2421" s="647"/>
      <c r="E2421" s="647"/>
      <c r="F2421" s="647"/>
      <c r="G2421" s="647"/>
      <c r="H2421" s="391"/>
      <c r="I2421" s="391"/>
      <c r="J2421" s="391"/>
    </row>
    <row r="2422" spans="1:10" ht="12.75" customHeight="1">
      <c r="A2422" s="391"/>
      <c r="B2422" s="391"/>
      <c r="C2422" s="391"/>
      <c r="D2422" s="647"/>
      <c r="E2422" s="647"/>
      <c r="F2422" s="647"/>
      <c r="G2422" s="647"/>
      <c r="H2422" s="391"/>
      <c r="I2422" s="391"/>
      <c r="J2422" s="391"/>
    </row>
    <row r="2423" spans="1:10" ht="12.75" customHeight="1">
      <c r="A2423" s="391"/>
      <c r="B2423" s="391"/>
      <c r="C2423" s="391"/>
      <c r="D2423" s="647"/>
      <c r="E2423" s="647"/>
      <c r="F2423" s="647"/>
      <c r="G2423" s="647"/>
      <c r="H2423" s="391"/>
      <c r="I2423" s="391"/>
      <c r="J2423" s="391"/>
    </row>
    <row r="2424" spans="1:10" ht="12.75" customHeight="1">
      <c r="A2424" s="391"/>
      <c r="B2424" s="391"/>
      <c r="C2424" s="391"/>
      <c r="D2424" s="647"/>
      <c r="E2424" s="647"/>
      <c r="F2424" s="647"/>
      <c r="G2424" s="647"/>
      <c r="H2424" s="391"/>
      <c r="I2424" s="391"/>
      <c r="J2424" s="391"/>
    </row>
    <row r="2425" spans="1:10" ht="12.75" customHeight="1">
      <c r="A2425" s="391"/>
      <c r="B2425" s="391"/>
      <c r="C2425" s="391"/>
      <c r="D2425" s="647"/>
      <c r="E2425" s="647"/>
      <c r="F2425" s="647"/>
      <c r="G2425" s="647"/>
      <c r="H2425" s="391"/>
      <c r="I2425" s="391"/>
      <c r="J2425" s="391"/>
    </row>
    <row r="2426" spans="1:10" ht="12.75" customHeight="1">
      <c r="A2426" s="391"/>
      <c r="B2426" s="391"/>
      <c r="C2426" s="391"/>
      <c r="D2426" s="647"/>
      <c r="E2426" s="647"/>
      <c r="F2426" s="647"/>
      <c r="G2426" s="647"/>
      <c r="H2426" s="391"/>
      <c r="I2426" s="391"/>
      <c r="J2426" s="391"/>
    </row>
    <row r="2427" spans="1:10" ht="12.75" customHeight="1">
      <c r="A2427" s="391"/>
      <c r="B2427" s="391"/>
      <c r="C2427" s="391"/>
      <c r="D2427" s="647"/>
      <c r="E2427" s="647"/>
      <c r="F2427" s="647"/>
      <c r="G2427" s="647"/>
      <c r="H2427" s="391"/>
      <c r="I2427" s="391"/>
      <c r="J2427" s="391"/>
    </row>
    <row r="2428" spans="1:10" ht="12.75" customHeight="1">
      <c r="A2428" s="391"/>
      <c r="B2428" s="391"/>
      <c r="C2428" s="391"/>
      <c r="D2428" s="647"/>
      <c r="E2428" s="647"/>
      <c r="F2428" s="647"/>
      <c r="G2428" s="647"/>
      <c r="H2428" s="391"/>
      <c r="I2428" s="391"/>
      <c r="J2428" s="391"/>
    </row>
    <row r="2429" spans="1:10" ht="12.75" customHeight="1">
      <c r="A2429" s="391"/>
      <c r="B2429" s="391"/>
      <c r="C2429" s="391"/>
      <c r="D2429" s="647"/>
      <c r="E2429" s="647"/>
      <c r="F2429" s="647"/>
      <c r="G2429" s="647"/>
      <c r="H2429" s="391"/>
      <c r="I2429" s="391"/>
      <c r="J2429" s="391"/>
    </row>
    <row r="2430" spans="1:10" ht="12.75" customHeight="1">
      <c r="A2430" s="391"/>
      <c r="B2430" s="391"/>
      <c r="C2430" s="391"/>
      <c r="D2430" s="647"/>
      <c r="E2430" s="647"/>
      <c r="F2430" s="647"/>
      <c r="G2430" s="647"/>
      <c r="H2430" s="391"/>
      <c r="I2430" s="391"/>
      <c r="J2430" s="391"/>
    </row>
    <row r="2431" spans="1:10" ht="12.75" customHeight="1">
      <c r="A2431" s="391"/>
      <c r="B2431" s="391"/>
      <c r="C2431" s="391"/>
      <c r="D2431" s="647"/>
      <c r="E2431" s="647"/>
      <c r="F2431" s="647"/>
      <c r="G2431" s="647"/>
      <c r="H2431" s="391"/>
      <c r="I2431" s="391"/>
      <c r="J2431" s="391"/>
    </row>
    <row r="2432" spans="1:10" ht="12.75" customHeight="1">
      <c r="A2432" s="391"/>
      <c r="B2432" s="391"/>
      <c r="C2432" s="391"/>
      <c r="D2432" s="647"/>
      <c r="E2432" s="647"/>
      <c r="F2432" s="647"/>
      <c r="G2432" s="647"/>
      <c r="H2432" s="391"/>
      <c r="I2432" s="391"/>
      <c r="J2432" s="391"/>
    </row>
    <row r="2433" spans="1:10" ht="12.75" customHeight="1">
      <c r="A2433" s="391"/>
      <c r="B2433" s="391"/>
      <c r="C2433" s="391"/>
      <c r="D2433" s="647"/>
      <c r="E2433" s="647"/>
      <c r="F2433" s="647"/>
      <c r="G2433" s="647"/>
      <c r="H2433" s="391"/>
      <c r="I2433" s="391"/>
      <c r="J2433" s="391"/>
    </row>
    <row r="2434" spans="1:10" ht="12.75" customHeight="1">
      <c r="A2434" s="391"/>
      <c r="B2434" s="391"/>
      <c r="C2434" s="391"/>
      <c r="D2434" s="647"/>
      <c r="E2434" s="647"/>
      <c r="F2434" s="647"/>
      <c r="G2434" s="647"/>
      <c r="H2434" s="391"/>
      <c r="I2434" s="391"/>
      <c r="J2434" s="391"/>
    </row>
    <row r="2435" spans="1:10" ht="12.75" customHeight="1">
      <c r="A2435" s="391"/>
      <c r="B2435" s="391"/>
      <c r="C2435" s="391"/>
      <c r="D2435" s="647"/>
      <c r="E2435" s="647"/>
      <c r="F2435" s="647"/>
      <c r="G2435" s="647"/>
      <c r="H2435" s="391"/>
      <c r="I2435" s="391"/>
      <c r="J2435" s="391"/>
    </row>
    <row r="2436" spans="1:10" ht="12.75" customHeight="1">
      <c r="A2436" s="391"/>
      <c r="B2436" s="391"/>
      <c r="C2436" s="391"/>
      <c r="D2436" s="647"/>
      <c r="E2436" s="647"/>
      <c r="F2436" s="647"/>
      <c r="G2436" s="647"/>
      <c r="H2436" s="391"/>
      <c r="I2436" s="391"/>
      <c r="J2436" s="391"/>
    </row>
    <row r="2437" spans="1:10" ht="12.75" customHeight="1">
      <c r="A2437" s="391"/>
      <c r="B2437" s="391"/>
      <c r="C2437" s="391"/>
      <c r="D2437" s="647"/>
      <c r="E2437" s="647"/>
      <c r="F2437" s="647"/>
      <c r="G2437" s="647"/>
      <c r="H2437" s="391"/>
      <c r="I2437" s="391"/>
      <c r="J2437" s="391"/>
    </row>
    <row r="2438" spans="1:10" ht="12.75" customHeight="1">
      <c r="A2438" s="391"/>
      <c r="B2438" s="391"/>
      <c r="C2438" s="391"/>
      <c r="D2438" s="647"/>
      <c r="E2438" s="647"/>
      <c r="F2438" s="647"/>
      <c r="G2438" s="647"/>
      <c r="H2438" s="391"/>
      <c r="I2438" s="391"/>
      <c r="J2438" s="391"/>
    </row>
    <row r="2439" spans="1:10" ht="12.75" customHeight="1">
      <c r="A2439" s="391"/>
      <c r="B2439" s="391"/>
      <c r="C2439" s="391"/>
      <c r="D2439" s="647"/>
      <c r="E2439" s="647"/>
      <c r="F2439" s="647"/>
      <c r="G2439" s="647"/>
      <c r="H2439" s="391"/>
      <c r="I2439" s="391"/>
      <c r="J2439" s="391"/>
    </row>
    <row r="2440" spans="1:10" ht="12.75" customHeight="1">
      <c r="A2440" s="391"/>
      <c r="B2440" s="391"/>
      <c r="C2440" s="391"/>
      <c r="D2440" s="647"/>
      <c r="E2440" s="647"/>
      <c r="F2440" s="647"/>
      <c r="G2440" s="647"/>
      <c r="H2440" s="391"/>
      <c r="I2440" s="391"/>
      <c r="J2440" s="391"/>
    </row>
    <row r="2441" spans="1:10" ht="12.75" customHeight="1">
      <c r="A2441" s="391"/>
      <c r="B2441" s="391"/>
      <c r="C2441" s="391"/>
      <c r="D2441" s="647"/>
      <c r="E2441" s="647"/>
      <c r="F2441" s="647"/>
      <c r="G2441" s="647"/>
      <c r="H2441" s="391"/>
      <c r="I2441" s="391"/>
      <c r="J2441" s="391"/>
    </row>
    <row r="2442" spans="1:10" ht="12.75" customHeight="1">
      <c r="A2442" s="391"/>
      <c r="B2442" s="391"/>
      <c r="C2442" s="391"/>
      <c r="D2442" s="647"/>
      <c r="E2442" s="647"/>
      <c r="F2442" s="647"/>
      <c r="G2442" s="647"/>
      <c r="H2442" s="391"/>
      <c r="I2442" s="391"/>
      <c r="J2442" s="391"/>
    </row>
    <row r="2443" spans="1:10" ht="12.75" customHeight="1">
      <c r="A2443" s="391"/>
      <c r="B2443" s="391"/>
      <c r="C2443" s="391"/>
      <c r="D2443" s="647"/>
      <c r="E2443" s="647"/>
      <c r="F2443" s="647"/>
      <c r="G2443" s="647"/>
      <c r="H2443" s="391"/>
      <c r="I2443" s="391"/>
      <c r="J2443" s="391"/>
    </row>
    <row r="2444" spans="1:10" ht="12.75" customHeight="1">
      <c r="A2444" s="391"/>
      <c r="B2444" s="391"/>
      <c r="C2444" s="391"/>
      <c r="D2444" s="647"/>
      <c r="E2444" s="647"/>
      <c r="F2444" s="647"/>
      <c r="G2444" s="647"/>
      <c r="H2444" s="391"/>
      <c r="I2444" s="391"/>
      <c r="J2444" s="391"/>
    </row>
    <row r="2445" spans="1:10" ht="12.75" customHeight="1">
      <c r="A2445" s="391"/>
      <c r="B2445" s="391"/>
      <c r="C2445" s="391"/>
      <c r="D2445" s="647"/>
      <c r="E2445" s="647"/>
      <c r="F2445" s="647"/>
      <c r="G2445" s="647"/>
      <c r="H2445" s="391"/>
      <c r="I2445" s="391"/>
      <c r="J2445" s="391"/>
    </row>
    <row r="2446" spans="1:10" ht="12.75" customHeight="1">
      <c r="A2446" s="391"/>
      <c r="B2446" s="391"/>
      <c r="C2446" s="391"/>
      <c r="D2446" s="647"/>
      <c r="E2446" s="647"/>
      <c r="F2446" s="647"/>
      <c r="G2446" s="647"/>
      <c r="H2446" s="391"/>
      <c r="I2446" s="391"/>
      <c r="J2446" s="391"/>
    </row>
    <row r="2447" spans="1:10" ht="12.75" customHeight="1">
      <c r="A2447" s="391"/>
      <c r="B2447" s="391"/>
      <c r="C2447" s="391"/>
      <c r="D2447" s="647"/>
      <c r="E2447" s="647"/>
      <c r="F2447" s="647"/>
      <c r="G2447" s="647"/>
      <c r="H2447" s="391"/>
      <c r="I2447" s="391"/>
      <c r="J2447" s="391"/>
    </row>
    <row r="2448" spans="1:10" ht="12.75" customHeight="1">
      <c r="A2448" s="391"/>
      <c r="B2448" s="391"/>
      <c r="C2448" s="391"/>
      <c r="D2448" s="647"/>
      <c r="E2448" s="647"/>
      <c r="F2448" s="647"/>
      <c r="G2448" s="647"/>
      <c r="H2448" s="391"/>
      <c r="I2448" s="391"/>
      <c r="J2448" s="391"/>
    </row>
    <row r="2449" spans="1:10" ht="12.75" customHeight="1">
      <c r="A2449" s="391"/>
      <c r="B2449" s="391"/>
      <c r="C2449" s="391"/>
      <c r="D2449" s="647"/>
      <c r="E2449" s="647"/>
      <c r="F2449" s="647"/>
      <c r="G2449" s="647"/>
      <c r="H2449" s="391"/>
      <c r="I2449" s="391"/>
      <c r="J2449" s="391"/>
    </row>
    <row r="2450" spans="1:10" ht="12.75" customHeight="1">
      <c r="A2450" s="391"/>
      <c r="B2450" s="391"/>
      <c r="C2450" s="391"/>
      <c r="D2450" s="647"/>
      <c r="E2450" s="647"/>
      <c r="F2450" s="647"/>
      <c r="G2450" s="647"/>
      <c r="H2450" s="391"/>
      <c r="I2450" s="391"/>
      <c r="J2450" s="391"/>
    </row>
    <row r="2451" spans="1:10" ht="12.75" customHeight="1">
      <c r="A2451" s="391"/>
      <c r="B2451" s="391"/>
      <c r="C2451" s="391"/>
      <c r="D2451" s="647"/>
      <c r="E2451" s="647"/>
      <c r="F2451" s="647"/>
      <c r="G2451" s="647"/>
      <c r="H2451" s="391"/>
      <c r="I2451" s="391"/>
      <c r="J2451" s="391"/>
    </row>
    <row r="2452" spans="1:10" ht="12.75" customHeight="1">
      <c r="A2452" s="391"/>
      <c r="B2452" s="391"/>
      <c r="C2452" s="391"/>
      <c r="D2452" s="647"/>
      <c r="E2452" s="647"/>
      <c r="F2452" s="647"/>
      <c r="G2452" s="647"/>
      <c r="H2452" s="391"/>
      <c r="I2452" s="391"/>
      <c r="J2452" s="391"/>
    </row>
    <row r="2453" spans="1:10" ht="12.75" customHeight="1">
      <c r="A2453" s="391"/>
      <c r="B2453" s="391"/>
      <c r="C2453" s="391"/>
      <c r="D2453" s="647"/>
      <c r="E2453" s="647"/>
      <c r="F2453" s="647"/>
      <c r="G2453" s="647"/>
      <c r="H2453" s="391"/>
      <c r="I2453" s="391"/>
      <c r="J2453" s="391"/>
    </row>
    <row r="2454" spans="1:10" ht="12.75" customHeight="1">
      <c r="A2454" s="391"/>
      <c r="B2454" s="391"/>
      <c r="C2454" s="391"/>
      <c r="D2454" s="647"/>
      <c r="E2454" s="647"/>
      <c r="F2454" s="647"/>
      <c r="G2454" s="647"/>
      <c r="H2454" s="391"/>
      <c r="I2454" s="391"/>
      <c r="J2454" s="391"/>
    </row>
    <row r="2455" spans="1:10" ht="12.75" customHeight="1">
      <c r="A2455" s="391"/>
      <c r="B2455" s="391"/>
      <c r="C2455" s="391"/>
      <c r="D2455" s="647"/>
      <c r="E2455" s="647"/>
      <c r="F2455" s="647"/>
      <c r="G2455" s="647"/>
      <c r="H2455" s="391"/>
      <c r="I2455" s="391"/>
      <c r="J2455" s="391"/>
    </row>
    <row r="2456" spans="1:10" ht="12.75" customHeight="1">
      <c r="A2456" s="391"/>
      <c r="B2456" s="391"/>
      <c r="C2456" s="391"/>
      <c r="D2456" s="647"/>
      <c r="E2456" s="647"/>
      <c r="F2456" s="647"/>
      <c r="G2456" s="647"/>
      <c r="H2456" s="391"/>
      <c r="I2456" s="391"/>
      <c r="J2456" s="391"/>
    </row>
    <row r="2457" spans="1:10" ht="12.75" customHeight="1">
      <c r="A2457" s="391"/>
      <c r="B2457" s="391"/>
      <c r="C2457" s="391"/>
      <c r="D2457" s="647"/>
      <c r="E2457" s="647"/>
      <c r="F2457" s="647"/>
      <c r="G2457" s="647"/>
      <c r="H2457" s="391"/>
      <c r="I2457" s="391"/>
      <c r="J2457" s="391"/>
    </row>
    <row r="2458" spans="1:10" ht="12.75" customHeight="1">
      <c r="A2458" s="391"/>
      <c r="B2458" s="391"/>
      <c r="C2458" s="391"/>
      <c r="D2458" s="647"/>
      <c r="E2458" s="647"/>
      <c r="F2458" s="647"/>
      <c r="G2458" s="647"/>
      <c r="H2458" s="391"/>
      <c r="I2458" s="391"/>
      <c r="J2458" s="391"/>
    </row>
    <row r="2459" spans="1:10" ht="12.75" customHeight="1">
      <c r="A2459" s="391"/>
      <c r="B2459" s="391"/>
      <c r="C2459" s="391"/>
      <c r="D2459" s="647"/>
      <c r="E2459" s="647"/>
      <c r="F2459" s="647"/>
      <c r="G2459" s="647"/>
      <c r="H2459" s="391"/>
      <c r="I2459" s="391"/>
      <c r="J2459" s="391"/>
    </row>
    <row r="2460" spans="1:10" ht="12.75" customHeight="1">
      <c r="A2460" s="391"/>
      <c r="B2460" s="391"/>
      <c r="C2460" s="391"/>
      <c r="D2460" s="647"/>
      <c r="E2460" s="647"/>
      <c r="F2460" s="647"/>
      <c r="G2460" s="647"/>
      <c r="H2460" s="391"/>
      <c r="I2460" s="391"/>
      <c r="J2460" s="391"/>
    </row>
    <row r="2461" spans="1:10" ht="12.75" customHeight="1">
      <c r="A2461" s="391"/>
      <c r="B2461" s="391"/>
      <c r="C2461" s="391"/>
      <c r="D2461" s="647"/>
      <c r="E2461" s="647"/>
      <c r="F2461" s="647"/>
      <c r="G2461" s="647"/>
      <c r="H2461" s="391"/>
      <c r="I2461" s="391"/>
      <c r="J2461" s="391"/>
    </row>
    <row r="2462" spans="1:10" ht="12.75" customHeight="1">
      <c r="A2462" s="391"/>
      <c r="B2462" s="391"/>
      <c r="C2462" s="391"/>
      <c r="D2462" s="647"/>
      <c r="E2462" s="647"/>
      <c r="F2462" s="647"/>
      <c r="G2462" s="647"/>
      <c r="H2462" s="391"/>
      <c r="I2462" s="391"/>
      <c r="J2462" s="391"/>
    </row>
    <row r="2463" spans="1:10" ht="12.75" customHeight="1">
      <c r="A2463" s="391"/>
      <c r="B2463" s="391"/>
      <c r="C2463" s="391"/>
      <c r="D2463" s="647"/>
      <c r="E2463" s="647"/>
      <c r="F2463" s="647"/>
      <c r="G2463" s="647"/>
      <c r="H2463" s="391"/>
      <c r="I2463" s="391"/>
      <c r="J2463" s="391"/>
    </row>
    <row r="2464" spans="1:10" ht="12.75" customHeight="1">
      <c r="A2464" s="391"/>
      <c r="B2464" s="391"/>
      <c r="C2464" s="391"/>
      <c r="D2464" s="647"/>
      <c r="E2464" s="647"/>
      <c r="F2464" s="647"/>
      <c r="G2464" s="647"/>
      <c r="H2464" s="391"/>
      <c r="I2464" s="391"/>
      <c r="J2464" s="391"/>
    </row>
    <row r="2465" spans="1:10" ht="12.75" customHeight="1">
      <c r="A2465" s="391"/>
      <c r="B2465" s="391"/>
      <c r="C2465" s="391"/>
      <c r="D2465" s="647"/>
      <c r="E2465" s="647"/>
      <c r="F2465" s="647"/>
      <c r="G2465" s="647"/>
      <c r="H2465" s="391"/>
      <c r="I2465" s="391"/>
      <c r="J2465" s="391"/>
    </row>
    <row r="2466" spans="1:10" ht="12.75" customHeight="1">
      <c r="A2466" s="391"/>
      <c r="B2466" s="391"/>
      <c r="C2466" s="391"/>
      <c r="D2466" s="647"/>
      <c r="E2466" s="647"/>
      <c r="F2466" s="647"/>
      <c r="G2466" s="647"/>
      <c r="H2466" s="391"/>
      <c r="I2466" s="391"/>
      <c r="J2466" s="391"/>
    </row>
    <row r="2467" spans="1:10" ht="12.75" customHeight="1">
      <c r="A2467" s="391"/>
      <c r="B2467" s="391"/>
      <c r="C2467" s="391"/>
      <c r="D2467" s="647"/>
      <c r="E2467" s="647"/>
      <c r="F2467" s="647"/>
      <c r="G2467" s="647"/>
      <c r="H2467" s="391"/>
      <c r="I2467" s="391"/>
      <c r="J2467" s="391"/>
    </row>
    <row r="2468" spans="1:10" ht="12.75" customHeight="1">
      <c r="A2468" s="391"/>
      <c r="B2468" s="391"/>
      <c r="C2468" s="391"/>
      <c r="D2468" s="647"/>
      <c r="E2468" s="647"/>
      <c r="F2468" s="647"/>
      <c r="G2468" s="647"/>
      <c r="H2468" s="391"/>
      <c r="I2468" s="391"/>
      <c r="J2468" s="391"/>
    </row>
    <row r="2469" spans="1:10" ht="12.75" customHeight="1">
      <c r="A2469" s="391"/>
      <c r="B2469" s="391"/>
      <c r="C2469" s="391"/>
      <c r="D2469" s="647"/>
      <c r="E2469" s="647"/>
      <c r="F2469" s="647"/>
      <c r="G2469" s="647"/>
      <c r="H2469" s="391"/>
      <c r="I2469" s="391"/>
      <c r="J2469" s="391"/>
    </row>
    <row r="2470" spans="1:10" ht="12.75" customHeight="1">
      <c r="A2470" s="391"/>
      <c r="B2470" s="391"/>
      <c r="C2470" s="391"/>
      <c r="D2470" s="647"/>
      <c r="E2470" s="647"/>
      <c r="F2470" s="647"/>
      <c r="G2470" s="647"/>
      <c r="H2470" s="391"/>
      <c r="I2470" s="391"/>
      <c r="J2470" s="391"/>
    </row>
    <row r="2471" spans="1:10" ht="12.75" customHeight="1">
      <c r="A2471" s="391"/>
      <c r="B2471" s="391"/>
      <c r="C2471" s="391"/>
      <c r="D2471" s="647"/>
      <c r="E2471" s="647"/>
      <c r="F2471" s="647"/>
      <c r="G2471" s="647"/>
      <c r="H2471" s="391"/>
      <c r="I2471" s="391"/>
      <c r="J2471" s="391"/>
    </row>
    <row r="2472" spans="1:10" ht="12.75" customHeight="1">
      <c r="A2472" s="391"/>
      <c r="B2472" s="391"/>
      <c r="C2472" s="391"/>
      <c r="D2472" s="647"/>
      <c r="E2472" s="647"/>
      <c r="F2472" s="647"/>
      <c r="G2472" s="647"/>
      <c r="H2472" s="391"/>
      <c r="I2472" s="391"/>
      <c r="J2472" s="391"/>
    </row>
    <row r="2473" spans="1:10" ht="12.75" customHeight="1">
      <c r="A2473" s="391"/>
      <c r="B2473" s="391"/>
      <c r="C2473" s="391"/>
      <c r="D2473" s="647"/>
      <c r="E2473" s="647"/>
      <c r="F2473" s="647"/>
      <c r="G2473" s="647"/>
      <c r="H2473" s="391"/>
      <c r="I2473" s="391"/>
      <c r="J2473" s="391"/>
    </row>
    <row r="2474" spans="1:10" ht="12.75" customHeight="1">
      <c r="A2474" s="391"/>
      <c r="B2474" s="391"/>
      <c r="C2474" s="391"/>
      <c r="D2474" s="647"/>
      <c r="E2474" s="647"/>
      <c r="F2474" s="647"/>
      <c r="G2474" s="647"/>
      <c r="H2474" s="391"/>
      <c r="I2474" s="391"/>
      <c r="J2474" s="391"/>
    </row>
    <row r="2475" spans="1:10" ht="12.75" customHeight="1">
      <c r="A2475" s="391"/>
      <c r="B2475" s="391"/>
      <c r="C2475" s="391"/>
      <c r="D2475" s="647"/>
      <c r="E2475" s="647"/>
      <c r="F2475" s="647"/>
      <c r="G2475" s="647"/>
      <c r="H2475" s="391"/>
      <c r="I2475" s="391"/>
      <c r="J2475" s="391"/>
    </row>
    <row r="2476" spans="1:10" ht="12.75" customHeight="1">
      <c r="A2476" s="391"/>
      <c r="B2476" s="391"/>
      <c r="C2476" s="391"/>
      <c r="D2476" s="647"/>
      <c r="E2476" s="647"/>
      <c r="F2476" s="647"/>
      <c r="G2476" s="647"/>
      <c r="H2476" s="391"/>
      <c r="I2476" s="391"/>
      <c r="J2476" s="391"/>
    </row>
    <row r="2477" spans="1:10" ht="12.75" customHeight="1">
      <c r="A2477" s="391"/>
      <c r="B2477" s="391"/>
      <c r="C2477" s="391"/>
      <c r="D2477" s="647"/>
      <c r="E2477" s="647"/>
      <c r="F2477" s="647"/>
      <c r="G2477" s="647"/>
      <c r="H2477" s="391"/>
      <c r="I2477" s="391"/>
      <c r="J2477" s="391"/>
    </row>
    <row r="2478" spans="1:10" ht="12.75" customHeight="1">
      <c r="A2478" s="391"/>
      <c r="B2478" s="391"/>
      <c r="C2478" s="391"/>
      <c r="D2478" s="647"/>
      <c r="E2478" s="647"/>
      <c r="F2478" s="647"/>
      <c r="G2478" s="647"/>
      <c r="H2478" s="391"/>
      <c r="I2478" s="391"/>
      <c r="J2478" s="391"/>
    </row>
    <row r="2479" spans="1:10" ht="12.75" customHeight="1">
      <c r="A2479" s="391"/>
      <c r="B2479" s="391"/>
      <c r="C2479" s="391"/>
      <c r="D2479" s="647"/>
      <c r="E2479" s="647"/>
      <c r="F2479" s="647"/>
      <c r="G2479" s="647"/>
      <c r="H2479" s="391"/>
      <c r="I2479" s="391"/>
      <c r="J2479" s="391"/>
    </row>
    <row r="2480" spans="1:10" ht="12.75" customHeight="1">
      <c r="A2480" s="391"/>
      <c r="B2480" s="391"/>
      <c r="C2480" s="391"/>
      <c r="D2480" s="647"/>
      <c r="E2480" s="647"/>
      <c r="F2480" s="647"/>
      <c r="G2480" s="647"/>
      <c r="H2480" s="391"/>
      <c r="I2480" s="391"/>
      <c r="J2480" s="391"/>
    </row>
    <row r="2481" spans="1:10" ht="12.75" customHeight="1">
      <c r="A2481" s="391"/>
      <c r="B2481" s="391"/>
      <c r="C2481" s="391"/>
      <c r="D2481" s="647"/>
      <c r="E2481" s="647"/>
      <c r="F2481" s="647"/>
      <c r="G2481" s="647"/>
      <c r="H2481" s="391"/>
      <c r="I2481" s="391"/>
      <c r="J2481" s="391"/>
    </row>
    <row r="2482" spans="1:10" ht="12.75" customHeight="1">
      <c r="A2482" s="391"/>
      <c r="B2482" s="391"/>
      <c r="C2482" s="391"/>
      <c r="D2482" s="647"/>
      <c r="E2482" s="647"/>
      <c r="F2482" s="647"/>
      <c r="G2482" s="647"/>
      <c r="H2482" s="391"/>
      <c r="I2482" s="391"/>
      <c r="J2482" s="391"/>
    </row>
    <row r="2483" spans="1:10" ht="12.75" customHeight="1">
      <c r="A2483" s="391"/>
      <c r="B2483" s="391"/>
      <c r="C2483" s="391"/>
      <c r="D2483" s="647"/>
      <c r="E2483" s="647"/>
      <c r="F2483" s="647"/>
      <c r="G2483" s="647"/>
      <c r="H2483" s="391"/>
      <c r="I2483" s="391"/>
      <c r="J2483" s="391"/>
    </row>
    <row r="2484" spans="1:10" ht="12.75" customHeight="1">
      <c r="A2484" s="391"/>
      <c r="B2484" s="391"/>
      <c r="C2484" s="391"/>
      <c r="D2484" s="647"/>
      <c r="E2484" s="647"/>
      <c r="F2484" s="647"/>
      <c r="G2484" s="647"/>
      <c r="H2484" s="391"/>
      <c r="I2484" s="391"/>
      <c r="J2484" s="391"/>
    </row>
    <row r="2485" spans="1:10" ht="12.75" customHeight="1">
      <c r="A2485" s="391"/>
      <c r="B2485" s="391"/>
      <c r="C2485" s="391"/>
      <c r="D2485" s="647"/>
      <c r="E2485" s="647"/>
      <c r="F2485" s="647"/>
      <c r="G2485" s="647"/>
      <c r="H2485" s="391"/>
      <c r="I2485" s="391"/>
      <c r="J2485" s="391"/>
    </row>
    <row r="2486" spans="1:10" ht="12.75" customHeight="1">
      <c r="A2486" s="391"/>
      <c r="B2486" s="391"/>
      <c r="C2486" s="391"/>
      <c r="D2486" s="647"/>
      <c r="E2486" s="647"/>
      <c r="F2486" s="647"/>
      <c r="G2486" s="647"/>
      <c r="H2486" s="391"/>
      <c r="I2486" s="391"/>
      <c r="J2486" s="391"/>
    </row>
    <row r="2487" spans="1:10" ht="12.75" customHeight="1">
      <c r="A2487" s="391"/>
      <c r="B2487" s="391"/>
      <c r="C2487" s="391"/>
      <c r="D2487" s="647"/>
      <c r="E2487" s="647"/>
      <c r="F2487" s="647"/>
      <c r="G2487" s="647"/>
      <c r="H2487" s="391"/>
      <c r="I2487" s="391"/>
      <c r="J2487" s="391"/>
    </row>
    <row r="2488" spans="1:10" ht="12.75" customHeight="1">
      <c r="A2488" s="391"/>
      <c r="B2488" s="391"/>
      <c r="C2488" s="391"/>
      <c r="D2488" s="647"/>
      <c r="E2488" s="647"/>
      <c r="F2488" s="647"/>
      <c r="G2488" s="647"/>
      <c r="H2488" s="391"/>
      <c r="I2488" s="391"/>
      <c r="J2488" s="391"/>
    </row>
    <row r="2489" spans="1:10" ht="12.75" customHeight="1">
      <c r="A2489" s="391"/>
      <c r="B2489" s="391"/>
      <c r="C2489" s="391"/>
      <c r="D2489" s="647"/>
      <c r="E2489" s="647"/>
      <c r="F2489" s="647"/>
      <c r="G2489" s="647"/>
      <c r="H2489" s="391"/>
      <c r="I2489" s="391"/>
      <c r="J2489" s="391"/>
    </row>
    <row r="2490" spans="1:10" ht="12.75" customHeight="1">
      <c r="A2490" s="391"/>
      <c r="B2490" s="391"/>
      <c r="C2490" s="391"/>
      <c r="D2490" s="647"/>
      <c r="E2490" s="647"/>
      <c r="F2490" s="647"/>
      <c r="G2490" s="647"/>
      <c r="H2490" s="391"/>
      <c r="I2490" s="391"/>
      <c r="J2490" s="391"/>
    </row>
    <row r="2491" spans="1:10" ht="12.75" customHeight="1">
      <c r="A2491" s="391"/>
      <c r="B2491" s="391"/>
      <c r="C2491" s="391"/>
      <c r="D2491" s="647"/>
      <c r="E2491" s="647"/>
      <c r="F2491" s="647"/>
      <c r="G2491" s="647"/>
      <c r="H2491" s="391"/>
      <c r="I2491" s="391"/>
      <c r="J2491" s="391"/>
    </row>
    <row r="2492" spans="1:10" ht="12.75" customHeight="1">
      <c r="A2492" s="391"/>
      <c r="B2492" s="391"/>
      <c r="C2492" s="391"/>
      <c r="D2492" s="647"/>
      <c r="E2492" s="647"/>
      <c r="F2492" s="647"/>
      <c r="G2492" s="647"/>
      <c r="H2492" s="391"/>
      <c r="I2492" s="391"/>
      <c r="J2492" s="391"/>
    </row>
    <row r="2493" spans="1:10" ht="12.75" customHeight="1">
      <c r="A2493" s="391"/>
      <c r="B2493" s="391"/>
      <c r="C2493" s="391"/>
      <c r="D2493" s="647"/>
      <c r="E2493" s="647"/>
      <c r="F2493" s="647"/>
      <c r="G2493" s="647"/>
      <c r="H2493" s="391"/>
      <c r="I2493" s="391"/>
      <c r="J2493" s="391"/>
    </row>
    <row r="2494" spans="1:10" ht="12.75" customHeight="1">
      <c r="A2494" s="391"/>
      <c r="B2494" s="391"/>
      <c r="C2494" s="391"/>
      <c r="D2494" s="647"/>
      <c r="E2494" s="647"/>
      <c r="F2494" s="647"/>
      <c r="G2494" s="647"/>
      <c r="H2494" s="391"/>
      <c r="I2494" s="391"/>
      <c r="J2494" s="391"/>
    </row>
    <row r="2495" spans="1:10" ht="12.75" customHeight="1">
      <c r="A2495" s="391"/>
      <c r="B2495" s="391"/>
      <c r="C2495" s="391"/>
      <c r="D2495" s="647"/>
      <c r="E2495" s="647"/>
      <c r="F2495" s="647"/>
      <c r="G2495" s="647"/>
      <c r="H2495" s="391"/>
      <c r="I2495" s="391"/>
      <c r="J2495" s="391"/>
    </row>
    <row r="2496" spans="1:10" ht="12.75" customHeight="1">
      <c r="A2496" s="391"/>
      <c r="B2496" s="391"/>
      <c r="C2496" s="391"/>
      <c r="D2496" s="647"/>
      <c r="E2496" s="647"/>
      <c r="F2496" s="647"/>
      <c r="G2496" s="647"/>
      <c r="H2496" s="391"/>
      <c r="I2496" s="391"/>
      <c r="J2496" s="391"/>
    </row>
    <row r="2497" spans="1:10" ht="12.75" customHeight="1">
      <c r="A2497" s="391"/>
      <c r="B2497" s="391"/>
      <c r="C2497" s="391"/>
      <c r="D2497" s="647"/>
      <c r="E2497" s="647"/>
      <c r="F2497" s="647"/>
      <c r="G2497" s="647"/>
      <c r="H2497" s="391"/>
      <c r="I2497" s="391"/>
      <c r="J2497" s="391"/>
    </row>
    <row r="2498" spans="1:10" ht="12.75" customHeight="1">
      <c r="A2498" s="391"/>
      <c r="B2498" s="391"/>
      <c r="C2498" s="391"/>
      <c r="D2498" s="647"/>
      <c r="E2498" s="647"/>
      <c r="F2498" s="647"/>
      <c r="G2498" s="647"/>
      <c r="H2498" s="391"/>
      <c r="I2498" s="391"/>
      <c r="J2498" s="391"/>
    </row>
    <row r="2499" spans="1:10" ht="12.75" customHeight="1">
      <c r="A2499" s="391"/>
      <c r="B2499" s="391"/>
      <c r="C2499" s="391"/>
      <c r="D2499" s="647"/>
      <c r="E2499" s="647"/>
      <c r="F2499" s="647"/>
      <c r="G2499" s="647"/>
      <c r="H2499" s="391"/>
      <c r="I2499" s="391"/>
      <c r="J2499" s="391"/>
    </row>
    <row r="2500" spans="1:10" ht="12.75" customHeight="1">
      <c r="A2500" s="391"/>
      <c r="B2500" s="391"/>
      <c r="C2500" s="391"/>
      <c r="D2500" s="647"/>
      <c r="E2500" s="647"/>
      <c r="F2500" s="647"/>
      <c r="G2500" s="647"/>
      <c r="H2500" s="391"/>
      <c r="I2500" s="391"/>
      <c r="J2500" s="391"/>
    </row>
    <row r="2501" spans="1:10" ht="12.75" customHeight="1">
      <c r="A2501" s="391"/>
      <c r="B2501" s="391"/>
      <c r="C2501" s="391"/>
      <c r="D2501" s="647"/>
      <c r="E2501" s="647"/>
      <c r="F2501" s="647"/>
      <c r="G2501" s="647"/>
      <c r="H2501" s="391"/>
      <c r="I2501" s="391"/>
      <c r="J2501" s="391"/>
    </row>
    <row r="2502" spans="1:10" ht="12.75" customHeight="1">
      <c r="A2502" s="391"/>
      <c r="B2502" s="391"/>
      <c r="C2502" s="391"/>
      <c r="D2502" s="647"/>
      <c r="E2502" s="647"/>
      <c r="F2502" s="647"/>
      <c r="G2502" s="647"/>
      <c r="H2502" s="391"/>
      <c r="I2502" s="391"/>
      <c r="J2502" s="391"/>
    </row>
    <row r="2503" spans="1:10" ht="12.75" customHeight="1">
      <c r="A2503" s="391"/>
      <c r="B2503" s="391"/>
      <c r="C2503" s="391"/>
      <c r="D2503" s="647"/>
      <c r="E2503" s="647"/>
      <c r="F2503" s="647"/>
      <c r="G2503" s="647"/>
      <c r="H2503" s="391"/>
      <c r="I2503" s="391"/>
      <c r="J2503" s="391"/>
    </row>
    <row r="2504" spans="1:10" ht="12.75" customHeight="1">
      <c r="A2504" s="391"/>
      <c r="B2504" s="391"/>
      <c r="C2504" s="391"/>
      <c r="D2504" s="647"/>
      <c r="E2504" s="647"/>
      <c r="F2504" s="647"/>
      <c r="G2504" s="647"/>
      <c r="H2504" s="391"/>
      <c r="I2504" s="391"/>
      <c r="J2504" s="391"/>
    </row>
    <row r="2505" spans="1:10" ht="12.75" customHeight="1">
      <c r="A2505" s="391"/>
      <c r="B2505" s="391"/>
      <c r="C2505" s="391"/>
      <c r="D2505" s="647"/>
      <c r="E2505" s="647"/>
      <c r="F2505" s="647"/>
      <c r="G2505" s="647"/>
      <c r="H2505" s="391"/>
      <c r="I2505" s="391"/>
      <c r="J2505" s="391"/>
    </row>
    <row r="2506" spans="1:10" ht="12.75" customHeight="1">
      <c r="A2506" s="391"/>
      <c r="B2506" s="391"/>
      <c r="C2506" s="391"/>
      <c r="D2506" s="647"/>
      <c r="E2506" s="647"/>
      <c r="F2506" s="647"/>
      <c r="G2506" s="647"/>
      <c r="H2506" s="391"/>
      <c r="I2506" s="391"/>
      <c r="J2506" s="391"/>
    </row>
    <row r="2507" spans="1:10" ht="12.75" customHeight="1">
      <c r="A2507" s="391"/>
      <c r="B2507" s="391"/>
      <c r="C2507" s="391"/>
      <c r="D2507" s="647"/>
      <c r="E2507" s="647"/>
      <c r="F2507" s="647"/>
      <c r="G2507" s="647"/>
      <c r="H2507" s="391"/>
      <c r="I2507" s="391"/>
      <c r="J2507" s="391"/>
    </row>
    <row r="2508" spans="1:10" ht="12.75" customHeight="1">
      <c r="A2508" s="391"/>
      <c r="B2508" s="391"/>
      <c r="C2508" s="391"/>
      <c r="D2508" s="647"/>
      <c r="E2508" s="647"/>
      <c r="F2508" s="647"/>
      <c r="G2508" s="647"/>
      <c r="H2508" s="391"/>
      <c r="I2508" s="391"/>
      <c r="J2508" s="391"/>
    </row>
    <row r="2509" spans="1:10" ht="12.75" customHeight="1">
      <c r="A2509" s="391"/>
      <c r="B2509" s="391"/>
      <c r="C2509" s="391"/>
      <c r="D2509" s="647"/>
      <c r="E2509" s="647"/>
      <c r="F2509" s="647"/>
      <c r="G2509" s="647"/>
      <c r="H2509" s="391"/>
      <c r="I2509" s="391"/>
      <c r="J2509" s="391"/>
    </row>
    <row r="2510" spans="1:10" ht="12.75" customHeight="1">
      <c r="A2510" s="391"/>
      <c r="B2510" s="391"/>
      <c r="C2510" s="391"/>
      <c r="D2510" s="647"/>
      <c r="E2510" s="647"/>
      <c r="F2510" s="647"/>
      <c r="G2510" s="647"/>
      <c r="H2510" s="391"/>
      <c r="I2510" s="391"/>
      <c r="J2510" s="391"/>
    </row>
    <row r="2511" spans="1:10" ht="12.75" customHeight="1">
      <c r="A2511" s="391"/>
      <c r="B2511" s="391"/>
      <c r="C2511" s="391"/>
      <c r="D2511" s="647"/>
      <c r="E2511" s="647"/>
      <c r="F2511" s="647"/>
      <c r="G2511" s="647"/>
      <c r="H2511" s="391"/>
      <c r="I2511" s="391"/>
      <c r="J2511" s="391"/>
    </row>
    <row r="2512" spans="1:10" ht="12.75" customHeight="1">
      <c r="A2512" s="391"/>
      <c r="B2512" s="391"/>
      <c r="C2512" s="391"/>
      <c r="D2512" s="647"/>
      <c r="E2512" s="647"/>
      <c r="F2512" s="647"/>
      <c r="G2512" s="647"/>
      <c r="H2512" s="391"/>
      <c r="I2512" s="391"/>
      <c r="J2512" s="391"/>
    </row>
    <row r="2513" spans="1:10" ht="12.75" customHeight="1">
      <c r="A2513" s="391"/>
      <c r="B2513" s="391"/>
      <c r="C2513" s="391"/>
      <c r="D2513" s="647"/>
      <c r="E2513" s="647"/>
      <c r="F2513" s="647"/>
      <c r="G2513" s="647"/>
      <c r="H2513" s="391"/>
      <c r="I2513" s="391"/>
      <c r="J2513" s="391"/>
    </row>
    <row r="2514" spans="1:10" ht="12.75" customHeight="1">
      <c r="A2514" s="391"/>
      <c r="B2514" s="391"/>
      <c r="C2514" s="391"/>
      <c r="D2514" s="647"/>
      <c r="E2514" s="647"/>
      <c r="F2514" s="647"/>
      <c r="G2514" s="647"/>
      <c r="H2514" s="391"/>
      <c r="I2514" s="391"/>
      <c r="J2514" s="391"/>
    </row>
    <row r="2515" spans="1:10" ht="12.75" customHeight="1">
      <c r="A2515" s="391"/>
      <c r="B2515" s="391"/>
      <c r="C2515" s="391"/>
      <c r="D2515" s="647"/>
      <c r="E2515" s="647"/>
      <c r="F2515" s="647"/>
      <c r="G2515" s="647"/>
      <c r="H2515" s="391"/>
      <c r="I2515" s="391"/>
      <c r="J2515" s="391"/>
    </row>
    <row r="2516" spans="1:10" ht="12.75" customHeight="1">
      <c r="A2516" s="391"/>
      <c r="B2516" s="391"/>
      <c r="C2516" s="391"/>
      <c r="D2516" s="647"/>
      <c r="E2516" s="647"/>
      <c r="F2516" s="647"/>
      <c r="G2516" s="647"/>
      <c r="H2516" s="391"/>
      <c r="I2516" s="391"/>
      <c r="J2516" s="391"/>
    </row>
    <row r="2517" spans="1:10" ht="12.75" customHeight="1">
      <c r="A2517" s="391"/>
      <c r="B2517" s="391"/>
      <c r="C2517" s="391"/>
      <c r="D2517" s="647"/>
      <c r="E2517" s="647"/>
      <c r="F2517" s="647"/>
      <c r="G2517" s="647"/>
      <c r="H2517" s="391"/>
      <c r="I2517" s="391"/>
      <c r="J2517" s="391"/>
    </row>
    <row r="2518" spans="1:10" ht="12.75" customHeight="1">
      <c r="A2518" s="391"/>
      <c r="B2518" s="391"/>
      <c r="C2518" s="391"/>
      <c r="D2518" s="647"/>
      <c r="E2518" s="647"/>
      <c r="F2518" s="647"/>
      <c r="G2518" s="647"/>
      <c r="H2518" s="391"/>
      <c r="I2518" s="391"/>
      <c r="J2518" s="391"/>
    </row>
    <row r="2519" spans="1:10" ht="12.75" customHeight="1">
      <c r="A2519" s="391"/>
      <c r="B2519" s="391"/>
      <c r="C2519" s="391"/>
      <c r="D2519" s="647"/>
      <c r="E2519" s="647"/>
      <c r="F2519" s="647"/>
      <c r="G2519" s="647"/>
      <c r="H2519" s="391"/>
      <c r="I2519" s="391"/>
      <c r="J2519" s="391"/>
    </row>
    <row r="2520" spans="1:10" ht="12.75" customHeight="1">
      <c r="A2520" s="391"/>
      <c r="B2520" s="391"/>
      <c r="C2520" s="391"/>
      <c r="D2520" s="647"/>
      <c r="E2520" s="647"/>
      <c r="F2520" s="647"/>
      <c r="G2520" s="647"/>
      <c r="H2520" s="391"/>
      <c r="I2520" s="391"/>
      <c r="J2520" s="391"/>
    </row>
    <row r="2521" spans="1:10" ht="12.75" customHeight="1">
      <c r="A2521" s="391"/>
      <c r="B2521" s="391"/>
      <c r="C2521" s="391"/>
      <c r="D2521" s="647"/>
      <c r="E2521" s="647"/>
      <c r="F2521" s="647"/>
      <c r="G2521" s="647"/>
      <c r="H2521" s="391"/>
      <c r="I2521" s="391"/>
      <c r="J2521" s="391"/>
    </row>
    <row r="2522" spans="1:10" ht="12.75" customHeight="1">
      <c r="A2522" s="391"/>
      <c r="B2522" s="391"/>
      <c r="C2522" s="391"/>
      <c r="D2522" s="647"/>
      <c r="E2522" s="647"/>
      <c r="F2522" s="647"/>
      <c r="G2522" s="647"/>
      <c r="H2522" s="391"/>
      <c r="I2522" s="391"/>
      <c r="J2522" s="391"/>
    </row>
    <row r="2523" spans="1:10" ht="12.75" customHeight="1">
      <c r="A2523" s="391"/>
      <c r="B2523" s="391"/>
      <c r="C2523" s="391"/>
      <c r="D2523" s="647"/>
      <c r="E2523" s="647"/>
      <c r="F2523" s="647"/>
      <c r="G2523" s="647"/>
      <c r="H2523" s="391"/>
      <c r="I2523" s="391"/>
      <c r="J2523" s="391"/>
    </row>
    <row r="2524" spans="1:10" ht="12.75" customHeight="1">
      <c r="A2524" s="391"/>
      <c r="B2524" s="391"/>
      <c r="C2524" s="391"/>
      <c r="D2524" s="647"/>
      <c r="E2524" s="647"/>
      <c r="F2524" s="647"/>
      <c r="G2524" s="647"/>
      <c r="H2524" s="391"/>
      <c r="I2524" s="391"/>
      <c r="J2524" s="391"/>
    </row>
    <row r="2525" spans="1:10" ht="12.75" customHeight="1">
      <c r="A2525" s="391"/>
      <c r="B2525" s="391"/>
      <c r="C2525" s="391"/>
      <c r="D2525" s="647"/>
      <c r="E2525" s="647"/>
      <c r="F2525" s="647"/>
      <c r="G2525" s="647"/>
      <c r="H2525" s="391"/>
      <c r="I2525" s="391"/>
      <c r="J2525" s="391"/>
    </row>
    <row r="2526" spans="1:10" ht="12.75" customHeight="1">
      <c r="A2526" s="391"/>
      <c r="B2526" s="391"/>
      <c r="C2526" s="391"/>
      <c r="D2526" s="647"/>
      <c r="E2526" s="647"/>
      <c r="F2526" s="647"/>
      <c r="G2526" s="647"/>
      <c r="H2526" s="391"/>
      <c r="I2526" s="391"/>
      <c r="J2526" s="391"/>
    </row>
    <row r="2527" spans="1:10" ht="12.75" customHeight="1">
      <c r="A2527" s="391"/>
      <c r="B2527" s="391"/>
      <c r="C2527" s="391"/>
      <c r="D2527" s="647"/>
      <c r="E2527" s="647"/>
      <c r="F2527" s="647"/>
      <c r="G2527" s="647"/>
      <c r="H2527" s="391"/>
      <c r="I2527" s="391"/>
      <c r="J2527" s="391"/>
    </row>
    <row r="2528" spans="1:10" ht="12.75" customHeight="1">
      <c r="A2528" s="391"/>
      <c r="B2528" s="391"/>
      <c r="C2528" s="391"/>
      <c r="D2528" s="647"/>
      <c r="E2528" s="647"/>
      <c r="F2528" s="647"/>
      <c r="G2528" s="647"/>
      <c r="H2528" s="391"/>
      <c r="I2528" s="391"/>
      <c r="J2528" s="391"/>
    </row>
    <row r="2529" spans="1:10" ht="12.75" customHeight="1">
      <c r="A2529" s="391"/>
      <c r="B2529" s="391"/>
      <c r="C2529" s="391"/>
      <c r="D2529" s="647"/>
      <c r="E2529" s="647"/>
      <c r="F2529" s="647"/>
      <c r="G2529" s="647"/>
      <c r="H2529" s="391"/>
      <c r="I2529" s="391"/>
      <c r="J2529" s="391"/>
    </row>
    <row r="2530" spans="1:10" ht="12.75" customHeight="1">
      <c r="A2530" s="391"/>
      <c r="B2530" s="391"/>
      <c r="C2530" s="391"/>
      <c r="D2530" s="647"/>
      <c r="E2530" s="647"/>
      <c r="F2530" s="647"/>
      <c r="G2530" s="647"/>
      <c r="H2530" s="391"/>
      <c r="I2530" s="391"/>
      <c r="J2530" s="391"/>
    </row>
    <row r="2531" spans="1:10" ht="12.75" customHeight="1">
      <c r="A2531" s="391"/>
      <c r="B2531" s="391"/>
      <c r="C2531" s="391"/>
      <c r="D2531" s="647"/>
      <c r="E2531" s="647"/>
      <c r="F2531" s="647"/>
      <c r="G2531" s="647"/>
      <c r="H2531" s="391"/>
      <c r="I2531" s="391"/>
      <c r="J2531" s="391"/>
    </row>
    <row r="2532" spans="1:10" ht="12.75" customHeight="1">
      <c r="A2532" s="391"/>
      <c r="B2532" s="391"/>
      <c r="C2532" s="391"/>
      <c r="D2532" s="647"/>
      <c r="E2532" s="647"/>
      <c r="F2532" s="647"/>
      <c r="G2532" s="647"/>
      <c r="H2532" s="391"/>
      <c r="I2532" s="391"/>
      <c r="J2532" s="391"/>
    </row>
    <row r="2533" spans="1:10" ht="12.75" customHeight="1">
      <c r="A2533" s="391"/>
      <c r="B2533" s="391"/>
      <c r="C2533" s="391"/>
      <c r="D2533" s="647"/>
      <c r="E2533" s="647"/>
      <c r="F2533" s="647"/>
      <c r="G2533" s="647"/>
      <c r="H2533" s="391"/>
      <c r="I2533" s="391"/>
      <c r="J2533" s="391"/>
    </row>
    <row r="2534" spans="1:10" ht="12.75" customHeight="1">
      <c r="A2534" s="391"/>
      <c r="B2534" s="391"/>
      <c r="C2534" s="391"/>
      <c r="D2534" s="647"/>
      <c r="E2534" s="647"/>
      <c r="F2534" s="647"/>
      <c r="G2534" s="647"/>
      <c r="H2534" s="391"/>
      <c r="I2534" s="391"/>
      <c r="J2534" s="391"/>
    </row>
    <row r="2535" spans="1:10" ht="12.75" customHeight="1">
      <c r="A2535" s="391"/>
      <c r="B2535" s="391"/>
      <c r="C2535" s="391"/>
      <c r="D2535" s="647"/>
      <c r="E2535" s="647"/>
      <c r="F2535" s="647"/>
      <c r="G2535" s="647"/>
      <c r="H2535" s="391"/>
      <c r="I2535" s="391"/>
      <c r="J2535" s="391"/>
    </row>
    <row r="2536" spans="1:10" ht="12.75" customHeight="1">
      <c r="A2536" s="391"/>
      <c r="B2536" s="391"/>
      <c r="C2536" s="391"/>
      <c r="D2536" s="647"/>
      <c r="E2536" s="647"/>
      <c r="F2536" s="647"/>
      <c r="G2536" s="647"/>
      <c r="H2536" s="391"/>
      <c r="I2536" s="391"/>
      <c r="J2536" s="391"/>
    </row>
    <row r="2537" spans="1:10" ht="12.75" customHeight="1">
      <c r="A2537" s="391"/>
      <c r="B2537" s="391"/>
      <c r="C2537" s="391"/>
      <c r="D2537" s="647"/>
      <c r="E2537" s="647"/>
      <c r="F2537" s="647"/>
      <c r="G2537" s="647"/>
      <c r="H2537" s="391"/>
      <c r="I2537" s="391"/>
      <c r="J2537" s="391"/>
    </row>
    <row r="2538" spans="1:10" ht="12.75" customHeight="1">
      <c r="A2538" s="391"/>
      <c r="B2538" s="391"/>
      <c r="C2538" s="391"/>
      <c r="D2538" s="647"/>
      <c r="E2538" s="647"/>
      <c r="F2538" s="647"/>
      <c r="G2538" s="647"/>
      <c r="H2538" s="391"/>
      <c r="I2538" s="391"/>
      <c r="J2538" s="391"/>
    </row>
    <row r="2539" spans="1:10" ht="12.75" customHeight="1">
      <c r="A2539" s="391"/>
      <c r="B2539" s="391"/>
      <c r="C2539" s="391"/>
      <c r="D2539" s="647"/>
      <c r="E2539" s="647"/>
      <c r="F2539" s="647"/>
      <c r="G2539" s="647"/>
      <c r="H2539" s="391"/>
      <c r="I2539" s="391"/>
      <c r="J2539" s="391"/>
    </row>
    <row r="2540" spans="1:10" ht="12.75" customHeight="1">
      <c r="A2540" s="391"/>
      <c r="B2540" s="391"/>
      <c r="C2540" s="391"/>
      <c r="D2540" s="647"/>
      <c r="E2540" s="647"/>
      <c r="F2540" s="647"/>
      <c r="G2540" s="647"/>
      <c r="H2540" s="391"/>
      <c r="I2540" s="391"/>
      <c r="J2540" s="391"/>
    </row>
    <row r="2541" spans="1:10" ht="12.75" customHeight="1">
      <c r="A2541" s="391"/>
      <c r="B2541" s="391"/>
      <c r="C2541" s="391"/>
      <c r="D2541" s="647"/>
      <c r="E2541" s="647"/>
      <c r="F2541" s="647"/>
      <c r="G2541" s="647"/>
      <c r="H2541" s="391"/>
      <c r="I2541" s="391"/>
      <c r="J2541" s="391"/>
    </row>
    <row r="2542" spans="1:10" ht="12.75" customHeight="1">
      <c r="A2542" s="391"/>
      <c r="B2542" s="391"/>
      <c r="C2542" s="391"/>
      <c r="D2542" s="647"/>
      <c r="E2542" s="647"/>
      <c r="F2542" s="647"/>
      <c r="G2542" s="647"/>
      <c r="H2542" s="391"/>
      <c r="I2542" s="391"/>
      <c r="J2542" s="391"/>
    </row>
    <row r="2543" spans="1:10" ht="12.75" customHeight="1">
      <c r="A2543" s="391"/>
      <c r="B2543" s="391"/>
      <c r="C2543" s="391"/>
      <c r="D2543" s="647"/>
      <c r="E2543" s="647"/>
      <c r="F2543" s="647"/>
      <c r="G2543" s="647"/>
      <c r="H2543" s="391"/>
      <c r="I2543" s="391"/>
      <c r="J2543" s="391"/>
    </row>
    <row r="2544" spans="1:10" ht="12.75" customHeight="1">
      <c r="A2544" s="391"/>
      <c r="B2544" s="391"/>
      <c r="C2544" s="391"/>
      <c r="D2544" s="647"/>
      <c r="E2544" s="647"/>
      <c r="F2544" s="647"/>
      <c r="G2544" s="647"/>
      <c r="H2544" s="391"/>
      <c r="I2544" s="391"/>
      <c r="J2544" s="391"/>
    </row>
    <row r="2545" spans="1:10" ht="12.75" customHeight="1">
      <c r="A2545" s="391"/>
      <c r="B2545" s="391"/>
      <c r="C2545" s="391"/>
      <c r="D2545" s="647"/>
      <c r="E2545" s="647"/>
      <c r="F2545" s="647"/>
      <c r="G2545" s="647"/>
      <c r="H2545" s="391"/>
      <c r="I2545" s="391"/>
      <c r="J2545" s="391"/>
    </row>
    <row r="2546" spans="1:10" ht="12.75" customHeight="1">
      <c r="A2546" s="391"/>
      <c r="B2546" s="391"/>
      <c r="C2546" s="391"/>
      <c r="D2546" s="647"/>
      <c r="E2546" s="647"/>
      <c r="F2546" s="647"/>
      <c r="G2546" s="647"/>
      <c r="H2546" s="391"/>
      <c r="I2546" s="391"/>
      <c r="J2546" s="391"/>
    </row>
    <row r="2547" spans="1:10" ht="12.75" customHeight="1">
      <c r="A2547" s="391"/>
      <c r="B2547" s="391"/>
      <c r="C2547" s="391"/>
      <c r="D2547" s="647"/>
      <c r="E2547" s="647"/>
      <c r="F2547" s="647"/>
      <c r="G2547" s="647"/>
      <c r="H2547" s="391"/>
      <c r="I2547" s="391"/>
      <c r="J2547" s="391"/>
    </row>
    <row r="2548" spans="1:10" ht="12.75" customHeight="1">
      <c r="A2548" s="391"/>
      <c r="B2548" s="391"/>
      <c r="C2548" s="391"/>
      <c r="D2548" s="647"/>
      <c r="E2548" s="647"/>
      <c r="F2548" s="647"/>
      <c r="G2548" s="647"/>
      <c r="H2548" s="391"/>
      <c r="I2548" s="391"/>
      <c r="J2548" s="391"/>
    </row>
    <row r="2549" spans="1:10" ht="12.75" customHeight="1">
      <c r="A2549" s="391"/>
      <c r="B2549" s="391"/>
      <c r="C2549" s="391"/>
      <c r="D2549" s="647"/>
      <c r="E2549" s="647"/>
      <c r="F2549" s="647"/>
      <c r="G2549" s="647"/>
      <c r="H2549" s="391"/>
      <c r="I2549" s="391"/>
      <c r="J2549" s="391"/>
    </row>
    <row r="2550" spans="1:10" ht="12.75" customHeight="1">
      <c r="A2550" s="391"/>
      <c r="B2550" s="391"/>
      <c r="C2550" s="391"/>
      <c r="D2550" s="647"/>
      <c r="E2550" s="647"/>
      <c r="F2550" s="647"/>
      <c r="G2550" s="647"/>
      <c r="H2550" s="391"/>
      <c r="I2550" s="391"/>
      <c r="J2550" s="391"/>
    </row>
    <row r="2551" spans="1:10" ht="12.75" customHeight="1">
      <c r="A2551" s="391"/>
      <c r="B2551" s="391"/>
      <c r="C2551" s="391"/>
      <c r="D2551" s="647"/>
      <c r="E2551" s="647"/>
      <c r="F2551" s="647"/>
      <c r="G2551" s="647"/>
      <c r="H2551" s="391"/>
      <c r="I2551" s="391"/>
      <c r="J2551" s="391"/>
    </row>
    <row r="2552" spans="1:10" ht="12.75" customHeight="1">
      <c r="A2552" s="391"/>
      <c r="B2552" s="391"/>
      <c r="C2552" s="391"/>
      <c r="D2552" s="647"/>
      <c r="E2552" s="647"/>
      <c r="F2552" s="647"/>
      <c r="G2552" s="647"/>
      <c r="H2552" s="391"/>
      <c r="I2552" s="391"/>
      <c r="J2552" s="391"/>
    </row>
    <row r="2553" spans="1:10" ht="12.75" customHeight="1">
      <c r="A2553" s="391"/>
      <c r="B2553" s="391"/>
      <c r="C2553" s="391"/>
      <c r="D2553" s="647"/>
      <c r="E2553" s="647"/>
      <c r="F2553" s="647"/>
      <c r="G2553" s="647"/>
      <c r="H2553" s="391"/>
      <c r="I2553" s="391"/>
      <c r="J2553" s="391"/>
    </row>
    <row r="2554" spans="1:10" ht="12.75" customHeight="1">
      <c r="A2554" s="391"/>
      <c r="B2554" s="391"/>
      <c r="C2554" s="391"/>
      <c r="D2554" s="647"/>
      <c r="E2554" s="647"/>
      <c r="F2554" s="647"/>
      <c r="G2554" s="647"/>
      <c r="H2554" s="391"/>
      <c r="I2554" s="391"/>
      <c r="J2554" s="391"/>
    </row>
    <row r="2555" spans="1:10" ht="12.75" customHeight="1">
      <c r="A2555" s="391"/>
      <c r="B2555" s="391"/>
      <c r="C2555" s="391"/>
      <c r="D2555" s="647"/>
      <c r="E2555" s="647"/>
      <c r="F2555" s="647"/>
      <c r="G2555" s="647"/>
      <c r="H2555" s="391"/>
      <c r="I2555" s="391"/>
      <c r="J2555" s="391"/>
    </row>
    <row r="2556" spans="1:10" ht="12.75" customHeight="1">
      <c r="A2556" s="391"/>
      <c r="B2556" s="391"/>
      <c r="C2556" s="391"/>
      <c r="D2556" s="647"/>
      <c r="E2556" s="647"/>
      <c r="F2556" s="647"/>
      <c r="G2556" s="647"/>
      <c r="H2556" s="391"/>
      <c r="I2556" s="391"/>
      <c r="J2556" s="391"/>
    </row>
    <row r="2557" spans="1:10" ht="12.75" customHeight="1">
      <c r="A2557" s="391"/>
      <c r="B2557" s="391"/>
      <c r="C2557" s="391"/>
      <c r="D2557" s="647"/>
      <c r="E2557" s="647"/>
      <c r="F2557" s="647"/>
      <c r="G2557" s="647"/>
      <c r="H2557" s="391"/>
      <c r="I2557" s="391"/>
      <c r="J2557" s="391"/>
    </row>
    <row r="2558" spans="1:10" ht="12.75" customHeight="1">
      <c r="A2558" s="391"/>
      <c r="B2558" s="391"/>
      <c r="C2558" s="391"/>
      <c r="D2558" s="647"/>
      <c r="E2558" s="647"/>
      <c r="F2558" s="647"/>
      <c r="G2558" s="647"/>
      <c r="H2558" s="391"/>
      <c r="I2558" s="391"/>
      <c r="J2558" s="391"/>
    </row>
    <row r="2559" spans="1:10" ht="12.75" customHeight="1">
      <c r="A2559" s="391"/>
      <c r="B2559" s="391"/>
      <c r="C2559" s="391"/>
      <c r="D2559" s="647"/>
      <c r="E2559" s="647"/>
      <c r="F2559" s="647"/>
      <c r="G2559" s="647"/>
      <c r="H2559" s="391"/>
      <c r="I2559" s="391"/>
      <c r="J2559" s="391"/>
    </row>
    <row r="2560" spans="1:10" ht="12.75" customHeight="1">
      <c r="A2560" s="391"/>
      <c r="B2560" s="391"/>
      <c r="C2560" s="391"/>
      <c r="D2560" s="647"/>
      <c r="E2560" s="647"/>
      <c r="F2560" s="647"/>
      <c r="G2560" s="647"/>
      <c r="H2560" s="391"/>
      <c r="I2560" s="391"/>
      <c r="J2560" s="391"/>
    </row>
    <row r="2561" spans="1:10" ht="12.75" customHeight="1">
      <c r="A2561" s="391"/>
      <c r="B2561" s="391"/>
      <c r="C2561" s="391"/>
      <c r="D2561" s="647"/>
      <c r="E2561" s="647"/>
      <c r="F2561" s="647"/>
      <c r="G2561" s="647"/>
      <c r="H2561" s="391"/>
      <c r="I2561" s="391"/>
      <c r="J2561" s="391"/>
    </row>
    <row r="2562" spans="1:10" ht="12.75" customHeight="1">
      <c r="A2562" s="391"/>
      <c r="B2562" s="391"/>
      <c r="C2562" s="391"/>
      <c r="D2562" s="647"/>
      <c r="E2562" s="647"/>
      <c r="F2562" s="647"/>
      <c r="G2562" s="647"/>
      <c r="H2562" s="391"/>
      <c r="I2562" s="391"/>
      <c r="J2562" s="391"/>
    </row>
    <row r="2563" spans="1:10" ht="12.75" customHeight="1">
      <c r="A2563" s="391"/>
      <c r="B2563" s="391"/>
      <c r="C2563" s="391"/>
      <c r="D2563" s="647"/>
      <c r="E2563" s="647"/>
      <c r="F2563" s="647"/>
      <c r="G2563" s="647"/>
      <c r="H2563" s="391"/>
      <c r="I2563" s="391"/>
      <c r="J2563" s="391"/>
    </row>
    <row r="2564" spans="1:10" ht="12.75" customHeight="1">
      <c r="A2564" s="391"/>
      <c r="B2564" s="391"/>
      <c r="C2564" s="391"/>
      <c r="D2564" s="647"/>
      <c r="E2564" s="647"/>
      <c r="F2564" s="647"/>
      <c r="G2564" s="647"/>
      <c r="H2564" s="391"/>
      <c r="I2564" s="391"/>
      <c r="J2564" s="391"/>
    </row>
    <row r="2565" spans="1:10" ht="12.75" customHeight="1">
      <c r="A2565" s="391"/>
      <c r="B2565" s="391"/>
      <c r="C2565" s="391"/>
      <c r="D2565" s="647"/>
      <c r="E2565" s="647"/>
      <c r="F2565" s="647"/>
      <c r="G2565" s="647"/>
      <c r="H2565" s="391"/>
      <c r="I2565" s="391"/>
      <c r="J2565" s="391"/>
    </row>
    <row r="2566" spans="1:10" ht="12.75" customHeight="1">
      <c r="A2566" s="391"/>
      <c r="B2566" s="391"/>
      <c r="C2566" s="391"/>
      <c r="D2566" s="647"/>
      <c r="E2566" s="647"/>
      <c r="F2566" s="647"/>
      <c r="G2566" s="647"/>
      <c r="H2566" s="391"/>
      <c r="I2566" s="391"/>
      <c r="J2566" s="391"/>
    </row>
    <row r="2567" spans="1:10" ht="12.75" customHeight="1">
      <c r="A2567" s="391"/>
      <c r="B2567" s="391"/>
      <c r="C2567" s="391"/>
      <c r="D2567" s="647"/>
      <c r="E2567" s="647"/>
      <c r="F2567" s="647"/>
      <c r="G2567" s="647"/>
      <c r="H2567" s="391"/>
      <c r="I2567" s="391"/>
      <c r="J2567" s="391"/>
    </row>
    <row r="2568" spans="1:10" ht="12.75" customHeight="1">
      <c r="A2568" s="391"/>
      <c r="B2568" s="391"/>
      <c r="C2568" s="391"/>
      <c r="D2568" s="647"/>
      <c r="E2568" s="647"/>
      <c r="F2568" s="647"/>
      <c r="G2568" s="647"/>
      <c r="H2568" s="391"/>
      <c r="I2568" s="391"/>
      <c r="J2568" s="391"/>
    </row>
    <row r="2569" spans="1:10" ht="12.75" customHeight="1">
      <c r="A2569" s="391"/>
      <c r="B2569" s="391"/>
      <c r="C2569" s="391"/>
      <c r="D2569" s="647"/>
      <c r="E2569" s="647"/>
      <c r="F2569" s="647"/>
      <c r="G2569" s="647"/>
      <c r="H2569" s="391"/>
      <c r="I2569" s="391"/>
      <c r="J2569" s="391"/>
    </row>
    <row r="2570" spans="1:10" ht="12.75" customHeight="1">
      <c r="A2570" s="391"/>
      <c r="B2570" s="391"/>
      <c r="C2570" s="391"/>
      <c r="D2570" s="647"/>
      <c r="E2570" s="647"/>
      <c r="F2570" s="647"/>
      <c r="G2570" s="647"/>
      <c r="H2570" s="391"/>
      <c r="I2570" s="391"/>
      <c r="J2570" s="391"/>
    </row>
    <row r="2571" spans="1:10" ht="12.75" customHeight="1">
      <c r="A2571" s="391"/>
      <c r="B2571" s="391"/>
      <c r="C2571" s="391"/>
      <c r="D2571" s="647"/>
      <c r="E2571" s="647"/>
      <c r="F2571" s="647"/>
      <c r="G2571" s="647"/>
      <c r="H2571" s="391"/>
      <c r="I2571" s="391"/>
      <c r="J2571" s="391"/>
    </row>
    <row r="2572" spans="1:10" ht="12.75" customHeight="1">
      <c r="A2572" s="391"/>
      <c r="B2572" s="391"/>
      <c r="C2572" s="391"/>
      <c r="D2572" s="647"/>
      <c r="E2572" s="647"/>
      <c r="F2572" s="647"/>
      <c r="G2572" s="647"/>
      <c r="H2572" s="391"/>
      <c r="I2572" s="391"/>
      <c r="J2572" s="391"/>
    </row>
    <row r="2573" spans="1:10" ht="12.75" customHeight="1">
      <c r="A2573" s="391"/>
      <c r="B2573" s="391"/>
      <c r="C2573" s="391"/>
      <c r="D2573" s="647"/>
      <c r="E2573" s="647"/>
      <c r="F2573" s="647"/>
      <c r="G2573" s="647"/>
      <c r="H2573" s="391"/>
      <c r="I2573" s="391"/>
      <c r="J2573" s="391"/>
    </row>
    <row r="2574" spans="1:10" ht="12.75" customHeight="1">
      <c r="A2574" s="391"/>
      <c r="B2574" s="391"/>
      <c r="C2574" s="391"/>
      <c r="D2574" s="647"/>
      <c r="E2574" s="647"/>
      <c r="F2574" s="647"/>
      <c r="G2574" s="647"/>
      <c r="H2574" s="391"/>
      <c r="I2574" s="391"/>
      <c r="J2574" s="391"/>
    </row>
    <row r="2575" spans="1:10" ht="12.75" customHeight="1">
      <c r="A2575" s="391"/>
      <c r="B2575" s="391"/>
      <c r="C2575" s="391"/>
      <c r="D2575" s="647"/>
      <c r="E2575" s="647"/>
      <c r="F2575" s="647"/>
      <c r="G2575" s="647"/>
      <c r="H2575" s="391"/>
      <c r="I2575" s="391"/>
      <c r="J2575" s="391"/>
    </row>
    <row r="2576" spans="1:10" ht="12.75" customHeight="1">
      <c r="A2576" s="391"/>
      <c r="B2576" s="391"/>
      <c r="C2576" s="391"/>
      <c r="D2576" s="647"/>
      <c r="E2576" s="647"/>
      <c r="F2576" s="647"/>
      <c r="G2576" s="647"/>
      <c r="H2576" s="391"/>
      <c r="I2576" s="391"/>
      <c r="J2576" s="391"/>
    </row>
    <row r="2577" spans="1:10" ht="12.75" customHeight="1">
      <c r="A2577" s="391"/>
      <c r="B2577" s="391"/>
      <c r="C2577" s="391"/>
      <c r="D2577" s="647"/>
      <c r="E2577" s="647"/>
      <c r="F2577" s="647"/>
      <c r="G2577" s="647"/>
      <c r="H2577" s="391"/>
      <c r="I2577" s="391"/>
      <c r="J2577" s="391"/>
    </row>
    <row r="2578" spans="1:10" ht="12.75" customHeight="1">
      <c r="A2578" s="391"/>
      <c r="B2578" s="391"/>
      <c r="C2578" s="391"/>
      <c r="D2578" s="647"/>
      <c r="E2578" s="647"/>
      <c r="F2578" s="647"/>
      <c r="G2578" s="647"/>
      <c r="H2578" s="391"/>
      <c r="I2578" s="391"/>
      <c r="J2578" s="391"/>
    </row>
    <row r="2579" spans="1:10" ht="12.75" customHeight="1">
      <c r="A2579" s="391"/>
      <c r="B2579" s="391"/>
      <c r="C2579" s="391"/>
      <c r="D2579" s="647"/>
      <c r="E2579" s="647"/>
      <c r="F2579" s="647"/>
      <c r="G2579" s="647"/>
      <c r="H2579" s="391"/>
      <c r="I2579" s="391"/>
      <c r="J2579" s="391"/>
    </row>
    <row r="2580" spans="1:10" ht="12.75" customHeight="1">
      <c r="A2580" s="391"/>
      <c r="B2580" s="391"/>
      <c r="C2580" s="391"/>
      <c r="D2580" s="647"/>
      <c r="E2580" s="647"/>
      <c r="F2580" s="647"/>
      <c r="G2580" s="647"/>
      <c r="H2580" s="391"/>
      <c r="I2580" s="391"/>
      <c r="J2580" s="391"/>
    </row>
    <row r="2581" spans="1:10" ht="12.75" customHeight="1">
      <c r="A2581" s="391"/>
      <c r="B2581" s="391"/>
      <c r="C2581" s="391"/>
      <c r="D2581" s="647"/>
      <c r="E2581" s="647"/>
      <c r="F2581" s="647"/>
      <c r="G2581" s="647"/>
      <c r="H2581" s="391"/>
      <c r="I2581" s="391"/>
      <c r="J2581" s="391"/>
    </row>
    <row r="2582" spans="1:10" ht="12.75" customHeight="1">
      <c r="A2582" s="391"/>
      <c r="B2582" s="391"/>
      <c r="C2582" s="391"/>
      <c r="D2582" s="647"/>
      <c r="E2582" s="647"/>
      <c r="F2582" s="647"/>
      <c r="G2582" s="647"/>
      <c r="H2582" s="391"/>
      <c r="I2582" s="391"/>
      <c r="J2582" s="391"/>
    </row>
    <row r="2583" spans="1:10" ht="12.75" customHeight="1">
      <c r="A2583" s="391"/>
      <c r="B2583" s="391"/>
      <c r="C2583" s="391"/>
      <c r="D2583" s="647"/>
      <c r="E2583" s="647"/>
      <c r="F2583" s="647"/>
      <c r="G2583" s="647"/>
      <c r="H2583" s="391"/>
      <c r="I2583" s="391"/>
      <c r="J2583" s="391"/>
    </row>
    <row r="2584" spans="1:10" ht="12.75" customHeight="1">
      <c r="A2584" s="391"/>
      <c r="B2584" s="391"/>
      <c r="C2584" s="391"/>
      <c r="D2584" s="647"/>
      <c r="E2584" s="647"/>
      <c r="F2584" s="647"/>
      <c r="G2584" s="647"/>
      <c r="H2584" s="391"/>
      <c r="I2584" s="391"/>
      <c r="J2584" s="391"/>
    </row>
    <row r="2585" spans="1:10" ht="12.75" customHeight="1">
      <c r="A2585" s="391"/>
      <c r="B2585" s="391"/>
      <c r="C2585" s="391"/>
      <c r="D2585" s="647"/>
      <c r="E2585" s="647"/>
      <c r="F2585" s="647"/>
      <c r="G2585" s="647"/>
      <c r="H2585" s="391"/>
      <c r="I2585" s="391"/>
      <c r="J2585" s="391"/>
    </row>
    <row r="2586" spans="1:10" ht="12.75" customHeight="1">
      <c r="A2586" s="391"/>
      <c r="B2586" s="391"/>
      <c r="C2586" s="391"/>
      <c r="D2586" s="647"/>
      <c r="E2586" s="647"/>
      <c r="F2586" s="647"/>
      <c r="G2586" s="647"/>
      <c r="H2586" s="391"/>
      <c r="I2586" s="391"/>
      <c r="J2586" s="391"/>
    </row>
    <row r="2587" spans="1:10" ht="12.75" customHeight="1">
      <c r="A2587" s="391"/>
      <c r="B2587" s="391"/>
      <c r="C2587" s="391"/>
      <c r="D2587" s="647"/>
      <c r="E2587" s="647"/>
      <c r="F2587" s="647"/>
      <c r="G2587" s="647"/>
      <c r="H2587" s="391"/>
      <c r="I2587" s="391"/>
      <c r="J2587" s="391"/>
    </row>
    <row r="2588" spans="1:10" ht="12.75" customHeight="1">
      <c r="A2588" s="391"/>
      <c r="B2588" s="391"/>
      <c r="C2588" s="391"/>
      <c r="D2588" s="647"/>
      <c r="E2588" s="647"/>
      <c r="F2588" s="647"/>
      <c r="G2588" s="647"/>
      <c r="H2588" s="391"/>
      <c r="I2588" s="391"/>
      <c r="J2588" s="391"/>
    </row>
    <row r="2589" spans="1:10" ht="12.75" customHeight="1">
      <c r="A2589" s="391"/>
      <c r="B2589" s="391"/>
      <c r="C2589" s="391"/>
      <c r="D2589" s="647"/>
      <c r="E2589" s="647"/>
      <c r="F2589" s="647"/>
      <c r="G2589" s="647"/>
      <c r="H2589" s="391"/>
      <c r="I2589" s="391"/>
      <c r="J2589" s="391"/>
    </row>
    <row r="2590" spans="1:10" ht="12.75" customHeight="1">
      <c r="A2590" s="391"/>
      <c r="B2590" s="391"/>
      <c r="C2590" s="391"/>
      <c r="D2590" s="647"/>
      <c r="E2590" s="647"/>
      <c r="F2590" s="647"/>
      <c r="G2590" s="647"/>
      <c r="H2590" s="391"/>
      <c r="I2590" s="391"/>
      <c r="J2590" s="391"/>
    </row>
    <row r="2591" spans="1:10" ht="12.75" customHeight="1">
      <c r="A2591" s="391"/>
      <c r="B2591" s="391"/>
      <c r="C2591" s="391"/>
      <c r="D2591" s="647"/>
      <c r="E2591" s="647"/>
      <c r="F2591" s="647"/>
      <c r="G2591" s="647"/>
      <c r="H2591" s="391"/>
      <c r="I2591" s="391"/>
      <c r="J2591" s="391"/>
    </row>
    <row r="2592" spans="1:10" ht="12.75" customHeight="1">
      <c r="A2592" s="391"/>
      <c r="B2592" s="391"/>
      <c r="C2592" s="391"/>
      <c r="D2592" s="647"/>
      <c r="E2592" s="647"/>
      <c r="F2592" s="647"/>
      <c r="G2592" s="647"/>
      <c r="H2592" s="391"/>
      <c r="I2592" s="391"/>
      <c r="J2592" s="391"/>
    </row>
    <row r="2593" spans="1:10" ht="12.75" customHeight="1">
      <c r="A2593" s="391"/>
      <c r="B2593" s="391"/>
      <c r="C2593" s="391"/>
      <c r="D2593" s="647"/>
      <c r="E2593" s="647"/>
      <c r="F2593" s="647"/>
      <c r="G2593" s="647"/>
      <c r="H2593" s="391"/>
      <c r="I2593" s="391"/>
      <c r="J2593" s="391"/>
    </row>
    <row r="2594" spans="1:10" ht="12.75" customHeight="1">
      <c r="A2594" s="391"/>
      <c r="B2594" s="391"/>
      <c r="C2594" s="391"/>
      <c r="D2594" s="647"/>
      <c r="E2594" s="647"/>
      <c r="F2594" s="647"/>
      <c r="G2594" s="647"/>
      <c r="H2594" s="391"/>
      <c r="I2594" s="391"/>
      <c r="J2594" s="391"/>
    </row>
    <row r="2595" spans="1:10" ht="12.75" customHeight="1">
      <c r="A2595" s="391"/>
      <c r="B2595" s="391"/>
      <c r="C2595" s="391"/>
      <c r="D2595" s="647"/>
      <c r="E2595" s="647"/>
      <c r="F2595" s="647"/>
      <c r="G2595" s="647"/>
      <c r="H2595" s="391"/>
      <c r="I2595" s="391"/>
      <c r="J2595" s="391"/>
    </row>
    <row r="2596" spans="1:10" ht="12.75" customHeight="1">
      <c r="A2596" s="391"/>
      <c r="B2596" s="391"/>
      <c r="C2596" s="391"/>
      <c r="D2596" s="647"/>
      <c r="E2596" s="647"/>
      <c r="F2596" s="647"/>
      <c r="G2596" s="647"/>
      <c r="H2596" s="391"/>
      <c r="I2596" s="391"/>
      <c r="J2596" s="391"/>
    </row>
    <row r="2597" spans="1:10" ht="12.75" customHeight="1">
      <c r="A2597" s="391"/>
      <c r="B2597" s="391"/>
      <c r="C2597" s="391"/>
      <c r="D2597" s="647"/>
      <c r="E2597" s="647"/>
      <c r="F2597" s="647"/>
      <c r="G2597" s="647"/>
      <c r="H2597" s="391"/>
      <c r="I2597" s="391"/>
      <c r="J2597" s="391"/>
    </row>
    <row r="2598" spans="1:10" ht="12.75" customHeight="1">
      <c r="A2598" s="391"/>
      <c r="B2598" s="391"/>
      <c r="C2598" s="391"/>
      <c r="D2598" s="647"/>
      <c r="E2598" s="647"/>
      <c r="F2598" s="647"/>
      <c r="G2598" s="647"/>
      <c r="H2598" s="391"/>
      <c r="I2598" s="391"/>
      <c r="J2598" s="391"/>
    </row>
    <row r="2599" spans="1:10" ht="12.75" customHeight="1">
      <c r="A2599" s="391"/>
      <c r="B2599" s="391"/>
      <c r="C2599" s="391"/>
      <c r="D2599" s="647"/>
      <c r="E2599" s="647"/>
      <c r="F2599" s="647"/>
      <c r="G2599" s="647"/>
      <c r="H2599" s="391"/>
      <c r="I2599" s="391"/>
      <c r="J2599" s="391"/>
    </row>
    <row r="2600" spans="1:10" ht="12.75" customHeight="1">
      <c r="A2600" s="391"/>
      <c r="B2600" s="391"/>
      <c r="C2600" s="391"/>
      <c r="D2600" s="647"/>
      <c r="E2600" s="647"/>
      <c r="F2600" s="647"/>
      <c r="G2600" s="647"/>
      <c r="H2600" s="391"/>
      <c r="I2600" s="391"/>
      <c r="J2600" s="391"/>
    </row>
    <row r="2601" spans="1:10" ht="12.75" customHeight="1">
      <c r="A2601" s="391"/>
      <c r="B2601" s="391"/>
      <c r="C2601" s="391"/>
      <c r="D2601" s="647"/>
      <c r="E2601" s="647"/>
      <c r="F2601" s="647"/>
      <c r="G2601" s="647"/>
      <c r="H2601" s="391"/>
      <c r="I2601" s="391"/>
      <c r="J2601" s="391"/>
    </row>
    <row r="2602" spans="1:10" ht="12.75" customHeight="1">
      <c r="A2602" s="391"/>
      <c r="B2602" s="391"/>
      <c r="C2602" s="391"/>
      <c r="D2602" s="647"/>
      <c r="E2602" s="647"/>
      <c r="F2602" s="647"/>
      <c r="G2602" s="647"/>
      <c r="H2602" s="391"/>
      <c r="I2602" s="391"/>
      <c r="J2602" s="391"/>
    </row>
    <row r="2603" spans="1:10" ht="12.75" customHeight="1">
      <c r="A2603" s="391"/>
      <c r="B2603" s="391"/>
      <c r="C2603" s="391"/>
      <c r="D2603" s="647"/>
      <c r="E2603" s="647"/>
      <c r="F2603" s="647"/>
      <c r="G2603" s="647"/>
      <c r="H2603" s="391"/>
      <c r="I2603" s="391"/>
      <c r="J2603" s="391"/>
    </row>
    <row r="2604" spans="1:10" ht="12.75" customHeight="1">
      <c r="A2604" s="391"/>
      <c r="B2604" s="391"/>
      <c r="C2604" s="391"/>
      <c r="D2604" s="647"/>
      <c r="E2604" s="647"/>
      <c r="F2604" s="647"/>
      <c r="G2604" s="647"/>
      <c r="H2604" s="391"/>
      <c r="I2604" s="391"/>
      <c r="J2604" s="391"/>
    </row>
    <row r="2605" spans="1:10" ht="12.75" customHeight="1">
      <c r="A2605" s="391"/>
      <c r="B2605" s="391"/>
      <c r="C2605" s="391"/>
      <c r="D2605" s="647"/>
      <c r="E2605" s="647"/>
      <c r="F2605" s="647"/>
      <c r="G2605" s="647"/>
      <c r="H2605" s="391"/>
      <c r="I2605" s="391"/>
      <c r="J2605" s="391"/>
    </row>
    <row r="2606" spans="1:10" ht="12.75" customHeight="1">
      <c r="A2606" s="391"/>
      <c r="B2606" s="391"/>
      <c r="C2606" s="391"/>
      <c r="D2606" s="647"/>
      <c r="E2606" s="647"/>
      <c r="F2606" s="647"/>
      <c r="G2606" s="647"/>
      <c r="H2606" s="391"/>
      <c r="I2606" s="391"/>
      <c r="J2606" s="391"/>
    </row>
    <row r="2607" spans="1:10" ht="12.75" customHeight="1">
      <c r="A2607" s="391"/>
      <c r="B2607" s="391"/>
      <c r="C2607" s="391"/>
      <c r="D2607" s="647"/>
      <c r="E2607" s="647"/>
      <c r="F2607" s="647"/>
      <c r="G2607" s="647"/>
      <c r="H2607" s="391"/>
      <c r="I2607" s="391"/>
      <c r="J2607" s="391"/>
    </row>
    <row r="2608" spans="1:10" ht="12.75" customHeight="1">
      <c r="A2608" s="391"/>
      <c r="B2608" s="391"/>
      <c r="C2608" s="391"/>
      <c r="D2608" s="647"/>
      <c r="E2608" s="647"/>
      <c r="F2608" s="647"/>
      <c r="G2608" s="647"/>
      <c r="H2608" s="391"/>
      <c r="I2608" s="391"/>
      <c r="J2608" s="391"/>
    </row>
    <row r="2609" spans="1:10" ht="12.75" customHeight="1">
      <c r="A2609" s="391"/>
      <c r="B2609" s="391"/>
      <c r="C2609" s="391"/>
      <c r="D2609" s="647"/>
      <c r="E2609" s="647"/>
      <c r="F2609" s="647"/>
      <c r="G2609" s="647"/>
      <c r="H2609" s="391"/>
      <c r="I2609" s="391"/>
      <c r="J2609" s="391"/>
    </row>
    <row r="2610" spans="1:10" ht="12.75" customHeight="1">
      <c r="A2610" s="391"/>
      <c r="B2610" s="391"/>
      <c r="C2610" s="391"/>
      <c r="D2610" s="647"/>
      <c r="E2610" s="647"/>
      <c r="F2610" s="647"/>
      <c r="G2610" s="647"/>
      <c r="H2610" s="391"/>
      <c r="I2610" s="391"/>
      <c r="J2610" s="391"/>
    </row>
    <row r="2611" spans="1:10" ht="12.75" customHeight="1">
      <c r="A2611" s="391"/>
      <c r="B2611" s="391"/>
      <c r="C2611" s="391"/>
      <c r="D2611" s="647"/>
      <c r="E2611" s="647"/>
      <c r="F2611" s="647"/>
      <c r="G2611" s="647"/>
      <c r="H2611" s="391"/>
      <c r="I2611" s="391"/>
      <c r="J2611" s="391"/>
    </row>
    <row r="2612" spans="1:10" ht="12.75" customHeight="1">
      <c r="A2612" s="391"/>
      <c r="B2612" s="391"/>
      <c r="C2612" s="391"/>
      <c r="D2612" s="647"/>
      <c r="E2612" s="647"/>
      <c r="F2612" s="647"/>
      <c r="G2612" s="647"/>
      <c r="H2612" s="391"/>
      <c r="I2612" s="391"/>
      <c r="J2612" s="391"/>
    </row>
    <row r="2613" spans="1:10" ht="12.75" customHeight="1">
      <c r="A2613" s="391"/>
      <c r="B2613" s="391"/>
      <c r="C2613" s="391"/>
      <c r="D2613" s="647"/>
      <c r="E2613" s="647"/>
      <c r="F2613" s="647"/>
      <c r="G2613" s="647"/>
      <c r="H2613" s="391"/>
      <c r="I2613" s="391"/>
      <c r="J2613" s="391"/>
    </row>
    <row r="2614" spans="1:10" ht="12.75" customHeight="1">
      <c r="A2614" s="391"/>
      <c r="B2614" s="391"/>
      <c r="C2614" s="391"/>
      <c r="D2614" s="647"/>
      <c r="E2614" s="647"/>
      <c r="F2614" s="647"/>
      <c r="G2614" s="647"/>
      <c r="H2614" s="391"/>
      <c r="I2614" s="391"/>
      <c r="J2614" s="391"/>
    </row>
    <row r="2615" spans="1:10" ht="12.75" customHeight="1">
      <c r="A2615" s="391"/>
      <c r="B2615" s="391"/>
      <c r="C2615" s="391"/>
      <c r="D2615" s="647"/>
      <c r="E2615" s="647"/>
      <c r="F2615" s="647"/>
      <c r="G2615" s="647"/>
      <c r="H2615" s="391"/>
      <c r="I2615" s="391"/>
      <c r="J2615" s="391"/>
    </row>
    <row r="2616" spans="1:10" ht="12.75" customHeight="1">
      <c r="A2616" s="391"/>
      <c r="B2616" s="391"/>
      <c r="C2616" s="391"/>
      <c r="D2616" s="647"/>
      <c r="E2616" s="647"/>
      <c r="F2616" s="647"/>
      <c r="G2616" s="647"/>
      <c r="H2616" s="391"/>
      <c r="I2616" s="391"/>
      <c r="J2616" s="391"/>
    </row>
    <row r="2617" spans="1:10" ht="12.75" customHeight="1">
      <c r="A2617" s="391"/>
      <c r="B2617" s="391"/>
      <c r="C2617" s="391"/>
      <c r="D2617" s="647"/>
      <c r="E2617" s="647"/>
      <c r="F2617" s="647"/>
      <c r="G2617" s="647"/>
      <c r="H2617" s="391"/>
      <c r="I2617" s="391"/>
      <c r="J2617" s="391"/>
    </row>
    <row r="2618" spans="1:10" ht="12.75" customHeight="1">
      <c r="A2618" s="391"/>
      <c r="B2618" s="391"/>
      <c r="C2618" s="391"/>
      <c r="D2618" s="647"/>
      <c r="E2618" s="647"/>
      <c r="F2618" s="647"/>
      <c r="G2618" s="647"/>
      <c r="H2618" s="391"/>
      <c r="I2618" s="391"/>
      <c r="J2618" s="391"/>
    </row>
    <row r="2619" spans="1:10" ht="12.75" customHeight="1">
      <c r="A2619" s="391"/>
      <c r="B2619" s="391"/>
      <c r="C2619" s="391"/>
      <c r="D2619" s="647"/>
      <c r="E2619" s="647"/>
      <c r="F2619" s="647"/>
      <c r="G2619" s="647"/>
      <c r="H2619" s="391"/>
      <c r="I2619" s="391"/>
      <c r="J2619" s="391"/>
    </row>
    <row r="2620" spans="1:10" ht="12.75" customHeight="1">
      <c r="A2620" s="391"/>
      <c r="B2620" s="391"/>
      <c r="C2620" s="391"/>
      <c r="D2620" s="647"/>
      <c r="E2620" s="647"/>
      <c r="F2620" s="647"/>
      <c r="G2620" s="647"/>
      <c r="H2620" s="391"/>
      <c r="I2620" s="391"/>
      <c r="J2620" s="391"/>
    </row>
    <row r="2621" spans="1:10" ht="12.75" customHeight="1">
      <c r="A2621" s="391"/>
      <c r="B2621" s="391"/>
      <c r="C2621" s="391"/>
      <c r="D2621" s="647"/>
      <c r="E2621" s="647"/>
      <c r="F2621" s="647"/>
      <c r="G2621" s="647"/>
      <c r="H2621" s="391"/>
      <c r="I2621" s="391"/>
      <c r="J2621" s="391"/>
    </row>
    <row r="2622" spans="1:10" ht="12.75" customHeight="1">
      <c r="A2622" s="391"/>
      <c r="B2622" s="391"/>
      <c r="C2622" s="391"/>
      <c r="D2622" s="647"/>
      <c r="E2622" s="647"/>
      <c r="F2622" s="647"/>
      <c r="G2622" s="647"/>
      <c r="H2622" s="391"/>
      <c r="I2622" s="391"/>
      <c r="J2622" s="391"/>
    </row>
    <row r="2623" spans="1:10" ht="12.75" customHeight="1">
      <c r="A2623" s="391"/>
      <c r="B2623" s="391"/>
      <c r="C2623" s="391"/>
      <c r="D2623" s="647"/>
      <c r="E2623" s="647"/>
      <c r="F2623" s="647"/>
      <c r="G2623" s="647"/>
      <c r="H2623" s="391"/>
      <c r="I2623" s="391"/>
      <c r="J2623" s="391"/>
    </row>
    <row r="2624" spans="1:10" ht="12.75" customHeight="1">
      <c r="A2624" s="391"/>
      <c r="B2624" s="391"/>
      <c r="C2624" s="391"/>
      <c r="D2624" s="647"/>
      <c r="E2624" s="647"/>
      <c r="F2624" s="647"/>
      <c r="G2624" s="647"/>
      <c r="H2624" s="391"/>
      <c r="I2624" s="391"/>
      <c r="J2624" s="391"/>
    </row>
    <row r="2625" spans="1:10" ht="12.75" customHeight="1">
      <c r="A2625" s="391"/>
      <c r="B2625" s="391"/>
      <c r="C2625" s="391"/>
      <c r="D2625" s="647"/>
      <c r="E2625" s="647"/>
      <c r="F2625" s="647"/>
      <c r="G2625" s="647"/>
      <c r="H2625" s="391"/>
      <c r="I2625" s="391"/>
      <c r="J2625" s="391"/>
    </row>
    <row r="2626" spans="1:10" ht="12.75" customHeight="1">
      <c r="A2626" s="391"/>
      <c r="B2626" s="391"/>
      <c r="C2626" s="391"/>
      <c r="D2626" s="647"/>
      <c r="E2626" s="647"/>
      <c r="F2626" s="647"/>
      <c r="G2626" s="647"/>
      <c r="H2626" s="391"/>
      <c r="I2626" s="391"/>
      <c r="J2626" s="391"/>
    </row>
    <row r="2627" spans="1:10" ht="12.75" customHeight="1">
      <c r="A2627" s="391"/>
      <c r="B2627" s="391"/>
      <c r="C2627" s="391"/>
      <c r="D2627" s="647"/>
      <c r="E2627" s="647"/>
      <c r="F2627" s="647"/>
      <c r="G2627" s="647"/>
      <c r="H2627" s="391"/>
      <c r="I2627" s="391"/>
      <c r="J2627" s="391"/>
    </row>
    <row r="2628" spans="1:10" ht="12.75" customHeight="1">
      <c r="A2628" s="391"/>
      <c r="B2628" s="391"/>
      <c r="C2628" s="391"/>
      <c r="D2628" s="647"/>
      <c r="E2628" s="647"/>
      <c r="F2628" s="647"/>
      <c r="G2628" s="647"/>
      <c r="H2628" s="391"/>
      <c r="I2628" s="391"/>
      <c r="J2628" s="391"/>
    </row>
    <row r="2629" spans="1:10" ht="12.75" customHeight="1">
      <c r="A2629" s="391"/>
      <c r="B2629" s="391"/>
      <c r="C2629" s="391"/>
      <c r="D2629" s="647"/>
      <c r="E2629" s="647"/>
      <c r="F2629" s="647"/>
      <c r="G2629" s="647"/>
      <c r="H2629" s="391"/>
      <c r="I2629" s="391"/>
      <c r="J2629" s="391"/>
    </row>
    <row r="2630" spans="1:10" ht="12.75" customHeight="1">
      <c r="A2630" s="391"/>
      <c r="B2630" s="391"/>
      <c r="C2630" s="391"/>
      <c r="D2630" s="647"/>
      <c r="E2630" s="647"/>
      <c r="F2630" s="647"/>
      <c r="G2630" s="647"/>
      <c r="H2630" s="391"/>
      <c r="I2630" s="391"/>
      <c r="J2630" s="391"/>
    </row>
    <row r="2631" spans="1:10" ht="12.75" customHeight="1">
      <c r="A2631" s="391"/>
      <c r="B2631" s="391"/>
      <c r="C2631" s="391"/>
      <c r="D2631" s="647"/>
      <c r="E2631" s="647"/>
      <c r="F2631" s="647"/>
      <c r="G2631" s="647"/>
      <c r="H2631" s="391"/>
      <c r="I2631" s="391"/>
      <c r="J2631" s="391"/>
    </row>
    <row r="2632" spans="1:10" ht="12.75" customHeight="1">
      <c r="A2632" s="391"/>
      <c r="B2632" s="391"/>
      <c r="C2632" s="391"/>
      <c r="D2632" s="647"/>
      <c r="E2632" s="647"/>
      <c r="F2632" s="647"/>
      <c r="G2632" s="647"/>
      <c r="H2632" s="391"/>
      <c r="I2632" s="391"/>
      <c r="J2632" s="391"/>
    </row>
    <row r="2633" spans="1:10" ht="12.75" customHeight="1">
      <c r="A2633" s="391"/>
      <c r="B2633" s="391"/>
      <c r="C2633" s="391"/>
      <c r="D2633" s="647"/>
      <c r="E2633" s="647"/>
      <c r="F2633" s="647"/>
      <c r="G2633" s="647"/>
      <c r="H2633" s="391"/>
      <c r="I2633" s="391"/>
      <c r="J2633" s="391"/>
    </row>
    <row r="2634" spans="1:10" ht="12.75" customHeight="1">
      <c r="A2634" s="391"/>
      <c r="B2634" s="391"/>
      <c r="C2634" s="391"/>
      <c r="D2634" s="647"/>
      <c r="E2634" s="647"/>
      <c r="F2634" s="647"/>
      <c r="G2634" s="647"/>
      <c r="H2634" s="391"/>
      <c r="I2634" s="391"/>
      <c r="J2634" s="391"/>
    </row>
    <row r="2635" spans="1:10" ht="12.75" customHeight="1">
      <c r="A2635" s="391"/>
      <c r="B2635" s="391"/>
      <c r="C2635" s="391"/>
      <c r="D2635" s="647"/>
      <c r="E2635" s="647"/>
      <c r="F2635" s="647"/>
      <c r="G2635" s="647"/>
      <c r="H2635" s="391"/>
      <c r="I2635" s="391"/>
      <c r="J2635" s="391"/>
    </row>
    <row r="2636" spans="1:10" ht="12.75" customHeight="1">
      <c r="A2636" s="391"/>
      <c r="B2636" s="391"/>
      <c r="C2636" s="391"/>
      <c r="D2636" s="647"/>
      <c r="E2636" s="647"/>
      <c r="F2636" s="647"/>
      <c r="G2636" s="647"/>
      <c r="H2636" s="391"/>
      <c r="I2636" s="391"/>
      <c r="J2636" s="391"/>
    </row>
    <row r="2637" spans="1:10" ht="12.75" customHeight="1">
      <c r="A2637" s="391"/>
      <c r="B2637" s="391"/>
      <c r="C2637" s="391"/>
      <c r="D2637" s="647"/>
      <c r="E2637" s="647"/>
      <c r="F2637" s="647"/>
      <c r="G2637" s="647"/>
      <c r="H2637" s="391"/>
      <c r="I2637" s="391"/>
      <c r="J2637" s="391"/>
    </row>
    <row r="2638" spans="1:10" ht="12.75" customHeight="1">
      <c r="A2638" s="391"/>
      <c r="B2638" s="391"/>
      <c r="C2638" s="391"/>
      <c r="D2638" s="647"/>
      <c r="E2638" s="647"/>
      <c r="F2638" s="647"/>
      <c r="G2638" s="647"/>
      <c r="H2638" s="391"/>
      <c r="I2638" s="391"/>
      <c r="J2638" s="391"/>
    </row>
    <row r="2639" spans="1:10" ht="12.75" customHeight="1">
      <c r="A2639" s="391"/>
      <c r="B2639" s="391"/>
      <c r="C2639" s="391"/>
      <c r="D2639" s="647"/>
      <c r="E2639" s="647"/>
      <c r="F2639" s="647"/>
      <c r="G2639" s="647"/>
      <c r="H2639" s="391"/>
      <c r="I2639" s="391"/>
      <c r="J2639" s="391"/>
    </row>
    <row r="2640" spans="1:10" ht="12.75" customHeight="1">
      <c r="A2640" s="391"/>
      <c r="B2640" s="391"/>
      <c r="C2640" s="391"/>
      <c r="D2640" s="647"/>
      <c r="E2640" s="647"/>
      <c r="F2640" s="647"/>
      <c r="G2640" s="647"/>
      <c r="H2640" s="391"/>
      <c r="I2640" s="391"/>
      <c r="J2640" s="391"/>
    </row>
    <row r="2641" spans="1:10" ht="12.75" customHeight="1">
      <c r="A2641" s="391"/>
      <c r="B2641" s="391"/>
      <c r="C2641" s="391"/>
      <c r="D2641" s="647"/>
      <c r="E2641" s="647"/>
      <c r="F2641" s="647"/>
      <c r="G2641" s="647"/>
      <c r="H2641" s="391"/>
      <c r="I2641" s="391"/>
      <c r="J2641" s="391"/>
    </row>
    <row r="2642" spans="1:10" ht="12.75" customHeight="1">
      <c r="A2642" s="391"/>
      <c r="B2642" s="391"/>
      <c r="C2642" s="391"/>
      <c r="D2642" s="647"/>
      <c r="E2642" s="647"/>
      <c r="F2642" s="647"/>
      <c r="G2642" s="647"/>
      <c r="H2642" s="391"/>
      <c r="I2642" s="391"/>
      <c r="J2642" s="391"/>
    </row>
    <row r="2643" spans="1:10" ht="12.75" customHeight="1">
      <c r="A2643" s="391"/>
      <c r="B2643" s="391"/>
      <c r="C2643" s="391"/>
      <c r="D2643" s="647"/>
      <c r="E2643" s="647"/>
      <c r="F2643" s="647"/>
      <c r="G2643" s="647"/>
      <c r="H2643" s="391"/>
      <c r="I2643" s="391"/>
      <c r="J2643" s="391"/>
    </row>
    <row r="2644" spans="1:10" ht="12.75" customHeight="1">
      <c r="A2644" s="391"/>
      <c r="B2644" s="391"/>
      <c r="C2644" s="391"/>
      <c r="D2644" s="647"/>
      <c r="E2644" s="647"/>
      <c r="F2644" s="647"/>
      <c r="G2644" s="647"/>
      <c r="H2644" s="391"/>
      <c r="I2644" s="391"/>
      <c r="J2644" s="391"/>
    </row>
    <row r="2645" spans="1:10" ht="12.75" customHeight="1">
      <c r="A2645" s="391"/>
      <c r="B2645" s="391"/>
      <c r="C2645" s="391"/>
      <c r="D2645" s="647"/>
      <c r="E2645" s="647"/>
      <c r="F2645" s="647"/>
      <c r="G2645" s="647"/>
      <c r="H2645" s="391"/>
      <c r="I2645" s="391"/>
      <c r="J2645" s="391"/>
    </row>
    <row r="2646" spans="1:10" ht="12.75" customHeight="1">
      <c r="A2646" s="391"/>
      <c r="B2646" s="391"/>
      <c r="C2646" s="391"/>
      <c r="D2646" s="647"/>
      <c r="E2646" s="647"/>
      <c r="F2646" s="647"/>
      <c r="G2646" s="647"/>
      <c r="H2646" s="391"/>
      <c r="I2646" s="391"/>
      <c r="J2646" s="391"/>
    </row>
    <row r="2647" spans="1:10" ht="12.75" customHeight="1">
      <c r="A2647" s="391"/>
      <c r="B2647" s="391"/>
      <c r="C2647" s="391"/>
      <c r="D2647" s="647"/>
      <c r="E2647" s="647"/>
      <c r="F2647" s="647"/>
      <c r="G2647" s="647"/>
      <c r="H2647" s="391"/>
      <c r="I2647" s="391"/>
      <c r="J2647" s="391"/>
    </row>
    <row r="2648" spans="1:10" ht="12.75" customHeight="1">
      <c r="A2648" s="391"/>
      <c r="B2648" s="391"/>
      <c r="C2648" s="391"/>
      <c r="D2648" s="647"/>
      <c r="E2648" s="647"/>
      <c r="F2648" s="647"/>
      <c r="G2648" s="647"/>
      <c r="H2648" s="391"/>
      <c r="I2648" s="391"/>
      <c r="J2648" s="391"/>
    </row>
    <row r="2649" spans="1:10" ht="12.75" customHeight="1">
      <c r="A2649" s="391"/>
      <c r="B2649" s="391"/>
      <c r="C2649" s="391"/>
      <c r="D2649" s="647"/>
      <c r="E2649" s="647"/>
      <c r="F2649" s="647"/>
      <c r="G2649" s="647"/>
      <c r="H2649" s="391"/>
      <c r="I2649" s="391"/>
      <c r="J2649" s="391"/>
    </row>
    <row r="2650" spans="1:10" ht="12.75" customHeight="1">
      <c r="A2650" s="391"/>
      <c r="B2650" s="391"/>
      <c r="C2650" s="391"/>
      <c r="D2650" s="647"/>
      <c r="E2650" s="647"/>
      <c r="F2650" s="647"/>
      <c r="G2650" s="647"/>
      <c r="H2650" s="391"/>
      <c r="I2650" s="391"/>
      <c r="J2650" s="391"/>
    </row>
    <row r="2651" spans="1:10" ht="12.75" customHeight="1">
      <c r="A2651" s="391"/>
      <c r="B2651" s="391"/>
      <c r="C2651" s="391"/>
      <c r="D2651" s="647"/>
      <c r="E2651" s="647"/>
      <c r="F2651" s="647"/>
      <c r="G2651" s="647"/>
      <c r="H2651" s="391"/>
      <c r="I2651" s="391"/>
      <c r="J2651" s="391"/>
    </row>
    <row r="2652" spans="1:10" ht="12.75" customHeight="1">
      <c r="A2652" s="391"/>
      <c r="B2652" s="391"/>
      <c r="C2652" s="391"/>
      <c r="D2652" s="647"/>
      <c r="E2652" s="647"/>
      <c r="F2652" s="647"/>
      <c r="G2652" s="647"/>
      <c r="H2652" s="391"/>
      <c r="I2652" s="391"/>
      <c r="J2652" s="391"/>
    </row>
    <row r="2653" spans="1:10" ht="12.75" customHeight="1">
      <c r="A2653" s="391"/>
      <c r="B2653" s="391"/>
      <c r="C2653" s="391"/>
      <c r="D2653" s="647"/>
      <c r="E2653" s="647"/>
      <c r="F2653" s="647"/>
      <c r="G2653" s="647"/>
      <c r="H2653" s="391"/>
      <c r="I2653" s="391"/>
      <c r="J2653" s="391"/>
    </row>
    <row r="2654" spans="1:10" ht="12.75" customHeight="1">
      <c r="A2654" s="391"/>
      <c r="B2654" s="391"/>
      <c r="C2654" s="391"/>
      <c r="D2654" s="647"/>
      <c r="E2654" s="647"/>
      <c r="F2654" s="647"/>
      <c r="G2654" s="647"/>
      <c r="H2654" s="391"/>
      <c r="I2654" s="391"/>
      <c r="J2654" s="391"/>
    </row>
    <row r="2655" spans="1:10" ht="12.75" customHeight="1">
      <c r="A2655" s="391"/>
      <c r="B2655" s="391"/>
      <c r="C2655" s="391"/>
      <c r="D2655" s="647"/>
      <c r="E2655" s="647"/>
      <c r="F2655" s="647"/>
      <c r="G2655" s="647"/>
      <c r="H2655" s="391"/>
      <c r="I2655" s="391"/>
      <c r="J2655" s="391"/>
    </row>
    <row r="2656" spans="1:10" ht="12.75" customHeight="1">
      <c r="A2656" s="391"/>
      <c r="B2656" s="391"/>
      <c r="C2656" s="391"/>
      <c r="D2656" s="647"/>
      <c r="E2656" s="647"/>
      <c r="F2656" s="647"/>
      <c r="G2656" s="647"/>
      <c r="H2656" s="391"/>
      <c r="I2656" s="391"/>
      <c r="J2656" s="391"/>
    </row>
    <row r="2657" spans="1:10" ht="12.75" customHeight="1">
      <c r="A2657" s="391"/>
      <c r="B2657" s="391"/>
      <c r="C2657" s="391"/>
      <c r="D2657" s="647"/>
      <c r="E2657" s="647"/>
      <c r="F2657" s="647"/>
      <c r="G2657" s="647"/>
      <c r="H2657" s="391"/>
      <c r="I2657" s="391"/>
      <c r="J2657" s="391"/>
    </row>
    <row r="2658" spans="1:10" ht="12.75" customHeight="1">
      <c r="A2658" s="391"/>
      <c r="B2658" s="391"/>
      <c r="C2658" s="391"/>
      <c r="D2658" s="647"/>
      <c r="E2658" s="647"/>
      <c r="F2658" s="647"/>
      <c r="G2658" s="647"/>
      <c r="H2658" s="391"/>
      <c r="I2658" s="391"/>
      <c r="J2658" s="391"/>
    </row>
    <row r="2659" spans="1:10" ht="12.75" customHeight="1">
      <c r="A2659" s="391"/>
      <c r="B2659" s="391"/>
      <c r="C2659" s="391"/>
      <c r="D2659" s="647"/>
      <c r="E2659" s="647"/>
      <c r="F2659" s="647"/>
      <c r="G2659" s="647"/>
      <c r="H2659" s="391"/>
      <c r="I2659" s="391"/>
      <c r="J2659" s="391"/>
    </row>
    <row r="2660" spans="1:10" ht="12.75" customHeight="1">
      <c r="A2660" s="391"/>
      <c r="B2660" s="391"/>
      <c r="C2660" s="391"/>
      <c r="D2660" s="647"/>
      <c r="E2660" s="647"/>
      <c r="F2660" s="647"/>
      <c r="G2660" s="647"/>
      <c r="H2660" s="391"/>
      <c r="I2660" s="391"/>
      <c r="J2660" s="391"/>
    </row>
    <row r="2661" spans="1:10" ht="12.75" customHeight="1">
      <c r="A2661" s="391"/>
      <c r="B2661" s="391"/>
      <c r="C2661" s="391"/>
      <c r="D2661" s="647"/>
      <c r="E2661" s="647"/>
      <c r="F2661" s="647"/>
      <c r="G2661" s="647"/>
      <c r="H2661" s="391"/>
      <c r="I2661" s="391"/>
      <c r="J2661" s="391"/>
    </row>
    <row r="2662" spans="1:10" ht="12.75" customHeight="1">
      <c r="A2662" s="391"/>
      <c r="B2662" s="391"/>
      <c r="C2662" s="391"/>
      <c r="D2662" s="647"/>
      <c r="E2662" s="647"/>
      <c r="F2662" s="647"/>
      <c r="G2662" s="647"/>
      <c r="H2662" s="391"/>
      <c r="I2662" s="391"/>
      <c r="J2662" s="391"/>
    </row>
    <row r="2663" spans="1:10" ht="12.75" customHeight="1">
      <c r="A2663" s="391"/>
      <c r="B2663" s="391"/>
      <c r="C2663" s="391"/>
      <c r="D2663" s="647"/>
      <c r="E2663" s="647"/>
      <c r="F2663" s="647"/>
      <c r="G2663" s="647"/>
      <c r="H2663" s="391"/>
      <c r="I2663" s="391"/>
      <c r="J2663" s="391"/>
    </row>
    <row r="2664" spans="1:10" ht="12.75" customHeight="1">
      <c r="A2664" s="391"/>
      <c r="B2664" s="391"/>
      <c r="C2664" s="391"/>
      <c r="D2664" s="647"/>
      <c r="E2664" s="647"/>
      <c r="F2664" s="647"/>
      <c r="G2664" s="647"/>
      <c r="H2664" s="391"/>
      <c r="I2664" s="391"/>
      <c r="J2664" s="391"/>
    </row>
    <row r="2665" spans="1:10" ht="12.75" customHeight="1">
      <c r="A2665" s="391"/>
      <c r="B2665" s="391"/>
      <c r="C2665" s="391"/>
      <c r="D2665" s="647"/>
      <c r="E2665" s="647"/>
      <c r="F2665" s="647"/>
      <c r="G2665" s="647"/>
      <c r="H2665" s="391"/>
      <c r="I2665" s="391"/>
      <c r="J2665" s="391"/>
    </row>
    <row r="2666" spans="1:10" ht="12.75" customHeight="1">
      <c r="A2666" s="391"/>
      <c r="B2666" s="391"/>
      <c r="C2666" s="391"/>
      <c r="D2666" s="647"/>
      <c r="E2666" s="647"/>
      <c r="F2666" s="647"/>
      <c r="G2666" s="647"/>
      <c r="H2666" s="391"/>
      <c r="I2666" s="391"/>
      <c r="J2666" s="391"/>
    </row>
    <row r="2667" spans="1:10" ht="12.75" customHeight="1">
      <c r="A2667" s="391"/>
      <c r="B2667" s="391"/>
      <c r="C2667" s="391"/>
      <c r="D2667" s="647"/>
      <c r="E2667" s="647"/>
      <c r="F2667" s="647"/>
      <c r="G2667" s="647"/>
      <c r="H2667" s="391"/>
      <c r="I2667" s="391"/>
      <c r="J2667" s="391"/>
    </row>
    <row r="2668" spans="1:10" ht="12.75" customHeight="1">
      <c r="A2668" s="391"/>
      <c r="B2668" s="391"/>
      <c r="C2668" s="391"/>
      <c r="D2668" s="647"/>
      <c r="E2668" s="647"/>
      <c r="F2668" s="647"/>
      <c r="G2668" s="647"/>
      <c r="H2668" s="391"/>
      <c r="I2668" s="391"/>
      <c r="J2668" s="391"/>
    </row>
    <row r="2669" spans="1:10" ht="12.75" customHeight="1">
      <c r="A2669" s="391"/>
      <c r="B2669" s="391"/>
      <c r="C2669" s="391"/>
      <c r="D2669" s="647"/>
      <c r="E2669" s="647"/>
      <c r="F2669" s="647"/>
      <c r="G2669" s="647"/>
      <c r="H2669" s="391"/>
      <c r="I2669" s="391"/>
      <c r="J2669" s="391"/>
    </row>
    <row r="2670" spans="1:10" ht="12.75" customHeight="1">
      <c r="A2670" s="391"/>
      <c r="B2670" s="391"/>
      <c r="C2670" s="391"/>
      <c r="D2670" s="647"/>
      <c r="E2670" s="647"/>
      <c r="F2670" s="647"/>
      <c r="G2670" s="647"/>
      <c r="H2670" s="391"/>
      <c r="I2670" s="391"/>
      <c r="J2670" s="391"/>
    </row>
    <row r="2671" spans="1:10" ht="12.75" customHeight="1">
      <c r="A2671" s="391"/>
      <c r="B2671" s="391"/>
      <c r="C2671" s="391"/>
      <c r="D2671" s="647"/>
      <c r="E2671" s="647"/>
      <c r="F2671" s="647"/>
      <c r="G2671" s="647"/>
      <c r="H2671" s="391"/>
      <c r="I2671" s="391"/>
      <c r="J2671" s="391"/>
    </row>
    <row r="2672" spans="1:10" ht="12.75" customHeight="1">
      <c r="A2672" s="391"/>
      <c r="B2672" s="391"/>
      <c r="C2672" s="391"/>
      <c r="D2672" s="647"/>
      <c r="E2672" s="647"/>
      <c r="F2672" s="647"/>
      <c r="G2672" s="647"/>
      <c r="H2672" s="391"/>
      <c r="I2672" s="391"/>
      <c r="J2672" s="391"/>
    </row>
    <row r="2673" spans="1:10" ht="12.75" customHeight="1">
      <c r="A2673" s="391"/>
      <c r="B2673" s="391"/>
      <c r="C2673" s="391"/>
      <c r="D2673" s="647"/>
      <c r="E2673" s="647"/>
      <c r="F2673" s="647"/>
      <c r="G2673" s="647"/>
      <c r="H2673" s="391"/>
      <c r="I2673" s="391"/>
      <c r="J2673" s="391"/>
    </row>
    <row r="2674" spans="1:10" ht="12.75" customHeight="1">
      <c r="A2674" s="391"/>
      <c r="B2674" s="391"/>
      <c r="C2674" s="391"/>
      <c r="D2674" s="647"/>
      <c r="E2674" s="647"/>
      <c r="F2674" s="647"/>
      <c r="G2674" s="647"/>
      <c r="H2674" s="391"/>
      <c r="I2674" s="391"/>
      <c r="J2674" s="391"/>
    </row>
    <row r="2675" spans="1:10" ht="12.75" customHeight="1">
      <c r="A2675" s="391"/>
      <c r="B2675" s="391"/>
      <c r="C2675" s="391"/>
      <c r="D2675" s="647"/>
      <c r="E2675" s="647"/>
      <c r="F2675" s="647"/>
      <c r="G2675" s="647"/>
      <c r="H2675" s="391"/>
      <c r="I2675" s="391"/>
      <c r="J2675" s="391"/>
    </row>
    <row r="2676" spans="1:10" ht="12.75" customHeight="1">
      <c r="A2676" s="391"/>
      <c r="B2676" s="391"/>
      <c r="C2676" s="391"/>
      <c r="D2676" s="647"/>
      <c r="E2676" s="647"/>
      <c r="F2676" s="647"/>
      <c r="G2676" s="647"/>
      <c r="H2676" s="391"/>
      <c r="I2676" s="391"/>
      <c r="J2676" s="391"/>
    </row>
    <row r="2677" spans="1:10" ht="12.75" customHeight="1">
      <c r="A2677" s="391"/>
      <c r="B2677" s="391"/>
      <c r="C2677" s="391"/>
      <c r="D2677" s="647"/>
      <c r="E2677" s="647"/>
      <c r="F2677" s="647"/>
      <c r="G2677" s="647"/>
      <c r="H2677" s="391"/>
      <c r="I2677" s="391"/>
      <c r="J2677" s="391"/>
    </row>
    <row r="2678" spans="1:10" ht="12.75" customHeight="1">
      <c r="A2678" s="391"/>
      <c r="B2678" s="391"/>
      <c r="C2678" s="391"/>
      <c r="D2678" s="647"/>
      <c r="E2678" s="647"/>
      <c r="F2678" s="647"/>
      <c r="G2678" s="647"/>
      <c r="H2678" s="391"/>
      <c r="I2678" s="391"/>
      <c r="J2678" s="391"/>
    </row>
    <row r="2679" spans="1:10" ht="12.75" customHeight="1">
      <c r="A2679" s="391"/>
      <c r="B2679" s="391"/>
      <c r="C2679" s="391"/>
      <c r="D2679" s="647"/>
      <c r="E2679" s="647"/>
      <c r="F2679" s="647"/>
      <c r="G2679" s="647"/>
      <c r="H2679" s="391"/>
      <c r="I2679" s="391"/>
      <c r="J2679" s="391"/>
    </row>
    <row r="2680" spans="1:10" ht="12.75" customHeight="1">
      <c r="A2680" s="391"/>
      <c r="B2680" s="391"/>
      <c r="C2680" s="391"/>
      <c r="D2680" s="647"/>
      <c r="E2680" s="647"/>
      <c r="F2680" s="647"/>
      <c r="G2680" s="647"/>
      <c r="H2680" s="391"/>
      <c r="I2680" s="391"/>
      <c r="J2680" s="391"/>
    </row>
    <row r="2681" spans="1:10" ht="12.75" customHeight="1">
      <c r="A2681" s="391"/>
      <c r="B2681" s="391"/>
      <c r="C2681" s="391"/>
      <c r="D2681" s="647"/>
      <c r="E2681" s="647"/>
      <c r="F2681" s="647"/>
      <c r="G2681" s="647"/>
      <c r="H2681" s="391"/>
      <c r="I2681" s="391"/>
      <c r="J2681" s="391"/>
    </row>
    <row r="2682" spans="1:10" ht="12.75" customHeight="1">
      <c r="A2682" s="391"/>
      <c r="B2682" s="391"/>
      <c r="C2682" s="391"/>
      <c r="D2682" s="647"/>
      <c r="E2682" s="647"/>
      <c r="F2682" s="647"/>
      <c r="G2682" s="647"/>
      <c r="H2682" s="391"/>
      <c r="I2682" s="391"/>
      <c r="J2682" s="391"/>
    </row>
    <row r="2683" spans="1:10" ht="12.75" customHeight="1">
      <c r="A2683" s="391"/>
      <c r="B2683" s="391"/>
      <c r="C2683" s="391"/>
      <c r="D2683" s="647"/>
      <c r="E2683" s="647"/>
      <c r="F2683" s="647"/>
      <c r="G2683" s="647"/>
      <c r="H2683" s="391"/>
      <c r="I2683" s="391"/>
      <c r="J2683" s="391"/>
    </row>
    <row r="2684" spans="1:10" ht="12.75" customHeight="1">
      <c r="A2684" s="391"/>
      <c r="B2684" s="391"/>
      <c r="C2684" s="391"/>
      <c r="D2684" s="647"/>
      <c r="E2684" s="647"/>
      <c r="F2684" s="647"/>
      <c r="G2684" s="647"/>
      <c r="H2684" s="391"/>
      <c r="I2684" s="391"/>
      <c r="J2684" s="391"/>
    </row>
    <row r="2685" spans="1:10" ht="12.75" customHeight="1">
      <c r="A2685" s="391"/>
      <c r="B2685" s="391"/>
      <c r="C2685" s="391"/>
      <c r="D2685" s="647"/>
      <c r="E2685" s="647"/>
      <c r="F2685" s="647"/>
      <c r="G2685" s="647"/>
      <c r="H2685" s="391"/>
      <c r="I2685" s="391"/>
      <c r="J2685" s="391"/>
    </row>
    <row r="2686" spans="1:10" ht="12.75" customHeight="1">
      <c r="A2686" s="391"/>
      <c r="B2686" s="391"/>
      <c r="C2686" s="391"/>
      <c r="D2686" s="647"/>
      <c r="E2686" s="647"/>
      <c r="F2686" s="647"/>
      <c r="G2686" s="647"/>
      <c r="H2686" s="391"/>
      <c r="I2686" s="391"/>
      <c r="J2686" s="391"/>
    </row>
    <row r="2687" spans="1:10" ht="12.75" customHeight="1">
      <c r="A2687" s="391"/>
      <c r="B2687" s="391"/>
      <c r="C2687" s="391"/>
      <c r="D2687" s="647"/>
      <c r="E2687" s="647"/>
      <c r="F2687" s="647"/>
      <c r="G2687" s="647"/>
      <c r="H2687" s="391"/>
      <c r="I2687" s="391"/>
      <c r="J2687" s="391"/>
    </row>
    <row r="2688" spans="1:10" ht="12.75" customHeight="1">
      <c r="A2688" s="391"/>
      <c r="B2688" s="391"/>
      <c r="C2688" s="391"/>
      <c r="D2688" s="647"/>
      <c r="E2688" s="647"/>
      <c r="F2688" s="647"/>
      <c r="G2688" s="647"/>
      <c r="H2688" s="391"/>
      <c r="I2688" s="391"/>
      <c r="J2688" s="391"/>
    </row>
    <row r="2689" spans="1:10" ht="12.75" customHeight="1">
      <c r="A2689" s="391"/>
      <c r="B2689" s="391"/>
      <c r="C2689" s="391"/>
      <c r="D2689" s="647"/>
      <c r="E2689" s="647"/>
      <c r="F2689" s="647"/>
      <c r="G2689" s="647"/>
      <c r="H2689" s="391"/>
      <c r="I2689" s="391"/>
      <c r="J2689" s="391"/>
    </row>
    <row r="2690" spans="1:10" ht="12.75" customHeight="1">
      <c r="A2690" s="391"/>
      <c r="B2690" s="391"/>
      <c r="C2690" s="391"/>
      <c r="D2690" s="647"/>
      <c r="E2690" s="647"/>
      <c r="F2690" s="647"/>
      <c r="G2690" s="647"/>
      <c r="H2690" s="391"/>
      <c r="I2690" s="391"/>
      <c r="J2690" s="391"/>
    </row>
    <row r="2691" spans="1:10" ht="12.75" customHeight="1">
      <c r="A2691" s="391"/>
      <c r="B2691" s="391"/>
      <c r="C2691" s="391"/>
      <c r="D2691" s="647"/>
      <c r="E2691" s="647"/>
      <c r="F2691" s="647"/>
      <c r="G2691" s="647"/>
      <c r="H2691" s="391"/>
      <c r="I2691" s="391"/>
      <c r="J2691" s="391"/>
    </row>
    <row r="2692" spans="1:10" ht="12.75" customHeight="1">
      <c r="A2692" s="391"/>
      <c r="B2692" s="391"/>
      <c r="C2692" s="391"/>
      <c r="D2692" s="647"/>
      <c r="E2692" s="647"/>
      <c r="F2692" s="647"/>
      <c r="G2692" s="647"/>
      <c r="H2692" s="391"/>
      <c r="I2692" s="391"/>
      <c r="J2692" s="391"/>
    </row>
    <row r="2693" spans="1:10" ht="12.75" customHeight="1">
      <c r="A2693" s="391"/>
      <c r="B2693" s="391"/>
      <c r="C2693" s="391"/>
      <c r="D2693" s="647"/>
      <c r="E2693" s="647"/>
      <c r="F2693" s="647"/>
      <c r="G2693" s="647"/>
      <c r="H2693" s="391"/>
      <c r="I2693" s="391"/>
      <c r="J2693" s="391"/>
    </row>
    <row r="2694" spans="1:10" ht="12.75" customHeight="1">
      <c r="A2694" s="391"/>
      <c r="B2694" s="391"/>
      <c r="C2694" s="391"/>
      <c r="D2694" s="647"/>
      <c r="E2694" s="647"/>
      <c r="F2694" s="647"/>
      <c r="G2694" s="647"/>
      <c r="H2694" s="391"/>
      <c r="I2694" s="391"/>
      <c r="J2694" s="391"/>
    </row>
    <row r="2695" spans="1:10" ht="12.75" customHeight="1">
      <c r="A2695" s="391"/>
      <c r="B2695" s="391"/>
      <c r="C2695" s="391"/>
      <c r="D2695" s="647"/>
      <c r="E2695" s="647"/>
      <c r="F2695" s="647"/>
      <c r="G2695" s="647"/>
      <c r="H2695" s="391"/>
      <c r="I2695" s="391"/>
      <c r="J2695" s="391"/>
    </row>
    <row r="2696" spans="1:10" ht="12.75" customHeight="1">
      <c r="A2696" s="391"/>
      <c r="B2696" s="391"/>
      <c r="C2696" s="391"/>
      <c r="D2696" s="647"/>
      <c r="E2696" s="647"/>
      <c r="F2696" s="647"/>
      <c r="G2696" s="647"/>
      <c r="H2696" s="391"/>
      <c r="I2696" s="391"/>
      <c r="J2696" s="391"/>
    </row>
    <row r="2697" spans="1:10" ht="12.75" customHeight="1">
      <c r="A2697" s="391"/>
      <c r="B2697" s="391"/>
      <c r="C2697" s="391"/>
      <c r="D2697" s="647"/>
      <c r="E2697" s="647"/>
      <c r="F2697" s="647"/>
      <c r="G2697" s="647"/>
      <c r="H2697" s="391"/>
      <c r="I2697" s="391"/>
      <c r="J2697" s="391"/>
    </row>
    <row r="2698" spans="1:10" ht="12.75" customHeight="1">
      <c r="A2698" s="391"/>
      <c r="B2698" s="391"/>
      <c r="C2698" s="391"/>
      <c r="D2698" s="647"/>
      <c r="E2698" s="647"/>
      <c r="F2698" s="647"/>
      <c r="G2698" s="647"/>
      <c r="H2698" s="391"/>
      <c r="I2698" s="391"/>
      <c r="J2698" s="391"/>
    </row>
    <row r="2699" spans="1:10" ht="12.75" customHeight="1">
      <c r="A2699" s="391"/>
      <c r="B2699" s="391"/>
      <c r="C2699" s="391"/>
      <c r="D2699" s="647"/>
      <c r="E2699" s="647"/>
      <c r="F2699" s="647"/>
      <c r="G2699" s="647"/>
      <c r="H2699" s="391"/>
      <c r="I2699" s="391"/>
      <c r="J2699" s="391"/>
    </row>
    <row r="2700" spans="1:10" ht="12.75" customHeight="1">
      <c r="A2700" s="391"/>
      <c r="B2700" s="391"/>
      <c r="C2700" s="391"/>
      <c r="D2700" s="647"/>
      <c r="E2700" s="647"/>
      <c r="F2700" s="647"/>
      <c r="G2700" s="647"/>
      <c r="H2700" s="391"/>
      <c r="I2700" s="391"/>
      <c r="J2700" s="391"/>
    </row>
    <row r="2701" spans="1:10" ht="12.75" customHeight="1">
      <c r="A2701" s="391"/>
      <c r="B2701" s="391"/>
      <c r="C2701" s="391"/>
      <c r="D2701" s="647"/>
      <c r="E2701" s="647"/>
      <c r="F2701" s="647"/>
      <c r="G2701" s="647"/>
      <c r="H2701" s="391"/>
      <c r="I2701" s="391"/>
      <c r="J2701" s="391"/>
    </row>
    <row r="2702" spans="1:10" ht="12.75" customHeight="1">
      <c r="A2702" s="391"/>
      <c r="B2702" s="391"/>
      <c r="C2702" s="391"/>
      <c r="D2702" s="647"/>
      <c r="E2702" s="647"/>
      <c r="F2702" s="647"/>
      <c r="G2702" s="647"/>
      <c r="H2702" s="391"/>
      <c r="I2702" s="391"/>
      <c r="J2702" s="391"/>
    </row>
    <row r="2703" spans="1:10" ht="12.75" customHeight="1">
      <c r="A2703" s="391"/>
      <c r="B2703" s="391"/>
      <c r="C2703" s="391"/>
      <c r="D2703" s="647"/>
      <c r="E2703" s="647"/>
      <c r="F2703" s="647"/>
      <c r="G2703" s="647"/>
      <c r="H2703" s="391"/>
      <c r="I2703" s="391"/>
      <c r="J2703" s="391"/>
    </row>
    <row r="2704" spans="1:10" ht="12.75" customHeight="1">
      <c r="A2704" s="391"/>
      <c r="B2704" s="391"/>
      <c r="C2704" s="391"/>
      <c r="D2704" s="647"/>
      <c r="E2704" s="647"/>
      <c r="F2704" s="647"/>
      <c r="G2704" s="647"/>
      <c r="H2704" s="391"/>
      <c r="I2704" s="391"/>
      <c r="J2704" s="391"/>
    </row>
    <row r="2705" spans="1:10" ht="12.75" customHeight="1">
      <c r="A2705" s="391"/>
      <c r="B2705" s="391"/>
      <c r="C2705" s="391"/>
      <c r="D2705" s="647"/>
      <c r="E2705" s="647"/>
      <c r="F2705" s="647"/>
      <c r="G2705" s="647"/>
      <c r="H2705" s="391"/>
      <c r="I2705" s="391"/>
      <c r="J2705" s="391"/>
    </row>
    <row r="2706" spans="1:10" ht="12.75" customHeight="1">
      <c r="A2706" s="391"/>
      <c r="B2706" s="391"/>
      <c r="C2706" s="391"/>
      <c r="D2706" s="647"/>
      <c r="E2706" s="647"/>
      <c r="F2706" s="647"/>
      <c r="G2706" s="647"/>
      <c r="H2706" s="391"/>
      <c r="I2706" s="391"/>
      <c r="J2706" s="391"/>
    </row>
    <row r="2707" spans="1:10" ht="12.75" customHeight="1">
      <c r="A2707" s="391"/>
      <c r="B2707" s="391"/>
      <c r="C2707" s="391"/>
      <c r="D2707" s="647"/>
      <c r="E2707" s="647"/>
      <c r="F2707" s="647"/>
      <c r="G2707" s="647"/>
      <c r="H2707" s="391"/>
      <c r="I2707" s="391"/>
      <c r="J2707" s="391"/>
    </row>
    <row r="2708" spans="1:10" ht="12.75" customHeight="1">
      <c r="A2708" s="391"/>
      <c r="B2708" s="391"/>
      <c r="C2708" s="391"/>
      <c r="D2708" s="647"/>
      <c r="E2708" s="647"/>
      <c r="F2708" s="647"/>
      <c r="G2708" s="647"/>
      <c r="H2708" s="391"/>
      <c r="I2708" s="391"/>
      <c r="J2708" s="391"/>
    </row>
    <row r="2709" spans="1:10" ht="12.75" customHeight="1">
      <c r="A2709" s="391"/>
      <c r="B2709" s="391"/>
      <c r="C2709" s="391"/>
      <c r="D2709" s="647"/>
      <c r="E2709" s="647"/>
      <c r="F2709" s="647"/>
      <c r="G2709" s="647"/>
      <c r="H2709" s="391"/>
      <c r="I2709" s="391"/>
      <c r="J2709" s="391"/>
    </row>
    <row r="2710" spans="1:10" ht="12.75" customHeight="1">
      <c r="A2710" s="391"/>
      <c r="B2710" s="391"/>
      <c r="C2710" s="391"/>
      <c r="D2710" s="647"/>
      <c r="E2710" s="647"/>
      <c r="F2710" s="647"/>
      <c r="G2710" s="647"/>
      <c r="H2710" s="391"/>
      <c r="I2710" s="391"/>
      <c r="J2710" s="391"/>
    </row>
    <row r="2711" spans="1:10" ht="12.75" customHeight="1">
      <c r="A2711" s="391"/>
      <c r="B2711" s="391"/>
      <c r="C2711" s="391"/>
      <c r="D2711" s="647"/>
      <c r="E2711" s="647"/>
      <c r="F2711" s="647"/>
      <c r="G2711" s="647"/>
      <c r="H2711" s="391"/>
      <c r="I2711" s="391"/>
      <c r="J2711" s="391"/>
    </row>
    <row r="2712" spans="1:10" ht="12.75" customHeight="1">
      <c r="A2712" s="391"/>
      <c r="B2712" s="391"/>
      <c r="C2712" s="391"/>
      <c r="D2712" s="647"/>
      <c r="E2712" s="647"/>
      <c r="F2712" s="647"/>
      <c r="G2712" s="647"/>
      <c r="H2712" s="391"/>
      <c r="I2712" s="391"/>
      <c r="J2712" s="391"/>
    </row>
    <row r="2713" spans="1:10" ht="12.75" customHeight="1">
      <c r="A2713" s="391"/>
      <c r="B2713" s="391"/>
      <c r="C2713" s="391"/>
      <c r="D2713" s="647"/>
      <c r="E2713" s="647"/>
      <c r="F2713" s="647"/>
      <c r="G2713" s="647"/>
      <c r="H2713" s="391"/>
      <c r="I2713" s="391"/>
      <c r="J2713" s="391"/>
    </row>
    <row r="2714" spans="1:10" ht="12.75" customHeight="1">
      <c r="A2714" s="391"/>
      <c r="B2714" s="391"/>
      <c r="C2714" s="391"/>
      <c r="D2714" s="647"/>
      <c r="E2714" s="647"/>
      <c r="F2714" s="647"/>
      <c r="G2714" s="647"/>
      <c r="H2714" s="391"/>
      <c r="I2714" s="391"/>
      <c r="J2714" s="391"/>
    </row>
    <row r="2715" spans="1:10" ht="12.75" customHeight="1">
      <c r="A2715" s="391"/>
      <c r="B2715" s="391"/>
      <c r="C2715" s="391"/>
      <c r="D2715" s="647"/>
      <c r="E2715" s="647"/>
      <c r="F2715" s="647"/>
      <c r="G2715" s="647"/>
      <c r="H2715" s="391"/>
      <c r="I2715" s="391"/>
      <c r="J2715" s="391"/>
    </row>
    <row r="2716" spans="1:10" ht="12.75" customHeight="1">
      <c r="A2716" s="391"/>
      <c r="B2716" s="391"/>
      <c r="C2716" s="391"/>
      <c r="D2716" s="647"/>
      <c r="E2716" s="647"/>
      <c r="F2716" s="647"/>
      <c r="G2716" s="647"/>
      <c r="H2716" s="391"/>
      <c r="I2716" s="391"/>
      <c r="J2716" s="391"/>
    </row>
    <row r="2717" spans="1:10" ht="12.75" customHeight="1">
      <c r="A2717" s="391"/>
      <c r="B2717" s="391"/>
      <c r="C2717" s="391"/>
      <c r="D2717" s="647"/>
      <c r="E2717" s="647"/>
      <c r="F2717" s="647"/>
      <c r="G2717" s="647"/>
      <c r="H2717" s="391"/>
      <c r="I2717" s="391"/>
      <c r="J2717" s="391"/>
    </row>
    <row r="2718" spans="1:10" ht="12.75" customHeight="1">
      <c r="A2718" s="391"/>
      <c r="B2718" s="391"/>
      <c r="C2718" s="391"/>
      <c r="D2718" s="647"/>
      <c r="E2718" s="647"/>
      <c r="F2718" s="647"/>
      <c r="G2718" s="647"/>
      <c r="H2718" s="391"/>
      <c r="I2718" s="391"/>
      <c r="J2718" s="391"/>
    </row>
    <row r="2719" spans="1:10" ht="12.75" customHeight="1">
      <c r="A2719" s="391"/>
      <c r="B2719" s="391"/>
      <c r="C2719" s="391"/>
      <c r="D2719" s="647"/>
      <c r="E2719" s="647"/>
      <c r="F2719" s="647"/>
      <c r="G2719" s="647"/>
      <c r="H2719" s="391"/>
      <c r="I2719" s="391"/>
      <c r="J2719" s="391"/>
    </row>
    <row r="2720" spans="1:10" ht="12.75" customHeight="1">
      <c r="A2720" s="391"/>
      <c r="B2720" s="391"/>
      <c r="C2720" s="391"/>
      <c r="D2720" s="647"/>
      <c r="E2720" s="647"/>
      <c r="F2720" s="647"/>
      <c r="G2720" s="647"/>
      <c r="H2720" s="391"/>
      <c r="I2720" s="391"/>
      <c r="J2720" s="391"/>
    </row>
    <row r="2721" spans="1:10" ht="12.75" customHeight="1">
      <c r="A2721" s="391"/>
      <c r="B2721" s="391"/>
      <c r="C2721" s="391"/>
      <c r="D2721" s="647"/>
      <c r="E2721" s="647"/>
      <c r="F2721" s="647"/>
      <c r="G2721" s="647"/>
      <c r="H2721" s="391"/>
      <c r="I2721" s="391"/>
      <c r="J2721" s="391"/>
    </row>
    <row r="2722" spans="1:10" ht="12.75" customHeight="1">
      <c r="A2722" s="391"/>
      <c r="B2722" s="391"/>
      <c r="C2722" s="391"/>
      <c r="D2722" s="647"/>
      <c r="E2722" s="647"/>
      <c r="F2722" s="647"/>
      <c r="G2722" s="647"/>
      <c r="H2722" s="391"/>
      <c r="I2722" s="391"/>
      <c r="J2722" s="391"/>
    </row>
    <row r="2723" spans="1:10" ht="12.75" customHeight="1">
      <c r="A2723" s="391"/>
      <c r="B2723" s="391"/>
      <c r="C2723" s="391"/>
      <c r="D2723" s="647"/>
      <c r="E2723" s="647"/>
      <c r="F2723" s="647"/>
      <c r="G2723" s="647"/>
      <c r="H2723" s="391"/>
      <c r="I2723" s="391"/>
      <c r="J2723" s="391"/>
    </row>
    <row r="2724" spans="1:10" ht="12.75" customHeight="1">
      <c r="A2724" s="391"/>
      <c r="B2724" s="391"/>
      <c r="C2724" s="391"/>
      <c r="D2724" s="647"/>
      <c r="E2724" s="647"/>
      <c r="F2724" s="647"/>
      <c r="G2724" s="647"/>
      <c r="H2724" s="391"/>
      <c r="I2724" s="391"/>
      <c r="J2724" s="391"/>
    </row>
    <row r="2725" spans="1:10" ht="12.75" customHeight="1">
      <c r="A2725" s="391"/>
      <c r="B2725" s="391"/>
      <c r="C2725" s="391"/>
      <c r="D2725" s="647"/>
      <c r="E2725" s="647"/>
      <c r="F2725" s="647"/>
      <c r="G2725" s="647"/>
      <c r="H2725" s="391"/>
      <c r="I2725" s="391"/>
      <c r="J2725" s="391"/>
    </row>
    <row r="2726" spans="1:10" ht="12.75" customHeight="1">
      <c r="A2726" s="391"/>
      <c r="B2726" s="391"/>
      <c r="C2726" s="391"/>
      <c r="D2726" s="647"/>
      <c r="E2726" s="647"/>
      <c r="F2726" s="647"/>
      <c r="G2726" s="647"/>
      <c r="H2726" s="391"/>
      <c r="I2726" s="391"/>
      <c r="J2726" s="391"/>
    </row>
    <row r="2727" spans="1:10" ht="12.75" customHeight="1">
      <c r="A2727" s="391"/>
      <c r="B2727" s="391"/>
      <c r="C2727" s="391"/>
      <c r="D2727" s="647"/>
      <c r="E2727" s="647"/>
      <c r="F2727" s="647"/>
      <c r="G2727" s="647"/>
      <c r="H2727" s="391"/>
      <c r="I2727" s="391"/>
      <c r="J2727" s="391"/>
    </row>
    <row r="2728" spans="1:10" ht="12.75" customHeight="1">
      <c r="A2728" s="391"/>
      <c r="B2728" s="391"/>
      <c r="C2728" s="391"/>
      <c r="D2728" s="647"/>
      <c r="E2728" s="647"/>
      <c r="F2728" s="647"/>
      <c r="G2728" s="647"/>
      <c r="H2728" s="391"/>
      <c r="I2728" s="391"/>
      <c r="J2728" s="391"/>
    </row>
    <row r="2729" spans="1:10" ht="12.75" customHeight="1">
      <c r="A2729" s="391"/>
      <c r="B2729" s="391"/>
      <c r="C2729" s="391"/>
      <c r="D2729" s="647"/>
      <c r="E2729" s="647"/>
      <c r="F2729" s="647"/>
      <c r="G2729" s="647"/>
      <c r="H2729" s="391"/>
      <c r="I2729" s="391"/>
      <c r="J2729" s="391"/>
    </row>
    <row r="2730" spans="1:10" ht="12.75" customHeight="1">
      <c r="A2730" s="391"/>
      <c r="B2730" s="391"/>
      <c r="C2730" s="391"/>
      <c r="D2730" s="647"/>
      <c r="E2730" s="647"/>
      <c r="F2730" s="647"/>
      <c r="G2730" s="647"/>
      <c r="H2730" s="391"/>
      <c r="I2730" s="391"/>
      <c r="J2730" s="391"/>
    </row>
    <row r="2731" spans="1:10" ht="12.75" customHeight="1">
      <c r="A2731" s="391"/>
      <c r="B2731" s="391"/>
      <c r="C2731" s="391"/>
      <c r="D2731" s="647"/>
      <c r="E2731" s="647"/>
      <c r="F2731" s="647"/>
      <c r="G2731" s="647"/>
      <c r="H2731" s="391"/>
      <c r="I2731" s="391"/>
      <c r="J2731" s="391"/>
    </row>
    <row r="2732" spans="1:10" ht="12.75" customHeight="1">
      <c r="A2732" s="391"/>
      <c r="B2732" s="391"/>
      <c r="C2732" s="391"/>
      <c r="D2732" s="647"/>
      <c r="E2732" s="647"/>
      <c r="F2732" s="647"/>
      <c r="G2732" s="647"/>
      <c r="H2732" s="391"/>
      <c r="I2732" s="391"/>
      <c r="J2732" s="391"/>
    </row>
    <row r="2733" spans="1:10" ht="12.75" customHeight="1">
      <c r="A2733" s="391"/>
      <c r="B2733" s="391"/>
      <c r="C2733" s="391"/>
      <c r="D2733" s="647"/>
      <c r="E2733" s="647"/>
      <c r="F2733" s="647"/>
      <c r="G2733" s="647"/>
      <c r="H2733" s="391"/>
      <c r="I2733" s="391"/>
      <c r="J2733" s="391"/>
    </row>
    <row r="2734" spans="1:10" ht="12.75" customHeight="1">
      <c r="A2734" s="391"/>
      <c r="B2734" s="391"/>
      <c r="C2734" s="391"/>
      <c r="D2734" s="647"/>
      <c r="E2734" s="647"/>
      <c r="F2734" s="647"/>
      <c r="G2734" s="647"/>
      <c r="H2734" s="391"/>
      <c r="I2734" s="391"/>
      <c r="J2734" s="391"/>
    </row>
    <row r="2735" spans="1:10" ht="12.75" customHeight="1">
      <c r="A2735" s="391"/>
      <c r="B2735" s="391"/>
      <c r="C2735" s="391"/>
      <c r="D2735" s="647"/>
      <c r="E2735" s="647"/>
      <c r="F2735" s="647"/>
      <c r="G2735" s="647"/>
      <c r="H2735" s="391"/>
      <c r="I2735" s="391"/>
      <c r="J2735" s="391"/>
    </row>
    <row r="2736" spans="1:10" ht="12.75" customHeight="1">
      <c r="A2736" s="391"/>
      <c r="B2736" s="391"/>
      <c r="C2736" s="391"/>
      <c r="D2736" s="647"/>
      <c r="E2736" s="647"/>
      <c r="F2736" s="647"/>
      <c r="G2736" s="647"/>
      <c r="H2736" s="391"/>
      <c r="I2736" s="391"/>
      <c r="J2736" s="391"/>
    </row>
    <row r="2737" spans="1:10" ht="12.75" customHeight="1">
      <c r="A2737" s="391"/>
      <c r="B2737" s="391"/>
      <c r="C2737" s="391"/>
      <c r="D2737" s="647"/>
      <c r="E2737" s="647"/>
      <c r="F2737" s="647"/>
      <c r="G2737" s="647"/>
      <c r="H2737" s="391"/>
      <c r="I2737" s="391"/>
      <c r="J2737" s="391"/>
    </row>
    <row r="2738" spans="1:10" ht="12.75" customHeight="1">
      <c r="A2738" s="391"/>
      <c r="B2738" s="391"/>
      <c r="C2738" s="391"/>
      <c r="D2738" s="647"/>
      <c r="E2738" s="647"/>
      <c r="F2738" s="647"/>
      <c r="G2738" s="647"/>
      <c r="H2738" s="391"/>
      <c r="I2738" s="391"/>
      <c r="J2738" s="391"/>
    </row>
    <row r="2739" spans="1:10" ht="12.75" customHeight="1">
      <c r="A2739" s="391"/>
      <c r="B2739" s="391"/>
      <c r="C2739" s="391"/>
      <c r="D2739" s="647"/>
      <c r="E2739" s="647"/>
      <c r="F2739" s="647"/>
      <c r="G2739" s="647"/>
      <c r="H2739" s="391"/>
      <c r="I2739" s="391"/>
      <c r="J2739" s="391"/>
    </row>
    <row r="2740" spans="1:10" ht="12.75" customHeight="1">
      <c r="A2740" s="391"/>
      <c r="B2740" s="391"/>
      <c r="C2740" s="391"/>
      <c r="D2740" s="647"/>
      <c r="E2740" s="647"/>
      <c r="F2740" s="647"/>
      <c r="G2740" s="647"/>
      <c r="H2740" s="391"/>
      <c r="I2740" s="391"/>
      <c r="J2740" s="391"/>
    </row>
    <row r="2741" spans="1:10" ht="12.75" customHeight="1">
      <c r="A2741" s="391"/>
      <c r="B2741" s="391"/>
      <c r="C2741" s="391"/>
      <c r="D2741" s="647"/>
      <c r="E2741" s="647"/>
      <c r="F2741" s="647"/>
      <c r="G2741" s="647"/>
      <c r="H2741" s="391"/>
      <c r="I2741" s="391"/>
      <c r="J2741" s="391"/>
    </row>
    <row r="2742" spans="1:10" ht="12.75" customHeight="1">
      <c r="A2742" s="391"/>
      <c r="B2742" s="391"/>
      <c r="C2742" s="391"/>
      <c r="D2742" s="647"/>
      <c r="E2742" s="647"/>
      <c r="F2742" s="647"/>
      <c r="G2742" s="647"/>
      <c r="H2742" s="391"/>
      <c r="I2742" s="391"/>
      <c r="J2742" s="391"/>
    </row>
    <row r="2743" spans="1:10" ht="12.75" customHeight="1">
      <c r="A2743" s="391"/>
      <c r="B2743" s="391"/>
      <c r="C2743" s="391"/>
      <c r="D2743" s="647"/>
      <c r="E2743" s="647"/>
      <c r="F2743" s="647"/>
      <c r="G2743" s="647"/>
      <c r="H2743" s="391"/>
      <c r="I2743" s="391"/>
      <c r="J2743" s="391"/>
    </row>
    <row r="2744" spans="1:10" ht="12.75" customHeight="1">
      <c r="A2744" s="391"/>
      <c r="B2744" s="391"/>
      <c r="C2744" s="391"/>
      <c r="D2744" s="647"/>
      <c r="E2744" s="647"/>
      <c r="F2744" s="647"/>
      <c r="G2744" s="647"/>
      <c r="H2744" s="391"/>
      <c r="I2744" s="391"/>
      <c r="J2744" s="391"/>
    </row>
    <row r="2745" spans="1:10" ht="12.75" customHeight="1">
      <c r="A2745" s="391"/>
      <c r="B2745" s="391"/>
      <c r="C2745" s="391"/>
      <c r="D2745" s="647"/>
      <c r="E2745" s="647"/>
      <c r="F2745" s="647"/>
      <c r="G2745" s="647"/>
      <c r="H2745" s="391"/>
      <c r="I2745" s="391"/>
      <c r="J2745" s="391"/>
    </row>
    <row r="2746" spans="1:10" ht="12.75" customHeight="1">
      <c r="A2746" s="391"/>
      <c r="B2746" s="391"/>
      <c r="C2746" s="391"/>
      <c r="D2746" s="647"/>
      <c r="E2746" s="647"/>
      <c r="F2746" s="647"/>
      <c r="G2746" s="647"/>
      <c r="H2746" s="391"/>
      <c r="I2746" s="391"/>
      <c r="J2746" s="391"/>
    </row>
    <row r="2747" spans="1:10" ht="12.75" customHeight="1">
      <c r="A2747" s="391"/>
      <c r="B2747" s="391"/>
      <c r="C2747" s="391"/>
      <c r="D2747" s="647"/>
      <c r="E2747" s="647"/>
      <c r="F2747" s="647"/>
      <c r="G2747" s="647"/>
      <c r="H2747" s="391"/>
      <c r="I2747" s="391"/>
      <c r="J2747" s="391"/>
    </row>
    <row r="2748" spans="1:10" ht="12.75" customHeight="1">
      <c r="A2748" s="391"/>
      <c r="B2748" s="391"/>
      <c r="C2748" s="391"/>
      <c r="D2748" s="647"/>
      <c r="E2748" s="647"/>
      <c r="F2748" s="647"/>
      <c r="G2748" s="647"/>
      <c r="H2748" s="391"/>
      <c r="I2748" s="391"/>
      <c r="J2748" s="391"/>
    </row>
    <row r="2749" spans="1:10" ht="12.75" customHeight="1">
      <c r="A2749" s="391"/>
      <c r="B2749" s="391"/>
      <c r="C2749" s="391"/>
      <c r="D2749" s="647"/>
      <c r="E2749" s="647"/>
      <c r="F2749" s="647"/>
      <c r="G2749" s="647"/>
      <c r="H2749" s="391"/>
      <c r="I2749" s="391"/>
      <c r="J2749" s="391"/>
    </row>
    <row r="2750" spans="1:10" ht="12.75" customHeight="1">
      <c r="A2750" s="391"/>
      <c r="B2750" s="391"/>
      <c r="C2750" s="391"/>
      <c r="D2750" s="647"/>
      <c r="E2750" s="647"/>
      <c r="F2750" s="647"/>
      <c r="G2750" s="647"/>
      <c r="H2750" s="391"/>
      <c r="I2750" s="391"/>
      <c r="J2750" s="391"/>
    </row>
    <row r="2751" spans="1:10" ht="12.75" customHeight="1">
      <c r="A2751" s="391"/>
      <c r="B2751" s="391"/>
      <c r="C2751" s="391"/>
      <c r="D2751" s="647"/>
      <c r="E2751" s="647"/>
      <c r="F2751" s="647"/>
      <c r="G2751" s="647"/>
      <c r="H2751" s="391"/>
      <c r="I2751" s="391"/>
      <c r="J2751" s="391"/>
    </row>
    <row r="2752" spans="1:10" ht="12.75" customHeight="1">
      <c r="A2752" s="391"/>
      <c r="B2752" s="391"/>
      <c r="C2752" s="391"/>
      <c r="D2752" s="647"/>
      <c r="E2752" s="647"/>
      <c r="F2752" s="647"/>
      <c r="G2752" s="647"/>
      <c r="H2752" s="391"/>
      <c r="I2752" s="391"/>
      <c r="J2752" s="391"/>
    </row>
    <row r="2753" spans="1:10" ht="12.75" customHeight="1">
      <c r="A2753" s="391"/>
      <c r="B2753" s="391"/>
      <c r="C2753" s="391"/>
      <c r="D2753" s="647"/>
      <c r="E2753" s="647"/>
      <c r="F2753" s="647"/>
      <c r="G2753" s="647"/>
      <c r="H2753" s="391"/>
      <c r="I2753" s="391"/>
      <c r="J2753" s="391"/>
    </row>
    <row r="2754" spans="1:10" ht="12.75" customHeight="1">
      <c r="A2754" s="391"/>
      <c r="B2754" s="391"/>
      <c r="C2754" s="391"/>
      <c r="D2754" s="647"/>
      <c r="E2754" s="647"/>
      <c r="F2754" s="647"/>
      <c r="G2754" s="647"/>
      <c r="H2754" s="391"/>
      <c r="I2754" s="391"/>
      <c r="J2754" s="391"/>
    </row>
    <row r="2755" spans="1:10" ht="12.75" customHeight="1">
      <c r="A2755" s="391"/>
      <c r="B2755" s="391"/>
      <c r="C2755" s="391"/>
      <c r="D2755" s="647"/>
      <c r="E2755" s="647"/>
      <c r="F2755" s="647"/>
      <c r="G2755" s="647"/>
      <c r="H2755" s="391"/>
      <c r="I2755" s="391"/>
      <c r="J2755" s="391"/>
    </row>
    <row r="2756" spans="1:10" ht="12.75" customHeight="1">
      <c r="A2756" s="391"/>
      <c r="B2756" s="391"/>
      <c r="C2756" s="391"/>
      <c r="D2756" s="647"/>
      <c r="E2756" s="647"/>
      <c r="F2756" s="647"/>
      <c r="G2756" s="647"/>
      <c r="H2756" s="391"/>
      <c r="I2756" s="391"/>
      <c r="J2756" s="391"/>
    </row>
    <row r="2757" spans="1:10" ht="12.75" customHeight="1">
      <c r="A2757" s="391"/>
      <c r="B2757" s="391"/>
      <c r="C2757" s="391"/>
      <c r="D2757" s="647"/>
      <c r="E2757" s="647"/>
      <c r="F2757" s="647"/>
      <c r="G2757" s="647"/>
      <c r="H2757" s="391"/>
      <c r="I2757" s="391"/>
      <c r="J2757" s="391"/>
    </row>
    <row r="2758" spans="1:10" ht="12.75" customHeight="1">
      <c r="A2758" s="391"/>
      <c r="B2758" s="391"/>
      <c r="C2758" s="391"/>
      <c r="D2758" s="647"/>
      <c r="E2758" s="647"/>
      <c r="F2758" s="647"/>
      <c r="G2758" s="647"/>
      <c r="H2758" s="391"/>
      <c r="I2758" s="391"/>
      <c r="J2758" s="391"/>
    </row>
    <row r="2759" spans="1:10" ht="12.75" customHeight="1">
      <c r="A2759" s="391"/>
      <c r="B2759" s="391"/>
      <c r="C2759" s="391"/>
      <c r="D2759" s="647"/>
      <c r="E2759" s="647"/>
      <c r="F2759" s="647"/>
      <c r="G2759" s="647"/>
      <c r="H2759" s="391"/>
      <c r="I2759" s="391"/>
      <c r="J2759" s="391"/>
    </row>
    <row r="2760" spans="1:10" ht="12.75" customHeight="1">
      <c r="A2760" s="391"/>
      <c r="B2760" s="391"/>
      <c r="C2760" s="391"/>
      <c r="D2760" s="647"/>
      <c r="E2760" s="647"/>
      <c r="F2760" s="647"/>
      <c r="G2760" s="647"/>
      <c r="H2760" s="391"/>
      <c r="I2760" s="391"/>
      <c r="J2760" s="391"/>
    </row>
    <row r="2761" spans="1:10" ht="12.75" customHeight="1">
      <c r="A2761" s="391"/>
      <c r="B2761" s="391"/>
      <c r="C2761" s="391"/>
      <c r="D2761" s="647"/>
      <c r="E2761" s="647"/>
      <c r="F2761" s="647"/>
      <c r="G2761" s="647"/>
      <c r="H2761" s="391"/>
      <c r="I2761" s="391"/>
      <c r="J2761" s="391"/>
    </row>
    <row r="2762" spans="1:10" ht="12.75" customHeight="1">
      <c r="A2762" s="391"/>
      <c r="B2762" s="391"/>
      <c r="C2762" s="391"/>
      <c r="D2762" s="647"/>
      <c r="E2762" s="647"/>
      <c r="F2762" s="647"/>
      <c r="G2762" s="647"/>
      <c r="H2762" s="391"/>
      <c r="I2762" s="391"/>
      <c r="J2762" s="391"/>
    </row>
    <row r="2763" spans="1:10" ht="12.75" customHeight="1">
      <c r="A2763" s="391"/>
      <c r="B2763" s="391"/>
      <c r="C2763" s="391"/>
      <c r="D2763" s="647"/>
      <c r="E2763" s="647"/>
      <c r="F2763" s="647"/>
      <c r="G2763" s="647"/>
      <c r="H2763" s="391"/>
      <c r="I2763" s="391"/>
      <c r="J2763" s="391"/>
    </row>
    <row r="2764" spans="1:10" ht="12.75" customHeight="1">
      <c r="A2764" s="391"/>
      <c r="B2764" s="391"/>
      <c r="C2764" s="391"/>
      <c r="D2764" s="647"/>
      <c r="E2764" s="647"/>
      <c r="F2764" s="647"/>
      <c r="G2764" s="647"/>
      <c r="H2764" s="391"/>
      <c r="I2764" s="391"/>
      <c r="J2764" s="391"/>
    </row>
    <row r="2765" spans="1:10" ht="12.75" customHeight="1">
      <c r="A2765" s="391"/>
      <c r="B2765" s="391"/>
      <c r="C2765" s="391"/>
      <c r="D2765" s="647"/>
      <c r="E2765" s="647"/>
      <c r="F2765" s="647"/>
      <c r="G2765" s="647"/>
      <c r="H2765" s="391"/>
      <c r="I2765" s="391"/>
      <c r="J2765" s="391"/>
    </row>
    <row r="2766" spans="1:10" ht="12.75" customHeight="1">
      <c r="A2766" s="391"/>
      <c r="B2766" s="391"/>
      <c r="C2766" s="391"/>
      <c r="D2766" s="647"/>
      <c r="E2766" s="647"/>
      <c r="F2766" s="647"/>
      <c r="G2766" s="647"/>
      <c r="H2766" s="391"/>
      <c r="I2766" s="391"/>
      <c r="J2766" s="391"/>
    </row>
    <row r="2767" spans="1:10" ht="12.75" customHeight="1">
      <c r="A2767" s="391"/>
      <c r="B2767" s="391"/>
      <c r="C2767" s="391"/>
      <c r="D2767" s="647"/>
      <c r="E2767" s="647"/>
      <c r="F2767" s="647"/>
      <c r="G2767" s="647"/>
      <c r="H2767" s="391"/>
      <c r="I2767" s="391"/>
      <c r="J2767" s="391"/>
    </row>
    <row r="2768" spans="1:10" ht="12.75" customHeight="1">
      <c r="A2768" s="391"/>
      <c r="B2768" s="391"/>
      <c r="C2768" s="391"/>
      <c r="D2768" s="647"/>
      <c r="E2768" s="647"/>
      <c r="F2768" s="647"/>
      <c r="G2768" s="647"/>
      <c r="H2768" s="391"/>
      <c r="I2768" s="391"/>
      <c r="J2768" s="391"/>
    </row>
    <row r="2769" spans="1:10" ht="12.75" customHeight="1">
      <c r="A2769" s="391"/>
      <c r="B2769" s="391"/>
      <c r="C2769" s="391"/>
      <c r="D2769" s="647"/>
      <c r="E2769" s="647"/>
      <c r="F2769" s="647"/>
      <c r="G2769" s="647"/>
      <c r="H2769" s="391"/>
      <c r="I2769" s="391"/>
      <c r="J2769" s="391"/>
    </row>
    <row r="2770" spans="1:10" ht="12.75" customHeight="1">
      <c r="A2770" s="391"/>
      <c r="B2770" s="391"/>
      <c r="C2770" s="391"/>
      <c r="D2770" s="647"/>
      <c r="E2770" s="647"/>
      <c r="F2770" s="647"/>
      <c r="G2770" s="647"/>
      <c r="H2770" s="391"/>
      <c r="I2770" s="391"/>
      <c r="J2770" s="391"/>
    </row>
    <row r="2771" spans="1:10" ht="12.75" customHeight="1">
      <c r="A2771" s="391"/>
      <c r="B2771" s="391"/>
      <c r="C2771" s="391"/>
      <c r="D2771" s="647"/>
      <c r="E2771" s="647"/>
      <c r="F2771" s="647"/>
      <c r="G2771" s="647"/>
      <c r="H2771" s="391"/>
      <c r="I2771" s="391"/>
      <c r="J2771" s="391"/>
    </row>
    <row r="2772" spans="1:10" ht="12.75" customHeight="1">
      <c r="A2772" s="391"/>
      <c r="B2772" s="391"/>
      <c r="C2772" s="391"/>
      <c r="D2772" s="647"/>
      <c r="E2772" s="647"/>
      <c r="F2772" s="647"/>
      <c r="G2772" s="647"/>
      <c r="H2772" s="391"/>
      <c r="I2772" s="391"/>
      <c r="J2772" s="391"/>
    </row>
    <row r="2773" spans="1:10" ht="12.75" customHeight="1">
      <c r="A2773" s="391"/>
      <c r="B2773" s="391"/>
      <c r="C2773" s="391"/>
      <c r="D2773" s="647"/>
      <c r="E2773" s="647"/>
      <c r="F2773" s="647"/>
      <c r="G2773" s="647"/>
      <c r="H2773" s="391"/>
      <c r="I2773" s="391"/>
      <c r="J2773" s="391"/>
    </row>
    <row r="2774" spans="1:10" ht="12.75" customHeight="1">
      <c r="A2774" s="391"/>
      <c r="B2774" s="391"/>
      <c r="C2774" s="391"/>
      <c r="D2774" s="647"/>
      <c r="E2774" s="647"/>
      <c r="F2774" s="647"/>
      <c r="G2774" s="647"/>
      <c r="H2774" s="391"/>
      <c r="I2774" s="391"/>
      <c r="J2774" s="391"/>
    </row>
    <row r="2775" spans="1:10" ht="12.75" customHeight="1">
      <c r="A2775" s="391"/>
      <c r="B2775" s="391"/>
      <c r="C2775" s="391"/>
      <c r="D2775" s="647"/>
      <c r="E2775" s="647"/>
      <c r="F2775" s="647"/>
      <c r="G2775" s="647"/>
      <c r="H2775" s="391"/>
      <c r="I2775" s="391"/>
      <c r="J2775" s="391"/>
    </row>
    <row r="2776" spans="1:10" ht="12.75" customHeight="1">
      <c r="A2776" s="391"/>
      <c r="B2776" s="391"/>
      <c r="C2776" s="391"/>
      <c r="D2776" s="647"/>
      <c r="E2776" s="647"/>
      <c r="F2776" s="647"/>
      <c r="G2776" s="647"/>
      <c r="H2776" s="391"/>
      <c r="I2776" s="391"/>
      <c r="J2776" s="391"/>
    </row>
    <row r="2777" spans="1:10" ht="12.75" customHeight="1">
      <c r="A2777" s="391"/>
      <c r="B2777" s="391"/>
      <c r="C2777" s="391"/>
      <c r="D2777" s="647"/>
      <c r="E2777" s="647"/>
      <c r="F2777" s="647"/>
      <c r="G2777" s="647"/>
      <c r="H2777" s="391"/>
      <c r="I2777" s="391"/>
      <c r="J2777" s="391"/>
    </row>
    <row r="2778" spans="1:10" ht="12.75" customHeight="1">
      <c r="A2778" s="391"/>
      <c r="B2778" s="391"/>
      <c r="C2778" s="391"/>
      <c r="D2778" s="647"/>
      <c r="E2778" s="647"/>
      <c r="F2778" s="647"/>
      <c r="G2778" s="647"/>
      <c r="H2778" s="391"/>
      <c r="I2778" s="391"/>
      <c r="J2778" s="391"/>
    </row>
    <row r="2779" spans="1:10" ht="12.75" customHeight="1">
      <c r="A2779" s="391"/>
      <c r="B2779" s="391"/>
      <c r="C2779" s="391"/>
      <c r="D2779" s="647"/>
      <c r="E2779" s="647"/>
      <c r="F2779" s="647"/>
      <c r="G2779" s="647"/>
      <c r="H2779" s="391"/>
      <c r="I2779" s="391"/>
      <c r="J2779" s="391"/>
    </row>
    <row r="2780" spans="1:10" ht="12.75" customHeight="1">
      <c r="A2780" s="391"/>
      <c r="B2780" s="391"/>
      <c r="C2780" s="391"/>
      <c r="D2780" s="647"/>
      <c r="E2780" s="647"/>
      <c r="F2780" s="647"/>
      <c r="G2780" s="647"/>
      <c r="H2780" s="391"/>
      <c r="I2780" s="391"/>
      <c r="J2780" s="391"/>
    </row>
    <row r="2781" spans="1:10" ht="12.75" customHeight="1">
      <c r="A2781" s="391"/>
      <c r="B2781" s="391"/>
      <c r="C2781" s="391"/>
      <c r="D2781" s="647"/>
      <c r="E2781" s="647"/>
      <c r="F2781" s="647"/>
      <c r="G2781" s="647"/>
      <c r="H2781" s="391"/>
      <c r="I2781" s="391"/>
      <c r="J2781" s="391"/>
    </row>
    <row r="2782" spans="1:10" ht="12.75" customHeight="1">
      <c r="A2782" s="391"/>
      <c r="B2782" s="391"/>
      <c r="C2782" s="391"/>
      <c r="D2782" s="647"/>
      <c r="E2782" s="647"/>
      <c r="F2782" s="647"/>
      <c r="G2782" s="647"/>
      <c r="H2782" s="391"/>
      <c r="I2782" s="391"/>
      <c r="J2782" s="391"/>
    </row>
    <row r="2783" spans="1:10" ht="12.75" customHeight="1">
      <c r="A2783" s="391"/>
      <c r="B2783" s="391"/>
      <c r="C2783" s="391"/>
      <c r="D2783" s="647"/>
      <c r="E2783" s="647"/>
      <c r="F2783" s="647"/>
      <c r="G2783" s="647"/>
      <c r="H2783" s="391"/>
      <c r="I2783" s="391"/>
      <c r="J2783" s="391"/>
    </row>
    <row r="2784" spans="1:10" ht="12.75" customHeight="1">
      <c r="A2784" s="391"/>
      <c r="B2784" s="391"/>
      <c r="C2784" s="391"/>
      <c r="D2784" s="647"/>
      <c r="E2784" s="647"/>
      <c r="F2784" s="647"/>
      <c r="G2784" s="647"/>
      <c r="H2784" s="391"/>
      <c r="I2784" s="391"/>
      <c r="J2784" s="391"/>
    </row>
    <row r="2785" spans="1:10" ht="12.75" customHeight="1">
      <c r="A2785" s="391"/>
      <c r="B2785" s="391"/>
      <c r="C2785" s="391"/>
      <c r="D2785" s="647"/>
      <c r="E2785" s="647"/>
      <c r="F2785" s="647"/>
      <c r="G2785" s="647"/>
      <c r="H2785" s="391"/>
      <c r="I2785" s="391"/>
      <c r="J2785" s="391"/>
    </row>
    <row r="2786" spans="1:10" ht="12.75" customHeight="1">
      <c r="A2786" s="391"/>
      <c r="B2786" s="391"/>
      <c r="C2786" s="391"/>
      <c r="D2786" s="647"/>
      <c r="E2786" s="647"/>
      <c r="F2786" s="647"/>
      <c r="G2786" s="647"/>
      <c r="H2786" s="391"/>
      <c r="I2786" s="391"/>
      <c r="J2786" s="391"/>
    </row>
    <row r="2787" spans="1:10" ht="12.75" customHeight="1">
      <c r="A2787" s="391"/>
      <c r="B2787" s="391"/>
      <c r="C2787" s="391"/>
      <c r="D2787" s="647"/>
      <c r="E2787" s="647"/>
      <c r="F2787" s="647"/>
      <c r="G2787" s="647"/>
      <c r="H2787" s="391"/>
      <c r="I2787" s="391"/>
      <c r="J2787" s="391"/>
    </row>
    <row r="2788" spans="1:10" ht="12.75" customHeight="1">
      <c r="A2788" s="391"/>
      <c r="B2788" s="391"/>
      <c r="C2788" s="391"/>
      <c r="D2788" s="647"/>
      <c r="E2788" s="647"/>
      <c r="F2788" s="647"/>
      <c r="G2788" s="647"/>
      <c r="H2788" s="391"/>
      <c r="I2788" s="391"/>
      <c r="J2788" s="391"/>
    </row>
    <row r="2789" spans="1:10" ht="12.75" customHeight="1">
      <c r="A2789" s="391"/>
      <c r="B2789" s="391"/>
      <c r="C2789" s="391"/>
      <c r="D2789" s="647"/>
      <c r="E2789" s="647"/>
      <c r="F2789" s="647"/>
      <c r="G2789" s="647"/>
      <c r="H2789" s="391"/>
      <c r="I2789" s="391"/>
      <c r="J2789" s="391"/>
    </row>
    <row r="2790" spans="1:10" ht="12.75" customHeight="1">
      <c r="A2790" s="391"/>
      <c r="B2790" s="391"/>
      <c r="C2790" s="391"/>
      <c r="D2790" s="647"/>
      <c r="E2790" s="647"/>
      <c r="F2790" s="647"/>
      <c r="G2790" s="647"/>
      <c r="H2790" s="391"/>
      <c r="I2790" s="391"/>
      <c r="J2790" s="391"/>
    </row>
    <row r="2791" spans="1:10" ht="12.75" customHeight="1">
      <c r="A2791" s="391"/>
      <c r="B2791" s="391"/>
      <c r="C2791" s="391"/>
      <c r="D2791" s="647"/>
      <c r="E2791" s="647"/>
      <c r="F2791" s="647"/>
      <c r="G2791" s="647"/>
      <c r="H2791" s="391"/>
      <c r="I2791" s="391"/>
      <c r="J2791" s="391"/>
    </row>
    <row r="2792" spans="1:10" ht="12.75" customHeight="1">
      <c r="A2792" s="391"/>
      <c r="B2792" s="391"/>
      <c r="C2792" s="391"/>
      <c r="D2792" s="647"/>
      <c r="E2792" s="647"/>
      <c r="F2792" s="647"/>
      <c r="G2792" s="647"/>
      <c r="H2792" s="391"/>
      <c r="I2792" s="391"/>
      <c r="J2792" s="391"/>
    </row>
    <row r="2793" spans="1:10" ht="12.75" customHeight="1">
      <c r="A2793" s="391"/>
      <c r="B2793" s="391"/>
      <c r="C2793" s="391"/>
      <c r="D2793" s="647"/>
      <c r="E2793" s="647"/>
      <c r="F2793" s="647"/>
      <c r="G2793" s="647"/>
      <c r="H2793" s="391"/>
      <c r="I2793" s="391"/>
      <c r="J2793" s="391"/>
    </row>
    <row r="2794" spans="1:10" ht="12.75" customHeight="1">
      <c r="A2794" s="391"/>
      <c r="B2794" s="391"/>
      <c r="C2794" s="391"/>
      <c r="D2794" s="647"/>
      <c r="E2794" s="647"/>
      <c r="F2794" s="647"/>
      <c r="G2794" s="647"/>
      <c r="H2794" s="391"/>
      <c r="I2794" s="391"/>
      <c r="J2794" s="391"/>
    </row>
    <row r="2795" spans="1:10" ht="12.75" customHeight="1">
      <c r="A2795" s="391"/>
      <c r="B2795" s="391"/>
      <c r="C2795" s="391"/>
      <c r="D2795" s="647"/>
      <c r="E2795" s="647"/>
      <c r="F2795" s="647"/>
      <c r="G2795" s="647"/>
      <c r="H2795" s="391"/>
      <c r="I2795" s="391"/>
      <c r="J2795" s="391"/>
    </row>
    <row r="2796" spans="1:10" ht="12.75" customHeight="1">
      <c r="A2796" s="391"/>
      <c r="B2796" s="391"/>
      <c r="C2796" s="391"/>
      <c r="D2796" s="647"/>
      <c r="E2796" s="647"/>
      <c r="F2796" s="647"/>
      <c r="G2796" s="647"/>
      <c r="H2796" s="391"/>
      <c r="I2796" s="391"/>
      <c r="J2796" s="391"/>
    </row>
    <row r="2797" spans="1:10" ht="12.75" customHeight="1">
      <c r="A2797" s="391"/>
      <c r="B2797" s="391"/>
      <c r="C2797" s="391"/>
      <c r="D2797" s="647"/>
      <c r="E2797" s="647"/>
      <c r="F2797" s="647"/>
      <c r="G2797" s="647"/>
      <c r="H2797" s="391"/>
      <c r="I2797" s="391"/>
      <c r="J2797" s="391"/>
    </row>
    <row r="2798" spans="1:10" ht="12.75" customHeight="1">
      <c r="A2798" s="391"/>
      <c r="B2798" s="391"/>
      <c r="C2798" s="391"/>
      <c r="D2798" s="647"/>
      <c r="E2798" s="647"/>
      <c r="F2798" s="647"/>
      <c r="G2798" s="647"/>
      <c r="H2798" s="391"/>
      <c r="I2798" s="391"/>
      <c r="J2798" s="391"/>
    </row>
    <row r="2799" spans="1:10" ht="12.75" customHeight="1">
      <c r="A2799" s="391"/>
      <c r="B2799" s="391"/>
      <c r="C2799" s="391"/>
      <c r="D2799" s="647"/>
      <c r="E2799" s="647"/>
      <c r="F2799" s="647"/>
      <c r="G2799" s="647"/>
      <c r="H2799" s="391"/>
      <c r="I2799" s="391"/>
      <c r="J2799" s="391"/>
    </row>
    <row r="2800" spans="1:10" ht="12.75" customHeight="1">
      <c r="A2800" s="391"/>
      <c r="B2800" s="391"/>
      <c r="C2800" s="391"/>
      <c r="D2800" s="647"/>
      <c r="E2800" s="647"/>
      <c r="F2800" s="647"/>
      <c r="G2800" s="647"/>
      <c r="H2800" s="391"/>
      <c r="I2800" s="391"/>
      <c r="J2800" s="391"/>
    </row>
    <row r="2801" spans="1:10" ht="12.75" customHeight="1">
      <c r="A2801" s="391"/>
      <c r="B2801" s="391"/>
      <c r="C2801" s="391"/>
      <c r="D2801" s="647"/>
      <c r="E2801" s="647"/>
      <c r="F2801" s="647"/>
      <c r="G2801" s="647"/>
      <c r="H2801" s="391"/>
      <c r="I2801" s="391"/>
      <c r="J2801" s="391"/>
    </row>
    <row r="2802" spans="1:10" ht="12.75" customHeight="1">
      <c r="A2802" s="391"/>
      <c r="B2802" s="391"/>
      <c r="C2802" s="391"/>
      <c r="D2802" s="647"/>
      <c r="E2802" s="647"/>
      <c r="F2802" s="647"/>
      <c r="G2802" s="647"/>
      <c r="H2802" s="391"/>
      <c r="I2802" s="391"/>
      <c r="J2802" s="391"/>
    </row>
    <row r="2803" spans="1:10" ht="12.75" customHeight="1">
      <c r="A2803" s="391"/>
      <c r="B2803" s="391"/>
      <c r="C2803" s="391"/>
      <c r="D2803" s="647"/>
      <c r="E2803" s="647"/>
      <c r="F2803" s="647"/>
      <c r="G2803" s="647"/>
      <c r="H2803" s="391"/>
      <c r="I2803" s="391"/>
      <c r="J2803" s="391"/>
    </row>
    <row r="2804" spans="1:10" ht="12.75" customHeight="1">
      <c r="A2804" s="391"/>
      <c r="B2804" s="391"/>
      <c r="C2804" s="391"/>
      <c r="D2804" s="647"/>
      <c r="E2804" s="647"/>
      <c r="F2804" s="647"/>
      <c r="G2804" s="647"/>
      <c r="H2804" s="391"/>
      <c r="I2804" s="391"/>
      <c r="J2804" s="391"/>
    </row>
    <row r="2805" spans="1:10" ht="12.75" customHeight="1">
      <c r="A2805" s="391"/>
      <c r="B2805" s="391"/>
      <c r="C2805" s="391"/>
      <c r="D2805" s="647"/>
      <c r="E2805" s="647"/>
      <c r="F2805" s="647"/>
      <c r="G2805" s="647"/>
      <c r="H2805" s="391"/>
      <c r="I2805" s="391"/>
      <c r="J2805" s="391"/>
    </row>
    <row r="2806" spans="1:10" ht="12.75" customHeight="1">
      <c r="A2806" s="391"/>
      <c r="B2806" s="391"/>
      <c r="C2806" s="391"/>
      <c r="D2806" s="647"/>
      <c r="E2806" s="647"/>
      <c r="F2806" s="647"/>
      <c r="G2806" s="647"/>
      <c r="H2806" s="391"/>
      <c r="I2806" s="391"/>
      <c r="J2806" s="391"/>
    </row>
    <row r="2807" spans="1:10" ht="12.75" customHeight="1">
      <c r="A2807" s="391"/>
      <c r="B2807" s="391"/>
      <c r="C2807" s="391"/>
      <c r="D2807" s="647"/>
      <c r="E2807" s="647"/>
      <c r="F2807" s="647"/>
      <c r="G2807" s="647"/>
      <c r="H2807" s="391"/>
      <c r="I2807" s="391"/>
      <c r="J2807" s="391"/>
    </row>
    <row r="2808" spans="1:10" ht="12.75" customHeight="1">
      <c r="A2808" s="391"/>
      <c r="B2808" s="391"/>
      <c r="C2808" s="391"/>
      <c r="D2808" s="647"/>
      <c r="E2808" s="647"/>
      <c r="F2808" s="647"/>
      <c r="G2808" s="647"/>
      <c r="H2808" s="391"/>
      <c r="I2808" s="391"/>
      <c r="J2808" s="391"/>
    </row>
    <row r="2809" spans="1:10" ht="12.75" customHeight="1">
      <c r="A2809" s="391"/>
      <c r="B2809" s="391"/>
      <c r="C2809" s="391"/>
      <c r="D2809" s="647"/>
      <c r="E2809" s="647"/>
      <c r="F2809" s="647"/>
      <c r="G2809" s="647"/>
      <c r="H2809" s="391"/>
      <c r="I2809" s="391"/>
      <c r="J2809" s="391"/>
    </row>
    <row r="2810" spans="1:10" ht="12.75" customHeight="1">
      <c r="A2810" s="391"/>
      <c r="B2810" s="391"/>
      <c r="C2810" s="391"/>
      <c r="D2810" s="647"/>
      <c r="E2810" s="647"/>
      <c r="F2810" s="647"/>
      <c r="G2810" s="647"/>
      <c r="H2810" s="391"/>
      <c r="I2810" s="391"/>
      <c r="J2810" s="391"/>
    </row>
    <row r="2811" spans="1:10" ht="12.75" customHeight="1">
      <c r="A2811" s="391"/>
      <c r="B2811" s="391"/>
      <c r="C2811" s="391"/>
      <c r="D2811" s="647"/>
      <c r="E2811" s="647"/>
      <c r="F2811" s="647"/>
      <c r="G2811" s="647"/>
      <c r="H2811" s="391"/>
      <c r="I2811" s="391"/>
      <c r="J2811" s="391"/>
    </row>
    <row r="2812" spans="1:10" ht="12.75" customHeight="1">
      <c r="A2812" s="391"/>
      <c r="B2812" s="391"/>
      <c r="C2812" s="391"/>
      <c r="D2812" s="647"/>
      <c r="E2812" s="647"/>
      <c r="F2812" s="647"/>
      <c r="G2812" s="647"/>
      <c r="H2812" s="391"/>
      <c r="I2812" s="391"/>
      <c r="J2812" s="391"/>
    </row>
    <row r="2813" spans="1:10" ht="12.75" customHeight="1">
      <c r="A2813" s="391"/>
      <c r="B2813" s="391"/>
      <c r="C2813" s="391"/>
      <c r="D2813" s="647"/>
      <c r="E2813" s="647"/>
      <c r="F2813" s="647"/>
      <c r="G2813" s="647"/>
      <c r="H2813" s="391"/>
      <c r="I2813" s="391"/>
      <c r="J2813" s="391"/>
    </row>
    <row r="2814" spans="1:10" ht="12.75" customHeight="1">
      <c r="A2814" s="391"/>
      <c r="B2814" s="391"/>
      <c r="C2814" s="391"/>
      <c r="D2814" s="647"/>
      <c r="E2814" s="647"/>
      <c r="F2814" s="647"/>
      <c r="G2814" s="647"/>
      <c r="H2814" s="391"/>
      <c r="I2814" s="391"/>
      <c r="J2814" s="391"/>
    </row>
    <row r="2815" spans="1:10" ht="12.75" customHeight="1">
      <c r="A2815" s="391"/>
      <c r="B2815" s="391"/>
      <c r="C2815" s="391"/>
      <c r="D2815" s="647"/>
      <c r="E2815" s="647"/>
      <c r="F2815" s="647"/>
      <c r="G2815" s="647"/>
      <c r="H2815" s="391"/>
      <c r="I2815" s="391"/>
      <c r="J2815" s="391"/>
    </row>
    <row r="2816" spans="1:10" ht="12.75" customHeight="1">
      <c r="A2816" s="391"/>
      <c r="B2816" s="391"/>
      <c r="C2816" s="391"/>
      <c r="D2816" s="647"/>
      <c r="E2816" s="647"/>
      <c r="F2816" s="647"/>
      <c r="G2816" s="647"/>
      <c r="H2816" s="391"/>
      <c r="I2816" s="391"/>
      <c r="J2816" s="391"/>
    </row>
    <row r="2817" spans="1:10" ht="12.75" customHeight="1">
      <c r="A2817" s="391"/>
      <c r="B2817" s="391"/>
      <c r="C2817" s="391"/>
      <c r="D2817" s="647"/>
      <c r="E2817" s="647"/>
      <c r="F2817" s="647"/>
      <c r="G2817" s="647"/>
      <c r="H2817" s="391"/>
      <c r="I2817" s="391"/>
      <c r="J2817" s="391"/>
    </row>
    <row r="2818" spans="1:10" ht="12.75" customHeight="1">
      <c r="A2818" s="391"/>
      <c r="B2818" s="391"/>
      <c r="C2818" s="391"/>
      <c r="D2818" s="647"/>
      <c r="E2818" s="647"/>
      <c r="F2818" s="647"/>
      <c r="G2818" s="647"/>
      <c r="H2818" s="391"/>
      <c r="I2818" s="391"/>
      <c r="J2818" s="391"/>
    </row>
    <row r="2819" spans="1:10" ht="12.75" customHeight="1">
      <c r="A2819" s="391"/>
      <c r="B2819" s="391"/>
      <c r="C2819" s="391"/>
      <c r="D2819" s="647"/>
      <c r="E2819" s="647"/>
      <c r="F2819" s="647"/>
      <c r="G2819" s="647"/>
      <c r="H2819" s="391"/>
      <c r="I2819" s="391"/>
      <c r="J2819" s="391"/>
    </row>
    <row r="2820" spans="1:10" ht="12.75" customHeight="1">
      <c r="A2820" s="391"/>
      <c r="B2820" s="391"/>
      <c r="C2820" s="391"/>
      <c r="D2820" s="647"/>
      <c r="E2820" s="647"/>
      <c r="F2820" s="647"/>
      <c r="G2820" s="647"/>
      <c r="H2820" s="391"/>
      <c r="I2820" s="391"/>
      <c r="J2820" s="391"/>
    </row>
    <row r="2821" spans="1:10" ht="12.75" customHeight="1">
      <c r="A2821" s="391"/>
      <c r="B2821" s="391"/>
      <c r="C2821" s="391"/>
      <c r="D2821" s="647"/>
      <c r="E2821" s="647"/>
      <c r="F2821" s="647"/>
      <c r="G2821" s="647"/>
      <c r="H2821" s="391"/>
      <c r="I2821" s="391"/>
      <c r="J2821" s="391"/>
    </row>
    <row r="2822" spans="1:10" ht="12.75" customHeight="1">
      <c r="A2822" s="391"/>
      <c r="B2822" s="391"/>
      <c r="C2822" s="391"/>
      <c r="D2822" s="647"/>
      <c r="E2822" s="647"/>
      <c r="F2822" s="647"/>
      <c r="G2822" s="647"/>
      <c r="H2822" s="391"/>
      <c r="I2822" s="391"/>
      <c r="J2822" s="391"/>
    </row>
    <row r="2823" spans="1:10" ht="12.75" customHeight="1">
      <c r="A2823" s="391"/>
      <c r="B2823" s="391"/>
      <c r="C2823" s="391"/>
      <c r="D2823" s="647"/>
      <c r="E2823" s="647"/>
      <c r="F2823" s="647"/>
      <c r="G2823" s="647"/>
      <c r="H2823" s="391"/>
      <c r="I2823" s="391"/>
      <c r="J2823" s="391"/>
    </row>
    <row r="2824" spans="1:10" ht="12.75" customHeight="1">
      <c r="A2824" s="391"/>
      <c r="B2824" s="391"/>
      <c r="C2824" s="391"/>
      <c r="D2824" s="647"/>
      <c r="E2824" s="647"/>
      <c r="F2824" s="647"/>
      <c r="G2824" s="647"/>
      <c r="H2824" s="391"/>
      <c r="I2824" s="391"/>
      <c r="J2824" s="391"/>
    </row>
    <row r="2825" spans="1:10" ht="12.75" customHeight="1">
      <c r="A2825" s="391"/>
      <c r="B2825" s="391"/>
      <c r="C2825" s="391"/>
      <c r="D2825" s="647"/>
      <c r="E2825" s="647"/>
      <c r="F2825" s="647"/>
      <c r="G2825" s="647"/>
      <c r="H2825" s="391"/>
      <c r="I2825" s="391"/>
      <c r="J2825" s="391"/>
    </row>
    <row r="2826" spans="1:10" ht="12.75" customHeight="1">
      <c r="A2826" s="391"/>
      <c r="B2826" s="391"/>
      <c r="C2826" s="391"/>
      <c r="D2826" s="647"/>
      <c r="E2826" s="647"/>
      <c r="F2826" s="647"/>
      <c r="G2826" s="647"/>
      <c r="H2826" s="391"/>
      <c r="I2826" s="391"/>
      <c r="J2826" s="391"/>
    </row>
    <row r="2827" spans="1:10" ht="12.75" customHeight="1">
      <c r="A2827" s="391"/>
      <c r="B2827" s="391"/>
      <c r="C2827" s="391"/>
      <c r="D2827" s="647"/>
      <c r="E2827" s="647"/>
      <c r="F2827" s="647"/>
      <c r="G2827" s="647"/>
      <c r="H2827" s="391"/>
      <c r="I2827" s="391"/>
      <c r="J2827" s="391"/>
    </row>
    <row r="2828" spans="1:10" ht="12.75" customHeight="1">
      <c r="A2828" s="391"/>
      <c r="B2828" s="391"/>
      <c r="C2828" s="391"/>
      <c r="D2828" s="647"/>
      <c r="E2828" s="647"/>
      <c r="F2828" s="647"/>
      <c r="G2828" s="647"/>
      <c r="H2828" s="391"/>
      <c r="I2828" s="391"/>
      <c r="J2828" s="391"/>
    </row>
    <row r="2829" spans="1:10" ht="12.75" customHeight="1">
      <c r="A2829" s="391"/>
      <c r="B2829" s="391"/>
      <c r="C2829" s="391"/>
      <c r="D2829" s="647"/>
      <c r="E2829" s="647"/>
      <c r="F2829" s="647"/>
      <c r="G2829" s="647"/>
      <c r="H2829" s="391"/>
      <c r="I2829" s="391"/>
      <c r="J2829" s="391"/>
    </row>
    <row r="2830" spans="1:10" ht="12.75" customHeight="1">
      <c r="A2830" s="391"/>
      <c r="B2830" s="391"/>
      <c r="C2830" s="391"/>
      <c r="D2830" s="647"/>
      <c r="E2830" s="647"/>
      <c r="F2830" s="647"/>
      <c r="G2830" s="647"/>
      <c r="H2830" s="391"/>
      <c r="I2830" s="391"/>
      <c r="J2830" s="391"/>
    </row>
    <row r="2831" spans="1:10" ht="12.75" customHeight="1">
      <c r="A2831" s="391"/>
      <c r="B2831" s="391"/>
      <c r="C2831" s="391"/>
      <c r="D2831" s="647"/>
      <c r="E2831" s="647"/>
      <c r="F2831" s="647"/>
      <c r="G2831" s="647"/>
      <c r="H2831" s="391"/>
      <c r="I2831" s="391"/>
      <c r="J2831" s="391"/>
    </row>
    <row r="2832" spans="1:10" ht="12.75" customHeight="1">
      <c r="A2832" s="391"/>
      <c r="B2832" s="391"/>
      <c r="C2832" s="391"/>
      <c r="D2832" s="647"/>
      <c r="E2832" s="647"/>
      <c r="F2832" s="647"/>
      <c r="G2832" s="647"/>
      <c r="H2832" s="391"/>
      <c r="I2832" s="391"/>
      <c r="J2832" s="391"/>
    </row>
    <row r="2833" spans="1:10" ht="12.75" customHeight="1">
      <c r="A2833" s="391"/>
      <c r="B2833" s="391"/>
      <c r="C2833" s="391"/>
      <c r="D2833" s="647"/>
      <c r="E2833" s="647"/>
      <c r="F2833" s="647"/>
      <c r="G2833" s="647"/>
      <c r="H2833" s="391"/>
      <c r="I2833" s="391"/>
      <c r="J2833" s="391"/>
    </row>
    <row r="2834" spans="1:10" ht="12.75" customHeight="1">
      <c r="A2834" s="391"/>
      <c r="B2834" s="391"/>
      <c r="C2834" s="391"/>
      <c r="D2834" s="647"/>
      <c r="E2834" s="647"/>
      <c r="F2834" s="647"/>
      <c r="G2834" s="647"/>
      <c r="H2834" s="391"/>
      <c r="I2834" s="391"/>
      <c r="J2834" s="391"/>
    </row>
    <row r="2835" spans="1:10" ht="12.75" customHeight="1">
      <c r="A2835" s="391"/>
      <c r="B2835" s="391"/>
      <c r="C2835" s="391"/>
      <c r="D2835" s="647"/>
      <c r="E2835" s="647"/>
      <c r="F2835" s="647"/>
      <c r="G2835" s="647"/>
      <c r="H2835" s="391"/>
      <c r="I2835" s="391"/>
      <c r="J2835" s="391"/>
    </row>
    <row r="2836" spans="1:10" ht="12.75" customHeight="1">
      <c r="A2836" s="391"/>
      <c r="B2836" s="391"/>
      <c r="C2836" s="391"/>
      <c r="D2836" s="647"/>
      <c r="E2836" s="647"/>
      <c r="F2836" s="647"/>
      <c r="G2836" s="647"/>
      <c r="H2836" s="391"/>
      <c r="I2836" s="391"/>
      <c r="J2836" s="391"/>
    </row>
    <row r="2837" spans="1:10" ht="12.75" customHeight="1">
      <c r="A2837" s="391"/>
      <c r="B2837" s="391"/>
      <c r="C2837" s="391"/>
      <c r="D2837" s="647"/>
      <c r="E2837" s="647"/>
      <c r="F2837" s="647"/>
      <c r="G2837" s="647"/>
      <c r="H2837" s="391"/>
      <c r="I2837" s="391"/>
      <c r="J2837" s="391"/>
    </row>
    <row r="2838" spans="1:10" ht="12.75" customHeight="1">
      <c r="A2838" s="391"/>
      <c r="B2838" s="391"/>
      <c r="C2838" s="391"/>
      <c r="D2838" s="647"/>
      <c r="E2838" s="647"/>
      <c r="F2838" s="647"/>
      <c r="G2838" s="647"/>
      <c r="H2838" s="391"/>
      <c r="I2838" s="391"/>
      <c r="J2838" s="391"/>
    </row>
    <row r="2839" spans="1:10" ht="12.75" customHeight="1">
      <c r="A2839" s="391"/>
      <c r="B2839" s="391"/>
      <c r="C2839" s="391"/>
      <c r="D2839" s="647"/>
      <c r="E2839" s="647"/>
      <c r="F2839" s="647"/>
      <c r="G2839" s="647"/>
      <c r="H2839" s="391"/>
      <c r="I2839" s="391"/>
      <c r="J2839" s="391"/>
    </row>
    <row r="2840" spans="1:10" ht="12.75" customHeight="1">
      <c r="A2840" s="391"/>
      <c r="B2840" s="391"/>
      <c r="C2840" s="391"/>
      <c r="D2840" s="647"/>
      <c r="E2840" s="647"/>
      <c r="F2840" s="647"/>
      <c r="G2840" s="647"/>
      <c r="H2840" s="391"/>
      <c r="I2840" s="391"/>
      <c r="J2840" s="391"/>
    </row>
    <row r="2841" spans="1:10" ht="12.75" customHeight="1">
      <c r="A2841" s="391"/>
      <c r="B2841" s="391"/>
      <c r="C2841" s="391"/>
      <c r="D2841" s="647"/>
      <c r="E2841" s="647"/>
      <c r="F2841" s="647"/>
      <c r="G2841" s="647"/>
      <c r="H2841" s="391"/>
      <c r="I2841" s="391"/>
      <c r="J2841" s="391"/>
    </row>
    <row r="2842" spans="1:10" ht="12.75" customHeight="1">
      <c r="A2842" s="391"/>
      <c r="B2842" s="391"/>
      <c r="C2842" s="391"/>
      <c r="D2842" s="647"/>
      <c r="E2842" s="647"/>
      <c r="F2842" s="647"/>
      <c r="G2842" s="647"/>
      <c r="H2842" s="391"/>
      <c r="I2842" s="391"/>
      <c r="J2842" s="391"/>
    </row>
    <row r="2843" spans="1:10" ht="12.75" customHeight="1">
      <c r="A2843" s="391"/>
      <c r="B2843" s="391"/>
      <c r="C2843" s="391"/>
      <c r="D2843" s="647"/>
      <c r="E2843" s="647"/>
      <c r="F2843" s="647"/>
      <c r="G2843" s="647"/>
      <c r="H2843" s="391"/>
      <c r="I2843" s="391"/>
      <c r="J2843" s="391"/>
    </row>
    <row r="2844" spans="1:10" ht="12.75" customHeight="1">
      <c r="A2844" s="391"/>
      <c r="B2844" s="391"/>
      <c r="C2844" s="391"/>
      <c r="D2844" s="647"/>
      <c r="E2844" s="647"/>
      <c r="F2844" s="647"/>
      <c r="G2844" s="647"/>
      <c r="H2844" s="391"/>
      <c r="I2844" s="391"/>
      <c r="J2844" s="391"/>
    </row>
    <row r="2845" spans="1:10" ht="12.75" customHeight="1">
      <c r="A2845" s="391"/>
      <c r="B2845" s="391"/>
      <c r="C2845" s="391"/>
      <c r="D2845" s="647"/>
      <c r="E2845" s="647"/>
      <c r="F2845" s="647"/>
      <c r="G2845" s="647"/>
      <c r="H2845" s="391"/>
      <c r="I2845" s="391"/>
      <c r="J2845" s="391"/>
    </row>
    <row r="2846" spans="1:10" ht="12.75" customHeight="1">
      <c r="A2846" s="391"/>
      <c r="B2846" s="391"/>
      <c r="C2846" s="391"/>
      <c r="D2846" s="647"/>
      <c r="E2846" s="647"/>
      <c r="F2846" s="647"/>
      <c r="G2846" s="647"/>
      <c r="H2846" s="391"/>
      <c r="I2846" s="391"/>
      <c r="J2846" s="391"/>
    </row>
    <row r="2847" spans="1:10" ht="12.75" customHeight="1">
      <c r="A2847" s="391"/>
      <c r="B2847" s="391"/>
      <c r="C2847" s="391"/>
      <c r="D2847" s="647"/>
      <c r="E2847" s="647"/>
      <c r="F2847" s="647"/>
      <c r="G2847" s="647"/>
      <c r="H2847" s="391"/>
      <c r="I2847" s="391"/>
      <c r="J2847" s="391"/>
    </row>
    <row r="2848" spans="1:10" ht="12.75" customHeight="1">
      <c r="A2848" s="391"/>
      <c r="B2848" s="391"/>
      <c r="C2848" s="391"/>
      <c r="D2848" s="647"/>
      <c r="E2848" s="647"/>
      <c r="F2848" s="647"/>
      <c r="G2848" s="647"/>
      <c r="H2848" s="391"/>
      <c r="I2848" s="391"/>
      <c r="J2848" s="391"/>
    </row>
    <row r="2849" spans="1:10" ht="12.75" customHeight="1">
      <c r="A2849" s="391"/>
      <c r="B2849" s="391"/>
      <c r="C2849" s="391"/>
      <c r="D2849" s="647"/>
      <c r="E2849" s="647"/>
      <c r="F2849" s="647"/>
      <c r="G2849" s="647"/>
      <c r="H2849" s="391"/>
      <c r="I2849" s="391"/>
      <c r="J2849" s="391"/>
    </row>
    <row r="2850" spans="1:10" ht="12.75" customHeight="1">
      <c r="A2850" s="391"/>
      <c r="B2850" s="391"/>
      <c r="C2850" s="391"/>
      <c r="D2850" s="647"/>
      <c r="E2850" s="647"/>
      <c r="F2850" s="647"/>
      <c r="G2850" s="647"/>
      <c r="H2850" s="391"/>
      <c r="I2850" s="391"/>
      <c r="J2850" s="391"/>
    </row>
    <row r="2851" spans="1:10" ht="12.75" customHeight="1">
      <c r="A2851" s="391"/>
      <c r="B2851" s="391"/>
      <c r="C2851" s="391"/>
      <c r="D2851" s="647"/>
      <c r="E2851" s="647"/>
      <c r="F2851" s="647"/>
      <c r="G2851" s="647"/>
      <c r="H2851" s="391"/>
      <c r="I2851" s="391"/>
      <c r="J2851" s="391"/>
    </row>
    <row r="2852" spans="1:10" ht="12.75" customHeight="1">
      <c r="A2852" s="391"/>
      <c r="B2852" s="391"/>
      <c r="C2852" s="391"/>
      <c r="D2852" s="647"/>
      <c r="E2852" s="647"/>
      <c r="F2852" s="647"/>
      <c r="G2852" s="647"/>
      <c r="H2852" s="391"/>
      <c r="I2852" s="391"/>
      <c r="J2852" s="391"/>
    </row>
    <row r="2853" spans="1:10" ht="12.75" customHeight="1">
      <c r="A2853" s="391"/>
      <c r="B2853" s="391"/>
      <c r="C2853" s="391"/>
      <c r="D2853" s="647"/>
      <c r="E2853" s="647"/>
      <c r="F2853" s="647"/>
      <c r="G2853" s="647"/>
      <c r="H2853" s="391"/>
      <c r="I2853" s="391"/>
      <c r="J2853" s="391"/>
    </row>
    <row r="2854" spans="1:10" ht="12.75" customHeight="1">
      <c r="A2854" s="391"/>
      <c r="B2854" s="391"/>
      <c r="C2854" s="391"/>
      <c r="D2854" s="647"/>
      <c r="E2854" s="647"/>
      <c r="F2854" s="647"/>
      <c r="G2854" s="647"/>
      <c r="H2854" s="391"/>
      <c r="I2854" s="391"/>
      <c r="J2854" s="391"/>
    </row>
    <row r="2855" spans="1:10" ht="12.75" customHeight="1">
      <c r="A2855" s="391"/>
      <c r="B2855" s="391"/>
      <c r="C2855" s="391"/>
      <c r="D2855" s="647"/>
      <c r="E2855" s="647"/>
      <c r="F2855" s="647"/>
      <c r="G2855" s="647"/>
      <c r="H2855" s="391"/>
      <c r="I2855" s="391"/>
      <c r="J2855" s="391"/>
    </row>
    <row r="2856" spans="1:10" ht="12.75" customHeight="1">
      <c r="A2856" s="391"/>
      <c r="B2856" s="391"/>
      <c r="C2856" s="391"/>
      <c r="D2856" s="647"/>
      <c r="E2856" s="647"/>
      <c r="F2856" s="647"/>
      <c r="G2856" s="647"/>
      <c r="H2856" s="391"/>
      <c r="I2856" s="391"/>
      <c r="J2856" s="391"/>
    </row>
    <row r="2857" spans="1:10" ht="12.75" customHeight="1">
      <c r="A2857" s="391"/>
      <c r="B2857" s="391"/>
      <c r="C2857" s="391"/>
      <c r="D2857" s="647"/>
      <c r="E2857" s="647"/>
      <c r="F2857" s="647"/>
      <c r="G2857" s="647"/>
      <c r="H2857" s="391"/>
      <c r="I2857" s="391"/>
      <c r="J2857" s="391"/>
    </row>
    <row r="2858" spans="1:10" ht="12.75" customHeight="1">
      <c r="A2858" s="391"/>
      <c r="B2858" s="391"/>
      <c r="C2858" s="391"/>
      <c r="D2858" s="647"/>
      <c r="E2858" s="647"/>
      <c r="F2858" s="647"/>
      <c r="G2858" s="647"/>
      <c r="H2858" s="391"/>
      <c r="I2858" s="391"/>
      <c r="J2858" s="391"/>
    </row>
    <row r="2859" spans="1:10" ht="12.75" customHeight="1">
      <c r="A2859" s="391"/>
      <c r="B2859" s="391"/>
      <c r="C2859" s="391"/>
      <c r="D2859" s="647"/>
      <c r="E2859" s="647"/>
      <c r="F2859" s="647"/>
      <c r="G2859" s="647"/>
      <c r="H2859" s="391"/>
      <c r="I2859" s="391"/>
      <c r="J2859" s="391"/>
    </row>
    <row r="2860" spans="1:10" ht="12.75" customHeight="1">
      <c r="A2860" s="391"/>
      <c r="B2860" s="391"/>
      <c r="C2860" s="391"/>
      <c r="D2860" s="647"/>
      <c r="E2860" s="647"/>
      <c r="F2860" s="647"/>
      <c r="G2860" s="647"/>
      <c r="H2860" s="391"/>
      <c r="I2860" s="391"/>
      <c r="J2860" s="391"/>
    </row>
    <row r="2861" spans="1:10" ht="12.75" customHeight="1">
      <c r="A2861" s="391"/>
      <c r="B2861" s="391"/>
      <c r="C2861" s="391"/>
      <c r="D2861" s="647"/>
      <c r="E2861" s="647"/>
      <c r="F2861" s="647"/>
      <c r="G2861" s="647"/>
      <c r="H2861" s="391"/>
      <c r="I2861" s="391"/>
      <c r="J2861" s="391"/>
    </row>
    <row r="2862" spans="1:10" ht="12.75" customHeight="1">
      <c r="A2862" s="391"/>
      <c r="B2862" s="391"/>
      <c r="C2862" s="391"/>
      <c r="D2862" s="647"/>
      <c r="E2862" s="647"/>
      <c r="F2862" s="647"/>
      <c r="G2862" s="647"/>
      <c r="H2862" s="391"/>
      <c r="I2862" s="391"/>
      <c r="J2862" s="391"/>
    </row>
    <row r="2863" spans="1:10" ht="12.75" customHeight="1">
      <c r="A2863" s="391"/>
      <c r="B2863" s="391"/>
      <c r="C2863" s="391"/>
      <c r="D2863" s="647"/>
      <c r="E2863" s="647"/>
      <c r="F2863" s="647"/>
      <c r="G2863" s="647"/>
      <c r="H2863" s="391"/>
      <c r="I2863" s="391"/>
      <c r="J2863" s="391"/>
    </row>
    <row r="2864" spans="1:10" ht="12.75" customHeight="1">
      <c r="A2864" s="391"/>
      <c r="B2864" s="391"/>
      <c r="C2864" s="391"/>
      <c r="D2864" s="647"/>
      <c r="E2864" s="647"/>
      <c r="F2864" s="647"/>
      <c r="G2864" s="647"/>
      <c r="H2864" s="391"/>
      <c r="I2864" s="391"/>
      <c r="J2864" s="391"/>
    </row>
    <row r="2865" spans="1:10" ht="12.75" customHeight="1">
      <c r="A2865" s="391"/>
      <c r="B2865" s="391"/>
      <c r="C2865" s="391"/>
      <c r="D2865" s="647"/>
      <c r="E2865" s="647"/>
      <c r="F2865" s="647"/>
      <c r="G2865" s="647"/>
      <c r="H2865" s="391"/>
      <c r="I2865" s="391"/>
      <c r="J2865" s="391"/>
    </row>
    <row r="2866" spans="1:10" ht="12.75" customHeight="1">
      <c r="A2866" s="391"/>
      <c r="B2866" s="391"/>
      <c r="C2866" s="391"/>
      <c r="D2866" s="647"/>
      <c r="E2866" s="647"/>
      <c r="F2866" s="647"/>
      <c r="G2866" s="647"/>
      <c r="H2866" s="391"/>
      <c r="I2866" s="391"/>
      <c r="J2866" s="391"/>
    </row>
    <row r="2867" spans="1:10" ht="12.75" customHeight="1">
      <c r="A2867" s="391"/>
      <c r="B2867" s="391"/>
      <c r="C2867" s="391"/>
      <c r="D2867" s="647"/>
      <c r="E2867" s="647"/>
      <c r="F2867" s="647"/>
      <c r="G2867" s="647"/>
      <c r="H2867" s="391"/>
      <c r="I2867" s="391"/>
      <c r="J2867" s="391"/>
    </row>
    <row r="2868" spans="1:10" ht="12.75" customHeight="1">
      <c r="A2868" s="391"/>
      <c r="B2868" s="391"/>
      <c r="C2868" s="391"/>
      <c r="D2868" s="647"/>
      <c r="E2868" s="647"/>
      <c r="F2868" s="647"/>
      <c r="G2868" s="647"/>
      <c r="H2868" s="391"/>
      <c r="I2868" s="391"/>
      <c r="J2868" s="391"/>
    </row>
    <row r="2869" spans="1:10" ht="12.75" customHeight="1">
      <c r="A2869" s="391"/>
      <c r="B2869" s="391"/>
      <c r="C2869" s="391"/>
      <c r="D2869" s="647"/>
      <c r="E2869" s="647"/>
      <c r="F2869" s="647"/>
      <c r="G2869" s="647"/>
      <c r="H2869" s="391"/>
      <c r="I2869" s="391"/>
      <c r="J2869" s="391"/>
    </row>
    <row r="2870" spans="1:10" ht="12.75" customHeight="1">
      <c r="A2870" s="391"/>
      <c r="B2870" s="391"/>
      <c r="C2870" s="391"/>
      <c r="D2870" s="647"/>
      <c r="E2870" s="647"/>
      <c r="F2870" s="647"/>
      <c r="G2870" s="647"/>
      <c r="H2870" s="391"/>
      <c r="I2870" s="391"/>
      <c r="J2870" s="391"/>
    </row>
    <row r="2871" spans="1:10" ht="12.75" customHeight="1">
      <c r="A2871" s="391"/>
      <c r="B2871" s="391"/>
      <c r="C2871" s="391"/>
      <c r="D2871" s="647"/>
      <c r="E2871" s="647"/>
      <c r="F2871" s="647"/>
      <c r="G2871" s="647"/>
      <c r="H2871" s="391"/>
      <c r="I2871" s="391"/>
      <c r="J2871" s="391"/>
    </row>
    <row r="2872" spans="1:10" ht="12.75" customHeight="1">
      <c r="A2872" s="391"/>
      <c r="B2872" s="391"/>
      <c r="C2872" s="391"/>
      <c r="D2872" s="647"/>
      <c r="E2872" s="647"/>
      <c r="F2872" s="647"/>
      <c r="G2872" s="647"/>
      <c r="H2872" s="391"/>
      <c r="I2872" s="391"/>
      <c r="J2872" s="391"/>
    </row>
    <row r="2873" spans="1:10" ht="12.75" customHeight="1">
      <c r="A2873" s="391"/>
      <c r="B2873" s="391"/>
      <c r="C2873" s="391"/>
      <c r="D2873" s="647"/>
      <c r="E2873" s="647"/>
      <c r="F2873" s="647"/>
      <c r="G2873" s="647"/>
      <c r="H2873" s="391"/>
      <c r="I2873" s="391"/>
      <c r="J2873" s="391"/>
    </row>
    <row r="2874" spans="1:10" ht="12.75" customHeight="1">
      <c r="A2874" s="391"/>
      <c r="B2874" s="391"/>
      <c r="C2874" s="391"/>
      <c r="D2874" s="647"/>
      <c r="E2874" s="647"/>
      <c r="F2874" s="647"/>
      <c r="G2874" s="647"/>
      <c r="H2874" s="391"/>
      <c r="I2874" s="391"/>
      <c r="J2874" s="391"/>
    </row>
    <row r="2875" spans="1:10" ht="12.75" customHeight="1">
      <c r="A2875" s="391"/>
      <c r="B2875" s="391"/>
      <c r="C2875" s="391"/>
      <c r="D2875" s="647"/>
      <c r="E2875" s="647"/>
      <c r="F2875" s="647"/>
      <c r="G2875" s="647"/>
      <c r="H2875" s="391"/>
      <c r="I2875" s="391"/>
      <c r="J2875" s="391"/>
    </row>
    <row r="2876" spans="1:10" ht="12.75" customHeight="1">
      <c r="A2876" s="391"/>
      <c r="B2876" s="391"/>
      <c r="C2876" s="391"/>
      <c r="D2876" s="647"/>
      <c r="E2876" s="647"/>
      <c r="F2876" s="647"/>
      <c r="G2876" s="647"/>
      <c r="H2876" s="391"/>
      <c r="I2876" s="391"/>
      <c r="J2876" s="391"/>
    </row>
    <row r="2877" spans="1:10" ht="12.75" customHeight="1">
      <c r="A2877" s="391"/>
      <c r="B2877" s="391"/>
      <c r="C2877" s="391"/>
      <c r="D2877" s="647"/>
      <c r="E2877" s="647"/>
      <c r="F2877" s="647"/>
      <c r="G2877" s="647"/>
      <c r="H2877" s="391"/>
      <c r="I2877" s="391"/>
      <c r="J2877" s="391"/>
    </row>
    <row r="2878" spans="1:10" ht="12.75" customHeight="1">
      <c r="A2878" s="391"/>
      <c r="B2878" s="391"/>
      <c r="C2878" s="391"/>
      <c r="D2878" s="647"/>
      <c r="E2878" s="647"/>
      <c r="F2878" s="647"/>
      <c r="G2878" s="647"/>
      <c r="H2878" s="391"/>
      <c r="I2878" s="391"/>
      <c r="J2878" s="391"/>
    </row>
    <row r="2879" spans="1:10" ht="12.75" customHeight="1">
      <c r="A2879" s="391"/>
      <c r="B2879" s="391"/>
      <c r="C2879" s="391"/>
      <c r="D2879" s="647"/>
      <c r="E2879" s="647"/>
      <c r="F2879" s="647"/>
      <c r="G2879" s="647"/>
      <c r="H2879" s="391"/>
      <c r="I2879" s="391"/>
      <c r="J2879" s="391"/>
    </row>
    <row r="2880" spans="1:10" ht="12.75" customHeight="1">
      <c r="A2880" s="391"/>
      <c r="B2880" s="391"/>
      <c r="C2880" s="391"/>
      <c r="D2880" s="647"/>
      <c r="E2880" s="647"/>
      <c r="F2880" s="647"/>
      <c r="G2880" s="647"/>
      <c r="H2880" s="391"/>
      <c r="I2880" s="391"/>
      <c r="J2880" s="391"/>
    </row>
    <row r="2881" spans="1:10" ht="12.75" customHeight="1">
      <c r="A2881" s="391"/>
      <c r="B2881" s="391"/>
      <c r="C2881" s="391"/>
      <c r="D2881" s="647"/>
      <c r="E2881" s="647"/>
      <c r="F2881" s="647"/>
      <c r="G2881" s="647"/>
      <c r="H2881" s="391"/>
      <c r="I2881" s="391"/>
      <c r="J2881" s="391"/>
    </row>
    <row r="2882" spans="1:10" ht="12.75" customHeight="1">
      <c r="A2882" s="391"/>
      <c r="B2882" s="391"/>
      <c r="C2882" s="391"/>
      <c r="D2882" s="647"/>
      <c r="E2882" s="647"/>
      <c r="F2882" s="647"/>
      <c r="G2882" s="647"/>
      <c r="H2882" s="391"/>
      <c r="I2882" s="391"/>
      <c r="J2882" s="391"/>
    </row>
    <row r="2883" spans="1:10" ht="12.75" customHeight="1">
      <c r="A2883" s="391"/>
      <c r="B2883" s="391"/>
      <c r="C2883" s="391"/>
      <c r="D2883" s="647"/>
      <c r="E2883" s="647"/>
      <c r="F2883" s="647"/>
      <c r="G2883" s="647"/>
      <c r="H2883" s="391"/>
      <c r="I2883" s="391"/>
      <c r="J2883" s="391"/>
    </row>
    <row r="2884" spans="1:10" ht="12.75" customHeight="1">
      <c r="A2884" s="391"/>
      <c r="B2884" s="391"/>
      <c r="C2884" s="391"/>
      <c r="D2884" s="647"/>
      <c r="E2884" s="647"/>
      <c r="F2884" s="647"/>
      <c r="G2884" s="647"/>
      <c r="H2884" s="391"/>
      <c r="I2884" s="391"/>
      <c r="J2884" s="391"/>
    </row>
    <row r="2885" spans="1:10" ht="12.75" customHeight="1">
      <c r="A2885" s="391"/>
      <c r="B2885" s="391"/>
      <c r="C2885" s="391"/>
      <c r="D2885" s="647"/>
      <c r="E2885" s="647"/>
      <c r="F2885" s="647"/>
      <c r="G2885" s="647"/>
      <c r="H2885" s="391"/>
      <c r="I2885" s="391"/>
      <c r="J2885" s="391"/>
    </row>
    <row r="2886" spans="1:10" ht="12.75" customHeight="1">
      <c r="A2886" s="391"/>
      <c r="B2886" s="391"/>
      <c r="C2886" s="391"/>
      <c r="D2886" s="647"/>
      <c r="E2886" s="647"/>
      <c r="F2886" s="647"/>
      <c r="G2886" s="647"/>
      <c r="H2886" s="391"/>
      <c r="I2886" s="391"/>
      <c r="J2886" s="391"/>
    </row>
    <row r="2887" spans="1:10" ht="12.75" customHeight="1">
      <c r="A2887" s="391"/>
      <c r="B2887" s="391"/>
      <c r="C2887" s="391"/>
      <c r="D2887" s="647"/>
      <c r="E2887" s="647"/>
      <c r="F2887" s="647"/>
      <c r="G2887" s="647"/>
      <c r="H2887" s="391"/>
      <c r="I2887" s="391"/>
      <c r="J2887" s="391"/>
    </row>
    <row r="2888" spans="1:10" ht="12.75" customHeight="1">
      <c r="A2888" s="391"/>
      <c r="B2888" s="391"/>
      <c r="C2888" s="391"/>
      <c r="D2888" s="647"/>
      <c r="E2888" s="647"/>
      <c r="F2888" s="647"/>
      <c r="G2888" s="647"/>
      <c r="H2888" s="391"/>
      <c r="I2888" s="391"/>
      <c r="J2888" s="391"/>
    </row>
    <row r="2889" spans="1:10" ht="12.75" customHeight="1">
      <c r="A2889" s="391"/>
      <c r="B2889" s="391"/>
      <c r="C2889" s="391"/>
      <c r="D2889" s="647"/>
      <c r="E2889" s="647"/>
      <c r="F2889" s="647"/>
      <c r="G2889" s="647"/>
      <c r="H2889" s="391"/>
      <c r="I2889" s="391"/>
      <c r="J2889" s="391"/>
    </row>
    <row r="2890" spans="1:10" ht="12.75" customHeight="1">
      <c r="A2890" s="391"/>
      <c r="B2890" s="391"/>
      <c r="C2890" s="391"/>
      <c r="D2890" s="647"/>
      <c r="E2890" s="647"/>
      <c r="F2890" s="647"/>
      <c r="G2890" s="647"/>
      <c r="H2890" s="391"/>
      <c r="I2890" s="391"/>
      <c r="J2890" s="391"/>
    </row>
    <row r="2891" spans="1:10" ht="12.75" customHeight="1">
      <c r="A2891" s="391"/>
      <c r="B2891" s="391"/>
      <c r="C2891" s="391"/>
      <c r="D2891" s="647"/>
      <c r="E2891" s="647"/>
      <c r="F2891" s="647"/>
      <c r="G2891" s="647"/>
      <c r="H2891" s="391"/>
      <c r="I2891" s="391"/>
      <c r="J2891" s="391"/>
    </row>
    <row r="2892" spans="1:10" ht="12.75" customHeight="1">
      <c r="A2892" s="391"/>
      <c r="B2892" s="391"/>
      <c r="C2892" s="391"/>
      <c r="D2892" s="647"/>
      <c r="E2892" s="647"/>
      <c r="F2892" s="647"/>
      <c r="G2892" s="647"/>
      <c r="H2892" s="391"/>
      <c r="I2892" s="391"/>
      <c r="J2892" s="391"/>
    </row>
    <row r="2893" spans="1:10" ht="12.75" customHeight="1">
      <c r="A2893" s="391"/>
      <c r="B2893" s="391"/>
      <c r="C2893" s="391"/>
      <c r="D2893" s="647"/>
      <c r="E2893" s="647"/>
      <c r="F2893" s="647"/>
      <c r="G2893" s="647"/>
      <c r="H2893" s="391"/>
      <c r="I2893" s="391"/>
      <c r="J2893" s="391"/>
    </row>
    <row r="2894" spans="1:10" ht="12.75" customHeight="1">
      <c r="A2894" s="391"/>
      <c r="B2894" s="391"/>
      <c r="C2894" s="391"/>
      <c r="D2894" s="647"/>
      <c r="E2894" s="647"/>
      <c r="F2894" s="647"/>
      <c r="G2894" s="647"/>
      <c r="H2894" s="391"/>
      <c r="I2894" s="391"/>
      <c r="J2894" s="391"/>
    </row>
    <row r="2895" spans="1:10" ht="12.75" customHeight="1">
      <c r="A2895" s="391"/>
      <c r="B2895" s="391"/>
      <c r="C2895" s="391"/>
      <c r="D2895" s="647"/>
      <c r="E2895" s="647"/>
      <c r="F2895" s="647"/>
      <c r="G2895" s="647"/>
      <c r="H2895" s="391"/>
      <c r="I2895" s="391"/>
      <c r="J2895" s="391"/>
    </row>
    <row r="2896" spans="1:10" ht="12.75" customHeight="1">
      <c r="A2896" s="391"/>
      <c r="B2896" s="391"/>
      <c r="C2896" s="391"/>
      <c r="D2896" s="647"/>
      <c r="E2896" s="647"/>
      <c r="F2896" s="647"/>
      <c r="G2896" s="647"/>
      <c r="H2896" s="391"/>
      <c r="I2896" s="391"/>
      <c r="J2896" s="391"/>
    </row>
    <row r="2897" spans="1:10" ht="12.75" customHeight="1">
      <c r="A2897" s="391"/>
      <c r="B2897" s="391"/>
      <c r="C2897" s="391"/>
      <c r="D2897" s="647"/>
      <c r="E2897" s="647"/>
      <c r="F2897" s="647"/>
      <c r="G2897" s="647"/>
      <c r="H2897" s="391"/>
      <c r="I2897" s="391"/>
      <c r="J2897" s="391"/>
    </row>
    <row r="2898" spans="1:10" ht="12.75" customHeight="1">
      <c r="A2898" s="391"/>
      <c r="B2898" s="391"/>
      <c r="C2898" s="391"/>
      <c r="D2898" s="647"/>
      <c r="E2898" s="647"/>
      <c r="F2898" s="647"/>
      <c r="G2898" s="647"/>
      <c r="H2898" s="391"/>
      <c r="I2898" s="391"/>
      <c r="J2898" s="391"/>
    </row>
    <row r="2899" spans="1:10" ht="12.75" customHeight="1">
      <c r="A2899" s="391"/>
      <c r="B2899" s="391"/>
      <c r="C2899" s="391"/>
      <c r="D2899" s="647"/>
      <c r="E2899" s="647"/>
      <c r="F2899" s="647"/>
      <c r="G2899" s="647"/>
      <c r="H2899" s="391"/>
      <c r="I2899" s="391"/>
      <c r="J2899" s="391"/>
    </row>
    <row r="2900" spans="1:10" ht="12.75" customHeight="1">
      <c r="A2900" s="391"/>
      <c r="B2900" s="391"/>
      <c r="C2900" s="391"/>
      <c r="D2900" s="647"/>
      <c r="E2900" s="647"/>
      <c r="F2900" s="647"/>
      <c r="G2900" s="647"/>
      <c r="H2900" s="391"/>
      <c r="I2900" s="391"/>
      <c r="J2900" s="391"/>
    </row>
    <row r="2901" spans="1:10" ht="12.75" customHeight="1">
      <c r="A2901" s="391"/>
      <c r="B2901" s="391"/>
      <c r="C2901" s="391"/>
      <c r="D2901" s="647"/>
      <c r="E2901" s="647"/>
      <c r="F2901" s="647"/>
      <c r="G2901" s="647"/>
      <c r="H2901" s="391"/>
      <c r="I2901" s="391"/>
      <c r="J2901" s="391"/>
    </row>
    <row r="2902" spans="1:10" ht="12.75" customHeight="1">
      <c r="A2902" s="391"/>
      <c r="B2902" s="391"/>
      <c r="C2902" s="391"/>
      <c r="D2902" s="647"/>
      <c r="E2902" s="647"/>
      <c r="F2902" s="647"/>
      <c r="G2902" s="647"/>
      <c r="H2902" s="391"/>
      <c r="I2902" s="391"/>
      <c r="J2902" s="391"/>
    </row>
    <row r="2903" spans="1:10" ht="12.75" customHeight="1">
      <c r="A2903" s="391"/>
      <c r="B2903" s="391"/>
      <c r="C2903" s="391"/>
      <c r="D2903" s="647"/>
      <c r="E2903" s="647"/>
      <c r="F2903" s="647"/>
      <c r="G2903" s="647"/>
      <c r="H2903" s="391"/>
      <c r="I2903" s="391"/>
      <c r="J2903" s="391"/>
    </row>
    <row r="2904" spans="1:10" ht="12.75" customHeight="1">
      <c r="A2904" s="391"/>
      <c r="B2904" s="391"/>
      <c r="C2904" s="391"/>
      <c r="D2904" s="647"/>
      <c r="E2904" s="647"/>
      <c r="F2904" s="647"/>
      <c r="G2904" s="647"/>
      <c r="H2904" s="391"/>
      <c r="I2904" s="391"/>
      <c r="J2904" s="391"/>
    </row>
    <row r="2905" spans="1:10" ht="12.75" customHeight="1">
      <c r="A2905" s="391"/>
      <c r="B2905" s="391"/>
      <c r="C2905" s="391"/>
      <c r="D2905" s="647"/>
      <c r="E2905" s="647"/>
      <c r="F2905" s="647"/>
      <c r="G2905" s="647"/>
      <c r="H2905" s="391"/>
      <c r="I2905" s="391"/>
      <c r="J2905" s="391"/>
    </row>
    <row r="2906" spans="1:10" ht="12.75" customHeight="1">
      <c r="A2906" s="391"/>
      <c r="B2906" s="391"/>
      <c r="C2906" s="391"/>
      <c r="D2906" s="647"/>
      <c r="E2906" s="647"/>
      <c r="F2906" s="647"/>
      <c r="G2906" s="647"/>
      <c r="H2906" s="391"/>
      <c r="I2906" s="391"/>
      <c r="J2906" s="391"/>
    </row>
    <row r="2907" spans="1:10" ht="12.75" customHeight="1">
      <c r="A2907" s="391"/>
      <c r="B2907" s="391"/>
      <c r="C2907" s="391"/>
      <c r="D2907" s="647"/>
      <c r="E2907" s="647"/>
      <c r="F2907" s="647"/>
      <c r="G2907" s="647"/>
      <c r="H2907" s="391"/>
      <c r="I2907" s="391"/>
      <c r="J2907" s="391"/>
    </row>
    <row r="2908" spans="1:10" ht="12.75" customHeight="1">
      <c r="A2908" s="391"/>
      <c r="B2908" s="391"/>
      <c r="C2908" s="391"/>
      <c r="D2908" s="647"/>
      <c r="E2908" s="647"/>
      <c r="F2908" s="647"/>
      <c r="G2908" s="647"/>
      <c r="H2908" s="391"/>
      <c r="I2908" s="391"/>
      <c r="J2908" s="391"/>
    </row>
    <row r="2909" spans="1:10" ht="12.75" customHeight="1">
      <c r="A2909" s="391"/>
      <c r="B2909" s="391"/>
      <c r="C2909" s="391"/>
      <c r="D2909" s="647"/>
      <c r="E2909" s="647"/>
      <c r="F2909" s="647"/>
      <c r="G2909" s="647"/>
      <c r="H2909" s="391"/>
      <c r="I2909" s="391"/>
      <c r="J2909" s="391"/>
    </row>
    <row r="2910" spans="1:10" ht="12.75" customHeight="1">
      <c r="A2910" s="391"/>
      <c r="B2910" s="391"/>
      <c r="C2910" s="391"/>
      <c r="D2910" s="647"/>
      <c r="E2910" s="647"/>
      <c r="F2910" s="647"/>
      <c r="G2910" s="647"/>
      <c r="H2910" s="391"/>
      <c r="I2910" s="391"/>
      <c r="J2910" s="391"/>
    </row>
    <row r="2911" spans="1:10" ht="12.75" customHeight="1">
      <c r="A2911" s="391"/>
      <c r="B2911" s="391"/>
      <c r="C2911" s="391"/>
      <c r="D2911" s="647"/>
      <c r="E2911" s="647"/>
      <c r="F2911" s="647"/>
      <c r="G2911" s="647"/>
      <c r="H2911" s="391"/>
      <c r="I2911" s="391"/>
      <c r="J2911" s="391"/>
    </row>
    <row r="2912" spans="1:10" ht="12.75" customHeight="1">
      <c r="A2912" s="391"/>
      <c r="B2912" s="391"/>
      <c r="C2912" s="391"/>
      <c r="D2912" s="647"/>
      <c r="E2912" s="647"/>
      <c r="F2912" s="647"/>
      <c r="G2912" s="647"/>
      <c r="H2912" s="391"/>
      <c r="I2912" s="391"/>
      <c r="J2912" s="391"/>
    </row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</sheetData>
  <mergeCells count="314">
    <mergeCell ref="F1923:F1924"/>
    <mergeCell ref="G1923:G1924"/>
    <mergeCell ref="C1895:E1895"/>
    <mergeCell ref="G1895:I1895"/>
    <mergeCell ref="F1896:F1897"/>
    <mergeCell ref="C532:E532"/>
    <mergeCell ref="G532:I532"/>
    <mergeCell ref="F533:F534"/>
    <mergeCell ref="G533:G534"/>
    <mergeCell ref="G1866:I1866"/>
    <mergeCell ref="F1867:F1868"/>
    <mergeCell ref="G1867:G1868"/>
    <mergeCell ref="G1782:G1783"/>
    <mergeCell ref="C1922:E1922"/>
    <mergeCell ref="G1922:I1922"/>
    <mergeCell ref="C1838:E1838"/>
    <mergeCell ref="G1838:I1838"/>
    <mergeCell ref="C1781:E1781"/>
    <mergeCell ref="G1781:I1781"/>
    <mergeCell ref="F1782:F1783"/>
    <mergeCell ref="G1896:G1897"/>
    <mergeCell ref="C1866:E1866"/>
    <mergeCell ref="F1839:F1840"/>
    <mergeCell ref="G1839:G1840"/>
    <mergeCell ref="G2193:G2194"/>
    <mergeCell ref="C2165:E2165"/>
    <mergeCell ref="G2165:I2165"/>
    <mergeCell ref="F2166:F2167"/>
    <mergeCell ref="C2048:E2048"/>
    <mergeCell ref="G2048:I2048"/>
    <mergeCell ref="F2049:F2050"/>
    <mergeCell ref="G2049:G2050"/>
    <mergeCell ref="G2137:I2137"/>
    <mergeCell ref="F2138:F2139"/>
    <mergeCell ref="G2138:G2139"/>
    <mergeCell ref="C2192:E2192"/>
    <mergeCell ref="G2192:I2192"/>
    <mergeCell ref="C2109:E2109"/>
    <mergeCell ref="G2109:I2109"/>
    <mergeCell ref="F2110:F2111"/>
    <mergeCell ref="F2225:F2226"/>
    <mergeCell ref="G2225:G2226"/>
    <mergeCell ref="G2166:G2167"/>
    <mergeCell ref="C2224:E2224"/>
    <mergeCell ref="G2224:I2224"/>
    <mergeCell ref="C2137:E2137"/>
    <mergeCell ref="G1980:G1981"/>
    <mergeCell ref="C1949:E1949"/>
    <mergeCell ref="G1949:I1949"/>
    <mergeCell ref="F1950:F1951"/>
    <mergeCell ref="G1950:G1951"/>
    <mergeCell ref="G2110:G2111"/>
    <mergeCell ref="C2082:E2082"/>
    <mergeCell ref="G2082:I2082"/>
    <mergeCell ref="F2083:F2084"/>
    <mergeCell ref="G2083:G2084"/>
    <mergeCell ref="C2019:E2019"/>
    <mergeCell ref="G2019:I2019"/>
    <mergeCell ref="F2020:F2021"/>
    <mergeCell ref="G2020:G2021"/>
    <mergeCell ref="C1979:E1979"/>
    <mergeCell ref="G1979:I1979"/>
    <mergeCell ref="F1980:F1981"/>
    <mergeCell ref="F2193:F2194"/>
    <mergeCell ref="C1811:E1811"/>
    <mergeCell ref="G1811:I1811"/>
    <mergeCell ref="F1812:F1813"/>
    <mergeCell ref="G1812:G1813"/>
    <mergeCell ref="C1752:E1752"/>
    <mergeCell ref="G1752:I1752"/>
    <mergeCell ref="F1753:F1754"/>
    <mergeCell ref="G1753:G1754"/>
    <mergeCell ref="C1725:E1725"/>
    <mergeCell ref="G1725:I1725"/>
    <mergeCell ref="F1726:F1727"/>
    <mergeCell ref="C1695:E1695"/>
    <mergeCell ref="G1695:I1695"/>
    <mergeCell ref="F1696:F1697"/>
    <mergeCell ref="G1696:G1697"/>
    <mergeCell ref="G1726:G1727"/>
    <mergeCell ref="C1585:E1585"/>
    <mergeCell ref="G1585:I1585"/>
    <mergeCell ref="C1527:E1527"/>
    <mergeCell ref="G1527:I1527"/>
    <mergeCell ref="F1528:F1529"/>
    <mergeCell ref="G1528:G1529"/>
    <mergeCell ref="C1666:E1666"/>
    <mergeCell ref="G1666:I1666"/>
    <mergeCell ref="F1667:F1668"/>
    <mergeCell ref="G1667:G1668"/>
    <mergeCell ref="C1639:E1639"/>
    <mergeCell ref="G1639:I1639"/>
    <mergeCell ref="F1640:F1641"/>
    <mergeCell ref="G1640:G1641"/>
    <mergeCell ref="C1612:E1612"/>
    <mergeCell ref="F1586:F1587"/>
    <mergeCell ref="G1586:G1587"/>
    <mergeCell ref="C1555:E1555"/>
    <mergeCell ref="G1555:I1555"/>
    <mergeCell ref="F1556:F1557"/>
    <mergeCell ref="G1556:G1557"/>
    <mergeCell ref="G1612:I1612"/>
    <mergeCell ref="F1613:F1614"/>
    <mergeCell ref="G1613:G1614"/>
    <mergeCell ref="C1499:E1499"/>
    <mergeCell ref="G1499:I1499"/>
    <mergeCell ref="F1500:F1501"/>
    <mergeCell ref="G1500:G1501"/>
    <mergeCell ref="C1462:E1462"/>
    <mergeCell ref="G1462:I1462"/>
    <mergeCell ref="F1463:F1464"/>
    <mergeCell ref="G1463:G1464"/>
    <mergeCell ref="C1436:E1436"/>
    <mergeCell ref="G1436:I1436"/>
    <mergeCell ref="F1437:F1438"/>
    <mergeCell ref="G1437:G1438"/>
    <mergeCell ref="C1321:E1321"/>
    <mergeCell ref="G1321:I1321"/>
    <mergeCell ref="C1267:E1267"/>
    <mergeCell ref="G1267:I1267"/>
    <mergeCell ref="F1268:F1269"/>
    <mergeCell ref="G1268:G1269"/>
    <mergeCell ref="C1407:E1407"/>
    <mergeCell ref="G1407:I1407"/>
    <mergeCell ref="F1408:F1409"/>
    <mergeCell ref="G1408:G1409"/>
    <mergeCell ref="C1376:E1376"/>
    <mergeCell ref="G1376:I1376"/>
    <mergeCell ref="F1377:F1378"/>
    <mergeCell ref="G1377:G1378"/>
    <mergeCell ref="C1349:E1349"/>
    <mergeCell ref="F1322:F1323"/>
    <mergeCell ref="G1322:G1323"/>
    <mergeCell ref="C1294:E1294"/>
    <mergeCell ref="G1294:I1294"/>
    <mergeCell ref="F1295:F1296"/>
    <mergeCell ref="G1295:G1296"/>
    <mergeCell ref="G1349:I1349"/>
    <mergeCell ref="F1350:F1351"/>
    <mergeCell ref="G1350:G1351"/>
    <mergeCell ref="C1235:E1235"/>
    <mergeCell ref="G1235:I1235"/>
    <mergeCell ref="F1236:F1237"/>
    <mergeCell ref="G1236:G1237"/>
    <mergeCell ref="C1206:E1206"/>
    <mergeCell ref="G1206:I1206"/>
    <mergeCell ref="F1207:F1208"/>
    <mergeCell ref="G1207:G1208"/>
    <mergeCell ref="C1178:E1178"/>
    <mergeCell ref="G1178:I1178"/>
    <mergeCell ref="F1179:F1180"/>
    <mergeCell ref="G1179:G1180"/>
    <mergeCell ref="C1063:E1063"/>
    <mergeCell ref="G1063:I1063"/>
    <mergeCell ref="C999:E999"/>
    <mergeCell ref="G999:I999"/>
    <mergeCell ref="F1000:F1001"/>
    <mergeCell ref="G1000:G1001"/>
    <mergeCell ref="C1147:E1147"/>
    <mergeCell ref="G1147:I1147"/>
    <mergeCell ref="F1148:F1149"/>
    <mergeCell ref="G1148:G1149"/>
    <mergeCell ref="C1120:E1120"/>
    <mergeCell ref="G1120:I1120"/>
    <mergeCell ref="F1121:F1122"/>
    <mergeCell ref="G1121:G1122"/>
    <mergeCell ref="C1092:E1092"/>
    <mergeCell ref="F1064:F1065"/>
    <mergeCell ref="G1064:G1065"/>
    <mergeCell ref="C1029:E1029"/>
    <mergeCell ref="G1029:I1029"/>
    <mergeCell ref="F1030:F1031"/>
    <mergeCell ref="G1030:G1031"/>
    <mergeCell ref="G1092:I1092"/>
    <mergeCell ref="F1093:F1094"/>
    <mergeCell ref="G1093:G1094"/>
    <mergeCell ref="C972:E972"/>
    <mergeCell ref="G972:I972"/>
    <mergeCell ref="F973:F974"/>
    <mergeCell ref="G973:G974"/>
    <mergeCell ref="C945:E945"/>
    <mergeCell ref="G945:I945"/>
    <mergeCell ref="F946:F947"/>
    <mergeCell ref="G946:G947"/>
    <mergeCell ref="C911:E911"/>
    <mergeCell ref="G911:I911"/>
    <mergeCell ref="F912:F913"/>
    <mergeCell ref="G912:G913"/>
    <mergeCell ref="C797:E797"/>
    <mergeCell ref="G797:I797"/>
    <mergeCell ref="C730:E730"/>
    <mergeCell ref="G730:I730"/>
    <mergeCell ref="F731:F732"/>
    <mergeCell ref="G731:G732"/>
    <mergeCell ref="C884:E884"/>
    <mergeCell ref="G884:I884"/>
    <mergeCell ref="F885:F886"/>
    <mergeCell ref="G885:G886"/>
    <mergeCell ref="C857:E857"/>
    <mergeCell ref="G857:I857"/>
    <mergeCell ref="F858:F859"/>
    <mergeCell ref="G858:G859"/>
    <mergeCell ref="C825:E825"/>
    <mergeCell ref="F798:F799"/>
    <mergeCell ref="G798:G799"/>
    <mergeCell ref="C759:E759"/>
    <mergeCell ref="G759:I759"/>
    <mergeCell ref="F760:F761"/>
    <mergeCell ref="G760:G761"/>
    <mergeCell ref="G825:I825"/>
    <mergeCell ref="F826:F827"/>
    <mergeCell ref="G826:G827"/>
    <mergeCell ref="C701:E701"/>
    <mergeCell ref="G701:I701"/>
    <mergeCell ref="F702:F703"/>
    <mergeCell ref="G702:G703"/>
    <mergeCell ref="C672:E672"/>
    <mergeCell ref="G672:I672"/>
    <mergeCell ref="F673:F674"/>
    <mergeCell ref="G673:G674"/>
    <mergeCell ref="C643:E643"/>
    <mergeCell ref="G643:I643"/>
    <mergeCell ref="F644:F645"/>
    <mergeCell ref="G644:G645"/>
    <mergeCell ref="C616:E616"/>
    <mergeCell ref="G616:I616"/>
    <mergeCell ref="F617:F618"/>
    <mergeCell ref="G617:G618"/>
    <mergeCell ref="C587:E587"/>
    <mergeCell ref="G587:I587"/>
    <mergeCell ref="F588:F589"/>
    <mergeCell ref="G588:G589"/>
    <mergeCell ref="C559:E559"/>
    <mergeCell ref="G559:I559"/>
    <mergeCell ref="F560:F561"/>
    <mergeCell ref="G560:G561"/>
    <mergeCell ref="F444:F445"/>
    <mergeCell ref="G444:G445"/>
    <mergeCell ref="D474:E474"/>
    <mergeCell ref="C504:E504"/>
    <mergeCell ref="G504:I504"/>
    <mergeCell ref="F505:F506"/>
    <mergeCell ref="G505:G506"/>
    <mergeCell ref="C476:E476"/>
    <mergeCell ref="G476:I476"/>
    <mergeCell ref="F477:F478"/>
    <mergeCell ref="G477:G478"/>
    <mergeCell ref="D502:E502"/>
    <mergeCell ref="F235:F236"/>
    <mergeCell ref="G235:G236"/>
    <mergeCell ref="C352:E352"/>
    <mergeCell ref="G352:I352"/>
    <mergeCell ref="F353:F354"/>
    <mergeCell ref="G353:G354"/>
    <mergeCell ref="C443:E443"/>
    <mergeCell ref="G443:I443"/>
    <mergeCell ref="F268:F269"/>
    <mergeCell ref="G268:G269"/>
    <mergeCell ref="C410:E410"/>
    <mergeCell ref="G410:I410"/>
    <mergeCell ref="F411:F412"/>
    <mergeCell ref="G411:G412"/>
    <mergeCell ref="C382:E382"/>
    <mergeCell ref="G382:I382"/>
    <mergeCell ref="F383:F384"/>
    <mergeCell ref="G383:G384"/>
    <mergeCell ref="C5:E5"/>
    <mergeCell ref="G5:I5"/>
    <mergeCell ref="F6:F7"/>
    <mergeCell ref="G6:G7"/>
    <mergeCell ref="C39:E39"/>
    <mergeCell ref="G39:I39"/>
    <mergeCell ref="C325:E325"/>
    <mergeCell ref="G325:I325"/>
    <mergeCell ref="F326:F327"/>
    <mergeCell ref="G326:G327"/>
    <mergeCell ref="C295:E295"/>
    <mergeCell ref="G295:I295"/>
    <mergeCell ref="F296:F297"/>
    <mergeCell ref="G296:G297"/>
    <mergeCell ref="C110:E110"/>
    <mergeCell ref="G110:I110"/>
    <mergeCell ref="F111:F112"/>
    <mergeCell ref="G111:G112"/>
    <mergeCell ref="C165:E165"/>
    <mergeCell ref="G165:I165"/>
    <mergeCell ref="C199:E199"/>
    <mergeCell ref="G199:I199"/>
    <mergeCell ref="F200:F201"/>
    <mergeCell ref="G200:G201"/>
    <mergeCell ref="F2281:F2282"/>
    <mergeCell ref="G2281:G2282"/>
    <mergeCell ref="F40:F41"/>
    <mergeCell ref="G40:G41"/>
    <mergeCell ref="C71:E71"/>
    <mergeCell ref="G71:I71"/>
    <mergeCell ref="F72:F73"/>
    <mergeCell ref="G72:G73"/>
    <mergeCell ref="F139:F140"/>
    <mergeCell ref="G139:G140"/>
    <mergeCell ref="C2252:E2252"/>
    <mergeCell ref="G2252:I2252"/>
    <mergeCell ref="F2253:F2254"/>
    <mergeCell ref="G2253:G2254"/>
    <mergeCell ref="C2280:E2280"/>
    <mergeCell ref="G2280:I2280"/>
    <mergeCell ref="F166:F167"/>
    <mergeCell ref="G166:G167"/>
    <mergeCell ref="C138:E138"/>
    <mergeCell ref="G138:I138"/>
    <mergeCell ref="C267:E267"/>
    <mergeCell ref="G267:I267"/>
    <mergeCell ref="C234:E234"/>
    <mergeCell ref="G234:I234"/>
  </mergeCells>
  <phoneticPr fontId="22" type="noConversion"/>
  <pageMargins left="0.27559055118110237" right="0.31496062992125984" top="0.51181102362204722" bottom="0.98425196850393704" header="0.51181102362204722" footer="0.51181102362204722"/>
  <pageSetup paperSize="9" firstPageNumber="286" orientation="landscape" useFirstPageNumber="1" r:id="rId1"/>
  <headerFooter alignWithMargins="0">
    <oddFooter>&amp;C&amp;P</oddFooter>
  </headerFooter>
  <rowBreaks count="75" manualBreakCount="75">
    <brk id="34" max="16383" man="1"/>
    <brk id="66" max="16383" man="1"/>
    <brk id="105" max="16383" man="1"/>
    <brk id="133" max="16383" man="1"/>
    <brk id="160" max="16383" man="1"/>
    <brk id="194" max="16383" man="1"/>
    <brk id="229" max="16383" man="1"/>
    <brk id="262" max="16383" man="1"/>
    <brk id="290" max="16383" man="1"/>
    <brk id="320" max="16383" man="1"/>
    <brk id="347" max="16383" man="1"/>
    <brk id="377" max="16383" man="1"/>
    <brk id="405" max="16383" man="1"/>
    <brk id="438" max="16383" man="1"/>
    <brk id="471" max="16383" man="1"/>
    <brk id="499" max="9" man="1"/>
    <brk id="527" max="9" man="1"/>
    <brk id="554" max="16383" man="1"/>
    <brk id="582" max="16383" man="1"/>
    <brk id="611" max="16383" man="1"/>
    <brk id="638" max="16383" man="1"/>
    <brk id="667" max="16383" man="1"/>
    <brk id="696" max="16383" man="1"/>
    <brk id="725" max="16383" man="1"/>
    <brk id="754" max="16383" man="1"/>
    <brk id="792" max="16383" man="1"/>
    <brk id="820" max="16383" man="1"/>
    <brk id="852" max="16383" man="1"/>
    <brk id="879" max="16383" man="1"/>
    <brk id="906" max="16383" man="1"/>
    <brk id="940" max="16383" man="1"/>
    <brk id="967" max="16383" man="1"/>
    <brk id="994" max="16383" man="1"/>
    <brk id="1024" max="16383" man="1"/>
    <brk id="1058" max="16383" man="1"/>
    <brk id="1087" max="16383" man="1"/>
    <brk id="1115" max="16383" man="1"/>
    <brk id="1142" max="16383" man="1"/>
    <brk id="1173" max="16383" man="1"/>
    <brk id="1201" max="16383" man="1"/>
    <brk id="1230" max="16383" man="1"/>
    <brk id="1262" max="16383" man="1"/>
    <brk id="1289" max="16383" man="1"/>
    <brk id="1316" max="16383" man="1"/>
    <brk id="1344" max="16383" man="1"/>
    <brk id="1371" max="16383" man="1"/>
    <brk id="1402" max="16383" man="1"/>
    <brk id="1431" max="16383" man="1"/>
    <brk id="1457" max="16383" man="1"/>
    <brk id="1494" max="16383" man="1"/>
    <brk id="1522" max="16383" man="1"/>
    <brk id="1550" max="16383" man="1"/>
    <brk id="1580" max="16383" man="1"/>
    <brk id="1607" max="16383" man="1"/>
    <brk id="1634" max="16383" man="1"/>
    <brk id="1661" max="16383" man="1"/>
    <brk id="1690" max="16383" man="1"/>
    <brk id="1720" max="16383" man="1"/>
    <brk id="1747" max="16383" man="1"/>
    <brk id="1776" max="16383" man="1"/>
    <brk id="1806" max="16383" man="1"/>
    <brk id="1833" max="16383" man="1"/>
    <brk id="1861" max="16383" man="1"/>
    <brk id="1890" max="16383" man="1"/>
    <brk id="1917" max="16383" man="1"/>
    <brk id="1944" max="16383" man="1"/>
    <brk id="1974" max="16383" man="1"/>
    <brk id="2013" max="16383" man="1"/>
    <brk id="2042" max="16383" man="1"/>
    <brk id="2076" max="16383" man="1"/>
    <brk id="2104" max="16383" man="1"/>
    <brk id="2132" max="16383" man="1"/>
    <brk id="2160" max="9" man="1"/>
    <brk id="2187" max="16383" man="1"/>
    <brk id="2219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U88"/>
  <sheetViews>
    <sheetView zoomScale="150" zoomScaleNormal="150" workbookViewId="0">
      <selection sqref="A1:F1"/>
    </sheetView>
  </sheetViews>
  <sheetFormatPr defaultColWidth="8.85546875" defaultRowHeight="15"/>
  <cols>
    <col min="1" max="1" width="6.85546875" style="184" customWidth="1"/>
    <col min="2" max="2" width="34.7109375" style="184" customWidth="1"/>
    <col min="3" max="4" width="15.42578125" style="184" customWidth="1"/>
    <col min="5" max="5" width="14.28515625" style="184" customWidth="1"/>
    <col min="6" max="6" width="19.140625" style="184" customWidth="1"/>
    <col min="7" max="8" width="15.42578125" style="184" customWidth="1"/>
    <col min="9" max="9" width="15.140625" style="184" customWidth="1"/>
    <col min="10" max="10" width="11.28515625" style="184" customWidth="1"/>
    <col min="11" max="11" width="15.42578125" style="184" bestFit="1" customWidth="1"/>
    <col min="12" max="14" width="8.85546875" style="184"/>
    <col min="15" max="16" width="13.42578125" style="184" bestFit="1" customWidth="1"/>
    <col min="17" max="18" width="13.140625" style="184" bestFit="1" customWidth="1"/>
    <col min="19" max="16384" width="8.85546875" style="184"/>
  </cols>
  <sheetData>
    <row r="1" spans="1:21" s="320" customFormat="1" ht="15" customHeight="1">
      <c r="A1" s="1086" t="s">
        <v>4207</v>
      </c>
      <c r="B1" s="1086"/>
      <c r="C1" s="1086"/>
      <c r="D1" s="1086"/>
      <c r="E1" s="1086"/>
      <c r="F1" s="1086"/>
      <c r="G1" s="612"/>
      <c r="H1" s="613"/>
      <c r="I1" s="611"/>
    </row>
    <row r="2" spans="1:21" ht="15" customHeight="1" thickBot="1">
      <c r="A2" s="1085" t="s">
        <v>4493</v>
      </c>
      <c r="B2" s="1085"/>
      <c r="C2" s="1085"/>
      <c r="D2" s="1085"/>
      <c r="E2" s="1085"/>
      <c r="F2" s="1085"/>
      <c r="G2" s="612"/>
      <c r="H2" s="613"/>
      <c r="I2" s="611"/>
      <c r="J2" s="320"/>
    </row>
    <row r="3" spans="1:21" ht="26.25" customHeight="1" thickTop="1">
      <c r="A3" s="614" t="s">
        <v>2601</v>
      </c>
      <c r="B3" s="615" t="s">
        <v>3922</v>
      </c>
      <c r="C3" s="615" t="s">
        <v>1841</v>
      </c>
      <c r="D3" s="615" t="s">
        <v>5437</v>
      </c>
      <c r="E3" s="615" t="s">
        <v>5436</v>
      </c>
      <c r="F3" s="615" t="s">
        <v>2603</v>
      </c>
      <c r="G3" s="615" t="s">
        <v>2602</v>
      </c>
      <c r="H3" s="615" t="s">
        <v>2602</v>
      </c>
      <c r="I3" s="616" t="s">
        <v>2603</v>
      </c>
    </row>
    <row r="4" spans="1:21" ht="17.25" customHeight="1">
      <c r="A4" s="617"/>
      <c r="B4" s="618"/>
      <c r="C4" s="618">
        <v>2014</v>
      </c>
      <c r="D4" s="618" t="s">
        <v>4203</v>
      </c>
      <c r="E4" s="618" t="s">
        <v>4203</v>
      </c>
      <c r="F4" s="618">
        <v>2015</v>
      </c>
      <c r="G4" s="618">
        <v>2016</v>
      </c>
      <c r="H4" s="618">
        <v>2017</v>
      </c>
      <c r="I4" s="619" t="s">
        <v>4200</v>
      </c>
    </row>
    <row r="5" spans="1:21">
      <c r="A5" s="620">
        <v>1</v>
      </c>
      <c r="B5" s="621" t="s">
        <v>2113</v>
      </c>
      <c r="C5" s="622">
        <f>T5+U5</f>
        <v>75520800</v>
      </c>
      <c r="D5" s="623">
        <f>'432 Breakdown'!C8</f>
        <v>40000000</v>
      </c>
      <c r="E5" s="623">
        <f>'432 Breakdown'!C31</f>
        <v>22500000</v>
      </c>
      <c r="F5" s="624">
        <f t="shared" ref="F5:F20" si="0">+E5+D5</f>
        <v>62500000</v>
      </c>
      <c r="G5" s="623">
        <f>O5+P5</f>
        <v>77001600</v>
      </c>
      <c r="H5" s="623">
        <f>Q5+R5</f>
        <v>75520800</v>
      </c>
      <c r="I5" s="625">
        <f>SUM(F5:H5)</f>
        <v>215022400</v>
      </c>
      <c r="K5" s="321">
        <v>106414400</v>
      </c>
      <c r="O5" s="246">
        <f>'432 Breakdown'!D8</f>
        <v>33529600</v>
      </c>
      <c r="P5" s="246">
        <f>'432 Breakdown'!D31</f>
        <v>43472000</v>
      </c>
      <c r="Q5" s="246">
        <f>'432 Breakdown'!E8</f>
        <v>32884800</v>
      </c>
      <c r="R5" s="246">
        <f>'432 Breakdown'!E31</f>
        <v>42636000</v>
      </c>
      <c r="T5" s="246">
        <f>'432 Breakdown'!H8</f>
        <v>32884800</v>
      </c>
      <c r="U5" s="246">
        <f>'432 Breakdown'!H31</f>
        <v>42636000</v>
      </c>
    </row>
    <row r="6" spans="1:21" ht="24">
      <c r="A6" s="620">
        <f t="shared" ref="A6:A72" si="1">+A5+1</f>
        <v>2</v>
      </c>
      <c r="B6" s="621" t="s">
        <v>2423</v>
      </c>
      <c r="C6" s="622">
        <f t="shared" ref="C6:C69" si="2">T6+U6</f>
        <v>91478400</v>
      </c>
      <c r="D6" s="623">
        <f>'432 Breakdown'!C42</f>
        <v>86957287.450000003</v>
      </c>
      <c r="E6" s="623">
        <f>'432 Breakdown'!C63</f>
        <v>14500000</v>
      </c>
      <c r="F6" s="624">
        <f t="shared" si="0"/>
        <v>101457287.45</v>
      </c>
      <c r="G6" s="623">
        <f t="shared" ref="G6:G69" si="3">O6+P6</f>
        <v>94478400</v>
      </c>
      <c r="H6" s="623">
        <f t="shared" ref="H6:H69" si="4">Q6+R6</f>
        <v>91478400</v>
      </c>
      <c r="I6" s="625">
        <f t="shared" ref="I6:I69" si="5">SUM(F6:H6)</f>
        <v>287414087.44999999</v>
      </c>
      <c r="O6" s="246">
        <f>'432 Breakdown'!D42</f>
        <v>80038400</v>
      </c>
      <c r="P6" s="246">
        <f>'432 Breakdown'!D63</f>
        <v>14440000</v>
      </c>
      <c r="Q6" s="246">
        <f>'432 Breakdown'!E42</f>
        <v>80038400</v>
      </c>
      <c r="R6" s="246">
        <f>'432 Breakdown'!E63</f>
        <v>11440000</v>
      </c>
      <c r="T6" s="246">
        <f>'432 Breakdown'!H42</f>
        <v>80038400</v>
      </c>
      <c r="U6" s="246">
        <f>'432 Breakdown'!H63</f>
        <v>11440000</v>
      </c>
    </row>
    <row r="7" spans="1:21">
      <c r="A7" s="620">
        <f t="shared" si="1"/>
        <v>3</v>
      </c>
      <c r="B7" s="621" t="s">
        <v>3980</v>
      </c>
      <c r="C7" s="622">
        <f t="shared" si="2"/>
        <v>373355219</v>
      </c>
      <c r="D7" s="623">
        <f>'432 Breakdown'!C74</f>
        <v>364975683.94999999</v>
      </c>
      <c r="E7" s="623">
        <f>'432 Breakdown'!C103</f>
        <v>15500000</v>
      </c>
      <c r="F7" s="624">
        <f t="shared" si="0"/>
        <v>380475683.94999999</v>
      </c>
      <c r="G7" s="623">
        <f t="shared" si="3"/>
        <v>443248000</v>
      </c>
      <c r="H7" s="623">
        <f t="shared" si="4"/>
        <v>443248000</v>
      </c>
      <c r="I7" s="625">
        <f t="shared" si="5"/>
        <v>1266971683.95</v>
      </c>
      <c r="K7" s="322">
        <f>K5-I5</f>
        <v>-108608000</v>
      </c>
      <c r="O7" s="246">
        <f>'432 Breakdown'!D74</f>
        <v>426400000</v>
      </c>
      <c r="P7" s="246">
        <f>'432 Breakdown'!D103</f>
        <v>16848000</v>
      </c>
      <c r="Q7" s="246">
        <f>'432 Breakdown'!E74</f>
        <v>426400000</v>
      </c>
      <c r="R7" s="246">
        <f>'432 Breakdown'!E103</f>
        <v>16848000</v>
      </c>
      <c r="T7" s="246">
        <f>'432 Breakdown'!H74</f>
        <v>356507219</v>
      </c>
      <c r="U7" s="246">
        <f>'432 Breakdown'!H103</f>
        <v>16848000</v>
      </c>
    </row>
    <row r="8" spans="1:21">
      <c r="A8" s="620">
        <f t="shared" si="1"/>
        <v>4</v>
      </c>
      <c r="B8" s="621" t="s">
        <v>2630</v>
      </c>
      <c r="C8" s="622">
        <f t="shared" si="2"/>
        <v>36815600</v>
      </c>
      <c r="D8" s="623">
        <v>3359600</v>
      </c>
      <c r="E8" s="623">
        <f>'432 Breakdown'!C130</f>
        <v>6500000</v>
      </c>
      <c r="F8" s="624">
        <f t="shared" si="0"/>
        <v>9859600</v>
      </c>
      <c r="G8" s="623">
        <f t="shared" si="3"/>
        <v>36815600</v>
      </c>
      <c r="H8" s="623">
        <f t="shared" si="4"/>
        <v>36815600</v>
      </c>
      <c r="I8" s="625">
        <f t="shared" si="5"/>
        <v>83490800</v>
      </c>
      <c r="O8" s="246">
        <v>3359600</v>
      </c>
      <c r="P8" s="246">
        <f>'432 Breakdown'!D130</f>
        <v>33456000</v>
      </c>
      <c r="Q8" s="246">
        <v>3359600</v>
      </c>
      <c r="R8" s="246">
        <f>'432 Breakdown'!E130</f>
        <v>33456000</v>
      </c>
      <c r="T8" s="246">
        <v>3359600</v>
      </c>
      <c r="U8" s="246">
        <f>'432 Breakdown'!H130</f>
        <v>33456000</v>
      </c>
    </row>
    <row r="9" spans="1:21" ht="15.75">
      <c r="A9" s="620">
        <f t="shared" si="1"/>
        <v>5</v>
      </c>
      <c r="B9" s="621" t="s">
        <v>983</v>
      </c>
      <c r="C9" s="622">
        <f t="shared" si="2"/>
        <v>14560000</v>
      </c>
      <c r="D9" s="623">
        <f>'432 Breakdown'!C141</f>
        <v>7003525.7000000002</v>
      </c>
      <c r="E9" s="623">
        <f>'432 Breakdown'!C157</f>
        <v>6100000</v>
      </c>
      <c r="F9" s="624">
        <f t="shared" si="0"/>
        <v>13103525.699999999</v>
      </c>
      <c r="G9" s="623">
        <f t="shared" si="3"/>
        <v>14560000</v>
      </c>
      <c r="H9" s="623">
        <f t="shared" si="4"/>
        <v>14560000</v>
      </c>
      <c r="I9" s="625">
        <f t="shared" si="5"/>
        <v>42223525.700000003</v>
      </c>
      <c r="K9" s="245" t="s">
        <v>3921</v>
      </c>
      <c r="O9" s="246">
        <f>'432 Breakdown'!D141</f>
        <v>7280000</v>
      </c>
      <c r="P9" s="246">
        <f>'432 Breakdown'!D157</f>
        <v>7280000</v>
      </c>
      <c r="Q9" s="246">
        <f>'432 Breakdown'!E141</f>
        <v>7280000</v>
      </c>
      <c r="R9" s="246">
        <f>'432 Breakdown'!E157</f>
        <v>7280000</v>
      </c>
      <c r="T9" s="246">
        <f>'432 Breakdown'!H141</f>
        <v>7280000</v>
      </c>
      <c r="U9" s="246">
        <f>'432 Breakdown'!H157</f>
        <v>7280000</v>
      </c>
    </row>
    <row r="10" spans="1:21">
      <c r="A10" s="620">
        <f t="shared" si="1"/>
        <v>6</v>
      </c>
      <c r="B10" s="621" t="s">
        <v>1283</v>
      </c>
      <c r="C10" s="622">
        <f t="shared" si="2"/>
        <v>2080184000</v>
      </c>
      <c r="D10" s="623">
        <f>'432 Breakdown'!C168</f>
        <v>2800000000</v>
      </c>
      <c r="E10" s="623">
        <f>'432 Breakdown'!C190</f>
        <v>79500000</v>
      </c>
      <c r="F10" s="624">
        <f t="shared" si="0"/>
        <v>2879500000</v>
      </c>
      <c r="G10" s="623">
        <f t="shared" si="3"/>
        <v>3000468000</v>
      </c>
      <c r="H10" s="623">
        <f t="shared" si="4"/>
        <v>3000468000</v>
      </c>
      <c r="I10" s="625">
        <f t="shared" si="5"/>
        <v>8880436000</v>
      </c>
      <c r="J10"/>
      <c r="K10" t="s">
        <v>1840</v>
      </c>
      <c r="O10" s="246">
        <f>'432 Breakdown'!D168</f>
        <v>2920320000</v>
      </c>
      <c r="P10" s="246">
        <f>'432 Breakdown'!D190</f>
        <v>80148000</v>
      </c>
      <c r="Q10" s="246">
        <f>'432 Breakdown'!E168</f>
        <v>2920320000</v>
      </c>
      <c r="R10" s="246">
        <f>'432 Breakdown'!E190</f>
        <v>80148000</v>
      </c>
      <c r="T10" s="246">
        <f>'432 Breakdown'!H168</f>
        <v>2000000000</v>
      </c>
      <c r="U10" s="246">
        <f>'432 Breakdown'!H190</f>
        <v>80184000</v>
      </c>
    </row>
    <row r="11" spans="1:21">
      <c r="A11" s="620">
        <f t="shared" si="1"/>
        <v>7</v>
      </c>
      <c r="B11" s="621" t="s">
        <v>1668</v>
      </c>
      <c r="C11" s="622">
        <f t="shared" si="2"/>
        <v>234000000</v>
      </c>
      <c r="D11" s="623">
        <f>'432 Breakdown'!C202</f>
        <v>99118533.200000003</v>
      </c>
      <c r="E11" s="623">
        <f>'432 Breakdown'!C226</f>
        <v>148200000</v>
      </c>
      <c r="F11" s="624">
        <f t="shared" si="0"/>
        <v>247318533.19999999</v>
      </c>
      <c r="G11" s="623">
        <f t="shared" si="3"/>
        <v>234000000</v>
      </c>
      <c r="H11" s="623">
        <f t="shared" si="4"/>
        <v>234000000</v>
      </c>
      <c r="I11" s="625">
        <f t="shared" si="5"/>
        <v>715318533.20000005</v>
      </c>
      <c r="L11" s="248"/>
      <c r="O11" s="246">
        <f>'432 Breakdown'!D202</f>
        <v>81120000</v>
      </c>
      <c r="P11" s="246">
        <f>'432 Breakdown'!D226</f>
        <v>152880000</v>
      </c>
      <c r="Q11" s="246">
        <f>'432 Breakdown'!E202</f>
        <v>81120000</v>
      </c>
      <c r="R11" s="246">
        <f>'432 Breakdown'!E226</f>
        <v>152880000</v>
      </c>
      <c r="T11" s="246">
        <f>'432 Breakdown'!H202</f>
        <v>81120000</v>
      </c>
      <c r="U11" s="246">
        <f>'432 Breakdown'!H226</f>
        <v>152880000</v>
      </c>
    </row>
    <row r="12" spans="1:21">
      <c r="A12" s="620">
        <f t="shared" si="1"/>
        <v>8</v>
      </c>
      <c r="B12" s="621" t="s">
        <v>1284</v>
      </c>
      <c r="C12" s="622">
        <f t="shared" si="2"/>
        <v>141256052</v>
      </c>
      <c r="D12" s="623">
        <f>'432 Breakdown'!C237</f>
        <v>157993618.90000001</v>
      </c>
      <c r="E12" s="623">
        <f>'432 Breakdown'!C259</f>
        <v>21000000</v>
      </c>
      <c r="F12" s="624">
        <f t="shared" si="0"/>
        <v>178993618.90000001</v>
      </c>
      <c r="G12" s="623">
        <f t="shared" si="3"/>
        <v>160992000</v>
      </c>
      <c r="H12" s="623">
        <f t="shared" si="4"/>
        <v>160992000</v>
      </c>
      <c r="I12" s="625">
        <f t="shared" si="5"/>
        <v>500977618.89999998</v>
      </c>
      <c r="O12" s="246">
        <f>'432 Breakdown'!D237</f>
        <v>140608000</v>
      </c>
      <c r="P12" s="246">
        <f>'432 Breakdown'!D259</f>
        <v>20384000</v>
      </c>
      <c r="Q12" s="246">
        <f>'432 Breakdown'!E237</f>
        <v>140608000</v>
      </c>
      <c r="R12" s="246">
        <f>'432 Breakdown'!E259</f>
        <v>20384000</v>
      </c>
      <c r="T12" s="246">
        <f>'432 Breakdown'!H237</f>
        <v>120872052</v>
      </c>
      <c r="U12" s="246">
        <f>'432 Breakdown'!H259</f>
        <v>20384000</v>
      </c>
    </row>
    <row r="13" spans="1:21">
      <c r="A13" s="620">
        <f t="shared" si="1"/>
        <v>9</v>
      </c>
      <c r="B13" s="621" t="s">
        <v>4117</v>
      </c>
      <c r="C13" s="622">
        <f t="shared" si="2"/>
        <v>128346802</v>
      </c>
      <c r="D13" s="623">
        <f>'432 Breakdown'!C270</f>
        <v>107000000</v>
      </c>
      <c r="E13" s="623">
        <f>'432 Breakdown'!C287</f>
        <v>23100000</v>
      </c>
      <c r="F13" s="624">
        <f t="shared" si="0"/>
        <v>130100000</v>
      </c>
      <c r="G13" s="623">
        <f t="shared" si="3"/>
        <v>119176000</v>
      </c>
      <c r="H13" s="623">
        <f t="shared" si="4"/>
        <v>119176000</v>
      </c>
      <c r="I13" s="625">
        <f t="shared" si="5"/>
        <v>368452000</v>
      </c>
      <c r="O13" s="246">
        <f>'432 Breakdown'!D270</f>
        <v>95680000</v>
      </c>
      <c r="P13" s="246">
        <f>'432 Breakdown'!D287</f>
        <v>23496000</v>
      </c>
      <c r="Q13" s="246">
        <f>'432 Breakdown'!E270</f>
        <v>95680000</v>
      </c>
      <c r="R13" s="246">
        <f>'432 Breakdown'!E287</f>
        <v>23496000</v>
      </c>
      <c r="T13" s="246">
        <f>'432 Breakdown'!H270</f>
        <v>104842802</v>
      </c>
      <c r="U13" s="246">
        <f>'432 Breakdown'!H287</f>
        <v>23504000</v>
      </c>
    </row>
    <row r="14" spans="1:21">
      <c r="A14" s="620">
        <f t="shared" si="1"/>
        <v>10</v>
      </c>
      <c r="B14" s="621" t="s">
        <v>1669</v>
      </c>
      <c r="C14" s="622">
        <f t="shared" si="2"/>
        <v>113960876</v>
      </c>
      <c r="D14" s="623">
        <f>'432 Breakdown'!C298</f>
        <v>85851300.150000006</v>
      </c>
      <c r="E14" s="623">
        <f>'432 Breakdown'!C317</f>
        <v>7500000</v>
      </c>
      <c r="F14" s="624">
        <f t="shared" si="0"/>
        <v>93351300.150000006</v>
      </c>
      <c r="G14" s="623">
        <f t="shared" si="3"/>
        <v>112201599.99999999</v>
      </c>
      <c r="H14" s="623">
        <f t="shared" si="4"/>
        <v>112201599.99999999</v>
      </c>
      <c r="I14" s="625">
        <f t="shared" si="5"/>
        <v>317754500.14999998</v>
      </c>
      <c r="O14" s="246">
        <f>'432 Breakdown'!D298</f>
        <v>103833599.99999999</v>
      </c>
      <c r="P14" s="246">
        <f>'432 Breakdown'!D317</f>
        <v>8368000</v>
      </c>
      <c r="Q14" s="246">
        <f>'432 Breakdown'!E298</f>
        <v>103833599.99999999</v>
      </c>
      <c r="R14" s="246">
        <f>'432 Breakdown'!E317</f>
        <v>8368000</v>
      </c>
      <c r="T14" s="246">
        <f>'432 Breakdown'!H298</f>
        <v>105588876</v>
      </c>
      <c r="U14" s="246">
        <f>'432 Breakdown'!H317</f>
        <v>8372000</v>
      </c>
    </row>
    <row r="15" spans="1:21">
      <c r="A15" s="620">
        <f t="shared" si="1"/>
        <v>11</v>
      </c>
      <c r="B15" s="621" t="s">
        <v>3865</v>
      </c>
      <c r="C15" s="622">
        <f t="shared" si="2"/>
        <v>15704000</v>
      </c>
      <c r="D15" s="623">
        <f>'432 Breakdown'!C328</f>
        <v>10000000</v>
      </c>
      <c r="E15" s="623">
        <f>'432 Breakdown'!C344</f>
        <v>5500000</v>
      </c>
      <c r="F15" s="624">
        <f t="shared" si="0"/>
        <v>15500000</v>
      </c>
      <c r="G15" s="623">
        <f t="shared" si="3"/>
        <v>15704000</v>
      </c>
      <c r="H15" s="623">
        <f t="shared" si="4"/>
        <v>15704000</v>
      </c>
      <c r="I15" s="625">
        <f t="shared" si="5"/>
        <v>46908000</v>
      </c>
      <c r="O15" s="246">
        <f>'432 Breakdown'!D328</f>
        <v>10400000</v>
      </c>
      <c r="P15" s="246">
        <f>'432 Breakdown'!D344</f>
        <v>5304000</v>
      </c>
      <c r="Q15" s="246">
        <f>'432 Breakdown'!E328</f>
        <v>10400000</v>
      </c>
      <c r="R15" s="246">
        <f>'432 Breakdown'!E344</f>
        <v>5304000</v>
      </c>
      <c r="T15" s="246">
        <f>'432 Breakdown'!H328</f>
        <v>10400000</v>
      </c>
      <c r="U15" s="246">
        <f>'432 Breakdown'!H344</f>
        <v>5304000</v>
      </c>
    </row>
    <row r="16" spans="1:21">
      <c r="A16" s="620">
        <f t="shared" si="1"/>
        <v>12</v>
      </c>
      <c r="B16" s="621" t="s">
        <v>4216</v>
      </c>
      <c r="C16" s="622">
        <f t="shared" si="2"/>
        <v>30028000</v>
      </c>
      <c r="D16" s="623">
        <f>'432 Breakdown'!C355</f>
        <v>0</v>
      </c>
      <c r="E16" s="623">
        <f>'432 Breakdown'!C374</f>
        <v>15300000</v>
      </c>
      <c r="F16" s="624">
        <f t="shared" si="0"/>
        <v>15300000</v>
      </c>
      <c r="G16" s="623">
        <f t="shared" si="3"/>
        <v>30028000</v>
      </c>
      <c r="H16" s="623">
        <f t="shared" si="4"/>
        <v>30028000</v>
      </c>
      <c r="I16" s="625">
        <f t="shared" si="5"/>
        <v>75356000</v>
      </c>
      <c r="O16" s="246">
        <f>'432 Breakdown'!D355</f>
        <v>0</v>
      </c>
      <c r="P16" s="246">
        <f>'432 Breakdown'!D374</f>
        <v>30028000</v>
      </c>
      <c r="Q16" s="246">
        <f>'432 Breakdown'!E355</f>
        <v>0</v>
      </c>
      <c r="R16" s="246">
        <f>'432 Breakdown'!E374</f>
        <v>30028000</v>
      </c>
      <c r="T16" s="246">
        <f>'432 Breakdown'!H355</f>
        <v>0</v>
      </c>
      <c r="U16" s="246">
        <f>'432 Breakdown'!H374</f>
        <v>30028000</v>
      </c>
    </row>
    <row r="17" spans="1:21">
      <c r="A17" s="620">
        <f>+A16+1</f>
        <v>13</v>
      </c>
      <c r="B17" s="621" t="s">
        <v>1666</v>
      </c>
      <c r="C17" s="622">
        <f t="shared" si="2"/>
        <v>15184000</v>
      </c>
      <c r="D17" s="623">
        <f>'432 Breakdown'!C385</f>
        <v>0</v>
      </c>
      <c r="E17" s="623">
        <f>'432 Breakdown'!C402</f>
        <v>15500000</v>
      </c>
      <c r="F17" s="624">
        <f t="shared" si="0"/>
        <v>15500000</v>
      </c>
      <c r="G17" s="623">
        <f t="shared" si="3"/>
        <v>15184000</v>
      </c>
      <c r="H17" s="623">
        <f t="shared" si="4"/>
        <v>15184000</v>
      </c>
      <c r="I17" s="625">
        <f t="shared" si="5"/>
        <v>45868000</v>
      </c>
      <c r="O17" s="246">
        <f>'432 Breakdown'!D385</f>
        <v>0</v>
      </c>
      <c r="P17" s="246">
        <f>'432 Breakdown'!D402</f>
        <v>15184000</v>
      </c>
      <c r="Q17" s="246">
        <f>'432 Breakdown'!E385</f>
        <v>0</v>
      </c>
      <c r="R17" s="246">
        <f>'432 Breakdown'!E402</f>
        <v>15184000</v>
      </c>
      <c r="T17" s="246">
        <f>'432 Breakdown'!H385</f>
        <v>0</v>
      </c>
      <c r="U17" s="246">
        <f>'432 Breakdown'!H402</f>
        <v>15184000</v>
      </c>
    </row>
    <row r="18" spans="1:21">
      <c r="A18" s="620">
        <v>14</v>
      </c>
      <c r="B18" s="621" t="s">
        <v>2783</v>
      </c>
      <c r="C18" s="622">
        <f t="shared" si="2"/>
        <v>146811099</v>
      </c>
      <c r="D18" s="623">
        <f>'432 Breakdown'!C413</f>
        <v>147198673.55000001</v>
      </c>
      <c r="E18" s="623">
        <f>'432 Breakdown'!C435</f>
        <v>24500000</v>
      </c>
      <c r="F18" s="624">
        <f t="shared" si="0"/>
        <v>171698673.55000001</v>
      </c>
      <c r="G18" s="623">
        <f t="shared" si="3"/>
        <v>199524000</v>
      </c>
      <c r="H18" s="623">
        <f t="shared" si="4"/>
        <v>199524000</v>
      </c>
      <c r="I18" s="625">
        <f t="shared" si="5"/>
        <v>570746673.54999995</v>
      </c>
      <c r="O18" s="246">
        <f>'432 Breakdown'!D413</f>
        <v>162240000</v>
      </c>
      <c r="P18" s="246">
        <f>'432 Breakdown'!D435</f>
        <v>37284000</v>
      </c>
      <c r="Q18" s="246">
        <f>'432 Breakdown'!E413</f>
        <v>162240000</v>
      </c>
      <c r="R18" s="246">
        <f>'432 Breakdown'!E435</f>
        <v>37284000</v>
      </c>
      <c r="T18" s="246">
        <f>'432 Breakdown'!H413</f>
        <v>109527099</v>
      </c>
      <c r="U18" s="246">
        <f>'432 Breakdown'!H435</f>
        <v>37284000</v>
      </c>
    </row>
    <row r="19" spans="1:21">
      <c r="A19" s="620">
        <f t="shared" si="1"/>
        <v>15</v>
      </c>
      <c r="B19" s="621" t="s">
        <v>1670</v>
      </c>
      <c r="C19" s="622">
        <f t="shared" si="2"/>
        <v>583228000</v>
      </c>
      <c r="D19" s="623">
        <f>'432 Breakdown'!C446</f>
        <v>577324003.25</v>
      </c>
      <c r="E19" s="623">
        <f>'432 Breakdown'!C468</f>
        <v>55000000</v>
      </c>
      <c r="F19" s="624">
        <f t="shared" si="0"/>
        <v>632324003.25</v>
      </c>
      <c r="G19" s="623">
        <f t="shared" si="3"/>
        <v>582760000</v>
      </c>
      <c r="H19" s="623">
        <f t="shared" si="4"/>
        <v>582780000</v>
      </c>
      <c r="I19" s="625">
        <f t="shared" si="5"/>
        <v>1797864003.25</v>
      </c>
      <c r="O19" s="246">
        <f>'432 Breakdown'!D446</f>
        <v>540800000</v>
      </c>
      <c r="P19" s="246">
        <f>'432 Breakdown'!D468</f>
        <v>41960000</v>
      </c>
      <c r="Q19" s="246">
        <f>'432 Breakdown'!E446</f>
        <v>540800000</v>
      </c>
      <c r="R19" s="246">
        <f>'432 Breakdown'!E468</f>
        <v>41980000</v>
      </c>
      <c r="T19" s="246">
        <f>'432 Breakdown'!H446</f>
        <v>540800000</v>
      </c>
      <c r="U19" s="246">
        <f>'432 Breakdown'!H468</f>
        <v>42428000</v>
      </c>
    </row>
    <row r="20" spans="1:21">
      <c r="A20" s="620" t="s">
        <v>4180</v>
      </c>
      <c r="B20" s="621" t="s">
        <v>2424</v>
      </c>
      <c r="C20" s="622">
        <f t="shared" si="2"/>
        <v>81000000</v>
      </c>
      <c r="D20" s="623">
        <f>'432 Breakdown'!C479</f>
        <v>12273255.699999999</v>
      </c>
      <c r="E20" s="623">
        <f>'432 Breakdown'!C496</f>
        <v>65500000</v>
      </c>
      <c r="F20" s="624">
        <f t="shared" si="0"/>
        <v>77773255.700000003</v>
      </c>
      <c r="G20" s="623">
        <f t="shared" si="3"/>
        <v>46820000</v>
      </c>
      <c r="H20" s="623">
        <f t="shared" si="4"/>
        <v>46820000</v>
      </c>
      <c r="I20" s="625">
        <f t="shared" si="5"/>
        <v>171413255.69999999</v>
      </c>
      <c r="O20" s="246">
        <f>'432 Breakdown'!D479</f>
        <v>5200000</v>
      </c>
      <c r="P20" s="246">
        <f>'432 Breakdown'!D496</f>
        <v>41620000</v>
      </c>
      <c r="Q20" s="246">
        <f>'432 Breakdown'!E479</f>
        <v>5200000</v>
      </c>
      <c r="R20" s="246">
        <f>'432 Breakdown'!E496</f>
        <v>41620000</v>
      </c>
      <c r="T20" s="246">
        <f>'432 Breakdown'!H479</f>
        <v>15000000</v>
      </c>
      <c r="U20" s="246">
        <f>'432 Breakdown'!H496</f>
        <v>66000000</v>
      </c>
    </row>
    <row r="21" spans="1:21" s="315" customFormat="1">
      <c r="A21" s="620" t="s">
        <v>4179</v>
      </c>
      <c r="B21" s="621" t="s">
        <v>4181</v>
      </c>
      <c r="C21" s="622">
        <f t="shared" si="2"/>
        <v>24000000</v>
      </c>
      <c r="D21" s="623">
        <f>'432 Breakdown'!C507</f>
        <v>0</v>
      </c>
      <c r="E21" s="623">
        <f>'432 Breakdown'!C524</f>
        <v>27000000</v>
      </c>
      <c r="F21" s="624">
        <v>27000000</v>
      </c>
      <c r="G21" s="623">
        <f t="shared" si="3"/>
        <v>33448000</v>
      </c>
      <c r="H21" s="623">
        <f t="shared" si="4"/>
        <v>33448000</v>
      </c>
      <c r="I21" s="625">
        <f t="shared" si="5"/>
        <v>93896000</v>
      </c>
      <c r="O21" s="246">
        <f>'432 Breakdown'!D507</f>
        <v>0</v>
      </c>
      <c r="P21" s="246">
        <f>'432 Breakdown'!D524</f>
        <v>33448000</v>
      </c>
      <c r="Q21" s="246">
        <f>'432 Breakdown'!E507</f>
        <v>0</v>
      </c>
      <c r="R21" s="246">
        <f>'432 Breakdown'!E524</f>
        <v>33448000</v>
      </c>
      <c r="T21" s="246">
        <f>'432 Breakdown'!H507</f>
        <v>0</v>
      </c>
      <c r="U21" s="246">
        <f>'432 Breakdown'!H524</f>
        <v>24000000</v>
      </c>
    </row>
    <row r="22" spans="1:21">
      <c r="A22" s="620">
        <v>17</v>
      </c>
      <c r="B22" s="621" t="s">
        <v>3200</v>
      </c>
      <c r="C22" s="622">
        <f t="shared" si="2"/>
        <v>69540967</v>
      </c>
      <c r="D22" s="623">
        <f>'432 Breakdown'!C535</f>
        <v>35574705</v>
      </c>
      <c r="E22" s="623">
        <f>'432 Breakdown'!C552</f>
        <v>27400000</v>
      </c>
      <c r="F22" s="624">
        <f t="shared" ref="F22:F53" si="6">+E22+D22</f>
        <v>62974705</v>
      </c>
      <c r="G22" s="623">
        <f t="shared" si="3"/>
        <v>58968000</v>
      </c>
      <c r="H22" s="623">
        <f t="shared" si="4"/>
        <v>58968000</v>
      </c>
      <c r="I22" s="625">
        <f t="shared" si="5"/>
        <v>180910705</v>
      </c>
      <c r="O22" s="246">
        <f>'432 Breakdown'!D535</f>
        <v>34320000</v>
      </c>
      <c r="P22" s="246">
        <f>'432 Breakdown'!D552</f>
        <v>24648000</v>
      </c>
      <c r="Q22" s="246">
        <f>'432 Breakdown'!E535</f>
        <v>34320000</v>
      </c>
      <c r="R22" s="246">
        <f>'432 Breakdown'!E552</f>
        <v>24648000</v>
      </c>
      <c r="T22" s="246">
        <f>'432 Breakdown'!H535</f>
        <v>36092967</v>
      </c>
      <c r="U22" s="246">
        <f>'432 Breakdown'!H552</f>
        <v>33448000</v>
      </c>
    </row>
    <row r="23" spans="1:21">
      <c r="A23" s="620">
        <f t="shared" si="1"/>
        <v>18</v>
      </c>
      <c r="B23" s="621" t="s">
        <v>1671</v>
      </c>
      <c r="C23" s="622">
        <f t="shared" si="2"/>
        <v>20977616</v>
      </c>
      <c r="D23" s="623">
        <f>'432 Breakdown'!C562</f>
        <v>7125508.9000000004</v>
      </c>
      <c r="E23" s="623">
        <f>'432 Breakdown'!C579</f>
        <v>11625509</v>
      </c>
      <c r="F23" s="624">
        <f t="shared" si="6"/>
        <v>18751017.899999999</v>
      </c>
      <c r="G23" s="623">
        <f t="shared" si="3"/>
        <v>20977615.359999999</v>
      </c>
      <c r="H23" s="623">
        <f t="shared" si="4"/>
        <v>20977615.359999999</v>
      </c>
      <c r="I23" s="625">
        <f t="shared" si="5"/>
        <v>60706248.619999997</v>
      </c>
      <c r="O23" s="246">
        <f>'432 Breakdown'!D562</f>
        <v>8044807.6800000006</v>
      </c>
      <c r="P23" s="246">
        <f>'432 Breakdown'!D581</f>
        <v>12932807.68</v>
      </c>
      <c r="Q23" s="246">
        <f>'432 Breakdown'!E562</f>
        <v>8044807.6800000006</v>
      </c>
      <c r="R23" s="246">
        <f>'432 Breakdown'!E581</f>
        <v>12932807.68</v>
      </c>
      <c r="T23" s="246">
        <f>'432 Breakdown'!H562</f>
        <v>8044808</v>
      </c>
      <c r="U23" s="246">
        <f>'432 Breakdown'!H581</f>
        <v>12932808</v>
      </c>
    </row>
    <row r="24" spans="1:21">
      <c r="A24" s="620">
        <f t="shared" si="1"/>
        <v>19</v>
      </c>
      <c r="B24" s="621" t="s">
        <v>1648</v>
      </c>
      <c r="C24" s="622">
        <f t="shared" si="2"/>
        <v>1529444000</v>
      </c>
      <c r="D24" s="623">
        <f>'432 Breakdown'!C590</f>
        <v>1349676686</v>
      </c>
      <c r="E24" s="623">
        <f>'432 Breakdown'!C608</f>
        <v>9500000</v>
      </c>
      <c r="F24" s="624">
        <f t="shared" si="6"/>
        <v>1359176686</v>
      </c>
      <c r="G24" s="623">
        <f t="shared" si="3"/>
        <v>1935306400</v>
      </c>
      <c r="H24" s="623">
        <f t="shared" si="4"/>
        <v>1935306400</v>
      </c>
      <c r="I24" s="625">
        <f t="shared" si="5"/>
        <v>5229789486</v>
      </c>
      <c r="O24" s="246">
        <f>'432 Breakdown'!D590</f>
        <v>1905862400</v>
      </c>
      <c r="P24" s="246">
        <f>'432 Breakdown'!D608</f>
        <v>29444000</v>
      </c>
      <c r="Q24" s="246">
        <f>'432 Breakdown'!E590</f>
        <v>1905862400</v>
      </c>
      <c r="R24" s="246">
        <f>'432 Breakdown'!E608</f>
        <v>29444000</v>
      </c>
      <c r="T24" s="246">
        <f>'432 Breakdown'!H590</f>
        <v>1500000000</v>
      </c>
      <c r="U24" s="246">
        <f>'432 Breakdown'!H608</f>
        <v>29444000</v>
      </c>
    </row>
    <row r="25" spans="1:21">
      <c r="A25" s="620">
        <f t="shared" si="1"/>
        <v>20</v>
      </c>
      <c r="B25" s="621" t="s">
        <v>3707</v>
      </c>
      <c r="C25" s="622">
        <f t="shared" si="2"/>
        <v>11960000</v>
      </c>
      <c r="D25" s="623">
        <f>'432 Breakdown'!C619</f>
        <v>6126972.3499999996</v>
      </c>
      <c r="E25" s="623">
        <f>'432 Breakdown'!C635</f>
        <v>6500000</v>
      </c>
      <c r="F25" s="624">
        <f t="shared" si="6"/>
        <v>12626972.35</v>
      </c>
      <c r="G25" s="623">
        <f t="shared" si="3"/>
        <v>11952000</v>
      </c>
      <c r="H25" s="623">
        <f t="shared" si="4"/>
        <v>11952000</v>
      </c>
      <c r="I25" s="625">
        <f t="shared" si="5"/>
        <v>36530972.350000001</v>
      </c>
      <c r="O25" s="246">
        <f>'432 Breakdown'!D619</f>
        <v>7280000</v>
      </c>
      <c r="P25" s="246">
        <f>'432 Breakdown'!D635</f>
        <v>4672000</v>
      </c>
      <c r="Q25" s="246">
        <f>'432 Breakdown'!E619</f>
        <v>7280000</v>
      </c>
      <c r="R25" s="246">
        <f>'432 Breakdown'!E635</f>
        <v>4672000</v>
      </c>
      <c r="T25" s="246">
        <f>'432 Breakdown'!H619</f>
        <v>7280000</v>
      </c>
      <c r="U25" s="246">
        <f>'432 Breakdown'!H635</f>
        <v>4680000</v>
      </c>
    </row>
    <row r="26" spans="1:21">
      <c r="A26" s="620">
        <f t="shared" si="1"/>
        <v>21</v>
      </c>
      <c r="B26" s="621" t="s">
        <v>3158</v>
      </c>
      <c r="C26" s="622">
        <f t="shared" si="2"/>
        <v>11107200</v>
      </c>
      <c r="D26" s="623">
        <f>'432 Breakdown'!C646</f>
        <v>4925576</v>
      </c>
      <c r="E26" s="623">
        <f>'432 Breakdown'!C664</f>
        <v>3000000</v>
      </c>
      <c r="F26" s="624">
        <f t="shared" si="6"/>
        <v>7925576</v>
      </c>
      <c r="G26" s="623">
        <f t="shared" si="3"/>
        <v>11107200</v>
      </c>
      <c r="H26" s="623">
        <f t="shared" si="4"/>
        <v>11107200</v>
      </c>
      <c r="I26" s="625">
        <f t="shared" si="5"/>
        <v>30139976</v>
      </c>
      <c r="O26" s="246">
        <f>'432 Breakdown'!D646</f>
        <v>7571200</v>
      </c>
      <c r="P26" s="246">
        <f>'432 Breakdown'!D664</f>
        <v>3536000</v>
      </c>
      <c r="Q26" s="246">
        <f>'432 Breakdown'!E646</f>
        <v>7571200</v>
      </c>
      <c r="R26" s="246">
        <f>'432 Breakdown'!E664</f>
        <v>3536000</v>
      </c>
      <c r="T26" s="246">
        <f>'432 Breakdown'!H646</f>
        <v>7571200</v>
      </c>
      <c r="U26" s="246">
        <f>'432 Breakdown'!H664</f>
        <v>3536000</v>
      </c>
    </row>
    <row r="27" spans="1:21">
      <c r="A27" s="620">
        <f t="shared" si="1"/>
        <v>22</v>
      </c>
      <c r="B27" s="621" t="s">
        <v>2235</v>
      </c>
      <c r="C27" s="622">
        <f t="shared" si="2"/>
        <v>47460000</v>
      </c>
      <c r="D27" s="623">
        <f>'432 Breakdown'!C675</f>
        <v>42779256.5</v>
      </c>
      <c r="E27" s="623">
        <f>'432 Breakdown'!C693</f>
        <v>3600000</v>
      </c>
      <c r="F27" s="624">
        <f t="shared" si="6"/>
        <v>46379256.5</v>
      </c>
      <c r="G27" s="623">
        <f t="shared" si="3"/>
        <v>45760000</v>
      </c>
      <c r="H27" s="623">
        <f t="shared" si="4"/>
        <v>45760000</v>
      </c>
      <c r="I27" s="625">
        <f t="shared" si="5"/>
        <v>137899256.5</v>
      </c>
      <c r="O27" s="246">
        <f>'432 Breakdown'!D675</f>
        <v>41600000</v>
      </c>
      <c r="P27" s="246">
        <f>'432 Breakdown'!D693</f>
        <v>4160000</v>
      </c>
      <c r="Q27" s="246">
        <f>'432 Breakdown'!E675</f>
        <v>41600000</v>
      </c>
      <c r="R27" s="246">
        <f>'432 Breakdown'!E693</f>
        <v>4160000</v>
      </c>
      <c r="T27" s="246">
        <f>'432 Breakdown'!H675</f>
        <v>43300000</v>
      </c>
      <c r="U27" s="246">
        <f>'432 Breakdown'!H693</f>
        <v>4160000</v>
      </c>
    </row>
    <row r="28" spans="1:21">
      <c r="A28" s="620">
        <f t="shared" si="1"/>
        <v>23</v>
      </c>
      <c r="B28" s="621" t="s">
        <v>2876</v>
      </c>
      <c r="C28" s="622">
        <f t="shared" si="2"/>
        <v>18335280</v>
      </c>
      <c r="D28" s="623">
        <f>'432 Breakdown'!C704</f>
        <v>5772476.0999999996</v>
      </c>
      <c r="E28" s="623">
        <f>'432 Breakdown'!C722</f>
        <v>5500000</v>
      </c>
      <c r="F28" s="624">
        <f t="shared" si="6"/>
        <v>11272476.1</v>
      </c>
      <c r="G28" s="623">
        <f t="shared" si="3"/>
        <v>18335280</v>
      </c>
      <c r="H28" s="623">
        <f t="shared" si="4"/>
        <v>18335280</v>
      </c>
      <c r="I28" s="625">
        <f t="shared" si="5"/>
        <v>47943036.100000001</v>
      </c>
      <c r="O28" s="246">
        <f>'432 Breakdown'!D704</f>
        <v>10485280</v>
      </c>
      <c r="P28" s="246">
        <f>'432 Breakdown'!D722</f>
        <v>7850000</v>
      </c>
      <c r="Q28" s="246">
        <f>'432 Breakdown'!E704</f>
        <v>10485280</v>
      </c>
      <c r="R28" s="246">
        <f>'432 Breakdown'!E722</f>
        <v>7850000</v>
      </c>
      <c r="T28" s="246">
        <f>'432 Breakdown'!H704</f>
        <v>10485280</v>
      </c>
      <c r="U28" s="246">
        <f>'432 Breakdown'!H722</f>
        <v>7850000</v>
      </c>
    </row>
    <row r="29" spans="1:21">
      <c r="A29" s="620">
        <f t="shared" si="1"/>
        <v>24</v>
      </c>
      <c r="B29" s="621" t="s">
        <v>3198</v>
      </c>
      <c r="C29" s="622">
        <f t="shared" si="2"/>
        <v>10960600</v>
      </c>
      <c r="D29" s="623">
        <f>'432 Breakdown'!C733</f>
        <v>3335013.8</v>
      </c>
      <c r="E29" s="623">
        <f>'432 Breakdown'!C751</f>
        <v>4000000</v>
      </c>
      <c r="F29" s="624">
        <f t="shared" si="6"/>
        <v>7335013.7999999998</v>
      </c>
      <c r="G29" s="623">
        <f t="shared" si="3"/>
        <v>11041600</v>
      </c>
      <c r="H29" s="623">
        <f t="shared" si="4"/>
        <v>11041600</v>
      </c>
      <c r="I29" s="625">
        <f t="shared" si="5"/>
        <v>29418213.800000001</v>
      </c>
      <c r="O29" s="246">
        <f>'432 Breakdown'!D733</f>
        <v>6489599.9999999991</v>
      </c>
      <c r="P29" s="246">
        <f>'432 Breakdown'!D751</f>
        <v>4552000</v>
      </c>
      <c r="Q29" s="246">
        <f>'432 Breakdown'!E733</f>
        <v>6489599.9999999991</v>
      </c>
      <c r="R29" s="246">
        <f>'432 Breakdown'!E751</f>
        <v>4552000</v>
      </c>
      <c r="T29" s="246">
        <f>'432 Breakdown'!H733</f>
        <v>6488600</v>
      </c>
      <c r="U29" s="246">
        <f>'432 Breakdown'!H751</f>
        <v>4472000</v>
      </c>
    </row>
    <row r="30" spans="1:21">
      <c r="A30" s="620">
        <f t="shared" si="1"/>
        <v>25</v>
      </c>
      <c r="B30" s="621" t="s">
        <v>1652</v>
      </c>
      <c r="C30" s="622">
        <f t="shared" si="2"/>
        <v>21572000</v>
      </c>
      <c r="D30" s="623">
        <f>'432 Breakdown'!C762</f>
        <v>16919084.600000001</v>
      </c>
      <c r="E30" s="623">
        <f>'432 Breakdown'!C790</f>
        <v>4000000</v>
      </c>
      <c r="F30" s="624">
        <f t="shared" si="6"/>
        <v>20919084.600000001</v>
      </c>
      <c r="G30" s="623">
        <f t="shared" si="3"/>
        <v>20696000</v>
      </c>
      <c r="H30" s="623">
        <f t="shared" si="4"/>
        <v>20696000</v>
      </c>
      <c r="I30" s="625">
        <f t="shared" si="5"/>
        <v>62311084.600000001</v>
      </c>
      <c r="O30" s="246">
        <f>'432 Breakdown'!D762</f>
        <v>16224000</v>
      </c>
      <c r="P30" s="246">
        <f>'432 Breakdown'!D790</f>
        <v>4472000</v>
      </c>
      <c r="Q30" s="246">
        <f>'432 Breakdown'!E762</f>
        <v>16224000</v>
      </c>
      <c r="R30" s="246">
        <f>'432 Breakdown'!E790</f>
        <v>4472000</v>
      </c>
      <c r="T30" s="246">
        <f>'432 Breakdown'!H762</f>
        <v>17100000</v>
      </c>
      <c r="U30" s="246">
        <f>'432 Breakdown'!H790</f>
        <v>4472000</v>
      </c>
    </row>
    <row r="31" spans="1:21">
      <c r="A31" s="620">
        <f t="shared" si="1"/>
        <v>26</v>
      </c>
      <c r="B31" s="621" t="s">
        <v>1029</v>
      </c>
      <c r="C31" s="622">
        <f t="shared" si="2"/>
        <v>221088000</v>
      </c>
      <c r="D31" s="623">
        <f>'432 Breakdown'!C800</f>
        <v>210411153.34999999</v>
      </c>
      <c r="E31" s="623">
        <f>'432 Breakdown'!C817</f>
        <v>12000000</v>
      </c>
      <c r="F31" s="624">
        <f t="shared" si="6"/>
        <v>222411153.34999999</v>
      </c>
      <c r="G31" s="623">
        <f t="shared" si="3"/>
        <v>251496800</v>
      </c>
      <c r="H31" s="623">
        <f t="shared" si="4"/>
        <v>251496800</v>
      </c>
      <c r="I31" s="625">
        <f t="shared" si="5"/>
        <v>725404753.35000002</v>
      </c>
      <c r="O31" s="246">
        <f>'432 Breakdown'!D800</f>
        <v>241196800</v>
      </c>
      <c r="P31" s="246">
        <f>'432 Breakdown'!D817</f>
        <v>10300000</v>
      </c>
      <c r="Q31" s="246">
        <f>'432 Breakdown'!E800</f>
        <v>241196800</v>
      </c>
      <c r="R31" s="246">
        <f>'432 Breakdown'!E817</f>
        <v>10300000</v>
      </c>
      <c r="T31" s="246">
        <f>'432 Breakdown'!H800</f>
        <v>211000000</v>
      </c>
      <c r="U31" s="246">
        <f>'432 Breakdown'!H817</f>
        <v>10088000</v>
      </c>
    </row>
    <row r="32" spans="1:21" ht="24">
      <c r="A32" s="620">
        <f t="shared" si="1"/>
        <v>27</v>
      </c>
      <c r="B32" s="621" t="s">
        <v>1030</v>
      </c>
      <c r="C32" s="622">
        <f t="shared" si="2"/>
        <v>27955200</v>
      </c>
      <c r="D32" s="623">
        <f>'432 Breakdown'!C828</f>
        <v>20555596</v>
      </c>
      <c r="E32" s="623">
        <f>'432 Breakdown'!C849</f>
        <v>4000000</v>
      </c>
      <c r="F32" s="624">
        <f t="shared" si="6"/>
        <v>24555596</v>
      </c>
      <c r="G32" s="623">
        <f t="shared" si="3"/>
        <v>27955200</v>
      </c>
      <c r="H32" s="623">
        <f t="shared" si="4"/>
        <v>27955200</v>
      </c>
      <c r="I32" s="625">
        <f t="shared" si="5"/>
        <v>80465996</v>
      </c>
      <c r="O32" s="246">
        <f>'432 Breakdown'!D828</f>
        <v>23795200</v>
      </c>
      <c r="P32" s="246">
        <f>'432 Breakdown'!D849</f>
        <v>4160000</v>
      </c>
      <c r="Q32" s="246">
        <f>'432 Breakdown'!E828</f>
        <v>23795200</v>
      </c>
      <c r="R32" s="246">
        <f>'432 Breakdown'!E849</f>
        <v>4160000</v>
      </c>
      <c r="T32" s="246">
        <f>'432 Breakdown'!H828</f>
        <v>23795200</v>
      </c>
      <c r="U32" s="246">
        <f>'432 Breakdown'!H849</f>
        <v>4160000</v>
      </c>
    </row>
    <row r="33" spans="1:21">
      <c r="A33" s="620">
        <f t="shared" si="1"/>
        <v>28</v>
      </c>
      <c r="B33" s="621" t="s">
        <v>2080</v>
      </c>
      <c r="C33" s="622">
        <f t="shared" si="2"/>
        <v>13332800</v>
      </c>
      <c r="D33" s="623">
        <f>'432 Breakdown'!C860</f>
        <v>4934893.25</v>
      </c>
      <c r="E33" s="623">
        <f>'432 Breakdown'!C876</f>
        <v>4300000</v>
      </c>
      <c r="F33" s="624">
        <f t="shared" si="6"/>
        <v>9234893.25</v>
      </c>
      <c r="G33" s="623">
        <f t="shared" si="3"/>
        <v>13332800</v>
      </c>
      <c r="H33" s="623">
        <f t="shared" si="4"/>
        <v>13332800</v>
      </c>
      <c r="I33" s="625">
        <f t="shared" si="5"/>
        <v>35900493.25</v>
      </c>
      <c r="O33" s="246">
        <f>'432 Breakdown'!D860</f>
        <v>8652800</v>
      </c>
      <c r="P33" s="246">
        <f>'432 Breakdown'!D876</f>
        <v>4680000</v>
      </c>
      <c r="Q33" s="246">
        <f>'432 Breakdown'!E860</f>
        <v>8652800</v>
      </c>
      <c r="R33" s="246">
        <f>'432 Breakdown'!E876</f>
        <v>4680000</v>
      </c>
      <c r="T33" s="246">
        <f>'432 Breakdown'!H860</f>
        <v>8652800</v>
      </c>
      <c r="U33" s="246">
        <f>'432 Breakdown'!H876</f>
        <v>4680000</v>
      </c>
    </row>
    <row r="34" spans="1:21">
      <c r="A34" s="620">
        <f t="shared" si="1"/>
        <v>29</v>
      </c>
      <c r="B34" s="621" t="s">
        <v>1422</v>
      </c>
      <c r="C34" s="622">
        <f t="shared" si="2"/>
        <v>16440000</v>
      </c>
      <c r="D34" s="623">
        <f>'432 Breakdown'!C887</f>
        <v>9688884.25</v>
      </c>
      <c r="E34" s="623">
        <f>'432 Breakdown'!C903</f>
        <v>4000000</v>
      </c>
      <c r="F34" s="624">
        <f t="shared" si="6"/>
        <v>13688884.25</v>
      </c>
      <c r="G34" s="623">
        <f t="shared" si="3"/>
        <v>13000000</v>
      </c>
      <c r="H34" s="623">
        <f t="shared" si="4"/>
        <v>13000000</v>
      </c>
      <c r="I34" s="625">
        <f t="shared" si="5"/>
        <v>39688884.25</v>
      </c>
      <c r="O34" s="246">
        <f>'432 Breakdown'!D887</f>
        <v>9360000</v>
      </c>
      <c r="P34" s="246">
        <f>'432 Breakdown'!D903</f>
        <v>3640000</v>
      </c>
      <c r="Q34" s="246">
        <f>'432 Breakdown'!E887</f>
        <v>9360000</v>
      </c>
      <c r="R34" s="246">
        <f>'432 Breakdown'!E903</f>
        <v>3640000</v>
      </c>
      <c r="T34" s="246">
        <f>'432 Breakdown'!H887</f>
        <v>12800000</v>
      </c>
      <c r="U34" s="246">
        <f>'432 Breakdown'!H903</f>
        <v>3640000</v>
      </c>
    </row>
    <row r="35" spans="1:21">
      <c r="A35" s="620">
        <f t="shared" si="1"/>
        <v>30</v>
      </c>
      <c r="B35" s="621" t="s">
        <v>1423</v>
      </c>
      <c r="C35" s="622">
        <f t="shared" si="2"/>
        <v>1084000000</v>
      </c>
      <c r="D35" s="623">
        <f>'432 Breakdown'!C914</f>
        <v>823666019.10000002</v>
      </c>
      <c r="E35" s="623">
        <f>'432 Breakdown'!C937</f>
        <v>130900000</v>
      </c>
      <c r="F35" s="624">
        <f t="shared" si="6"/>
        <v>954566019.10000002</v>
      </c>
      <c r="G35" s="623">
        <f t="shared" si="3"/>
        <v>1052000000</v>
      </c>
      <c r="H35" s="623">
        <f t="shared" si="4"/>
        <v>1052000000</v>
      </c>
      <c r="I35" s="625">
        <f t="shared" si="5"/>
        <v>3058566019.0999999</v>
      </c>
      <c r="O35" s="246">
        <f>'432 Breakdown'!D914</f>
        <v>884000000</v>
      </c>
      <c r="P35" s="246">
        <f>'432 Breakdown'!D937</f>
        <v>168000000</v>
      </c>
      <c r="Q35" s="246">
        <f>'432 Breakdown'!E914</f>
        <v>884000000</v>
      </c>
      <c r="R35" s="246">
        <f>'432 Breakdown'!E937</f>
        <v>168000000</v>
      </c>
      <c r="T35" s="246">
        <f>'432 Breakdown'!H914</f>
        <v>884000000</v>
      </c>
      <c r="U35" s="246">
        <f>'432 Breakdown'!H937</f>
        <v>200000000</v>
      </c>
    </row>
    <row r="36" spans="1:21">
      <c r="A36" s="620">
        <f t="shared" si="1"/>
        <v>31</v>
      </c>
      <c r="B36" s="621" t="s">
        <v>1424</v>
      </c>
      <c r="C36" s="622">
        <f t="shared" si="2"/>
        <v>37772800</v>
      </c>
      <c r="D36" s="623">
        <f>'432 Breakdown'!C948</f>
        <v>28132701.449999999</v>
      </c>
      <c r="E36" s="623">
        <f>'432 Breakdown'!C964</f>
        <v>6500000</v>
      </c>
      <c r="F36" s="624">
        <f t="shared" si="6"/>
        <v>34632701.450000003</v>
      </c>
      <c r="G36" s="623">
        <f t="shared" si="3"/>
        <v>37772800</v>
      </c>
      <c r="H36" s="623">
        <f t="shared" si="4"/>
        <v>37772800</v>
      </c>
      <c r="I36" s="625">
        <f t="shared" si="5"/>
        <v>110178301.45</v>
      </c>
      <c r="O36" s="246">
        <f>'432 Breakdown'!D948</f>
        <v>30284800</v>
      </c>
      <c r="P36" s="246">
        <f>'432 Breakdown'!D964</f>
        <v>7488000</v>
      </c>
      <c r="Q36" s="246">
        <f>'432 Breakdown'!E948</f>
        <v>30284800</v>
      </c>
      <c r="R36" s="246">
        <f>'432 Breakdown'!E964</f>
        <v>7488000</v>
      </c>
      <c r="T36" s="246">
        <f>'432 Breakdown'!H948</f>
        <v>30284800</v>
      </c>
      <c r="U36" s="246">
        <f>'432 Breakdown'!H964</f>
        <v>7488000</v>
      </c>
    </row>
    <row r="37" spans="1:21">
      <c r="A37" s="620">
        <f t="shared" si="1"/>
        <v>32</v>
      </c>
      <c r="B37" s="621" t="s">
        <v>3038</v>
      </c>
      <c r="C37" s="622">
        <f t="shared" si="2"/>
        <v>32800000</v>
      </c>
      <c r="D37" s="623">
        <f>'432 Breakdown'!C975</f>
        <v>22662009.949999999</v>
      </c>
      <c r="E37" s="623">
        <f>'432 Breakdown'!C991</f>
        <v>6500000</v>
      </c>
      <c r="F37" s="624">
        <f t="shared" si="6"/>
        <v>29162009.949999999</v>
      </c>
      <c r="G37" s="623">
        <f t="shared" si="3"/>
        <v>19210400</v>
      </c>
      <c r="H37" s="623">
        <f t="shared" si="4"/>
        <v>19210400</v>
      </c>
      <c r="I37" s="625">
        <f t="shared" si="5"/>
        <v>67582809.950000003</v>
      </c>
      <c r="O37" s="246">
        <f>'432 Breakdown'!D975</f>
        <v>11710400</v>
      </c>
      <c r="P37" s="246">
        <f>'432 Breakdown'!D991</f>
        <v>7500000</v>
      </c>
      <c r="Q37" s="246">
        <f>'432 Breakdown'!E975</f>
        <v>11710400</v>
      </c>
      <c r="R37" s="246">
        <f>'432 Breakdown'!E991</f>
        <v>7500000</v>
      </c>
      <c r="T37" s="246">
        <f>'432 Breakdown'!H975</f>
        <v>25000000</v>
      </c>
      <c r="U37" s="246">
        <f>'432 Breakdown'!H991</f>
        <v>7800000</v>
      </c>
    </row>
    <row r="38" spans="1:21">
      <c r="A38" s="620">
        <f t="shared" si="1"/>
        <v>33</v>
      </c>
      <c r="B38" s="621" t="s">
        <v>1527</v>
      </c>
      <c r="C38" s="622">
        <f t="shared" si="2"/>
        <v>18144000</v>
      </c>
      <c r="D38" s="623">
        <f>'432 Breakdown'!C1002</f>
        <v>7949752.4000000004</v>
      </c>
      <c r="E38" s="623">
        <f>'432 Breakdown'!C1021</f>
        <v>4500000</v>
      </c>
      <c r="F38" s="624">
        <f t="shared" si="6"/>
        <v>12449752.4</v>
      </c>
      <c r="G38" s="623">
        <f t="shared" si="3"/>
        <v>16116000</v>
      </c>
      <c r="H38" s="623">
        <f t="shared" si="4"/>
        <v>16116000</v>
      </c>
      <c r="I38" s="625">
        <f t="shared" si="5"/>
        <v>44681752.399999999</v>
      </c>
      <c r="O38" s="246">
        <f>'432 Breakdown'!D1002</f>
        <v>10816000</v>
      </c>
      <c r="P38" s="246">
        <f>'432 Breakdown'!D1021</f>
        <v>5300000</v>
      </c>
      <c r="Q38" s="246">
        <f>'432 Breakdown'!E1002</f>
        <v>10816000</v>
      </c>
      <c r="R38" s="246">
        <f>'432 Breakdown'!E1021</f>
        <v>5300000</v>
      </c>
      <c r="T38" s="246">
        <f>'432 Breakdown'!H1002</f>
        <v>10816000</v>
      </c>
      <c r="U38" s="246">
        <f>'432 Breakdown'!H1021</f>
        <v>7328000</v>
      </c>
    </row>
    <row r="39" spans="1:21" ht="24">
      <c r="A39" s="620">
        <f t="shared" si="1"/>
        <v>34</v>
      </c>
      <c r="B39" s="621" t="s">
        <v>3046</v>
      </c>
      <c r="C39" s="622">
        <f t="shared" si="2"/>
        <v>124800000</v>
      </c>
      <c r="D39" s="623">
        <f>'432 Breakdown'!C1032</f>
        <v>69998824.400000006</v>
      </c>
      <c r="E39" s="623">
        <f>'432 Breakdown'!C1055</f>
        <v>61000000</v>
      </c>
      <c r="F39" s="624">
        <f t="shared" si="6"/>
        <v>130998824.40000001</v>
      </c>
      <c r="G39" s="623">
        <f t="shared" si="3"/>
        <v>150825600</v>
      </c>
      <c r="H39" s="623">
        <f t="shared" si="4"/>
        <v>150825600</v>
      </c>
      <c r="I39" s="625">
        <f t="shared" si="5"/>
        <v>432650024.39999998</v>
      </c>
      <c r="O39" s="246">
        <f>'432 Breakdown'!D1032</f>
        <v>98425600</v>
      </c>
      <c r="P39" s="246">
        <f>'432 Breakdown'!D1055</f>
        <v>52400000</v>
      </c>
      <c r="Q39" s="246">
        <f>'432 Breakdown'!E1032</f>
        <v>98425600</v>
      </c>
      <c r="R39" s="246">
        <f>'432 Breakdown'!E1055</f>
        <v>52400000</v>
      </c>
      <c r="T39" s="246">
        <f>'432 Breakdown'!H1032</f>
        <v>65000000</v>
      </c>
      <c r="U39" s="246">
        <f>'432 Breakdown'!H1055</f>
        <v>59800000</v>
      </c>
    </row>
    <row r="40" spans="1:21">
      <c r="A40" s="620">
        <f t="shared" si="1"/>
        <v>35</v>
      </c>
      <c r="B40" s="621" t="s">
        <v>770</v>
      </c>
      <c r="C40" s="622">
        <f t="shared" si="2"/>
        <v>232612000</v>
      </c>
      <c r="D40" s="623">
        <f>'432 Breakdown'!C1066</f>
        <v>202687704.55000001</v>
      </c>
      <c r="E40" s="623">
        <f>'432 Breakdown'!C1084</f>
        <v>24200000</v>
      </c>
      <c r="F40" s="624">
        <f t="shared" si="6"/>
        <v>226887704.55000001</v>
      </c>
      <c r="G40" s="623">
        <f t="shared" si="3"/>
        <v>257491552.24000001</v>
      </c>
      <c r="H40" s="623">
        <f t="shared" si="4"/>
        <v>257491552.24000001</v>
      </c>
      <c r="I40" s="625">
        <f t="shared" si="5"/>
        <v>741870809.02999997</v>
      </c>
      <c r="O40" s="246">
        <f>'432 Breakdown'!D1066</f>
        <v>229879552.24000001</v>
      </c>
      <c r="P40" s="246">
        <f>'432 Breakdown'!D1084</f>
        <v>27612000</v>
      </c>
      <c r="Q40" s="246">
        <f>'432 Breakdown'!E1066</f>
        <v>229879552.24000001</v>
      </c>
      <c r="R40" s="246">
        <f>'432 Breakdown'!E1084</f>
        <v>27612000</v>
      </c>
      <c r="T40" s="246">
        <f>'432 Breakdown'!H1066</f>
        <v>205000000</v>
      </c>
      <c r="U40" s="246">
        <f>'432 Breakdown'!H1084</f>
        <v>27612000</v>
      </c>
    </row>
    <row r="41" spans="1:21">
      <c r="A41" s="620">
        <f t="shared" si="1"/>
        <v>36</v>
      </c>
      <c r="B41" s="621" t="s">
        <v>4016</v>
      </c>
      <c r="C41" s="622">
        <f t="shared" si="2"/>
        <v>64880000</v>
      </c>
      <c r="D41" s="623">
        <f>'432 Breakdown'!C1095</f>
        <v>50997706.5</v>
      </c>
      <c r="E41" s="623">
        <f>'432 Breakdown'!C1112</f>
        <v>12000000</v>
      </c>
      <c r="F41" s="624">
        <f t="shared" si="6"/>
        <v>62997706.5</v>
      </c>
      <c r="G41" s="623">
        <f t="shared" si="3"/>
        <v>53437600</v>
      </c>
      <c r="H41" s="623">
        <f t="shared" si="4"/>
        <v>53437600</v>
      </c>
      <c r="I41" s="625">
        <f t="shared" si="5"/>
        <v>169872906.5</v>
      </c>
      <c r="O41" s="246">
        <f>'432 Breakdown'!D1095</f>
        <v>38937600</v>
      </c>
      <c r="P41" s="246">
        <f>'432 Breakdown'!D1112</f>
        <v>14500000</v>
      </c>
      <c r="Q41" s="246">
        <f>'432 Breakdown'!E1095</f>
        <v>38937600</v>
      </c>
      <c r="R41" s="246">
        <f>'432 Breakdown'!E1112</f>
        <v>14500000</v>
      </c>
      <c r="T41" s="246">
        <f>'432 Breakdown'!H1095</f>
        <v>50300000</v>
      </c>
      <c r="U41" s="246">
        <f>'432 Breakdown'!H1112</f>
        <v>14580000</v>
      </c>
    </row>
    <row r="42" spans="1:21">
      <c r="A42" s="620">
        <f t="shared" si="1"/>
        <v>37</v>
      </c>
      <c r="B42" s="621" t="s">
        <v>4017</v>
      </c>
      <c r="C42" s="622">
        <f t="shared" si="2"/>
        <v>206448000</v>
      </c>
      <c r="D42" s="623">
        <f>'432 Breakdown'!C1123</f>
        <v>203520277.19999999</v>
      </c>
      <c r="E42" s="623">
        <f>'432 Breakdown'!C1139</f>
        <v>10000000</v>
      </c>
      <c r="F42" s="624">
        <f t="shared" si="6"/>
        <v>213520277.19999999</v>
      </c>
      <c r="G42" s="623">
        <f t="shared" si="3"/>
        <v>208564800</v>
      </c>
      <c r="H42" s="623">
        <f t="shared" si="4"/>
        <v>208564800</v>
      </c>
      <c r="I42" s="625">
        <f t="shared" si="5"/>
        <v>630649877.20000005</v>
      </c>
      <c r="O42" s="246">
        <f>'432 Breakdown'!D1123</f>
        <v>198764800</v>
      </c>
      <c r="P42" s="246">
        <f>'432 Breakdown'!D1139</f>
        <v>9800000</v>
      </c>
      <c r="Q42" s="246">
        <f>'432 Breakdown'!E1123</f>
        <v>198764800</v>
      </c>
      <c r="R42" s="246">
        <f>'432 Breakdown'!E1139</f>
        <v>9800000</v>
      </c>
      <c r="T42" s="246">
        <f>'432 Breakdown'!H1123</f>
        <v>200000000</v>
      </c>
      <c r="U42" s="246">
        <f>'432 Breakdown'!H1139</f>
        <v>6448000</v>
      </c>
    </row>
    <row r="43" spans="1:21">
      <c r="A43" s="620">
        <f t="shared" si="1"/>
        <v>38</v>
      </c>
      <c r="B43" s="621" t="s">
        <v>4018</v>
      </c>
      <c r="C43" s="622">
        <f t="shared" si="2"/>
        <v>19840000</v>
      </c>
      <c r="D43" s="623">
        <f>'432 Breakdown'!C1150</f>
        <v>9622626.1999999993</v>
      </c>
      <c r="E43" s="623">
        <f>'432 Breakdown'!C1169</f>
        <v>8000000</v>
      </c>
      <c r="F43" s="624">
        <f t="shared" si="6"/>
        <v>17622626.199999999</v>
      </c>
      <c r="G43" s="623">
        <f t="shared" si="3"/>
        <v>29176800</v>
      </c>
      <c r="H43" s="623">
        <f t="shared" si="4"/>
        <v>29176800</v>
      </c>
      <c r="I43" s="625">
        <f t="shared" si="5"/>
        <v>75976226.200000003</v>
      </c>
      <c r="O43" s="246">
        <f>'432 Breakdown'!D1150</f>
        <v>19676800</v>
      </c>
      <c r="P43" s="246">
        <f>'432 Breakdown'!D1169</f>
        <v>9500000</v>
      </c>
      <c r="Q43" s="246">
        <f>'432 Breakdown'!E1150</f>
        <v>19676800</v>
      </c>
      <c r="R43" s="246">
        <f>'432 Breakdown'!E1169</f>
        <v>9500000</v>
      </c>
      <c r="T43" s="246">
        <f>'432 Breakdown'!H1150</f>
        <v>11000000</v>
      </c>
      <c r="U43" s="246">
        <f>'432 Breakdown'!H1169</f>
        <v>8840000</v>
      </c>
    </row>
    <row r="44" spans="1:21">
      <c r="A44" s="620">
        <f t="shared" si="1"/>
        <v>39</v>
      </c>
      <c r="B44" s="621" t="s">
        <v>4019</v>
      </c>
      <c r="C44" s="622">
        <f t="shared" si="2"/>
        <v>12979200</v>
      </c>
      <c r="D44" s="623">
        <f>'432 Breakdown'!C1181</f>
        <v>0</v>
      </c>
      <c r="E44" s="623">
        <f>'432 Breakdown'!C1197</f>
        <v>0</v>
      </c>
      <c r="F44" s="624">
        <f t="shared" si="6"/>
        <v>0</v>
      </c>
      <c r="G44" s="623">
        <f t="shared" si="3"/>
        <v>12979199.999999998</v>
      </c>
      <c r="H44" s="623">
        <f t="shared" si="4"/>
        <v>12979199.999999998</v>
      </c>
      <c r="I44" s="625">
        <f t="shared" si="5"/>
        <v>25958399.999999996</v>
      </c>
      <c r="O44" s="246">
        <f>'432 Breakdown'!D1181</f>
        <v>12979199.999999998</v>
      </c>
      <c r="P44" s="246">
        <f>'432 Breakdown'!D1197</f>
        <v>0</v>
      </c>
      <c r="Q44" s="246">
        <f>'432 Breakdown'!E1181</f>
        <v>12979199.999999998</v>
      </c>
      <c r="R44" s="246">
        <f>'432 Breakdown'!E1197</f>
        <v>0</v>
      </c>
      <c r="T44" s="246">
        <f>'432 Breakdown'!H1181</f>
        <v>12979200</v>
      </c>
      <c r="U44" s="246">
        <f>'432 Breakdown'!H1197</f>
        <v>0</v>
      </c>
    </row>
    <row r="45" spans="1:21">
      <c r="A45" s="620">
        <f t="shared" si="1"/>
        <v>40</v>
      </c>
      <c r="B45" s="621" t="s">
        <v>4020</v>
      </c>
      <c r="C45" s="622">
        <f t="shared" si="2"/>
        <v>76443200</v>
      </c>
      <c r="D45" s="623">
        <f>'432 Breakdown'!C1209</f>
        <v>63835427.670000002</v>
      </c>
      <c r="E45" s="623">
        <f>'432 Breakdown'!C1227</f>
        <v>6500000</v>
      </c>
      <c r="F45" s="624">
        <f t="shared" si="6"/>
        <v>70335427.670000002</v>
      </c>
      <c r="G45" s="623">
        <f t="shared" si="3"/>
        <v>76443200</v>
      </c>
      <c r="H45" s="623">
        <f t="shared" si="4"/>
        <v>76443200</v>
      </c>
      <c r="I45" s="625">
        <f t="shared" si="5"/>
        <v>223221827.67000002</v>
      </c>
      <c r="O45" s="246">
        <f>'432 Breakdown'!D1209</f>
        <v>66643200</v>
      </c>
      <c r="P45" s="246">
        <f>'432 Breakdown'!D1227</f>
        <v>9800000</v>
      </c>
      <c r="Q45" s="246">
        <f>'432 Breakdown'!E1209</f>
        <v>66643200</v>
      </c>
      <c r="R45" s="246">
        <f>'432 Breakdown'!E1227</f>
        <v>9800000</v>
      </c>
      <c r="T45" s="246">
        <f>'432 Breakdown'!H1209</f>
        <v>66643200</v>
      </c>
      <c r="U45" s="246">
        <f>'432 Breakdown'!H1227</f>
        <v>9800000</v>
      </c>
    </row>
    <row r="46" spans="1:21">
      <c r="A46" s="620">
        <f t="shared" si="1"/>
        <v>41</v>
      </c>
      <c r="B46" s="621" t="s">
        <v>4054</v>
      </c>
      <c r="C46" s="622">
        <f t="shared" si="2"/>
        <v>419240000</v>
      </c>
      <c r="D46" s="623">
        <f>'432 Breakdown'!C1238</f>
        <v>398859717.80000001</v>
      </c>
      <c r="E46" s="623">
        <f>'432 Breakdown'!C1259</f>
        <v>19000000</v>
      </c>
      <c r="F46" s="624">
        <f t="shared" si="6"/>
        <v>417859717.80000001</v>
      </c>
      <c r="G46" s="623">
        <f t="shared" si="3"/>
        <v>455020000</v>
      </c>
      <c r="H46" s="623">
        <f t="shared" si="4"/>
        <v>455020000</v>
      </c>
      <c r="I46" s="625">
        <f t="shared" si="5"/>
        <v>1327899717.8</v>
      </c>
      <c r="O46" s="246">
        <f>'432 Breakdown'!D1238</f>
        <v>434720000</v>
      </c>
      <c r="P46" s="246">
        <f>'432 Breakdown'!D1259</f>
        <v>20300000</v>
      </c>
      <c r="Q46" s="246">
        <f>'432 Breakdown'!E1238</f>
        <v>434720000</v>
      </c>
      <c r="R46" s="246">
        <f>'432 Breakdown'!E1259</f>
        <v>20300000</v>
      </c>
      <c r="T46" s="246">
        <f>'432 Breakdown'!H1238</f>
        <v>400000000</v>
      </c>
      <c r="U46" s="246">
        <f>'432 Breakdown'!H1259</f>
        <v>19240000</v>
      </c>
    </row>
    <row r="47" spans="1:21">
      <c r="A47" s="620">
        <f t="shared" si="1"/>
        <v>42</v>
      </c>
      <c r="B47" s="621" t="s">
        <v>695</v>
      </c>
      <c r="C47" s="622">
        <f t="shared" si="2"/>
        <v>4472000</v>
      </c>
      <c r="D47" s="623">
        <f>'432 Breakdown'!C1270</f>
        <v>0</v>
      </c>
      <c r="E47" s="623">
        <f>'432 Breakdown'!C1286</f>
        <v>4000000</v>
      </c>
      <c r="F47" s="624">
        <f t="shared" si="6"/>
        <v>4000000</v>
      </c>
      <c r="G47" s="623">
        <f t="shared" si="3"/>
        <v>5000000</v>
      </c>
      <c r="H47" s="623">
        <f t="shared" si="4"/>
        <v>5000000</v>
      </c>
      <c r="I47" s="625">
        <f t="shared" si="5"/>
        <v>14000000</v>
      </c>
      <c r="O47" s="246">
        <f>'432 Breakdown'!D1270</f>
        <v>0</v>
      </c>
      <c r="P47" s="246">
        <f>'432 Breakdown'!D1286</f>
        <v>5000000</v>
      </c>
      <c r="Q47" s="246">
        <f>'432 Breakdown'!E1270</f>
        <v>0</v>
      </c>
      <c r="R47" s="246">
        <f>'432 Breakdown'!E1286</f>
        <v>5000000</v>
      </c>
      <c r="T47" s="246">
        <f>'432 Breakdown'!H1270</f>
        <v>0</v>
      </c>
      <c r="U47" s="246">
        <f>'432 Breakdown'!H1286</f>
        <v>4472000</v>
      </c>
    </row>
    <row r="48" spans="1:21">
      <c r="A48" s="620">
        <f t="shared" si="1"/>
        <v>43</v>
      </c>
      <c r="B48" s="621" t="s">
        <v>696</v>
      </c>
      <c r="C48" s="622">
        <f t="shared" si="2"/>
        <v>3284000</v>
      </c>
      <c r="D48" s="623">
        <f>'432 Breakdown'!C1297</f>
        <v>0</v>
      </c>
      <c r="E48" s="623">
        <f>'432 Breakdown'!C1313</f>
        <v>3000000</v>
      </c>
      <c r="F48" s="624">
        <f t="shared" si="6"/>
        <v>3000000</v>
      </c>
      <c r="G48" s="623">
        <f t="shared" si="3"/>
        <v>3800000</v>
      </c>
      <c r="H48" s="623">
        <f t="shared" si="4"/>
        <v>3800000</v>
      </c>
      <c r="I48" s="625">
        <f t="shared" si="5"/>
        <v>10600000</v>
      </c>
      <c r="O48" s="246">
        <f>'432 Breakdown'!D1297</f>
        <v>0</v>
      </c>
      <c r="P48" s="246">
        <f>'432 Breakdown'!D1313</f>
        <v>3800000</v>
      </c>
      <c r="Q48" s="246">
        <f>'432 Breakdown'!E1297</f>
        <v>0</v>
      </c>
      <c r="R48" s="246">
        <f>'432 Breakdown'!E1313</f>
        <v>3800000</v>
      </c>
      <c r="T48" s="246">
        <f>'432 Breakdown'!H1297</f>
        <v>0</v>
      </c>
      <c r="U48" s="246">
        <f>'432 Breakdown'!H1313</f>
        <v>3284000</v>
      </c>
    </row>
    <row r="49" spans="1:21">
      <c r="A49" s="620">
        <f t="shared" si="1"/>
        <v>44</v>
      </c>
      <c r="B49" s="621" t="s">
        <v>697</v>
      </c>
      <c r="C49" s="622">
        <f t="shared" si="2"/>
        <v>52812000</v>
      </c>
      <c r="D49" s="623">
        <f>'432 Breakdown'!C1324</f>
        <v>29307531.850000001</v>
      </c>
      <c r="E49" s="623">
        <f>'432 Breakdown'!C1341</f>
        <v>24400000</v>
      </c>
      <c r="F49" s="624">
        <f t="shared" si="6"/>
        <v>53707531.850000001</v>
      </c>
      <c r="G49" s="623">
        <f t="shared" si="3"/>
        <v>60940000</v>
      </c>
      <c r="H49" s="623">
        <f t="shared" si="4"/>
        <v>60940000</v>
      </c>
      <c r="I49" s="625">
        <f t="shared" si="5"/>
        <v>175587531.84999999</v>
      </c>
      <c r="O49" s="246">
        <f>'432 Breakdown'!D1324</f>
        <v>37440000</v>
      </c>
      <c r="P49" s="246">
        <f>'432 Breakdown'!D1341</f>
        <v>23500000</v>
      </c>
      <c r="Q49" s="246">
        <f>'432 Breakdown'!E1324</f>
        <v>37440000</v>
      </c>
      <c r="R49" s="246">
        <f>'432 Breakdown'!E1341</f>
        <v>23500000</v>
      </c>
      <c r="T49" s="246">
        <f>'432 Breakdown'!H1324</f>
        <v>29000000</v>
      </c>
      <c r="U49" s="246">
        <f>'432 Breakdown'!H1341</f>
        <v>23812000</v>
      </c>
    </row>
    <row r="50" spans="1:21">
      <c r="A50" s="620">
        <f t="shared" si="1"/>
        <v>45</v>
      </c>
      <c r="B50" s="621" t="s">
        <v>698</v>
      </c>
      <c r="C50" s="622">
        <f t="shared" si="2"/>
        <v>15700000</v>
      </c>
      <c r="D50" s="623">
        <f>'432 Breakdown'!C1352</f>
        <v>6936863.7999999998</v>
      </c>
      <c r="E50" s="623">
        <f>'432 Breakdown'!C1368</f>
        <v>3100000</v>
      </c>
      <c r="F50" s="624">
        <f t="shared" si="6"/>
        <v>10036863.800000001</v>
      </c>
      <c r="G50" s="623">
        <f t="shared" si="3"/>
        <v>16480000</v>
      </c>
      <c r="H50" s="623">
        <f t="shared" si="4"/>
        <v>16480000</v>
      </c>
      <c r="I50" s="625">
        <f t="shared" si="5"/>
        <v>42996863.799999997</v>
      </c>
      <c r="O50" s="246">
        <f>'432 Breakdown'!D1352</f>
        <v>12480000</v>
      </c>
      <c r="P50" s="246">
        <f>'432 Breakdown'!D1368</f>
        <v>4000000</v>
      </c>
      <c r="Q50" s="246">
        <f>'432 Breakdown'!E1352</f>
        <v>12480000</v>
      </c>
      <c r="R50" s="246">
        <f>'432 Breakdown'!E1368</f>
        <v>4000000</v>
      </c>
      <c r="T50" s="246">
        <f>'432 Breakdown'!H1352</f>
        <v>12480000</v>
      </c>
      <c r="U50" s="246">
        <f>'432 Breakdown'!H1368</f>
        <v>3220000</v>
      </c>
    </row>
    <row r="51" spans="1:21" ht="24">
      <c r="A51" s="620">
        <f t="shared" si="1"/>
        <v>46</v>
      </c>
      <c r="B51" s="621" t="s">
        <v>1667</v>
      </c>
      <c r="C51" s="622">
        <f t="shared" si="2"/>
        <v>120780000</v>
      </c>
      <c r="D51" s="623">
        <f>'432 Breakdown'!C1379</f>
        <v>72271339.599999994</v>
      </c>
      <c r="E51" s="623">
        <f>'432 Breakdown'!C1399</f>
        <v>46700000</v>
      </c>
      <c r="F51" s="624">
        <f t="shared" si="6"/>
        <v>118971339.59999999</v>
      </c>
      <c r="G51" s="623">
        <f t="shared" si="3"/>
        <v>131880000</v>
      </c>
      <c r="H51" s="623">
        <f t="shared" si="4"/>
        <v>134380000</v>
      </c>
      <c r="I51" s="625">
        <f t="shared" si="5"/>
        <v>385231339.60000002</v>
      </c>
      <c r="O51" s="246">
        <f>'432 Breakdown'!D1379</f>
        <v>85280000</v>
      </c>
      <c r="P51" s="246">
        <f>'432 Breakdown'!D1399</f>
        <v>46600000</v>
      </c>
      <c r="Q51" s="246">
        <f>'432 Breakdown'!E1379</f>
        <v>85280000</v>
      </c>
      <c r="R51" s="246">
        <f>'432 Breakdown'!E1399</f>
        <v>49100000</v>
      </c>
      <c r="T51" s="246">
        <f>'432 Breakdown'!H1379</f>
        <v>73000000</v>
      </c>
      <c r="U51" s="246">
        <f>'432 Breakdown'!H1399</f>
        <v>47780000</v>
      </c>
    </row>
    <row r="52" spans="1:21">
      <c r="A52" s="620">
        <f t="shared" si="1"/>
        <v>47</v>
      </c>
      <c r="B52" s="621" t="s">
        <v>2187</v>
      </c>
      <c r="C52" s="622">
        <f t="shared" si="2"/>
        <v>207900000</v>
      </c>
      <c r="D52" s="623">
        <f>'432 Breakdown'!C1410</f>
        <v>0</v>
      </c>
      <c r="E52" s="623">
        <f>'432 Breakdown'!C1428</f>
        <v>59000000</v>
      </c>
      <c r="F52" s="624">
        <f t="shared" si="6"/>
        <v>59000000</v>
      </c>
      <c r="G52" s="623">
        <f t="shared" si="3"/>
        <v>113000000</v>
      </c>
      <c r="H52" s="623">
        <f t="shared" si="4"/>
        <v>163000000</v>
      </c>
      <c r="I52" s="625">
        <f t="shared" si="5"/>
        <v>335000000</v>
      </c>
      <c r="O52" s="246">
        <f>'432 Breakdown'!D1410</f>
        <v>0</v>
      </c>
      <c r="P52" s="246">
        <f>'432 Breakdown'!D1428</f>
        <v>113000000</v>
      </c>
      <c r="Q52" s="246">
        <f>'432 Breakdown'!E1410</f>
        <v>0</v>
      </c>
      <c r="R52" s="246">
        <f>'432 Breakdown'!E1428</f>
        <v>163000000</v>
      </c>
      <c r="T52" s="246">
        <f>'432 Breakdown'!H1410</f>
        <v>0</v>
      </c>
      <c r="U52" s="246">
        <f>'432 Breakdown'!H1428</f>
        <v>207900000</v>
      </c>
    </row>
    <row r="53" spans="1:21">
      <c r="A53" s="620">
        <f t="shared" si="1"/>
        <v>48</v>
      </c>
      <c r="B53" s="621" t="s">
        <v>2188</v>
      </c>
      <c r="C53" s="622">
        <f t="shared" si="2"/>
        <v>7568000</v>
      </c>
      <c r="D53" s="623">
        <f>'432 Breakdown'!C1439</f>
        <v>0</v>
      </c>
      <c r="E53" s="623">
        <f>'432 Breakdown'!C1455</f>
        <v>5500000</v>
      </c>
      <c r="F53" s="624">
        <f t="shared" si="6"/>
        <v>5500000</v>
      </c>
      <c r="G53" s="623">
        <f t="shared" si="3"/>
        <v>7200000</v>
      </c>
      <c r="H53" s="623">
        <f t="shared" si="4"/>
        <v>7200000</v>
      </c>
      <c r="I53" s="625">
        <f t="shared" si="5"/>
        <v>19900000</v>
      </c>
      <c r="O53" s="246">
        <f>'432 Breakdown'!D1439</f>
        <v>0</v>
      </c>
      <c r="P53" s="246">
        <f>'432 Breakdown'!D1455</f>
        <v>7200000</v>
      </c>
      <c r="Q53" s="246">
        <f>'432 Breakdown'!E1439</f>
        <v>0</v>
      </c>
      <c r="R53" s="246">
        <f>'432 Breakdown'!E1455</f>
        <v>7200000</v>
      </c>
      <c r="T53" s="246">
        <f>'432 Breakdown'!H1439</f>
        <v>0</v>
      </c>
      <c r="U53" s="246">
        <f>'432 Breakdown'!H1455</f>
        <v>7568000</v>
      </c>
    </row>
    <row r="54" spans="1:21">
      <c r="A54" s="620">
        <f t="shared" si="1"/>
        <v>49</v>
      </c>
      <c r="B54" s="621" t="s">
        <v>2390</v>
      </c>
      <c r="C54" s="622">
        <f t="shared" si="2"/>
        <v>30787639.799999997</v>
      </c>
      <c r="D54" s="623">
        <f>'432 Breakdown'!C1465</f>
        <v>0</v>
      </c>
      <c r="E54" s="623">
        <f>'432 Breakdown'!C1491</f>
        <v>20000000</v>
      </c>
      <c r="F54" s="624">
        <f t="shared" ref="F54:F82" si="7">+E54+D54</f>
        <v>20000000</v>
      </c>
      <c r="G54" s="623">
        <f t="shared" si="3"/>
        <v>26408000</v>
      </c>
      <c r="H54" s="623">
        <f t="shared" si="4"/>
        <v>26408000</v>
      </c>
      <c r="I54" s="625">
        <f t="shared" si="5"/>
        <v>72816000</v>
      </c>
      <c r="O54" s="246">
        <f>'432 Breakdown'!D1465</f>
        <v>5408000</v>
      </c>
      <c r="P54" s="246">
        <f>'432 Breakdown'!D1491</f>
        <v>21000000</v>
      </c>
      <c r="Q54" s="246">
        <f>'432 Breakdown'!E1465</f>
        <v>5408000</v>
      </c>
      <c r="R54" s="246">
        <f>'432 Breakdown'!E1491</f>
        <v>21000000</v>
      </c>
      <c r="T54" s="246">
        <f>'432 Breakdown'!H1465</f>
        <v>5408000</v>
      </c>
      <c r="U54" s="246">
        <f>'432 Breakdown'!H1491</f>
        <v>25379639.799999997</v>
      </c>
    </row>
    <row r="55" spans="1:21" ht="24">
      <c r="A55" s="620">
        <f t="shared" si="1"/>
        <v>50</v>
      </c>
      <c r="B55" s="621" t="s">
        <v>3274</v>
      </c>
      <c r="C55" s="622">
        <f t="shared" si="2"/>
        <v>15659310.300000001</v>
      </c>
      <c r="D55" s="623">
        <f>'432 Breakdown'!C1502</f>
        <v>7000000</v>
      </c>
      <c r="E55" s="623">
        <f>'432 Breakdown'!C1518</f>
        <v>3300000</v>
      </c>
      <c r="F55" s="624">
        <f t="shared" si="7"/>
        <v>10300000</v>
      </c>
      <c r="G55" s="623">
        <f t="shared" si="3"/>
        <v>11800000</v>
      </c>
      <c r="H55" s="623">
        <f t="shared" si="4"/>
        <v>14800000</v>
      </c>
      <c r="I55" s="625">
        <f t="shared" si="5"/>
        <v>36900000</v>
      </c>
      <c r="O55" s="246">
        <f>'432 Breakdown'!D1502</f>
        <v>5000000</v>
      </c>
      <c r="P55" s="246">
        <f>'432 Breakdown'!D1518</f>
        <v>6800000</v>
      </c>
      <c r="Q55" s="246">
        <f>'432 Breakdown'!E1502</f>
        <v>8000000</v>
      </c>
      <c r="R55" s="246">
        <f>'432 Breakdown'!E1518</f>
        <v>6800000</v>
      </c>
      <c r="T55" s="246">
        <f>'432 Breakdown'!H1502</f>
        <v>8500000</v>
      </c>
      <c r="U55" s="246">
        <f>'432 Breakdown'!H1518</f>
        <v>7159310.2999999998</v>
      </c>
    </row>
    <row r="56" spans="1:21">
      <c r="A56" s="620">
        <f t="shared" si="1"/>
        <v>51</v>
      </c>
      <c r="B56" s="621" t="s">
        <v>2391</v>
      </c>
      <c r="C56" s="622">
        <f t="shared" si="2"/>
        <v>17602959.800000001</v>
      </c>
      <c r="D56" s="623">
        <f>'432 Breakdown'!C1530</f>
        <v>6371221.6500000004</v>
      </c>
      <c r="E56" s="623">
        <f>'432 Breakdown'!C1547</f>
        <v>4000000</v>
      </c>
      <c r="F56" s="624">
        <f t="shared" si="7"/>
        <v>10371221.65</v>
      </c>
      <c r="G56" s="623">
        <f t="shared" si="3"/>
        <v>16835000</v>
      </c>
      <c r="H56" s="623">
        <f t="shared" si="4"/>
        <v>16835000</v>
      </c>
      <c r="I56" s="625">
        <f t="shared" si="5"/>
        <v>44041221.649999999</v>
      </c>
      <c r="O56" s="246">
        <f>'432 Breakdown'!D1530</f>
        <v>7035000</v>
      </c>
      <c r="P56" s="246">
        <f>'432 Breakdown'!D1547</f>
        <v>9800000</v>
      </c>
      <c r="Q56" s="246">
        <f>'432 Breakdown'!E1530</f>
        <v>7035000</v>
      </c>
      <c r="R56" s="246">
        <f>'432 Breakdown'!E1547</f>
        <v>9800000</v>
      </c>
      <c r="T56" s="246">
        <f>'432 Breakdown'!H1530</f>
        <v>7035000</v>
      </c>
      <c r="U56" s="246">
        <f>'432 Breakdown'!H1547</f>
        <v>10567959.800000001</v>
      </c>
    </row>
    <row r="57" spans="1:21" ht="24">
      <c r="A57" s="620">
        <f t="shared" si="1"/>
        <v>52</v>
      </c>
      <c r="B57" s="621" t="s">
        <v>685</v>
      </c>
      <c r="C57" s="622">
        <f t="shared" si="2"/>
        <v>371644000</v>
      </c>
      <c r="D57" s="623">
        <f>'432 Breakdown'!C1558</f>
        <v>363622847.94999999</v>
      </c>
      <c r="E57" s="623">
        <f>'432 Breakdown'!C1577</f>
        <v>7800000</v>
      </c>
      <c r="F57" s="624">
        <f t="shared" si="7"/>
        <v>371422847.94999999</v>
      </c>
      <c r="G57" s="623">
        <f t="shared" si="3"/>
        <v>574958400</v>
      </c>
      <c r="H57" s="623">
        <f t="shared" si="4"/>
        <v>574958400</v>
      </c>
      <c r="I57" s="625">
        <f t="shared" si="5"/>
        <v>1521339647.95</v>
      </c>
      <c r="O57" s="246">
        <f>'432 Breakdown'!D1558</f>
        <v>566758400</v>
      </c>
      <c r="P57" s="246">
        <f>'432 Breakdown'!D1577</f>
        <v>8200000</v>
      </c>
      <c r="Q57" s="246">
        <f>'432 Breakdown'!E1558</f>
        <v>566758400</v>
      </c>
      <c r="R57" s="246">
        <f>'432 Breakdown'!E1577</f>
        <v>8200000</v>
      </c>
      <c r="T57" s="246">
        <f>'432 Breakdown'!H1558</f>
        <v>360000000</v>
      </c>
      <c r="U57" s="246">
        <f>'432 Breakdown'!H1577</f>
        <v>11644000</v>
      </c>
    </row>
    <row r="58" spans="1:21">
      <c r="A58" s="620">
        <f t="shared" si="1"/>
        <v>53</v>
      </c>
      <c r="B58" s="621" t="s">
        <v>686</v>
      </c>
      <c r="C58" s="622">
        <f t="shared" si="2"/>
        <v>146669500</v>
      </c>
      <c r="D58" s="623">
        <f>'432 Breakdown'!C1588</f>
        <v>167979904.84999999</v>
      </c>
      <c r="E58" s="623">
        <f>'432 Breakdown'!C1604</f>
        <v>5800000</v>
      </c>
      <c r="F58" s="624">
        <f t="shared" si="7"/>
        <v>173779904.84999999</v>
      </c>
      <c r="G58" s="623">
        <f t="shared" si="3"/>
        <v>147689600</v>
      </c>
      <c r="H58" s="623">
        <f t="shared" si="4"/>
        <v>147689600</v>
      </c>
      <c r="I58" s="625">
        <f t="shared" si="5"/>
        <v>469159104.85000002</v>
      </c>
      <c r="O58" s="246">
        <f>'432 Breakdown'!D1588</f>
        <v>141689600</v>
      </c>
      <c r="P58" s="246">
        <f>'432 Breakdown'!D1604</f>
        <v>6000000</v>
      </c>
      <c r="Q58" s="246">
        <f>'432 Breakdown'!E1588</f>
        <v>141689600</v>
      </c>
      <c r="R58" s="246">
        <f>'432 Breakdown'!E1604</f>
        <v>6000000</v>
      </c>
      <c r="T58" s="246">
        <f>'432 Breakdown'!H1588</f>
        <v>141689500</v>
      </c>
      <c r="U58" s="246">
        <f>'432 Breakdown'!H1604</f>
        <v>4980000</v>
      </c>
    </row>
    <row r="59" spans="1:21">
      <c r="A59" s="620">
        <f t="shared" si="1"/>
        <v>54</v>
      </c>
      <c r="B59" s="621" t="s">
        <v>687</v>
      </c>
      <c r="C59" s="622">
        <f t="shared" si="2"/>
        <v>12884000</v>
      </c>
      <c r="D59" s="623">
        <f>'432 Breakdown'!C1615</f>
        <v>0</v>
      </c>
      <c r="E59" s="623">
        <f>'432 Breakdown'!C1631</f>
        <v>0</v>
      </c>
      <c r="F59" s="624">
        <f t="shared" si="7"/>
        <v>0</v>
      </c>
      <c r="G59" s="623">
        <f t="shared" si="3"/>
        <v>12884000</v>
      </c>
      <c r="H59" s="623">
        <f t="shared" si="4"/>
        <v>12884000</v>
      </c>
      <c r="I59" s="625">
        <f t="shared" si="5"/>
        <v>25768000</v>
      </c>
      <c r="O59" s="246">
        <f>'432 Breakdown'!D1615</f>
        <v>0</v>
      </c>
      <c r="P59" s="246">
        <f>'432 Breakdown'!D1631</f>
        <v>12884000</v>
      </c>
      <c r="Q59" s="246">
        <f>'432 Breakdown'!E1615</f>
        <v>0</v>
      </c>
      <c r="R59" s="246">
        <f>'432 Breakdown'!E1631</f>
        <v>12884000</v>
      </c>
      <c r="T59" s="246">
        <f>'432 Breakdown'!H1615</f>
        <v>0</v>
      </c>
      <c r="U59" s="246">
        <f>'432 Breakdown'!H1631</f>
        <v>12884000</v>
      </c>
    </row>
    <row r="60" spans="1:21">
      <c r="A60" s="620">
        <f t="shared" si="1"/>
        <v>55</v>
      </c>
      <c r="B60" s="621" t="s">
        <v>1932</v>
      </c>
      <c r="C60" s="622">
        <f t="shared" si="2"/>
        <v>6653400</v>
      </c>
      <c r="D60" s="623">
        <f>'432 Breakdown'!C1642</f>
        <v>0</v>
      </c>
      <c r="E60" s="623">
        <f>'432 Breakdown'!C1658</f>
        <v>2400000</v>
      </c>
      <c r="F60" s="624">
        <f t="shared" si="7"/>
        <v>2400000</v>
      </c>
      <c r="G60" s="623">
        <f t="shared" si="3"/>
        <v>7026400</v>
      </c>
      <c r="H60" s="623">
        <f t="shared" si="4"/>
        <v>7026400</v>
      </c>
      <c r="I60" s="625">
        <f t="shared" si="5"/>
        <v>16452800</v>
      </c>
      <c r="O60" s="246">
        <f>'432 Breakdown'!D1642</f>
        <v>4326400</v>
      </c>
      <c r="P60" s="246">
        <f>'432 Breakdown'!D1658</f>
        <v>2700000</v>
      </c>
      <c r="Q60" s="246">
        <f>'432 Breakdown'!E1642</f>
        <v>4326400</v>
      </c>
      <c r="R60" s="246">
        <f>'432 Breakdown'!E1658</f>
        <v>2700000</v>
      </c>
      <c r="T60" s="246">
        <f>'432 Breakdown'!H1642</f>
        <v>4325400</v>
      </c>
      <c r="U60" s="246">
        <f>'432 Breakdown'!H1658</f>
        <v>2328000</v>
      </c>
    </row>
    <row r="61" spans="1:21">
      <c r="A61" s="620">
        <f t="shared" si="1"/>
        <v>56</v>
      </c>
      <c r="B61" s="621" t="s">
        <v>1528</v>
      </c>
      <c r="C61" s="622">
        <f t="shared" si="2"/>
        <v>48068800</v>
      </c>
      <c r="D61" s="623">
        <f>'432 Breakdown'!C1669</f>
        <v>0</v>
      </c>
      <c r="E61" s="623">
        <f>'432 Breakdown'!C1687</f>
        <v>24000000</v>
      </c>
      <c r="F61" s="624">
        <f t="shared" si="7"/>
        <v>24000000</v>
      </c>
      <c r="G61" s="623">
        <f t="shared" si="3"/>
        <v>46244800</v>
      </c>
      <c r="H61" s="623">
        <f t="shared" si="4"/>
        <v>44244800</v>
      </c>
      <c r="I61" s="625">
        <f t="shared" si="5"/>
        <v>114489600</v>
      </c>
      <c r="O61" s="246">
        <f>'432 Breakdown'!D1669</f>
        <v>3244799.9999999995</v>
      </c>
      <c r="P61" s="246">
        <f>'432 Breakdown'!D1687</f>
        <v>43000000</v>
      </c>
      <c r="Q61" s="246">
        <f>'432 Breakdown'!E1669</f>
        <v>3244799.9999999995</v>
      </c>
      <c r="R61" s="246">
        <f>'432 Breakdown'!E1687</f>
        <v>41000000</v>
      </c>
      <c r="T61" s="246">
        <f>'432 Breakdown'!H1669</f>
        <v>3244800</v>
      </c>
      <c r="U61" s="246">
        <f>'432 Breakdown'!H1687</f>
        <v>44824000</v>
      </c>
    </row>
    <row r="62" spans="1:21" ht="24">
      <c r="A62" s="620">
        <f t="shared" si="1"/>
        <v>57</v>
      </c>
      <c r="B62" s="621" t="s">
        <v>2389</v>
      </c>
      <c r="C62" s="622">
        <f t="shared" si="2"/>
        <v>9547200</v>
      </c>
      <c r="D62" s="623">
        <f>'432 Breakdown'!C1698</f>
        <v>1682592.85</v>
      </c>
      <c r="E62" s="623">
        <f>'432 Breakdown'!C1717</f>
        <v>7000000</v>
      </c>
      <c r="F62" s="624">
        <f t="shared" si="7"/>
        <v>8682592.8499999996</v>
      </c>
      <c r="G62" s="623">
        <f t="shared" si="3"/>
        <v>10663200</v>
      </c>
      <c r="H62" s="623">
        <f t="shared" si="4"/>
        <v>12163200</v>
      </c>
      <c r="I62" s="625">
        <f t="shared" si="5"/>
        <v>31508992.850000001</v>
      </c>
      <c r="O62" s="246">
        <f>'432 Breakdown'!D1698</f>
        <v>2163200</v>
      </c>
      <c r="P62" s="246">
        <f>'432 Breakdown'!D1717</f>
        <v>8500000</v>
      </c>
      <c r="Q62" s="246">
        <f>'432 Breakdown'!E1698</f>
        <v>2163200</v>
      </c>
      <c r="R62" s="246">
        <f>'432 Breakdown'!E1717</f>
        <v>10000000</v>
      </c>
      <c r="T62" s="246">
        <f>'432 Breakdown'!H1698</f>
        <v>2163200</v>
      </c>
      <c r="U62" s="246">
        <f>'432 Breakdown'!H1717</f>
        <v>7384000</v>
      </c>
    </row>
    <row r="63" spans="1:21">
      <c r="A63" s="620">
        <f t="shared" si="1"/>
        <v>58</v>
      </c>
      <c r="B63" s="621" t="s">
        <v>1799</v>
      </c>
      <c r="C63" s="622">
        <f t="shared" si="2"/>
        <v>0</v>
      </c>
      <c r="D63" s="623">
        <f>'432 Breakdown'!C1728</f>
        <v>0</v>
      </c>
      <c r="E63" s="623">
        <f>'432 Breakdown'!C1744</f>
        <v>4000000</v>
      </c>
      <c r="F63" s="624">
        <f t="shared" si="7"/>
        <v>4000000</v>
      </c>
      <c r="G63" s="623">
        <f t="shared" si="3"/>
        <v>6500000</v>
      </c>
      <c r="H63" s="623">
        <f t="shared" si="4"/>
        <v>7000000</v>
      </c>
      <c r="I63" s="625">
        <f t="shared" si="5"/>
        <v>17500000</v>
      </c>
      <c r="O63" s="246">
        <f>'432 Breakdown'!D1728</f>
        <v>0</v>
      </c>
      <c r="P63" s="246">
        <f>'432 Breakdown'!D1744</f>
        <v>6500000</v>
      </c>
      <c r="Q63" s="246">
        <f>'432 Breakdown'!E1728</f>
        <v>0</v>
      </c>
      <c r="R63" s="246">
        <f>'432 Breakdown'!E1744</f>
        <v>7000000</v>
      </c>
      <c r="T63" s="246">
        <f>'432 Breakdown'!H1728</f>
        <v>0</v>
      </c>
      <c r="U63" s="246">
        <f>'432 Breakdown'!H1744</f>
        <v>0</v>
      </c>
    </row>
    <row r="64" spans="1:21">
      <c r="A64" s="620">
        <f t="shared" si="1"/>
        <v>59</v>
      </c>
      <c r="B64" s="621" t="s">
        <v>1801</v>
      </c>
      <c r="C64" s="622">
        <f t="shared" si="2"/>
        <v>15500000</v>
      </c>
      <c r="D64" s="623">
        <f>'432 Breakdown'!C1755</f>
        <v>0</v>
      </c>
      <c r="E64" s="623">
        <f>'432 Breakdown'!C1773</f>
        <v>14500000</v>
      </c>
      <c r="F64" s="624">
        <f t="shared" si="7"/>
        <v>14500000</v>
      </c>
      <c r="G64" s="623">
        <f t="shared" si="3"/>
        <v>16900000</v>
      </c>
      <c r="H64" s="623">
        <f t="shared" si="4"/>
        <v>9500000</v>
      </c>
      <c r="I64" s="625">
        <f t="shared" si="5"/>
        <v>40900000</v>
      </c>
      <c r="O64" s="246">
        <f>'432 Breakdown'!D1755</f>
        <v>0</v>
      </c>
      <c r="P64" s="246">
        <f>'432 Breakdown'!D1773</f>
        <v>16900000</v>
      </c>
      <c r="Q64" s="246">
        <f>'432 Breakdown'!E1755</f>
        <v>0</v>
      </c>
      <c r="R64" s="246">
        <f>'432 Breakdown'!E1773</f>
        <v>9500000</v>
      </c>
      <c r="T64" s="246">
        <f>'432 Breakdown'!H1755</f>
        <v>0</v>
      </c>
      <c r="U64" s="246">
        <f>'432 Breakdown'!H1773</f>
        <v>15500000</v>
      </c>
    </row>
    <row r="65" spans="1:21">
      <c r="A65" s="620">
        <f t="shared" si="1"/>
        <v>60</v>
      </c>
      <c r="B65" s="621" t="s">
        <v>341</v>
      </c>
      <c r="C65" s="622">
        <f t="shared" si="2"/>
        <v>10504000</v>
      </c>
      <c r="D65" s="623">
        <f>'432 Breakdown'!C1784</f>
        <v>3066062</v>
      </c>
      <c r="E65" s="623">
        <f>'432 Breakdown'!C1803</f>
        <v>10000000</v>
      </c>
      <c r="F65" s="624">
        <f t="shared" si="7"/>
        <v>13066062</v>
      </c>
      <c r="G65" s="623">
        <f t="shared" si="3"/>
        <v>10888000</v>
      </c>
      <c r="H65" s="623">
        <f t="shared" si="4"/>
        <v>10828000</v>
      </c>
      <c r="I65" s="625">
        <f t="shared" si="5"/>
        <v>34782062</v>
      </c>
      <c r="O65" s="246">
        <f>'432 Breakdown'!D1784</f>
        <v>3328000</v>
      </c>
      <c r="P65" s="246">
        <f>'432 Breakdown'!D1803</f>
        <v>7560000</v>
      </c>
      <c r="Q65" s="246">
        <f>'432 Breakdown'!E1784</f>
        <v>3328000</v>
      </c>
      <c r="R65" s="246">
        <f>'432 Breakdown'!E1803</f>
        <v>7500000</v>
      </c>
      <c r="T65" s="246">
        <f>'432 Breakdown'!H1784</f>
        <v>3328000</v>
      </c>
      <c r="U65" s="246">
        <f>'432 Breakdown'!H1803</f>
        <v>7176000</v>
      </c>
    </row>
    <row r="66" spans="1:21">
      <c r="A66" s="620">
        <f t="shared" si="1"/>
        <v>61</v>
      </c>
      <c r="B66" s="621" t="s">
        <v>3706</v>
      </c>
      <c r="C66" s="622">
        <f t="shared" si="2"/>
        <v>6207200</v>
      </c>
      <c r="D66" s="623">
        <f>'432 Breakdown'!C1814</f>
        <v>0</v>
      </c>
      <c r="E66" s="623">
        <f>'432 Breakdown'!C1830</f>
        <v>3500000</v>
      </c>
      <c r="F66" s="624">
        <f t="shared" si="7"/>
        <v>3500000</v>
      </c>
      <c r="G66" s="623">
        <f t="shared" si="3"/>
        <v>6163200</v>
      </c>
      <c r="H66" s="623">
        <f t="shared" si="4"/>
        <v>6163200</v>
      </c>
      <c r="I66" s="625">
        <f t="shared" si="5"/>
        <v>15826400</v>
      </c>
      <c r="O66" s="246">
        <f>'432 Breakdown'!D1814</f>
        <v>2163200</v>
      </c>
      <c r="P66" s="246">
        <f>'432 Breakdown'!D1830</f>
        <v>4000000</v>
      </c>
      <c r="Q66" s="246">
        <f>'432 Breakdown'!E1814</f>
        <v>2163200</v>
      </c>
      <c r="R66" s="246">
        <f>'432 Breakdown'!E1830</f>
        <v>4000000</v>
      </c>
      <c r="T66" s="246">
        <f>'432 Breakdown'!H1814</f>
        <v>2163200</v>
      </c>
      <c r="U66" s="246">
        <f>'432 Breakdown'!H1830</f>
        <v>4044000</v>
      </c>
    </row>
    <row r="67" spans="1:21">
      <c r="A67" s="620">
        <f t="shared" si="1"/>
        <v>62</v>
      </c>
      <c r="B67" s="621" t="s">
        <v>380</v>
      </c>
      <c r="C67" s="622">
        <f t="shared" si="2"/>
        <v>16852839.800000001</v>
      </c>
      <c r="D67" s="623">
        <f>'432 Breakdown'!C1841</f>
        <v>2651832.85</v>
      </c>
      <c r="E67" s="623">
        <f>'432 Breakdown'!C1858</f>
        <v>5000000</v>
      </c>
      <c r="F67" s="624">
        <f t="shared" si="7"/>
        <v>7651832.8499999996</v>
      </c>
      <c r="G67" s="623">
        <f t="shared" si="3"/>
        <v>10663200</v>
      </c>
      <c r="H67" s="623">
        <f t="shared" si="4"/>
        <v>10663200</v>
      </c>
      <c r="I67" s="625">
        <f t="shared" si="5"/>
        <v>28978232.850000001</v>
      </c>
      <c r="O67" s="246">
        <f>'432 Breakdown'!D1841</f>
        <v>2163200</v>
      </c>
      <c r="P67" s="246">
        <f>'432 Breakdown'!D1858</f>
        <v>8500000</v>
      </c>
      <c r="Q67" s="246">
        <f>'432 Breakdown'!E1841</f>
        <v>2163200</v>
      </c>
      <c r="R67" s="246">
        <f>'432 Breakdown'!E1858</f>
        <v>8500000</v>
      </c>
      <c r="T67" s="246">
        <f>'432 Breakdown'!H1841</f>
        <v>2163200</v>
      </c>
      <c r="U67" s="246">
        <f>'432 Breakdown'!H1858</f>
        <v>14689639.800000001</v>
      </c>
    </row>
    <row r="68" spans="1:21">
      <c r="A68" s="620">
        <f t="shared" si="1"/>
        <v>63</v>
      </c>
      <c r="B68" s="621" t="s">
        <v>260</v>
      </c>
      <c r="C68" s="622">
        <f t="shared" si="2"/>
        <v>10379200</v>
      </c>
      <c r="D68" s="623">
        <f>'432 Breakdown'!C1869</f>
        <v>0</v>
      </c>
      <c r="E68" s="623">
        <f>'432 Breakdown'!C1887</f>
        <v>5500000</v>
      </c>
      <c r="F68" s="624">
        <f t="shared" si="7"/>
        <v>5500000</v>
      </c>
      <c r="G68" s="623">
        <f t="shared" si="3"/>
        <v>10700000</v>
      </c>
      <c r="H68" s="623">
        <f t="shared" si="4"/>
        <v>10700000</v>
      </c>
      <c r="I68" s="625">
        <f t="shared" si="5"/>
        <v>26900000</v>
      </c>
      <c r="O68" s="246">
        <f>'432 Breakdown'!D1869</f>
        <v>5200000</v>
      </c>
      <c r="P68" s="246">
        <f>'432 Breakdown'!D1887</f>
        <v>5500000</v>
      </c>
      <c r="Q68" s="246">
        <f>'432 Breakdown'!E1869</f>
        <v>5200000</v>
      </c>
      <c r="R68" s="246">
        <f>'432 Breakdown'!E1887</f>
        <v>5500000</v>
      </c>
      <c r="T68" s="246">
        <f>'432 Breakdown'!H1869</f>
        <v>5200000</v>
      </c>
      <c r="U68" s="246">
        <f>'432 Breakdown'!H1887</f>
        <v>5179200</v>
      </c>
    </row>
    <row r="69" spans="1:21">
      <c r="A69" s="620">
        <f t="shared" si="1"/>
        <v>64</v>
      </c>
      <c r="B69" s="621" t="s">
        <v>261</v>
      </c>
      <c r="C69" s="622">
        <f t="shared" si="2"/>
        <v>4108000</v>
      </c>
      <c r="D69" s="623">
        <f>'432 Breakdown'!C1898</f>
        <v>0</v>
      </c>
      <c r="E69" s="623">
        <f>'432 Breakdown'!C1914</f>
        <v>4000000</v>
      </c>
      <c r="F69" s="624">
        <f t="shared" si="7"/>
        <v>4000000</v>
      </c>
      <c r="G69" s="623">
        <f t="shared" si="3"/>
        <v>4500000</v>
      </c>
      <c r="H69" s="623">
        <f t="shared" si="4"/>
        <v>4500000</v>
      </c>
      <c r="I69" s="625">
        <f t="shared" si="5"/>
        <v>13000000</v>
      </c>
      <c r="O69" s="246">
        <f>'432 Breakdown'!D1898</f>
        <v>0</v>
      </c>
      <c r="P69" s="246">
        <f>'432 Breakdown'!D1914</f>
        <v>4500000</v>
      </c>
      <c r="Q69" s="246">
        <f>'432 Breakdown'!E1898</f>
        <v>0</v>
      </c>
      <c r="R69" s="246">
        <f>'432 Breakdown'!E1914</f>
        <v>4500000</v>
      </c>
      <c r="T69" s="246">
        <f>'432 Breakdown'!H1898</f>
        <v>0</v>
      </c>
      <c r="U69" s="246">
        <f>'432 Breakdown'!H1914</f>
        <v>4108000</v>
      </c>
    </row>
    <row r="70" spans="1:21" ht="24">
      <c r="A70" s="620">
        <f t="shared" si="1"/>
        <v>65</v>
      </c>
      <c r="B70" s="621" t="s">
        <v>1348</v>
      </c>
      <c r="C70" s="622">
        <f t="shared" ref="C70:C80" si="8">T70+U70</f>
        <v>4451200</v>
      </c>
      <c r="D70" s="623">
        <f>'432 Breakdown'!C1925</f>
        <v>1713353.1</v>
      </c>
      <c r="E70" s="623">
        <f>'432 Breakdown'!C1941</f>
        <v>5500000</v>
      </c>
      <c r="F70" s="624">
        <f t="shared" si="7"/>
        <v>7213353.0999999996</v>
      </c>
      <c r="G70" s="623">
        <f t="shared" ref="G70:G82" si="9">O70+P70</f>
        <v>7363200</v>
      </c>
      <c r="H70" s="623">
        <f t="shared" ref="H70:H82" si="10">Q70+R70</f>
        <v>7363200</v>
      </c>
      <c r="I70" s="625">
        <f t="shared" ref="I70:I82" si="11">SUM(F70:H70)</f>
        <v>21939753.100000001</v>
      </c>
      <c r="O70" s="246">
        <f>'432 Breakdown'!D1925</f>
        <v>2163200</v>
      </c>
      <c r="P70" s="246">
        <f>'432 Breakdown'!D1941</f>
        <v>5200000</v>
      </c>
      <c r="Q70" s="246">
        <f>'432 Breakdown'!E1925</f>
        <v>2163200</v>
      </c>
      <c r="R70" s="246">
        <f>'432 Breakdown'!E1941</f>
        <v>5200000</v>
      </c>
      <c r="T70" s="246">
        <f>'432 Breakdown'!H1925</f>
        <v>2163200</v>
      </c>
      <c r="U70" s="246">
        <f>'432 Breakdown'!H1941</f>
        <v>2288000</v>
      </c>
    </row>
    <row r="71" spans="1:21">
      <c r="A71" s="620">
        <f t="shared" si="1"/>
        <v>66</v>
      </c>
      <c r="B71" s="621" t="s">
        <v>3392</v>
      </c>
      <c r="C71" s="622">
        <f t="shared" si="8"/>
        <v>1195064000</v>
      </c>
      <c r="D71" s="623">
        <f>'432 Breakdown'!C1952</f>
        <v>0</v>
      </c>
      <c r="E71" s="623">
        <f>'432 Breakdown'!C1971</f>
        <v>807500000</v>
      </c>
      <c r="F71" s="624">
        <f t="shared" si="7"/>
        <v>807500000</v>
      </c>
      <c r="G71" s="623">
        <f t="shared" si="9"/>
        <v>1132000000</v>
      </c>
      <c r="H71" s="623">
        <f t="shared" si="10"/>
        <v>1195000000</v>
      </c>
      <c r="I71" s="625">
        <f t="shared" si="11"/>
        <v>3134500000</v>
      </c>
      <c r="O71" s="246">
        <f>'432 Breakdown'!D1952</f>
        <v>0</v>
      </c>
      <c r="P71" s="246">
        <f>'432 Breakdown'!D1971</f>
        <v>1132000000</v>
      </c>
      <c r="Q71" s="246">
        <f>'432 Breakdown'!E1952</f>
        <v>0</v>
      </c>
      <c r="R71" s="246">
        <f>'432 Breakdown'!E1971</f>
        <v>1195000000</v>
      </c>
      <c r="T71" s="246">
        <f>'432 Breakdown'!H1952</f>
        <v>0</v>
      </c>
      <c r="U71" s="246">
        <f>'432 Breakdown'!H1971</f>
        <v>1195064000</v>
      </c>
    </row>
    <row r="72" spans="1:21" s="281" customFormat="1" ht="24">
      <c r="A72" s="620">
        <f t="shared" si="1"/>
        <v>67</v>
      </c>
      <c r="B72" s="626" t="s">
        <v>4147</v>
      </c>
      <c r="C72" s="622">
        <f t="shared" si="8"/>
        <v>593676000</v>
      </c>
      <c r="D72" s="627">
        <f>'432 Breakdown'!C1982</f>
        <v>677000000</v>
      </c>
      <c r="E72" s="627">
        <f>'432 Breakdown'!C2011</f>
        <v>114400000</v>
      </c>
      <c r="F72" s="624">
        <f t="shared" si="7"/>
        <v>791400000</v>
      </c>
      <c r="G72" s="623">
        <f t="shared" si="9"/>
        <v>565312000</v>
      </c>
      <c r="H72" s="623">
        <f t="shared" si="10"/>
        <v>593312000</v>
      </c>
      <c r="I72" s="625">
        <f t="shared" si="11"/>
        <v>1950024000</v>
      </c>
      <c r="O72" s="282">
        <f>'432 Breakdown'!D1982</f>
        <v>450000000</v>
      </c>
      <c r="P72" s="282">
        <f>'432 Breakdown'!D2011</f>
        <v>115312000</v>
      </c>
      <c r="Q72" s="282">
        <f>'432 Breakdown'!E1982</f>
        <v>470000000</v>
      </c>
      <c r="R72" s="282">
        <f>'432 Breakdown'!E2011</f>
        <v>123312000</v>
      </c>
      <c r="T72" s="282">
        <f>'432 Breakdown'!H1982</f>
        <v>470000000</v>
      </c>
      <c r="U72" s="282">
        <f>'432 Breakdown'!H2011</f>
        <v>123676000</v>
      </c>
    </row>
    <row r="73" spans="1:21" s="281" customFormat="1">
      <c r="A73" s="620">
        <f t="shared" ref="A73:A82" si="12">+A72+1</f>
        <v>68</v>
      </c>
      <c r="B73" s="626" t="s">
        <v>4114</v>
      </c>
      <c r="C73" s="622">
        <f t="shared" si="8"/>
        <v>20280000</v>
      </c>
      <c r="D73" s="627">
        <f>'432 Breakdown'!C2022</f>
        <v>0</v>
      </c>
      <c r="E73" s="627">
        <f>'432 Breakdown'!C2040</f>
        <v>4200000</v>
      </c>
      <c r="F73" s="624">
        <f t="shared" si="7"/>
        <v>4200000</v>
      </c>
      <c r="G73" s="623">
        <f t="shared" si="9"/>
        <v>6000000</v>
      </c>
      <c r="H73" s="623">
        <f t="shared" si="10"/>
        <v>6000000</v>
      </c>
      <c r="I73" s="625">
        <f t="shared" si="11"/>
        <v>16200000</v>
      </c>
      <c r="O73" s="282">
        <f>'432 Breakdown'!D2022</f>
        <v>0</v>
      </c>
      <c r="P73" s="282">
        <f>'432 Breakdown'!D2040</f>
        <v>6000000</v>
      </c>
      <c r="Q73" s="282">
        <f>'432 Breakdown'!E2022</f>
        <v>0</v>
      </c>
      <c r="R73" s="282">
        <f>'432 Breakdown'!E2040</f>
        <v>6000000</v>
      </c>
      <c r="T73" s="282">
        <f>'432 Breakdown'!H2022</f>
        <v>0</v>
      </c>
      <c r="U73" s="282">
        <f>'432 Breakdown'!H2040</f>
        <v>20280000</v>
      </c>
    </row>
    <row r="74" spans="1:21" s="281" customFormat="1" ht="24">
      <c r="A74" s="620">
        <f t="shared" si="12"/>
        <v>69</v>
      </c>
      <c r="B74" s="626" t="s">
        <v>183</v>
      </c>
      <c r="C74" s="622">
        <f t="shared" si="8"/>
        <v>45760000</v>
      </c>
      <c r="D74" s="627">
        <f>'432 Breakdown'!C2051</f>
        <v>0</v>
      </c>
      <c r="E74" s="627">
        <f>'432 Breakdown'!C2074</f>
        <v>12000000</v>
      </c>
      <c r="F74" s="624">
        <f t="shared" si="7"/>
        <v>12000000</v>
      </c>
      <c r="G74" s="623">
        <f t="shared" si="9"/>
        <v>43200000</v>
      </c>
      <c r="H74" s="623">
        <f t="shared" si="10"/>
        <v>49780000</v>
      </c>
      <c r="I74" s="625">
        <f t="shared" si="11"/>
        <v>104980000</v>
      </c>
      <c r="O74" s="282">
        <f>'432 Breakdown'!D2051</f>
        <v>31200000</v>
      </c>
      <c r="P74" s="282">
        <f>'432 Breakdown'!D2074</f>
        <v>12000000</v>
      </c>
      <c r="Q74" s="282">
        <f>'432 Breakdown'!E2051</f>
        <v>31200000</v>
      </c>
      <c r="R74" s="282">
        <f>'432 Breakdown'!E2074</f>
        <v>18580000</v>
      </c>
      <c r="T74" s="282">
        <f>'432 Breakdown'!H2051</f>
        <v>31200000</v>
      </c>
      <c r="U74" s="282">
        <f>'432 Breakdown'!H2074</f>
        <v>14560000</v>
      </c>
    </row>
    <row r="75" spans="1:21" s="281" customFormat="1" ht="26.25" customHeight="1">
      <c r="A75" s="620">
        <f t="shared" si="12"/>
        <v>70</v>
      </c>
      <c r="B75" s="626" t="s">
        <v>4116</v>
      </c>
      <c r="C75" s="622">
        <f t="shared" si="8"/>
        <v>6240000</v>
      </c>
      <c r="D75" s="627">
        <f>'432 Breakdown'!C2085</f>
        <v>0</v>
      </c>
      <c r="E75" s="627">
        <f>'432 Breakdown'!C2101</f>
        <v>5600000</v>
      </c>
      <c r="F75" s="624">
        <f t="shared" si="7"/>
        <v>5600000</v>
      </c>
      <c r="G75" s="623">
        <f t="shared" si="9"/>
        <v>6000000</v>
      </c>
      <c r="H75" s="623">
        <f t="shared" si="10"/>
        <v>6300000</v>
      </c>
      <c r="I75" s="625">
        <f t="shared" si="11"/>
        <v>17900000</v>
      </c>
      <c r="O75" s="282">
        <f>'432 Breakdown'!D2085</f>
        <v>0</v>
      </c>
      <c r="P75" s="282">
        <f>'432 Breakdown'!D2101</f>
        <v>6000000</v>
      </c>
      <c r="Q75" s="282">
        <f>'432 Breakdown'!E2085</f>
        <v>0</v>
      </c>
      <c r="R75" s="282">
        <f>'432 Breakdown'!E2101</f>
        <v>6300000</v>
      </c>
      <c r="T75" s="282">
        <f>'432 Breakdown'!H2085</f>
        <v>0</v>
      </c>
      <c r="U75" s="282">
        <f>'432 Breakdown'!H2101</f>
        <v>6240000</v>
      </c>
    </row>
    <row r="76" spans="1:21" s="281" customFormat="1">
      <c r="A76" s="620">
        <f t="shared" si="12"/>
        <v>71</v>
      </c>
      <c r="B76" s="626" t="s">
        <v>103</v>
      </c>
      <c r="C76" s="622">
        <f t="shared" si="8"/>
        <v>46488000</v>
      </c>
      <c r="D76" s="627">
        <f>'432 Breakdown'!C2112</f>
        <v>0</v>
      </c>
      <c r="E76" s="627">
        <f>'432 Breakdown'!C2130</f>
        <v>6100000</v>
      </c>
      <c r="F76" s="624">
        <f t="shared" si="7"/>
        <v>6100000</v>
      </c>
      <c r="G76" s="623">
        <f t="shared" si="9"/>
        <v>21000000</v>
      </c>
      <c r="H76" s="623">
        <f t="shared" si="10"/>
        <v>23400000</v>
      </c>
      <c r="I76" s="625">
        <f t="shared" si="11"/>
        <v>50500000</v>
      </c>
      <c r="O76" s="282">
        <f>'432 Breakdown'!D2112</f>
        <v>0</v>
      </c>
      <c r="P76" s="282">
        <f>'432 Breakdown'!D2130</f>
        <v>21000000</v>
      </c>
      <c r="Q76" s="282">
        <f>'432 Breakdown'!E2112</f>
        <v>0</v>
      </c>
      <c r="R76" s="282">
        <f>'432 Breakdown'!E2130</f>
        <v>23400000</v>
      </c>
      <c r="T76" s="282">
        <f>'432 Breakdown'!H2112</f>
        <v>0</v>
      </c>
      <c r="U76" s="282">
        <f>'432 Breakdown'!H2130</f>
        <v>46488000</v>
      </c>
    </row>
    <row r="77" spans="1:21" s="281" customFormat="1" ht="24">
      <c r="A77" s="620">
        <f t="shared" si="12"/>
        <v>72</v>
      </c>
      <c r="B77" s="626" t="s">
        <v>4115</v>
      </c>
      <c r="C77" s="622">
        <f t="shared" si="8"/>
        <v>15288000</v>
      </c>
      <c r="D77" s="627">
        <f>'432 Breakdown'!C2140</f>
        <v>0</v>
      </c>
      <c r="E77" s="627">
        <f>'432 Breakdown'!C2157</f>
        <v>0</v>
      </c>
      <c r="F77" s="624">
        <f t="shared" si="7"/>
        <v>0</v>
      </c>
      <c r="G77" s="623">
        <f t="shared" si="9"/>
        <v>15288000</v>
      </c>
      <c r="H77" s="623">
        <f t="shared" si="10"/>
        <v>15288000</v>
      </c>
      <c r="I77" s="625">
        <f t="shared" si="11"/>
        <v>30576000</v>
      </c>
      <c r="O77" s="282">
        <f>'432 Breakdown'!D2140</f>
        <v>0</v>
      </c>
      <c r="P77" s="282">
        <f>'432 Breakdown'!D2157</f>
        <v>15288000</v>
      </c>
      <c r="Q77" s="282">
        <f>'432 Breakdown'!E2140</f>
        <v>0</v>
      </c>
      <c r="R77" s="282">
        <f>'432 Breakdown'!E2157</f>
        <v>15288000</v>
      </c>
      <c r="T77" s="282">
        <f>'432 Breakdown'!H2140</f>
        <v>0</v>
      </c>
      <c r="U77" s="282">
        <f>'432 Breakdown'!H2157</f>
        <v>15288000</v>
      </c>
    </row>
    <row r="78" spans="1:21" s="283" customFormat="1">
      <c r="A78" s="620">
        <f t="shared" si="12"/>
        <v>73</v>
      </c>
      <c r="B78" s="626" t="s">
        <v>4120</v>
      </c>
      <c r="C78" s="622">
        <f t="shared" si="8"/>
        <v>10000000</v>
      </c>
      <c r="D78" s="627">
        <f>'432 Breakdown'!C2168</f>
        <v>0</v>
      </c>
      <c r="E78" s="627">
        <f>'432 Breakdown'!C2184</f>
        <v>6500000</v>
      </c>
      <c r="F78" s="624">
        <f t="shared" si="7"/>
        <v>6500000</v>
      </c>
      <c r="G78" s="623">
        <f t="shared" si="9"/>
        <v>7500000</v>
      </c>
      <c r="H78" s="623">
        <f t="shared" si="10"/>
        <v>8500000</v>
      </c>
      <c r="I78" s="625">
        <f t="shared" si="11"/>
        <v>22500000</v>
      </c>
      <c r="O78" s="282">
        <f>'432 Breakdown'!D2168</f>
        <v>0</v>
      </c>
      <c r="P78" s="282">
        <f>'432 Breakdown'!D2184</f>
        <v>7500000</v>
      </c>
      <c r="Q78" s="282">
        <f>'432 Breakdown'!E2168</f>
        <v>0</v>
      </c>
      <c r="R78" s="282">
        <f>'432 Breakdown'!E2184</f>
        <v>8500000</v>
      </c>
      <c r="T78" s="282">
        <f>'432 Breakdown'!H2168</f>
        <v>0</v>
      </c>
      <c r="U78" s="282">
        <f>'432 Breakdown'!H2184</f>
        <v>10000000</v>
      </c>
    </row>
    <row r="79" spans="1:21" s="284" customFormat="1">
      <c r="A79" s="620">
        <f t="shared" si="12"/>
        <v>74</v>
      </c>
      <c r="B79" s="626" t="s">
        <v>4121</v>
      </c>
      <c r="C79" s="622">
        <f t="shared" si="8"/>
        <v>700000000</v>
      </c>
      <c r="D79" s="627">
        <f>'432 Breakdown'!C2195</f>
        <v>120000000</v>
      </c>
      <c r="E79" s="627">
        <f>'432 Breakdown'!C2216</f>
        <v>265000000</v>
      </c>
      <c r="F79" s="624">
        <f t="shared" si="7"/>
        <v>385000000</v>
      </c>
      <c r="G79" s="623">
        <f t="shared" si="9"/>
        <v>435000000</v>
      </c>
      <c r="H79" s="623">
        <f t="shared" si="10"/>
        <v>435000000</v>
      </c>
      <c r="I79" s="625">
        <f t="shared" si="11"/>
        <v>1255000000</v>
      </c>
      <c r="O79" s="282">
        <f>'432 Breakdown'!D2195</f>
        <v>150000000</v>
      </c>
      <c r="P79" s="282">
        <f>'432 Breakdown'!D2216</f>
        <v>285000000</v>
      </c>
      <c r="Q79" s="282">
        <f>'432 Breakdown'!E2195</f>
        <v>150000000</v>
      </c>
      <c r="R79" s="282">
        <f>'432 Breakdown'!E2216</f>
        <v>285000000</v>
      </c>
      <c r="T79" s="282">
        <f>'432 Breakdown'!H2195</f>
        <v>400000000</v>
      </c>
      <c r="U79" s="282">
        <f>'432 Breakdown'!H2216</f>
        <v>300000000</v>
      </c>
    </row>
    <row r="80" spans="1:21" s="320" customFormat="1">
      <c r="A80" s="620">
        <f t="shared" si="12"/>
        <v>75</v>
      </c>
      <c r="B80" s="626" t="s">
        <v>4226</v>
      </c>
      <c r="C80" s="622">
        <f t="shared" si="8"/>
        <v>7900000</v>
      </c>
      <c r="D80" s="627">
        <f>'432 Breakdown'!C2227</f>
        <v>0</v>
      </c>
      <c r="E80" s="627">
        <f>'432 Breakdown'!C2244</f>
        <v>3500000</v>
      </c>
      <c r="F80" s="624">
        <f t="shared" si="7"/>
        <v>3500000</v>
      </c>
      <c r="G80" s="623">
        <f t="shared" si="9"/>
        <v>4500000</v>
      </c>
      <c r="H80" s="623">
        <f t="shared" si="10"/>
        <v>4500000</v>
      </c>
      <c r="I80" s="625">
        <f t="shared" si="11"/>
        <v>12500000</v>
      </c>
      <c r="O80" s="282">
        <f>'432 Breakdown'!D2227</f>
        <v>0</v>
      </c>
      <c r="P80" s="282">
        <f>'432 Breakdown'!D2244</f>
        <v>4500000</v>
      </c>
      <c r="Q80" s="282">
        <f>'432 Breakdown'!E2227</f>
        <v>0</v>
      </c>
      <c r="R80" s="282">
        <f>'432 Breakdown'!E2244</f>
        <v>4500000</v>
      </c>
      <c r="T80" s="282">
        <f>'432 Breakdown'!H2227</f>
        <v>0</v>
      </c>
      <c r="U80" s="282">
        <f>'432 Breakdown'!H2244</f>
        <v>7900000</v>
      </c>
    </row>
    <row r="81" spans="1:21" s="320" customFormat="1">
      <c r="A81" s="620">
        <f t="shared" si="12"/>
        <v>76</v>
      </c>
      <c r="B81" s="626" t="s">
        <v>4217</v>
      </c>
      <c r="C81" s="628"/>
      <c r="D81" s="627">
        <f>'432 Breakdown'!C2255</f>
        <v>0</v>
      </c>
      <c r="E81" s="627">
        <f>'432 Breakdown'!C2272</f>
        <v>7000000</v>
      </c>
      <c r="F81" s="624">
        <f t="shared" si="7"/>
        <v>7000000</v>
      </c>
      <c r="G81" s="623">
        <f t="shared" si="9"/>
        <v>8000000</v>
      </c>
      <c r="H81" s="623">
        <f t="shared" si="10"/>
        <v>8000000</v>
      </c>
      <c r="I81" s="625">
        <f t="shared" si="11"/>
        <v>23000000</v>
      </c>
      <c r="O81" s="282">
        <f>'432 Breakdown'!D2255</f>
        <v>0</v>
      </c>
      <c r="P81" s="282">
        <f>'432 Breakdown'!D2272</f>
        <v>8000000</v>
      </c>
      <c r="Q81" s="282">
        <f>'432 Breakdown'!E2255</f>
        <v>0</v>
      </c>
      <c r="R81" s="282">
        <f>'432 Breakdown'!E2272</f>
        <v>8000000</v>
      </c>
      <c r="T81" s="282">
        <f>'432 Breakdown'!H2255</f>
        <v>0</v>
      </c>
      <c r="U81" s="282">
        <f>'432 Breakdown'!H2272</f>
        <v>0</v>
      </c>
    </row>
    <row r="82" spans="1:21" s="320" customFormat="1">
      <c r="A82" s="620">
        <f t="shared" si="12"/>
        <v>77</v>
      </c>
      <c r="B82" s="626" t="s">
        <v>4218</v>
      </c>
      <c r="C82" s="628"/>
      <c r="D82" s="627">
        <f>'432 Breakdown'!C2283</f>
        <v>0</v>
      </c>
      <c r="E82" s="627">
        <f>'432 Breakdown'!C2301</f>
        <v>10000000</v>
      </c>
      <c r="F82" s="624">
        <f t="shared" si="7"/>
        <v>10000000</v>
      </c>
      <c r="G82" s="623">
        <f t="shared" si="9"/>
        <v>12000000</v>
      </c>
      <c r="H82" s="623">
        <f t="shared" si="10"/>
        <v>12000000</v>
      </c>
      <c r="I82" s="625">
        <f t="shared" si="11"/>
        <v>34000000</v>
      </c>
      <c r="O82" s="282">
        <f>'432 Breakdown'!D2283</f>
        <v>0</v>
      </c>
      <c r="P82" s="282">
        <f>'432 Breakdown'!D2301</f>
        <v>12000000</v>
      </c>
      <c r="Q82" s="282">
        <f>'432 Breakdown'!E2283</f>
        <v>0</v>
      </c>
      <c r="R82" s="282">
        <f>'432 Breakdown'!E2301</f>
        <v>12000000</v>
      </c>
      <c r="T82" s="282">
        <f>'432 Breakdown'!H2283</f>
        <v>0</v>
      </c>
      <c r="U82" s="282">
        <f>'432 Breakdown'!H2301</f>
        <v>0</v>
      </c>
    </row>
    <row r="83" spans="1:21" ht="15.75" thickBot="1">
      <c r="A83" s="629"/>
      <c r="B83" s="630" t="s">
        <v>1684</v>
      </c>
      <c r="C83" s="631">
        <f>SUM(C5:C82)+1316730229</f>
        <v>13633027189.699997</v>
      </c>
      <c r="D83" s="631">
        <f t="shared" ref="D83:H83" si="13">SUM(D5:D82)</f>
        <v>9558417605.670002</v>
      </c>
      <c r="E83" s="631">
        <f t="shared" si="13"/>
        <v>2455025509</v>
      </c>
      <c r="F83" s="631">
        <f t="shared" si="13"/>
        <v>12013443114.67</v>
      </c>
      <c r="G83" s="631">
        <f t="shared" si="13"/>
        <v>13547663047.6</v>
      </c>
      <c r="H83" s="631">
        <f t="shared" si="13"/>
        <v>13692522247.6</v>
      </c>
      <c r="I83" s="631">
        <f>SUM(I5:I79)</f>
        <v>39184128409.869987</v>
      </c>
    </row>
    <row r="84" spans="1:21" ht="15.75" thickTop="1"/>
    <row r="85" spans="1:21">
      <c r="C85" s="184">
        <v>13633027190</v>
      </c>
    </row>
    <row r="86" spans="1:21">
      <c r="C86" s="247">
        <f>C85-C83</f>
        <v>0.3000030517578125</v>
      </c>
    </row>
    <row r="88" spans="1:21">
      <c r="H88" s="247">
        <f>H83-C83</f>
        <v>59495057.900003433</v>
      </c>
    </row>
  </sheetData>
  <mergeCells count="2">
    <mergeCell ref="A2:F2"/>
    <mergeCell ref="A1:F1"/>
  </mergeCells>
  <phoneticPr fontId="22" type="noConversion"/>
  <pageMargins left="0.39370078740157483" right="0.15748031496062992" top="0.23622047244094491" bottom="0.35433070866141736" header="0.23622047244094491" footer="0.23622047244094491"/>
  <pageSetup paperSize="9" scale="90" firstPageNumber="283" orientation="landscape" useFirstPageNumber="1" r:id="rId1"/>
  <headerFooter alignWithMargins="0"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I43"/>
  <sheetViews>
    <sheetView zoomScale="150" zoomScaleNormal="150" zoomScaleSheetLayoutView="100" workbookViewId="0">
      <selection sqref="A1:I1"/>
    </sheetView>
  </sheetViews>
  <sheetFormatPr defaultColWidth="9" defaultRowHeight="15"/>
  <cols>
    <col min="1" max="1" width="5" style="853" customWidth="1"/>
    <col min="2" max="2" width="27.85546875" style="853" customWidth="1"/>
    <col min="3" max="3" width="15.42578125" style="610" customWidth="1"/>
    <col min="4" max="4" width="15.140625" style="610" hidden="1" customWidth="1"/>
    <col min="5" max="5" width="10.140625" style="610" hidden="1" customWidth="1"/>
    <col min="6" max="9" width="15.42578125" style="610" customWidth="1"/>
    <col min="10" max="10" width="5.28515625" style="853" customWidth="1"/>
    <col min="11" max="16384" width="9" style="853"/>
  </cols>
  <sheetData>
    <row r="1" spans="1:9" ht="19.5" thickBot="1">
      <c r="A1" s="1091" t="s">
        <v>5428</v>
      </c>
      <c r="B1" s="1092"/>
      <c r="C1" s="1092"/>
      <c r="D1" s="1092"/>
      <c r="E1" s="1092"/>
      <c r="F1" s="1092"/>
      <c r="G1" s="1092"/>
      <c r="H1" s="1093"/>
      <c r="I1" s="1093"/>
    </row>
    <row r="2" spans="1:9" ht="44.25" customHeight="1" thickTop="1">
      <c r="A2" s="854"/>
      <c r="B2" s="855" t="s">
        <v>4307</v>
      </c>
      <c r="C2" s="856" t="s">
        <v>4195</v>
      </c>
      <c r="D2" s="857" t="s">
        <v>4302</v>
      </c>
      <c r="E2" s="857" t="s">
        <v>5387</v>
      </c>
      <c r="F2" s="941" t="s">
        <v>5429</v>
      </c>
      <c r="G2" s="856" t="s">
        <v>4173</v>
      </c>
      <c r="H2" s="856" t="s">
        <v>4208</v>
      </c>
      <c r="I2" s="858" t="s">
        <v>4239</v>
      </c>
    </row>
    <row r="3" spans="1:9">
      <c r="A3" s="249">
        <v>1</v>
      </c>
      <c r="B3" s="859" t="s">
        <v>2505</v>
      </c>
      <c r="C3" s="268">
        <f>C12+C27</f>
        <v>114808451294</v>
      </c>
      <c r="D3" s="860">
        <f>D12+D27</f>
        <v>56678241634.940002</v>
      </c>
      <c r="E3" s="861">
        <f>D3/C3*100</f>
        <v>49.367656297182421</v>
      </c>
      <c r="F3" s="268">
        <f>F12+F27</f>
        <v>90470776839.940002</v>
      </c>
      <c r="G3" s="268">
        <f>G12+G27</f>
        <v>84774362861.698792</v>
      </c>
      <c r="H3" s="268">
        <f>H12+H27</f>
        <v>87478029128.140778</v>
      </c>
      <c r="I3" s="269">
        <f>SUM(F3:H3)</f>
        <v>262723168829.77957</v>
      </c>
    </row>
    <row r="4" spans="1:9">
      <c r="A4" s="862"/>
      <c r="B4" s="863"/>
      <c r="C4" s="864"/>
      <c r="D4" s="865"/>
      <c r="E4" s="865"/>
      <c r="F4" s="864"/>
      <c r="G4" s="864"/>
      <c r="H4" s="864"/>
      <c r="I4" s="866"/>
    </row>
    <row r="5" spans="1:9">
      <c r="A5" s="862" t="s">
        <v>2173</v>
      </c>
      <c r="B5" s="867" t="s">
        <v>2146</v>
      </c>
      <c r="C5" s="868">
        <f>Revenue!H16</f>
        <v>45121821455</v>
      </c>
      <c r="D5" s="869">
        <f>Revenue!I16</f>
        <v>45262905907.919998</v>
      </c>
      <c r="E5" s="870">
        <f>D5/C5*100</f>
        <v>100.3126745516262</v>
      </c>
      <c r="F5" s="868">
        <f>Revenue!D16</f>
        <v>45264866794.940002</v>
      </c>
      <c r="G5" s="868">
        <f>Revenue!E16</f>
        <v>46170164130.838806</v>
      </c>
      <c r="H5" s="868">
        <f>Revenue!F16</f>
        <v>47093567413.455582</v>
      </c>
      <c r="I5" s="269">
        <f>SUM(F5:H5)</f>
        <v>138528598339.23437</v>
      </c>
    </row>
    <row r="6" spans="1:9">
      <c r="A6" s="862"/>
      <c r="B6" s="867"/>
      <c r="C6" s="868"/>
      <c r="D6" s="865"/>
      <c r="E6" s="865"/>
      <c r="F6" s="864"/>
      <c r="G6" s="864"/>
      <c r="H6" s="864"/>
      <c r="I6" s="866"/>
    </row>
    <row r="7" spans="1:9">
      <c r="A7" s="862" t="s">
        <v>2174</v>
      </c>
      <c r="B7" s="867" t="s">
        <v>2175</v>
      </c>
      <c r="C7" s="864">
        <f>Revenue!H17</f>
        <v>9741982155</v>
      </c>
      <c r="D7" s="865">
        <f>Revenue!I17</f>
        <v>0</v>
      </c>
      <c r="E7" s="865"/>
      <c r="F7" s="864">
        <f>Revenue!D17</f>
        <v>813428792</v>
      </c>
      <c r="G7" s="864">
        <f>Revenue!E17</f>
        <v>829697367.84000003</v>
      </c>
      <c r="H7" s="864">
        <f>Revenue!F286</f>
        <v>846291315.19679999</v>
      </c>
      <c r="I7" s="269">
        <f>SUM(F7:H7)</f>
        <v>2489417475.0368004</v>
      </c>
    </row>
    <row r="8" spans="1:9">
      <c r="A8" s="862"/>
      <c r="B8" s="867"/>
      <c r="C8" s="864"/>
      <c r="D8" s="865"/>
      <c r="E8" s="865"/>
      <c r="F8" s="864"/>
      <c r="G8" s="864"/>
      <c r="H8" s="864"/>
      <c r="I8" s="269"/>
    </row>
    <row r="9" spans="1:9">
      <c r="A9" s="862" t="s">
        <v>2564</v>
      </c>
      <c r="B9" s="867" t="s">
        <v>126</v>
      </c>
      <c r="C9" s="864">
        <f>Revenue!H18</f>
        <v>0</v>
      </c>
      <c r="D9" s="865">
        <v>0</v>
      </c>
      <c r="E9" s="865"/>
      <c r="F9" s="864">
        <f>+DIST!D8</f>
        <v>0</v>
      </c>
      <c r="G9" s="864">
        <f>+DIST!E8</f>
        <v>0</v>
      </c>
      <c r="H9" s="864">
        <f>+DIST!F8</f>
        <v>0</v>
      </c>
      <c r="I9" s="269">
        <f>SUM(F9:H9)</f>
        <v>0</v>
      </c>
    </row>
    <row r="10" spans="1:9">
      <c r="A10" s="862"/>
      <c r="B10" s="867"/>
      <c r="C10" s="864"/>
      <c r="D10" s="865"/>
      <c r="E10" s="865"/>
      <c r="F10" s="864"/>
      <c r="G10" s="864"/>
      <c r="H10" s="864"/>
      <c r="I10" s="269"/>
    </row>
    <row r="11" spans="1:9">
      <c r="A11" s="862" t="s">
        <v>2566</v>
      </c>
      <c r="B11" s="867" t="s">
        <v>4308</v>
      </c>
      <c r="C11" s="864">
        <f>Revenue!H14</f>
        <v>3116964852</v>
      </c>
      <c r="D11" s="865">
        <f>Revenue!I14</f>
        <v>3149630554</v>
      </c>
      <c r="E11" s="870">
        <f>D11/C11*100</f>
        <v>101.04799712383796</v>
      </c>
      <c r="F11" s="864">
        <f>Revenue!D14</f>
        <v>4086798421</v>
      </c>
      <c r="G11" s="864">
        <f>Revenue!E14</f>
        <v>4168534389.4200001</v>
      </c>
      <c r="H11" s="864">
        <f>Revenue!F14</f>
        <v>4251905077.2083998</v>
      </c>
      <c r="I11" s="269">
        <f>SUM(F11:H11)</f>
        <v>12507237887.628399</v>
      </c>
    </row>
    <row r="12" spans="1:9">
      <c r="A12" s="871"/>
      <c r="B12" s="872" t="s">
        <v>2565</v>
      </c>
      <c r="C12" s="270">
        <f t="shared" ref="C12:I12" si="0">SUM(C5:C11)</f>
        <v>57980768462</v>
      </c>
      <c r="D12" s="873">
        <f t="shared" si="0"/>
        <v>48412536461.919998</v>
      </c>
      <c r="E12" s="874">
        <f>D12/C12*100</f>
        <v>83.497576431138683</v>
      </c>
      <c r="F12" s="270">
        <f t="shared" si="0"/>
        <v>50165094007.940002</v>
      </c>
      <c r="G12" s="270">
        <f t="shared" si="0"/>
        <v>51168395888.098801</v>
      </c>
      <c r="H12" s="270">
        <f t="shared" si="0"/>
        <v>52191763805.860779</v>
      </c>
      <c r="I12" s="271">
        <f t="shared" si="0"/>
        <v>153525253701.89957</v>
      </c>
    </row>
    <row r="13" spans="1:9">
      <c r="A13" s="862" t="s">
        <v>2566</v>
      </c>
      <c r="B13" s="867" t="s">
        <v>2177</v>
      </c>
      <c r="C13" s="864">
        <v>486750000</v>
      </c>
      <c r="D13" s="865"/>
      <c r="E13" s="865"/>
      <c r="F13" s="864">
        <v>776000000</v>
      </c>
      <c r="G13" s="864">
        <f>F13*1.05</f>
        <v>814800000</v>
      </c>
      <c r="H13" s="864">
        <f>G13*1.05</f>
        <v>855540000</v>
      </c>
      <c r="I13" s="269">
        <f>SUM(F13:H13)</f>
        <v>2446340000</v>
      </c>
    </row>
    <row r="14" spans="1:9">
      <c r="A14" s="862"/>
      <c r="B14" s="867"/>
      <c r="C14" s="864"/>
      <c r="D14" s="865"/>
      <c r="E14" s="865"/>
      <c r="F14" s="864"/>
      <c r="G14" s="864"/>
      <c r="H14" s="864"/>
      <c r="I14" s="269"/>
    </row>
    <row r="15" spans="1:9" ht="30">
      <c r="A15" s="862" t="s">
        <v>853</v>
      </c>
      <c r="B15" s="875" t="s">
        <v>5438</v>
      </c>
      <c r="C15" s="864">
        <v>100000000</v>
      </c>
      <c r="D15" s="865"/>
      <c r="E15" s="865"/>
      <c r="F15" s="864">
        <f>350000000+150000000</f>
        <v>500000000</v>
      </c>
      <c r="G15" s="864">
        <f>F15*1.05</f>
        <v>525000000</v>
      </c>
      <c r="H15" s="864">
        <f>G15*1.05</f>
        <v>551250000</v>
      </c>
      <c r="I15" s="269">
        <f>SUM(F15:H15)</f>
        <v>1576250000</v>
      </c>
    </row>
    <row r="16" spans="1:9">
      <c r="A16" s="862"/>
      <c r="B16" s="867"/>
      <c r="C16" s="864"/>
      <c r="D16" s="865">
        <v>158035000</v>
      </c>
      <c r="E16" s="865"/>
      <c r="F16" s="864"/>
      <c r="G16" s="864"/>
      <c r="H16" s="864"/>
      <c r="I16" s="866"/>
    </row>
    <row r="17" spans="1:9">
      <c r="A17" s="862" t="s">
        <v>857</v>
      </c>
      <c r="B17" s="875" t="s">
        <v>4309</v>
      </c>
      <c r="C17" s="864">
        <v>35000000000</v>
      </c>
      <c r="D17" s="865"/>
      <c r="E17" s="865"/>
      <c r="F17" s="864">
        <f>27000000000-1841965000-158035000</f>
        <v>25000000000</v>
      </c>
      <c r="G17" s="864">
        <v>17850000000</v>
      </c>
      <c r="H17" s="864">
        <f>G17*1.05</f>
        <v>18742500000</v>
      </c>
      <c r="I17" s="269">
        <f>SUM(F17:H17)</f>
        <v>61592500000</v>
      </c>
    </row>
    <row r="18" spans="1:9">
      <c r="A18" s="862"/>
      <c r="B18" s="867"/>
      <c r="C18" s="864"/>
      <c r="D18" s="865"/>
      <c r="E18" s="865"/>
      <c r="F18" s="864"/>
      <c r="G18" s="864"/>
      <c r="H18" s="864"/>
      <c r="I18" s="866"/>
    </row>
    <row r="19" spans="1:9">
      <c r="A19" s="862" t="s">
        <v>1269</v>
      </c>
      <c r="B19" s="867" t="s">
        <v>1270</v>
      </c>
      <c r="C19" s="864">
        <v>8000000000</v>
      </c>
      <c r="D19" s="865">
        <v>8107670173.0200005</v>
      </c>
      <c r="E19" s="874">
        <f>D19/C19*100</f>
        <v>101.34587716275001</v>
      </c>
      <c r="F19" s="864">
        <v>9000000000</v>
      </c>
      <c r="G19" s="864">
        <f>F19*1.05</f>
        <v>9450000000</v>
      </c>
      <c r="H19" s="864">
        <f>G19*1.05</f>
        <v>9922500000</v>
      </c>
      <c r="I19" s="269">
        <f>SUM(F19:H19)</f>
        <v>28372500000</v>
      </c>
    </row>
    <row r="20" spans="1:9">
      <c r="A20" s="862"/>
      <c r="B20" s="867"/>
      <c r="C20" s="864"/>
      <c r="D20" s="865"/>
      <c r="E20" s="865"/>
      <c r="F20" s="864"/>
      <c r="G20" s="864"/>
      <c r="H20" s="864"/>
      <c r="I20" s="866"/>
    </row>
    <row r="21" spans="1:9" ht="30">
      <c r="A21" s="876" t="s">
        <v>1271</v>
      </c>
      <c r="B21" s="875" t="s">
        <v>4310</v>
      </c>
      <c r="C21" s="877">
        <v>1700000000</v>
      </c>
      <c r="D21" s="878"/>
      <c r="E21" s="878"/>
      <c r="F21" s="877">
        <v>500000000</v>
      </c>
      <c r="G21" s="877">
        <f>F21*1.05</f>
        <v>525000000</v>
      </c>
      <c r="H21" s="877">
        <f>G21*1.05</f>
        <v>551250000</v>
      </c>
      <c r="I21" s="280">
        <f>SUM(F21:H21)</f>
        <v>1576250000</v>
      </c>
    </row>
    <row r="22" spans="1:9">
      <c r="A22" s="876"/>
      <c r="B22" s="875"/>
      <c r="C22" s="877"/>
      <c r="D22" s="878"/>
      <c r="E22" s="878"/>
      <c r="F22" s="877"/>
      <c r="G22" s="877"/>
      <c r="H22" s="877"/>
      <c r="I22" s="280"/>
    </row>
    <row r="23" spans="1:9">
      <c r="A23" s="862" t="s">
        <v>1111</v>
      </c>
      <c r="B23" s="867" t="s">
        <v>4314</v>
      </c>
      <c r="C23" s="864">
        <v>900000000</v>
      </c>
      <c r="D23" s="865"/>
      <c r="E23" s="865"/>
      <c r="F23" s="864">
        <f>50000000+900000000+300000000</f>
        <v>1250000000</v>
      </c>
      <c r="G23" s="864">
        <v>997500000</v>
      </c>
      <c r="H23" s="864">
        <v>1047375000</v>
      </c>
      <c r="I23" s="269">
        <f>SUM(F23:H23)</f>
        <v>3294875000</v>
      </c>
    </row>
    <row r="24" spans="1:9">
      <c r="A24" s="862"/>
      <c r="B24" s="867"/>
      <c r="C24" s="864"/>
      <c r="D24" s="865"/>
      <c r="E24" s="865"/>
      <c r="F24" s="864"/>
      <c r="G24" s="864"/>
      <c r="H24" s="864"/>
      <c r="I24" s="866"/>
    </row>
    <row r="25" spans="1:9">
      <c r="A25" s="862" t="s">
        <v>1112</v>
      </c>
      <c r="B25" s="867" t="s">
        <v>1971</v>
      </c>
      <c r="C25" s="864">
        <v>8140932832</v>
      </c>
      <c r="D25" s="865"/>
      <c r="E25" s="865"/>
      <c r="F25" s="864">
        <v>2500000000</v>
      </c>
      <c r="G25" s="864">
        <f>F25*1.05</f>
        <v>2625000000</v>
      </c>
      <c r="H25" s="864">
        <f>G25*1.05</f>
        <v>2756250000</v>
      </c>
      <c r="I25" s="269">
        <f>SUM(F25:H25)</f>
        <v>7881250000</v>
      </c>
    </row>
    <row r="26" spans="1:9" ht="25.5">
      <c r="A26" s="862" t="s">
        <v>1972</v>
      </c>
      <c r="B26" s="879" t="s">
        <v>4311</v>
      </c>
      <c r="C26" s="864">
        <v>2500000000</v>
      </c>
      <c r="D26" s="865"/>
      <c r="E26" s="865"/>
      <c r="F26" s="864">
        <f>250000000+429682832+100000000</f>
        <v>779682832</v>
      </c>
      <c r="G26" s="864">
        <f>F26*1.05</f>
        <v>818666973.60000002</v>
      </c>
      <c r="H26" s="864">
        <f>G26*1.05</f>
        <v>859600322.28000009</v>
      </c>
      <c r="I26" s="269">
        <f>SUM(F26:H26)</f>
        <v>2457950127.8800001</v>
      </c>
    </row>
    <row r="27" spans="1:9">
      <c r="A27" s="880"/>
      <c r="B27" s="881" t="s">
        <v>2565</v>
      </c>
      <c r="C27" s="882">
        <f t="shared" ref="C27:I27" si="1">SUM(C13:C26)</f>
        <v>56827682832</v>
      </c>
      <c r="D27" s="873">
        <f t="shared" si="1"/>
        <v>8265705173.0200005</v>
      </c>
      <c r="E27" s="883">
        <f>D27/C27*100</f>
        <v>14.545208886056383</v>
      </c>
      <c r="F27" s="270">
        <f t="shared" si="1"/>
        <v>40305682832</v>
      </c>
      <c r="G27" s="270">
        <f t="shared" si="1"/>
        <v>33605966973.599998</v>
      </c>
      <c r="H27" s="882">
        <f t="shared" si="1"/>
        <v>35286265322.279999</v>
      </c>
      <c r="I27" s="884">
        <f t="shared" si="1"/>
        <v>109197915127.88</v>
      </c>
    </row>
    <row r="28" spans="1:9">
      <c r="A28" s="880"/>
      <c r="B28" s="872" t="s">
        <v>1337</v>
      </c>
      <c r="C28" s="270">
        <f t="shared" ref="C28:I28" si="2">SUM(C12+C27)</f>
        <v>114808451294</v>
      </c>
      <c r="D28" s="873">
        <f t="shared" si="2"/>
        <v>56678241634.940002</v>
      </c>
      <c r="E28" s="883">
        <f>D28/C28*100</f>
        <v>49.367656297182421</v>
      </c>
      <c r="F28" s="270">
        <f t="shared" si="2"/>
        <v>90470776839.940002</v>
      </c>
      <c r="G28" s="270">
        <f t="shared" si="2"/>
        <v>84774362861.698792</v>
      </c>
      <c r="H28" s="270">
        <f>SUM(H12+H27)</f>
        <v>87478029128.140778</v>
      </c>
      <c r="I28" s="271">
        <f t="shared" si="2"/>
        <v>262723168829.77957</v>
      </c>
    </row>
    <row r="29" spans="1:9" ht="25.5">
      <c r="A29" s="885" t="s">
        <v>1338</v>
      </c>
      <c r="B29" s="227" t="s">
        <v>980</v>
      </c>
      <c r="C29" s="272">
        <f>C33+C35+C39+C41</f>
        <v>47616508447.435341</v>
      </c>
      <c r="D29" s="865">
        <f>D33+D35+D39+D41</f>
        <v>41534574167.779999</v>
      </c>
      <c r="E29" s="886">
        <f>D29/C29*100</f>
        <v>87.227256936805247</v>
      </c>
      <c r="F29" s="272">
        <f>F33+F35+F39+F41</f>
        <v>39196776839.945335</v>
      </c>
      <c r="G29" s="272">
        <f>G33+G35+G39+G41</f>
        <v>39980711496.744247</v>
      </c>
      <c r="H29" s="272">
        <f>H33+H35+H39+H41</f>
        <v>40764647913.543159</v>
      </c>
      <c r="I29" s="269">
        <f>SUM(F29:H29)</f>
        <v>119942136250.23273</v>
      </c>
    </row>
    <row r="30" spans="1:9">
      <c r="A30" s="885"/>
      <c r="B30" s="227"/>
      <c r="C30" s="272"/>
      <c r="D30" s="865"/>
      <c r="E30" s="887"/>
      <c r="F30" s="272"/>
      <c r="G30" s="272"/>
      <c r="H30" s="272"/>
      <c r="I30" s="273"/>
    </row>
    <row r="31" spans="1:9" ht="25.5">
      <c r="A31" s="885" t="s">
        <v>1339</v>
      </c>
      <c r="B31" s="227" t="s">
        <v>2461</v>
      </c>
      <c r="C31" s="272">
        <f>C37</f>
        <v>66814550000</v>
      </c>
      <c r="D31" s="865">
        <f>+D37</f>
        <v>24112795729</v>
      </c>
      <c r="E31" s="886">
        <f>D31/C31*100</f>
        <v>36.089138861221102</v>
      </c>
      <c r="F31" s="272">
        <f>F37</f>
        <v>51274000000</v>
      </c>
      <c r="G31" s="272">
        <f>+G37</f>
        <v>53837700000</v>
      </c>
      <c r="H31" s="272">
        <f>+H37</f>
        <v>56529585000</v>
      </c>
      <c r="I31" s="269">
        <f>SUM(F31:H31)</f>
        <v>161641285000</v>
      </c>
    </row>
    <row r="32" spans="1:9">
      <c r="A32" s="1087" t="s">
        <v>4113</v>
      </c>
      <c r="B32" s="1088"/>
      <c r="C32" s="270">
        <f t="shared" ref="C32:I32" si="3">SUM(C29:C31)</f>
        <v>114431058447.43533</v>
      </c>
      <c r="D32" s="873">
        <f t="shared" si="3"/>
        <v>65647369896.779999</v>
      </c>
      <c r="E32" s="883">
        <f>D32/C32*100</f>
        <v>57.368489628133212</v>
      </c>
      <c r="F32" s="270">
        <f t="shared" si="3"/>
        <v>90470776839.945343</v>
      </c>
      <c r="G32" s="270">
        <f t="shared" si="3"/>
        <v>93818411496.744247</v>
      </c>
      <c r="H32" s="270">
        <f t="shared" si="3"/>
        <v>97294232913.543152</v>
      </c>
      <c r="I32" s="271">
        <f t="shared" si="3"/>
        <v>281583421250.23273</v>
      </c>
    </row>
    <row r="33" spans="1:9" ht="30">
      <c r="A33" s="888" t="s">
        <v>1338</v>
      </c>
      <c r="B33" s="875" t="s">
        <v>482</v>
      </c>
      <c r="C33" s="274">
        <f>DIST!D23</f>
        <v>17537984896.767841</v>
      </c>
      <c r="D33" s="889">
        <f>GENSUM!D78</f>
        <v>15955043059</v>
      </c>
      <c r="E33" s="870">
        <f>D33/C33*100</f>
        <v>90.974209140415169</v>
      </c>
      <c r="F33" s="274">
        <f>DIST!D23</f>
        <v>17537984896.767841</v>
      </c>
      <c r="G33" s="274">
        <f>DIST!E23</f>
        <v>17888743714.703197</v>
      </c>
      <c r="H33" s="274">
        <f>DIST!F23</f>
        <v>18239504292.638557</v>
      </c>
      <c r="I33" s="269">
        <f>SUM(F33:H33)</f>
        <v>53666232904.109596</v>
      </c>
    </row>
    <row r="34" spans="1:9" ht="14.1" customHeight="1">
      <c r="A34" s="888"/>
      <c r="B34" s="867"/>
      <c r="C34" s="864"/>
      <c r="D34" s="865"/>
      <c r="E34" s="865"/>
      <c r="F34" s="864"/>
      <c r="G34" s="864"/>
      <c r="H34" s="864"/>
      <c r="I34" s="866"/>
    </row>
    <row r="35" spans="1:9" ht="30">
      <c r="A35" s="888" t="s">
        <v>1339</v>
      </c>
      <c r="B35" s="875" t="s">
        <v>4312</v>
      </c>
      <c r="C35" s="864">
        <f>DIST!C22</f>
        <v>5304968503.9174995</v>
      </c>
      <c r="D35" s="889">
        <f>GENSUM!F74</f>
        <v>0</v>
      </c>
      <c r="E35" s="870">
        <f>D35/C35*100</f>
        <v>0</v>
      </c>
      <c r="F35" s="864">
        <f>DIST!D22</f>
        <v>3719178844.0775003</v>
      </c>
      <c r="G35" s="864">
        <f>DIST!E22</f>
        <v>3793562420.9590502</v>
      </c>
      <c r="H35" s="864">
        <f>DIST!F22</f>
        <v>3867945997.8406005</v>
      </c>
      <c r="I35" s="269">
        <f>SUM(F35:H35)</f>
        <v>11380687262.877151</v>
      </c>
    </row>
    <row r="36" spans="1:9">
      <c r="A36" s="888"/>
      <c r="B36" s="867"/>
      <c r="C36" s="864"/>
      <c r="D36" s="865"/>
      <c r="E36" s="865"/>
      <c r="F36" s="864"/>
      <c r="G36" s="864"/>
      <c r="H36" s="864"/>
      <c r="I36" s="866"/>
    </row>
    <row r="37" spans="1:9">
      <c r="A37" s="888" t="s">
        <v>1493</v>
      </c>
      <c r="B37" s="867" t="s">
        <v>1976</v>
      </c>
      <c r="C37" s="274">
        <v>66814550000</v>
      </c>
      <c r="D37" s="889">
        <v>24112795729</v>
      </c>
      <c r="E37" s="870">
        <f>D37/C37*100</f>
        <v>36.089138861221102</v>
      </c>
      <c r="F37" s="274">
        <v>51274000000</v>
      </c>
      <c r="G37" s="274">
        <f>F37*1.05</f>
        <v>53837700000</v>
      </c>
      <c r="H37" s="274">
        <f>G37*1.05</f>
        <v>56529585000</v>
      </c>
      <c r="I37" s="269">
        <f>SUM(F37:H37)</f>
        <v>161641285000</v>
      </c>
    </row>
    <row r="38" spans="1:9">
      <c r="A38" s="888"/>
      <c r="B38" s="867"/>
      <c r="C38" s="864"/>
      <c r="D38" s="865"/>
      <c r="E38" s="865"/>
      <c r="F38" s="864"/>
      <c r="G38" s="864"/>
      <c r="H38" s="864"/>
      <c r="I38" s="866"/>
    </row>
    <row r="39" spans="1:9">
      <c r="A39" s="888" t="s">
        <v>1977</v>
      </c>
      <c r="B39" s="867" t="s">
        <v>129</v>
      </c>
      <c r="C39" s="864">
        <f>DIST!C24</f>
        <v>15454550749.75</v>
      </c>
      <c r="D39" s="865">
        <f>GENSUM!F73+GENSUM!F77</f>
        <v>4279531108.7800002</v>
      </c>
      <c r="E39" s="870">
        <f>D39/C39*100</f>
        <v>27.691074157229888</v>
      </c>
      <c r="F39" s="864">
        <f>DIST!D24</f>
        <v>13673625509</v>
      </c>
      <c r="G39" s="864">
        <f>DIST!E24</f>
        <v>13947098019.18</v>
      </c>
      <c r="H39" s="274">
        <f>DIST!F24</f>
        <v>14220570529.360001</v>
      </c>
      <c r="I39" s="269">
        <f>SUM(F39:H39)</f>
        <v>41841294057.540001</v>
      </c>
    </row>
    <row r="40" spans="1:9">
      <c r="A40" s="888"/>
      <c r="B40" s="867"/>
      <c r="C40" s="864"/>
      <c r="D40" s="865"/>
      <c r="E40" s="865"/>
      <c r="F40" s="864"/>
      <c r="G40" s="864"/>
      <c r="H40" s="864"/>
      <c r="I40" s="866"/>
    </row>
    <row r="41" spans="1:9">
      <c r="A41" s="888" t="s">
        <v>130</v>
      </c>
      <c r="B41" s="867" t="s">
        <v>4313</v>
      </c>
      <c r="C41" s="864">
        <f>DIST!C26</f>
        <v>9319004297</v>
      </c>
      <c r="D41" s="889">
        <f>GENSUM!F75</f>
        <v>21300000000</v>
      </c>
      <c r="E41" s="870">
        <f>D41/C41*100</f>
        <v>228.56519131402223</v>
      </c>
      <c r="F41" s="274">
        <f>DIST!D26</f>
        <v>4265987590.0999999</v>
      </c>
      <c r="G41" s="274">
        <f>DIST!E26</f>
        <v>4351307341.9020004</v>
      </c>
      <c r="H41" s="274">
        <f>DIST!F26</f>
        <v>4436627093.7040005</v>
      </c>
      <c r="I41" s="269">
        <f>SUM(F41:H41)</f>
        <v>13053922025.706001</v>
      </c>
    </row>
    <row r="42" spans="1:9" ht="15.75" thickBot="1">
      <c r="A42" s="1089" t="s">
        <v>2241</v>
      </c>
      <c r="B42" s="1090"/>
      <c r="C42" s="275">
        <f t="shared" ref="C42:I42" si="4">SUM(C33:C41)</f>
        <v>114431058447.43533</v>
      </c>
      <c r="D42" s="890">
        <f t="shared" si="4"/>
        <v>65647369896.779999</v>
      </c>
      <c r="E42" s="870">
        <f>D42/C42*100</f>
        <v>57.368489628133212</v>
      </c>
      <c r="F42" s="275">
        <f t="shared" si="4"/>
        <v>90470776839.945343</v>
      </c>
      <c r="G42" s="275">
        <f t="shared" si="4"/>
        <v>93818411496.744263</v>
      </c>
      <c r="H42" s="275">
        <f t="shared" si="4"/>
        <v>97294232913.543152</v>
      </c>
      <c r="I42" s="891">
        <f t="shared" si="4"/>
        <v>281583421250.23279</v>
      </c>
    </row>
    <row r="43" spans="1:9" ht="15.75" thickTop="1"/>
  </sheetData>
  <mergeCells count="3">
    <mergeCell ref="A32:B32"/>
    <mergeCell ref="A42:B42"/>
    <mergeCell ref="A1:I1"/>
  </mergeCells>
  <phoneticPr fontId="22" type="noConversion"/>
  <pageMargins left="0.82677165354330717" right="0.15748031496062992" top="0.43307086614173229" bottom="0.39370078740157483" header="0.59055118110236227" footer="0.15748031496062992"/>
  <pageSetup paperSize="9" scale="110" orientation="landscape" horizontalDpi="4294967292" verticalDpi="4294967292" r:id="rId1"/>
  <headerFooter alignWithMargins="0">
    <oddFooter>&amp;C&amp;P</oddFooter>
  </headerFooter>
  <rowBreaks count="1" manualBreakCount="1">
    <brk id="28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L295"/>
  <sheetViews>
    <sheetView topLeftCell="A59" zoomScale="150" zoomScaleNormal="150" zoomScaleSheetLayoutView="100" workbookViewId="0">
      <selection activeCell="A64" sqref="A64"/>
    </sheetView>
  </sheetViews>
  <sheetFormatPr defaultColWidth="9" defaultRowHeight="12.75"/>
  <cols>
    <col min="1" max="1" width="4.140625" style="1" customWidth="1"/>
    <col min="2" max="2" width="7" style="6" customWidth="1"/>
    <col min="3" max="3" width="26.28515625" style="7" customWidth="1"/>
    <col min="4" max="6" width="20.7109375" style="572" customWidth="1"/>
    <col min="7" max="7" width="23.5703125" style="572" customWidth="1"/>
    <col min="8" max="8" width="20" style="570" customWidth="1"/>
    <col min="9" max="9" width="20.42578125" style="6" customWidth="1"/>
    <col min="10" max="10" width="15.42578125" style="1" bestFit="1" customWidth="1"/>
    <col min="11" max="11" width="16.42578125" style="1" bestFit="1" customWidth="1"/>
    <col min="12" max="12" width="17.140625" style="1" bestFit="1" customWidth="1"/>
    <col min="13" max="16384" width="9" style="1"/>
  </cols>
  <sheetData>
    <row r="1" spans="1:11">
      <c r="C1" s="1" t="s">
        <v>3881</v>
      </c>
      <c r="D1" s="6"/>
      <c r="E1" s="6"/>
      <c r="F1" s="6"/>
      <c r="G1" s="6"/>
      <c r="H1" s="566"/>
    </row>
    <row r="2" spans="1:11">
      <c r="C2" s="1" t="s">
        <v>5430</v>
      </c>
      <c r="D2" s="6"/>
      <c r="E2" s="6"/>
      <c r="F2" s="6"/>
      <c r="G2" s="6"/>
      <c r="H2" s="566"/>
    </row>
    <row r="3" spans="1:11" ht="13.5" thickBot="1">
      <c r="B3" s="1"/>
      <c r="C3" s="1" t="s">
        <v>1619</v>
      </c>
      <c r="D3" s="6"/>
      <c r="E3" s="6"/>
      <c r="F3" s="6"/>
      <c r="G3" s="6"/>
      <c r="H3" s="566"/>
    </row>
    <row r="4" spans="1:11" ht="15">
      <c r="A4" s="1103" t="s">
        <v>4328</v>
      </c>
      <c r="B4" s="1105" t="s">
        <v>2601</v>
      </c>
      <c r="C4" s="1105" t="s">
        <v>1624</v>
      </c>
      <c r="D4" s="1105" t="s">
        <v>5388</v>
      </c>
      <c r="E4" s="1106"/>
      <c r="F4" s="1106"/>
      <c r="G4" s="1105" t="s">
        <v>4137</v>
      </c>
      <c r="H4" s="1105"/>
      <c r="I4" s="1107"/>
    </row>
    <row r="5" spans="1:11" ht="25.5">
      <c r="A5" s="1104"/>
      <c r="B5" s="1095"/>
      <c r="C5" s="1095"/>
      <c r="D5" s="304" t="s">
        <v>4242</v>
      </c>
      <c r="E5" s="304" t="s">
        <v>4138</v>
      </c>
      <c r="F5" s="304" t="s">
        <v>4243</v>
      </c>
      <c r="G5" s="323" t="s">
        <v>4240</v>
      </c>
      <c r="H5" s="323" t="s">
        <v>4241</v>
      </c>
      <c r="I5" s="415" t="s">
        <v>5356</v>
      </c>
    </row>
    <row r="6" spans="1:11" ht="15">
      <c r="A6" s="416">
        <v>1</v>
      </c>
      <c r="B6" s="305">
        <v>401</v>
      </c>
      <c r="C6" s="4" t="s">
        <v>1236</v>
      </c>
      <c r="D6" s="567">
        <f t="shared" ref="D6:I6" si="0">D35</f>
        <v>2248425321</v>
      </c>
      <c r="E6" s="567">
        <f t="shared" si="0"/>
        <v>2293393827.4200001</v>
      </c>
      <c r="F6" s="567">
        <f t="shared" si="0"/>
        <v>2339261703.9684</v>
      </c>
      <c r="G6" s="567">
        <f>G35</f>
        <v>1760891447.21</v>
      </c>
      <c r="H6" s="567">
        <f>K6</f>
        <v>2046425385</v>
      </c>
      <c r="I6" s="688">
        <f t="shared" si="0"/>
        <v>1985942238.55</v>
      </c>
      <c r="J6" s="2">
        <f>H6-K6</f>
        <v>0</v>
      </c>
      <c r="K6" s="8">
        <v>2046425385</v>
      </c>
    </row>
    <row r="7" spans="1:11" ht="15">
      <c r="A7" s="416">
        <f>A6+1</f>
        <v>2</v>
      </c>
      <c r="B7" s="305">
        <v>402</v>
      </c>
      <c r="C7" s="4" t="s">
        <v>1127</v>
      </c>
      <c r="D7" s="567">
        <f>D90</f>
        <v>312600000</v>
      </c>
      <c r="E7" s="567">
        <f>E90</f>
        <v>318852000</v>
      </c>
      <c r="F7" s="567">
        <f>F90</f>
        <v>325229040</v>
      </c>
      <c r="G7" s="567">
        <f>G90</f>
        <v>118345498.75999999</v>
      </c>
      <c r="H7" s="567">
        <f t="shared" ref="H7:H13" si="1">K7</f>
        <v>75000000</v>
      </c>
      <c r="I7" s="688">
        <f>I90</f>
        <v>85387318.510000005</v>
      </c>
      <c r="J7" s="2">
        <f t="shared" ref="J7:J13" si="2">H7-K7</f>
        <v>0</v>
      </c>
      <c r="K7" s="8">
        <v>75000000</v>
      </c>
    </row>
    <row r="8" spans="1:11" ht="15">
      <c r="A8" s="416">
        <f t="shared" ref="A8:A13" si="3">A7+1</f>
        <v>3</v>
      </c>
      <c r="B8" s="305">
        <v>403</v>
      </c>
      <c r="C8" s="4" t="s">
        <v>1128</v>
      </c>
      <c r="D8" s="567">
        <f>D112</f>
        <v>29800000</v>
      </c>
      <c r="E8" s="567">
        <f>E112</f>
        <v>30396000</v>
      </c>
      <c r="F8" s="567">
        <f>F112</f>
        <v>31003920</v>
      </c>
      <c r="G8" s="567">
        <f>G112</f>
        <v>9912115</v>
      </c>
      <c r="H8" s="567">
        <f t="shared" si="1"/>
        <v>29800000</v>
      </c>
      <c r="I8" s="688">
        <f>I112</f>
        <v>16114375</v>
      </c>
      <c r="J8" s="2">
        <f t="shared" si="2"/>
        <v>0</v>
      </c>
      <c r="K8" s="8">
        <v>29800000</v>
      </c>
    </row>
    <row r="9" spans="1:11" ht="15">
      <c r="A9" s="416">
        <f t="shared" si="3"/>
        <v>4</v>
      </c>
      <c r="B9" s="305">
        <v>404</v>
      </c>
      <c r="C9" s="4" t="s">
        <v>1900</v>
      </c>
      <c r="D9" s="567">
        <f>D178</f>
        <v>879950000</v>
      </c>
      <c r="E9" s="567">
        <f>E178</f>
        <v>897549000</v>
      </c>
      <c r="F9" s="567">
        <f>F178</f>
        <v>915499980</v>
      </c>
      <c r="G9" s="567">
        <f>G178</f>
        <v>737221805</v>
      </c>
      <c r="H9" s="567">
        <f t="shared" si="1"/>
        <v>546700000</v>
      </c>
      <c r="I9" s="688">
        <f>I178</f>
        <v>690607264</v>
      </c>
      <c r="J9" s="2">
        <f t="shared" si="2"/>
        <v>0</v>
      </c>
      <c r="K9" s="8">
        <v>546700000</v>
      </c>
    </row>
    <row r="10" spans="1:11" ht="25.5">
      <c r="A10" s="416">
        <f t="shared" si="3"/>
        <v>5</v>
      </c>
      <c r="B10" s="305">
        <v>405</v>
      </c>
      <c r="C10" s="4" t="s">
        <v>1232</v>
      </c>
      <c r="D10" s="567">
        <f t="shared" ref="D10:I10" si="4">D192</f>
        <v>1000000</v>
      </c>
      <c r="E10" s="567">
        <f t="shared" si="4"/>
        <v>1020000</v>
      </c>
      <c r="F10" s="567">
        <f t="shared" si="4"/>
        <v>1040400</v>
      </c>
      <c r="G10" s="567">
        <f>G192</f>
        <v>1658645.48</v>
      </c>
      <c r="H10" s="567">
        <f t="shared" si="1"/>
        <v>120789</v>
      </c>
      <c r="I10" s="688">
        <f t="shared" si="4"/>
        <v>869200</v>
      </c>
      <c r="J10" s="2">
        <f t="shared" si="2"/>
        <v>0</v>
      </c>
      <c r="K10" s="8">
        <v>120789</v>
      </c>
    </row>
    <row r="11" spans="1:11" ht="25.5">
      <c r="A11" s="416">
        <f t="shared" si="3"/>
        <v>6</v>
      </c>
      <c r="B11" s="305">
        <v>406</v>
      </c>
      <c r="C11" s="4" t="s">
        <v>2385</v>
      </c>
      <c r="D11" s="567">
        <f t="shared" ref="D11:I11" si="5">D213</f>
        <v>120000000</v>
      </c>
      <c r="E11" s="567">
        <f t="shared" si="5"/>
        <v>122400000</v>
      </c>
      <c r="F11" s="567">
        <f t="shared" si="5"/>
        <v>124848000</v>
      </c>
      <c r="G11" s="567">
        <f>G213</f>
        <v>154268041.30000001</v>
      </c>
      <c r="H11" s="567">
        <f t="shared" si="1"/>
        <v>0</v>
      </c>
      <c r="I11" s="688">
        <f t="shared" si="5"/>
        <v>106931324.93000001</v>
      </c>
      <c r="J11" s="2">
        <f t="shared" si="2"/>
        <v>0</v>
      </c>
      <c r="K11" s="8">
        <v>0</v>
      </c>
    </row>
    <row r="12" spans="1:11" ht="15">
      <c r="A12" s="416">
        <f t="shared" si="3"/>
        <v>7</v>
      </c>
      <c r="B12" s="305">
        <v>407</v>
      </c>
      <c r="C12" s="4" t="s">
        <v>2386</v>
      </c>
      <c r="D12" s="567">
        <f t="shared" ref="D12:I12" si="6">D231</f>
        <v>0</v>
      </c>
      <c r="E12" s="567">
        <f t="shared" si="6"/>
        <v>0</v>
      </c>
      <c r="F12" s="567">
        <f t="shared" si="6"/>
        <v>0</v>
      </c>
      <c r="G12" s="567">
        <f>G231</f>
        <v>0</v>
      </c>
      <c r="H12" s="567">
        <f t="shared" si="1"/>
        <v>0</v>
      </c>
      <c r="I12" s="688">
        <f t="shared" si="6"/>
        <v>0</v>
      </c>
      <c r="J12" s="2">
        <f t="shared" si="2"/>
        <v>0</v>
      </c>
      <c r="K12" s="8">
        <v>0</v>
      </c>
    </row>
    <row r="13" spans="1:11" ht="15">
      <c r="A13" s="416">
        <f t="shared" si="3"/>
        <v>8</v>
      </c>
      <c r="B13" s="305">
        <v>408</v>
      </c>
      <c r="C13" s="4" t="s">
        <v>895</v>
      </c>
      <c r="D13" s="567">
        <f>D278</f>
        <v>495023100</v>
      </c>
      <c r="E13" s="567">
        <f>E278</f>
        <v>504923562</v>
      </c>
      <c r="F13" s="567">
        <f>F278</f>
        <v>515022033.24000001</v>
      </c>
      <c r="G13" s="567">
        <f>G278</f>
        <v>257099049.06</v>
      </c>
      <c r="H13" s="567">
        <f t="shared" si="1"/>
        <v>418918678</v>
      </c>
      <c r="I13" s="688">
        <f>(I278)</f>
        <v>263778833.00999999</v>
      </c>
      <c r="J13" s="2">
        <f t="shared" si="2"/>
        <v>0</v>
      </c>
      <c r="K13" s="8">
        <v>418918678</v>
      </c>
    </row>
    <row r="14" spans="1:11" ht="18.75">
      <c r="A14" s="416"/>
      <c r="B14" s="305"/>
      <c r="C14" s="689" t="s">
        <v>896</v>
      </c>
      <c r="D14" s="690">
        <f t="shared" ref="D14:I14" si="7">SUM(D6:D13)</f>
        <v>4086798421</v>
      </c>
      <c r="E14" s="690">
        <f t="shared" si="7"/>
        <v>4168534389.4200001</v>
      </c>
      <c r="F14" s="690">
        <f t="shared" si="7"/>
        <v>4251905077.2083998</v>
      </c>
      <c r="G14" s="690">
        <f t="shared" si="7"/>
        <v>3039396601.8100004</v>
      </c>
      <c r="H14" s="690">
        <f t="shared" si="7"/>
        <v>3116964852</v>
      </c>
      <c r="I14" s="691">
        <f t="shared" si="7"/>
        <v>3149630554</v>
      </c>
      <c r="J14" s="692">
        <f>I14-H14</f>
        <v>32665702</v>
      </c>
      <c r="K14" s="693">
        <f>J14/H14</f>
        <v>1.0479971238379559E-2</v>
      </c>
    </row>
    <row r="15" spans="1:11">
      <c r="A15" s="416"/>
      <c r="B15" s="305"/>
      <c r="C15" s="4"/>
      <c r="D15" s="567"/>
      <c r="E15" s="567"/>
      <c r="F15" s="567"/>
      <c r="G15" s="568"/>
      <c r="H15" s="567"/>
      <c r="I15" s="569"/>
    </row>
    <row r="16" spans="1:11" ht="25.5">
      <c r="A16" s="416">
        <v>9</v>
      </c>
      <c r="B16" s="305">
        <v>409</v>
      </c>
      <c r="C16" s="4" t="s">
        <v>5427</v>
      </c>
      <c r="D16" s="567">
        <f t="shared" ref="D16:I18" si="8">D285</f>
        <v>45264866794.940002</v>
      </c>
      <c r="E16" s="567">
        <f t="shared" si="8"/>
        <v>46170164130.838806</v>
      </c>
      <c r="F16" s="567">
        <f t="shared" si="8"/>
        <v>47093567413.455582</v>
      </c>
      <c r="G16" s="568">
        <f t="shared" si="8"/>
        <v>47143520101.209999</v>
      </c>
      <c r="H16" s="567">
        <f t="shared" si="8"/>
        <v>45121821455</v>
      </c>
      <c r="I16" s="688">
        <f>I285+I289</f>
        <v>45262905907.919998</v>
      </c>
    </row>
    <row r="17" spans="1:12" ht="25.5">
      <c r="A17" s="416"/>
      <c r="B17" s="305"/>
      <c r="C17" s="4" t="s">
        <v>2071</v>
      </c>
      <c r="D17" s="567">
        <f t="shared" si="8"/>
        <v>813428792</v>
      </c>
      <c r="E17" s="567">
        <f t="shared" si="8"/>
        <v>829697367.84000003</v>
      </c>
      <c r="F17" s="567">
        <f>SUM(G17:M17)</f>
        <v>9741982155</v>
      </c>
      <c r="G17" s="568">
        <f t="shared" si="8"/>
        <v>0</v>
      </c>
      <c r="H17" s="567">
        <f t="shared" si="8"/>
        <v>9741982155</v>
      </c>
      <c r="I17" s="569">
        <f t="shared" si="8"/>
        <v>0</v>
      </c>
      <c r="K17" s="2"/>
    </row>
    <row r="18" spans="1:12" ht="36">
      <c r="A18" s="416"/>
      <c r="B18" s="305"/>
      <c r="C18" s="229" t="s">
        <v>125</v>
      </c>
      <c r="D18" s="567">
        <f t="shared" si="8"/>
        <v>0</v>
      </c>
      <c r="E18" s="567">
        <f t="shared" si="8"/>
        <v>0</v>
      </c>
      <c r="F18" s="567">
        <f>SUM(G18:M18)</f>
        <v>0</v>
      </c>
      <c r="G18" s="568">
        <v>0</v>
      </c>
      <c r="H18" s="567">
        <f>H287</f>
        <v>0</v>
      </c>
      <c r="I18" s="569">
        <f>I287</f>
        <v>0</v>
      </c>
    </row>
    <row r="19" spans="1:12" ht="25.5">
      <c r="A19" s="416"/>
      <c r="B19" s="305"/>
      <c r="C19" s="4" t="s">
        <v>338</v>
      </c>
      <c r="D19" s="567">
        <v>0</v>
      </c>
      <c r="E19" s="567">
        <v>0</v>
      </c>
      <c r="F19" s="567">
        <v>0</v>
      </c>
      <c r="G19" s="568">
        <v>0</v>
      </c>
      <c r="H19" s="567">
        <f>H288</f>
        <v>0</v>
      </c>
      <c r="I19" s="569">
        <f>I288</f>
        <v>0</v>
      </c>
    </row>
    <row r="20" spans="1:12" ht="15.75">
      <c r="A20" s="416"/>
      <c r="B20" s="305"/>
      <c r="C20" s="694" t="s">
        <v>896</v>
      </c>
      <c r="D20" s="695">
        <f t="shared" ref="D20:I20" si="9">SUM(D16:D19)</f>
        <v>46078295586.940002</v>
      </c>
      <c r="E20" s="695">
        <f t="shared" si="9"/>
        <v>46999861498.678802</v>
      </c>
      <c r="F20" s="695">
        <f t="shared" si="9"/>
        <v>56835549568.455582</v>
      </c>
      <c r="G20" s="696">
        <f t="shared" si="9"/>
        <v>47143520101.209999</v>
      </c>
      <c r="H20" s="695">
        <f t="shared" si="9"/>
        <v>54863803610</v>
      </c>
      <c r="I20" s="697">
        <f t="shared" si="9"/>
        <v>45262905907.919998</v>
      </c>
    </row>
    <row r="21" spans="1:12" ht="19.5" thickBot="1">
      <c r="A21" s="417"/>
      <c r="B21" s="418"/>
      <c r="C21" s="698" t="s">
        <v>2241</v>
      </c>
      <c r="D21" s="699">
        <f>D20+D14</f>
        <v>50165094007.940002</v>
      </c>
      <c r="E21" s="699">
        <f>+E20+E14</f>
        <v>51168395888.098801</v>
      </c>
      <c r="F21" s="699">
        <f>+F20+F14</f>
        <v>61087454645.663979</v>
      </c>
      <c r="G21" s="700">
        <f>+G20+G14</f>
        <v>50182916703.019997</v>
      </c>
      <c r="H21" s="699">
        <f>+H20+H14</f>
        <v>57980768462</v>
      </c>
      <c r="I21" s="701">
        <f>+I20+I14</f>
        <v>48412536461.919998</v>
      </c>
      <c r="K21" s="702">
        <f>[3]Revenue!$D$21</f>
        <v>50022048668</v>
      </c>
      <c r="L21" s="565">
        <f>D21-K21</f>
        <v>143045339.94000244</v>
      </c>
    </row>
    <row r="22" spans="1:12">
      <c r="B22" s="1"/>
      <c r="C22" s="6"/>
      <c r="D22" s="570"/>
      <c r="E22" s="570"/>
      <c r="F22" s="570"/>
      <c r="G22" s="571"/>
      <c r="H22" s="572"/>
      <c r="L22" s="7">
        <v>1020350000</v>
      </c>
    </row>
    <row r="23" spans="1:12">
      <c r="B23" s="1"/>
      <c r="C23" s="1" t="s">
        <v>3881</v>
      </c>
      <c r="D23" s="566"/>
      <c r="E23" s="566"/>
      <c r="F23" s="566"/>
      <c r="G23" s="6"/>
      <c r="H23" s="6"/>
    </row>
    <row r="24" spans="1:12">
      <c r="B24" s="1"/>
      <c r="C24" s="1" t="s">
        <v>5430</v>
      </c>
      <c r="D24" s="566"/>
      <c r="E24" s="566"/>
      <c r="F24" s="566"/>
      <c r="G24" s="6"/>
      <c r="H24" s="6"/>
      <c r="K24" s="2">
        <f>I292+I290</f>
        <v>45262905907.919998</v>
      </c>
    </row>
    <row r="25" spans="1:12" ht="13.5" thickBot="1">
      <c r="B25" s="1"/>
      <c r="C25" s="6" t="s">
        <v>1745</v>
      </c>
      <c r="D25" s="566"/>
      <c r="E25" s="566"/>
      <c r="F25" s="566"/>
      <c r="G25" s="6"/>
      <c r="H25" s="6"/>
    </row>
    <row r="26" spans="1:12" ht="13.5" thickTop="1">
      <c r="A26" s="1047" t="s">
        <v>4328</v>
      </c>
      <c r="B26" s="1049" t="s">
        <v>2601</v>
      </c>
      <c r="C26" s="1049" t="s">
        <v>1624</v>
      </c>
      <c r="D26" s="1096" t="s">
        <v>5388</v>
      </c>
      <c r="E26" s="1097"/>
      <c r="F26" s="1098"/>
      <c r="G26" s="1049" t="s">
        <v>4137</v>
      </c>
      <c r="H26" s="1049"/>
      <c r="I26" s="1099"/>
    </row>
    <row r="27" spans="1:12" ht="25.5">
      <c r="A27" s="1094"/>
      <c r="B27" s="1095"/>
      <c r="C27" s="1095"/>
      <c r="D27" s="304" t="s">
        <v>4242</v>
      </c>
      <c r="E27" s="304" t="s">
        <v>4138</v>
      </c>
      <c r="F27" s="304" t="s">
        <v>4243</v>
      </c>
      <c r="G27" s="323" t="s">
        <v>4240</v>
      </c>
      <c r="H27" s="323" t="s">
        <v>4241</v>
      </c>
      <c r="I27" s="415" t="s">
        <v>5356</v>
      </c>
    </row>
    <row r="28" spans="1:12">
      <c r="A28" s="3">
        <v>1</v>
      </c>
      <c r="B28" s="305">
        <v>1</v>
      </c>
      <c r="C28" s="4" t="s">
        <v>3396</v>
      </c>
      <c r="D28" s="573">
        <f>2000000000-31500000-427153-42716-4217-476-48-4-1-64</f>
        <v>1968025321</v>
      </c>
      <c r="E28" s="573">
        <f t="shared" ref="E28:F32" si="10">D28*1.02</f>
        <v>2007385827.4200001</v>
      </c>
      <c r="F28" s="573">
        <f t="shared" si="10"/>
        <v>2047533543.9684</v>
      </c>
      <c r="G28" s="573">
        <v>1501077534.0799999</v>
      </c>
      <c r="H28" s="573">
        <v>2000000000</v>
      </c>
      <c r="I28" s="573">
        <v>1733413344.3</v>
      </c>
    </row>
    <row r="29" spans="1:12">
      <c r="A29" s="3">
        <v>2</v>
      </c>
      <c r="B29" s="305">
        <v>2</v>
      </c>
      <c r="C29" s="4" t="s">
        <v>564</v>
      </c>
      <c r="D29" s="573">
        <v>10000000</v>
      </c>
      <c r="E29" s="573">
        <f t="shared" si="10"/>
        <v>10200000</v>
      </c>
      <c r="F29" s="573">
        <f t="shared" si="10"/>
        <v>10404000</v>
      </c>
      <c r="G29" s="573">
        <v>191681560.63</v>
      </c>
      <c r="H29" s="573">
        <v>200000000</v>
      </c>
      <c r="I29" s="573">
        <v>1750621.52</v>
      </c>
    </row>
    <row r="30" spans="1:12">
      <c r="A30" s="3">
        <v>3</v>
      </c>
      <c r="B30" s="564">
        <v>3</v>
      </c>
      <c r="C30" s="319" t="s">
        <v>5355</v>
      </c>
      <c r="D30" s="573">
        <v>160000000</v>
      </c>
      <c r="E30" s="573">
        <f t="shared" si="10"/>
        <v>163200000</v>
      </c>
      <c r="F30" s="573">
        <f t="shared" si="10"/>
        <v>166464000</v>
      </c>
      <c r="G30" s="573"/>
      <c r="H30" s="573"/>
      <c r="I30" s="573">
        <v>155271565.72999999</v>
      </c>
    </row>
    <row r="31" spans="1:12">
      <c r="A31" s="3">
        <v>5</v>
      </c>
      <c r="B31" s="305">
        <v>4</v>
      </c>
      <c r="C31" s="4" t="s">
        <v>3490</v>
      </c>
      <c r="D31" s="573">
        <v>100000000</v>
      </c>
      <c r="E31" s="573">
        <f t="shared" si="10"/>
        <v>102000000</v>
      </c>
      <c r="F31" s="573">
        <f t="shared" si="10"/>
        <v>104040000</v>
      </c>
      <c r="G31" s="573">
        <v>68097752.5</v>
      </c>
      <c r="H31" s="573">
        <v>10000000</v>
      </c>
      <c r="I31" s="573">
        <v>95457957</v>
      </c>
    </row>
    <row r="32" spans="1:12">
      <c r="A32" s="3">
        <v>6</v>
      </c>
      <c r="B32" s="305">
        <v>5</v>
      </c>
      <c r="C32" s="4" t="s">
        <v>623</v>
      </c>
      <c r="D32" s="573">
        <v>400000</v>
      </c>
      <c r="E32" s="573">
        <f t="shared" si="10"/>
        <v>408000</v>
      </c>
      <c r="F32" s="573">
        <f t="shared" si="10"/>
        <v>416160</v>
      </c>
      <c r="G32" s="573">
        <v>34600</v>
      </c>
      <c r="H32" s="573">
        <v>400000</v>
      </c>
      <c r="I32" s="573">
        <v>48750</v>
      </c>
    </row>
    <row r="33" spans="1:9" ht="25.5">
      <c r="A33" s="3">
        <v>7</v>
      </c>
      <c r="B33" s="305">
        <v>6</v>
      </c>
      <c r="C33" s="4" t="s">
        <v>624</v>
      </c>
      <c r="D33" s="573"/>
      <c r="E33" s="573"/>
      <c r="F33" s="573"/>
      <c r="G33" s="573">
        <v>0</v>
      </c>
      <c r="H33" s="573"/>
      <c r="I33" s="573">
        <v>0</v>
      </c>
    </row>
    <row r="34" spans="1:9">
      <c r="A34" s="3">
        <v>8</v>
      </c>
      <c r="B34" s="305">
        <v>7</v>
      </c>
      <c r="C34" s="4" t="s">
        <v>1521</v>
      </c>
      <c r="D34" s="573">
        <v>10000000</v>
      </c>
      <c r="E34" s="573">
        <f>D34*1.02</f>
        <v>10200000</v>
      </c>
      <c r="F34" s="573">
        <f>E34*1.02</f>
        <v>10404000</v>
      </c>
      <c r="G34" s="573">
        <v>0</v>
      </c>
      <c r="H34" s="573">
        <v>10000000</v>
      </c>
      <c r="I34" s="573">
        <v>0</v>
      </c>
    </row>
    <row r="35" spans="1:9" ht="15.75" thickBot="1">
      <c r="A35" s="5"/>
      <c r="B35" s="306"/>
      <c r="C35" s="703" t="s">
        <v>896</v>
      </c>
      <c r="D35" s="704">
        <f t="shared" ref="D35:I35" si="11">SUM(D28:D34)</f>
        <v>2248425321</v>
      </c>
      <c r="E35" s="704">
        <f t="shared" si="11"/>
        <v>2293393827.4200001</v>
      </c>
      <c r="F35" s="704">
        <f t="shared" si="11"/>
        <v>2339261703.9684</v>
      </c>
      <c r="G35" s="704">
        <f t="shared" si="11"/>
        <v>1760891447.21</v>
      </c>
      <c r="H35" s="704">
        <f t="shared" si="11"/>
        <v>2220400000</v>
      </c>
      <c r="I35" s="704">
        <f t="shared" si="11"/>
        <v>1985942238.55</v>
      </c>
    </row>
    <row r="36" spans="1:9" ht="13.5" thickTop="1">
      <c r="B36" s="1"/>
      <c r="C36" s="1" t="s">
        <v>3881</v>
      </c>
      <c r="D36" s="566"/>
      <c r="E36" s="566"/>
      <c r="F36" s="566"/>
      <c r="G36" s="6"/>
      <c r="H36" s="6"/>
    </row>
    <row r="37" spans="1:9">
      <c r="B37" s="1"/>
      <c r="C37" s="1" t="s">
        <v>5430</v>
      </c>
      <c r="D37" s="566"/>
      <c r="E37" s="566"/>
      <c r="F37" s="566"/>
      <c r="G37" s="6"/>
      <c r="H37" s="6"/>
    </row>
    <row r="38" spans="1:9" ht="13.5" thickBot="1">
      <c r="B38" s="1"/>
      <c r="C38" s="1" t="s">
        <v>1522</v>
      </c>
      <c r="D38" s="566"/>
      <c r="E38" s="566"/>
      <c r="F38" s="566"/>
      <c r="G38" s="6"/>
      <c r="H38" s="6"/>
    </row>
    <row r="39" spans="1:9" ht="13.5" thickTop="1">
      <c r="A39" s="1047" t="s">
        <v>4328</v>
      </c>
      <c r="B39" s="1049" t="s">
        <v>2601</v>
      </c>
      <c r="C39" s="1049" t="s">
        <v>1624</v>
      </c>
      <c r="D39" s="1096" t="s">
        <v>5388</v>
      </c>
      <c r="E39" s="1097"/>
      <c r="F39" s="1098"/>
      <c r="G39" s="1049" t="s">
        <v>4137</v>
      </c>
      <c r="H39" s="1049"/>
      <c r="I39" s="1099"/>
    </row>
    <row r="40" spans="1:9" ht="25.5">
      <c r="A40" s="1094"/>
      <c r="B40" s="1095"/>
      <c r="C40" s="1095"/>
      <c r="D40" s="304" t="s">
        <v>4242</v>
      </c>
      <c r="E40" s="304" t="s">
        <v>4138</v>
      </c>
      <c r="F40" s="304" t="s">
        <v>4243</v>
      </c>
      <c r="G40" s="323" t="s">
        <v>4240</v>
      </c>
      <c r="H40" s="323" t="s">
        <v>4241</v>
      </c>
      <c r="I40" s="415" t="s">
        <v>5356</v>
      </c>
    </row>
    <row r="41" spans="1:9">
      <c r="A41" s="3">
        <v>1</v>
      </c>
      <c r="B41" s="305">
        <v>1</v>
      </c>
      <c r="C41" s="4" t="s">
        <v>3315</v>
      </c>
      <c r="D41" s="573">
        <v>550000</v>
      </c>
      <c r="E41" s="573">
        <f t="shared" ref="E41:F49" si="12">D41*1.02</f>
        <v>561000</v>
      </c>
      <c r="F41" s="573">
        <f t="shared" si="12"/>
        <v>572220</v>
      </c>
      <c r="G41" s="573">
        <v>108726</v>
      </c>
      <c r="H41" s="573">
        <v>400000</v>
      </c>
      <c r="I41" s="573">
        <v>130200</v>
      </c>
    </row>
    <row r="42" spans="1:9">
      <c r="A42" s="3">
        <v>2</v>
      </c>
      <c r="B42" s="305">
        <v>2</v>
      </c>
      <c r="C42" s="4" t="s">
        <v>3316</v>
      </c>
      <c r="D42" s="573">
        <v>150000</v>
      </c>
      <c r="E42" s="573">
        <f t="shared" si="12"/>
        <v>153000</v>
      </c>
      <c r="F42" s="573">
        <f t="shared" si="12"/>
        <v>156060</v>
      </c>
      <c r="G42" s="573">
        <v>188000</v>
      </c>
      <c r="H42" s="573">
        <v>150000</v>
      </c>
      <c r="I42" s="573">
        <v>0</v>
      </c>
    </row>
    <row r="43" spans="1:9" ht="25.5">
      <c r="A43" s="3">
        <v>3</v>
      </c>
      <c r="B43" s="305">
        <v>3</v>
      </c>
      <c r="C43" s="4" t="s">
        <v>3317</v>
      </c>
      <c r="D43" s="573">
        <v>50000</v>
      </c>
      <c r="E43" s="573">
        <f t="shared" si="12"/>
        <v>51000</v>
      </c>
      <c r="F43" s="573">
        <f t="shared" si="12"/>
        <v>52020</v>
      </c>
      <c r="G43" s="573">
        <v>0</v>
      </c>
      <c r="H43" s="573">
        <v>50000</v>
      </c>
      <c r="I43" s="573">
        <v>0</v>
      </c>
    </row>
    <row r="44" spans="1:9">
      <c r="A44" s="3">
        <v>4</v>
      </c>
      <c r="B44" s="305">
        <v>4</v>
      </c>
      <c r="C44" s="4" t="s">
        <v>3318</v>
      </c>
      <c r="D44" s="573">
        <v>50000</v>
      </c>
      <c r="E44" s="573">
        <f t="shared" si="12"/>
        <v>51000</v>
      </c>
      <c r="F44" s="573">
        <f t="shared" si="12"/>
        <v>52020</v>
      </c>
      <c r="G44" s="573">
        <v>0</v>
      </c>
      <c r="H44" s="573">
        <v>50000</v>
      </c>
      <c r="I44" s="573">
        <v>0</v>
      </c>
    </row>
    <row r="45" spans="1:9" ht="25.5">
      <c r="A45" s="3">
        <v>5</v>
      </c>
      <c r="B45" s="305">
        <v>5</v>
      </c>
      <c r="C45" s="4" t="s">
        <v>1365</v>
      </c>
      <c r="D45" s="573">
        <v>400000</v>
      </c>
      <c r="E45" s="573">
        <f t="shared" si="12"/>
        <v>408000</v>
      </c>
      <c r="F45" s="573">
        <f t="shared" si="12"/>
        <v>416160</v>
      </c>
      <c r="G45" s="573">
        <v>30300</v>
      </c>
      <c r="H45" s="573">
        <v>200000</v>
      </c>
      <c r="I45" s="573">
        <v>318900</v>
      </c>
    </row>
    <row r="46" spans="1:9">
      <c r="A46" s="3">
        <v>6</v>
      </c>
      <c r="B46" s="305">
        <v>6</v>
      </c>
      <c r="C46" s="4" t="s">
        <v>1366</v>
      </c>
      <c r="D46" s="573">
        <v>1000000</v>
      </c>
      <c r="E46" s="573">
        <f t="shared" si="12"/>
        <v>1020000</v>
      </c>
      <c r="F46" s="573">
        <f t="shared" si="12"/>
        <v>1040400</v>
      </c>
      <c r="G46" s="573">
        <v>307400</v>
      </c>
      <c r="H46" s="573">
        <v>800000</v>
      </c>
      <c r="I46" s="573">
        <v>770000</v>
      </c>
    </row>
    <row r="47" spans="1:9" ht="25.5">
      <c r="A47" s="3">
        <v>7</v>
      </c>
      <c r="B47" s="305">
        <v>7</v>
      </c>
      <c r="C47" s="4" t="s">
        <v>1367</v>
      </c>
      <c r="D47" s="573">
        <v>900000</v>
      </c>
      <c r="E47" s="573">
        <f t="shared" si="12"/>
        <v>918000</v>
      </c>
      <c r="F47" s="573">
        <f t="shared" si="12"/>
        <v>936360</v>
      </c>
      <c r="G47" s="573">
        <v>405500</v>
      </c>
      <c r="H47" s="573">
        <v>450000</v>
      </c>
      <c r="I47" s="573">
        <v>710000</v>
      </c>
    </row>
    <row r="48" spans="1:9" ht="25.5">
      <c r="A48" s="3">
        <v>8</v>
      </c>
      <c r="B48" s="305">
        <v>8</v>
      </c>
      <c r="C48" s="4" t="s">
        <v>676</v>
      </c>
      <c r="D48" s="573">
        <v>50000</v>
      </c>
      <c r="E48" s="573">
        <f t="shared" si="12"/>
        <v>51000</v>
      </c>
      <c r="F48" s="573">
        <f t="shared" si="12"/>
        <v>52020</v>
      </c>
      <c r="G48" s="573">
        <v>0</v>
      </c>
      <c r="H48" s="573">
        <v>50000</v>
      </c>
      <c r="I48" s="573">
        <v>0</v>
      </c>
    </row>
    <row r="49" spans="1:9">
      <c r="A49" s="3">
        <v>9</v>
      </c>
      <c r="B49" s="305">
        <v>9</v>
      </c>
      <c r="C49" s="4" t="s">
        <v>677</v>
      </c>
      <c r="D49" s="573">
        <v>50000</v>
      </c>
      <c r="E49" s="573">
        <f t="shared" si="12"/>
        <v>51000</v>
      </c>
      <c r="F49" s="573">
        <f t="shared" si="12"/>
        <v>52020</v>
      </c>
      <c r="G49" s="573">
        <v>0</v>
      </c>
      <c r="H49" s="573">
        <v>50000</v>
      </c>
      <c r="I49" s="573">
        <v>0</v>
      </c>
    </row>
    <row r="50" spans="1:9" ht="25.5">
      <c r="A50" s="3">
        <v>10</v>
      </c>
      <c r="B50" s="305">
        <v>10</v>
      </c>
      <c r="C50" s="4" t="s">
        <v>678</v>
      </c>
      <c r="D50" s="573"/>
      <c r="E50" s="573"/>
      <c r="F50" s="573"/>
      <c r="G50" s="573">
        <v>0</v>
      </c>
      <c r="H50" s="573"/>
      <c r="I50" s="573">
        <v>0</v>
      </c>
    </row>
    <row r="51" spans="1:9" ht="25.5">
      <c r="A51" s="3">
        <v>11</v>
      </c>
      <c r="B51" s="305">
        <v>11</v>
      </c>
      <c r="C51" s="4" t="s">
        <v>2067</v>
      </c>
      <c r="D51" s="573"/>
      <c r="E51" s="573"/>
      <c r="F51" s="573"/>
      <c r="G51" s="573">
        <v>0</v>
      </c>
      <c r="H51" s="573"/>
      <c r="I51" s="573">
        <v>0</v>
      </c>
    </row>
    <row r="52" spans="1:9" ht="25.5">
      <c r="A52" s="3">
        <v>12</v>
      </c>
      <c r="B52" s="305">
        <v>12</v>
      </c>
      <c r="C52" s="4" t="s">
        <v>1644</v>
      </c>
      <c r="D52" s="573">
        <v>150000</v>
      </c>
      <c r="E52" s="573">
        <f t="shared" ref="E52:F58" si="13">D52*1.02</f>
        <v>153000</v>
      </c>
      <c r="F52" s="573">
        <f t="shared" si="13"/>
        <v>156060</v>
      </c>
      <c r="G52" s="573">
        <v>0</v>
      </c>
      <c r="H52" s="573">
        <v>200000</v>
      </c>
      <c r="I52" s="573">
        <v>60000</v>
      </c>
    </row>
    <row r="53" spans="1:9" ht="25.5">
      <c r="A53" s="3">
        <v>13</v>
      </c>
      <c r="B53" s="305">
        <v>13</v>
      </c>
      <c r="C53" s="4" t="s">
        <v>3540</v>
      </c>
      <c r="D53" s="573">
        <v>50000</v>
      </c>
      <c r="E53" s="573">
        <f t="shared" si="13"/>
        <v>51000</v>
      </c>
      <c r="F53" s="573">
        <f t="shared" si="13"/>
        <v>52020</v>
      </c>
      <c r="G53" s="573">
        <v>37400</v>
      </c>
      <c r="H53" s="573">
        <v>50000</v>
      </c>
      <c r="I53" s="573">
        <v>30000</v>
      </c>
    </row>
    <row r="54" spans="1:9" ht="25.5">
      <c r="A54" s="3">
        <v>14</v>
      </c>
      <c r="B54" s="305">
        <v>14</v>
      </c>
      <c r="C54" s="4" t="s">
        <v>2939</v>
      </c>
      <c r="D54" s="573">
        <v>15000000</v>
      </c>
      <c r="E54" s="573">
        <f t="shared" si="13"/>
        <v>15300000</v>
      </c>
      <c r="F54" s="573">
        <f t="shared" si="13"/>
        <v>15606000</v>
      </c>
      <c r="G54" s="573">
        <v>7261125</v>
      </c>
      <c r="H54" s="573">
        <v>5000000</v>
      </c>
      <c r="I54" s="573">
        <v>12442125</v>
      </c>
    </row>
    <row r="55" spans="1:9" ht="38.25">
      <c r="A55" s="3">
        <v>15</v>
      </c>
      <c r="B55" s="305">
        <v>15</v>
      </c>
      <c r="C55" s="4" t="s">
        <v>4490</v>
      </c>
      <c r="D55" s="573">
        <v>5000000</v>
      </c>
      <c r="E55" s="573">
        <f t="shared" si="13"/>
        <v>5100000</v>
      </c>
      <c r="F55" s="573">
        <f t="shared" si="13"/>
        <v>5202000</v>
      </c>
      <c r="G55" s="573">
        <v>2913750</v>
      </c>
      <c r="H55" s="573">
        <v>800000</v>
      </c>
      <c r="I55" s="573">
        <v>4095000</v>
      </c>
    </row>
    <row r="56" spans="1:9" ht="25.5">
      <c r="A56" s="3">
        <v>16</v>
      </c>
      <c r="B56" s="305">
        <v>16</v>
      </c>
      <c r="C56" s="4" t="s">
        <v>3028</v>
      </c>
      <c r="D56" s="573">
        <v>750000</v>
      </c>
      <c r="E56" s="573">
        <f t="shared" si="13"/>
        <v>765000</v>
      </c>
      <c r="F56" s="573">
        <f t="shared" si="13"/>
        <v>780300</v>
      </c>
      <c r="G56" s="573">
        <v>473400</v>
      </c>
      <c r="H56" s="573">
        <v>500000</v>
      </c>
      <c r="I56" s="573">
        <v>547500</v>
      </c>
    </row>
    <row r="57" spans="1:9" ht="38.25">
      <c r="A57" s="3">
        <v>17</v>
      </c>
      <c r="B57" s="305">
        <v>17</v>
      </c>
      <c r="C57" s="4" t="s">
        <v>2635</v>
      </c>
      <c r="D57" s="573">
        <v>20000000</v>
      </c>
      <c r="E57" s="573">
        <f t="shared" si="13"/>
        <v>20400000</v>
      </c>
      <c r="F57" s="573">
        <f t="shared" si="13"/>
        <v>20808000</v>
      </c>
      <c r="G57" s="573">
        <v>18774922.91</v>
      </c>
      <c r="H57" s="573">
        <v>70000000</v>
      </c>
      <c r="I57" s="573">
        <v>19739699.739999998</v>
      </c>
    </row>
    <row r="58" spans="1:9" ht="25.5">
      <c r="A58" s="3">
        <v>18</v>
      </c>
      <c r="B58" s="305">
        <v>18</v>
      </c>
      <c r="C58" s="4" t="s">
        <v>2323</v>
      </c>
      <c r="D58" s="573">
        <v>2000000</v>
      </c>
      <c r="E58" s="573">
        <f t="shared" si="13"/>
        <v>2040000</v>
      </c>
      <c r="F58" s="573">
        <f t="shared" si="13"/>
        <v>2080800</v>
      </c>
      <c r="G58" s="573">
        <v>827440</v>
      </c>
      <c r="H58" s="573">
        <v>250000</v>
      </c>
      <c r="I58" s="573">
        <v>1502530</v>
      </c>
    </row>
    <row r="59" spans="1:9">
      <c r="A59" s="3">
        <v>19</v>
      </c>
      <c r="B59" s="305">
        <v>19</v>
      </c>
      <c r="C59" s="4" t="s">
        <v>2324</v>
      </c>
      <c r="D59" s="573"/>
      <c r="E59" s="573"/>
      <c r="F59" s="573"/>
      <c r="G59" s="573">
        <v>0</v>
      </c>
      <c r="H59" s="573"/>
      <c r="I59" s="573">
        <v>0</v>
      </c>
    </row>
    <row r="60" spans="1:9" ht="25.5">
      <c r="A60" s="3">
        <v>20</v>
      </c>
      <c r="B60" s="305">
        <v>20</v>
      </c>
      <c r="C60" s="4" t="s">
        <v>3967</v>
      </c>
      <c r="D60" s="573">
        <v>2750000</v>
      </c>
      <c r="E60" s="573">
        <f>D60*1.02</f>
        <v>2805000</v>
      </c>
      <c r="F60" s="573">
        <f>E60*1.02</f>
        <v>2861100</v>
      </c>
      <c r="G60" s="573">
        <v>6000</v>
      </c>
      <c r="H60" s="573">
        <v>500000</v>
      </c>
      <c r="I60" s="573">
        <v>2532000</v>
      </c>
    </row>
    <row r="61" spans="1:9" ht="26.25" thickBot="1">
      <c r="A61" s="3">
        <v>21</v>
      </c>
      <c r="B61" s="305">
        <v>21</v>
      </c>
      <c r="C61" s="4" t="s">
        <v>3968</v>
      </c>
      <c r="D61" s="573"/>
      <c r="E61" s="573"/>
      <c r="F61" s="573"/>
      <c r="G61" s="573">
        <v>0</v>
      </c>
      <c r="H61" s="573">
        <v>50000</v>
      </c>
      <c r="I61" s="573">
        <v>0</v>
      </c>
    </row>
    <row r="62" spans="1:9" ht="12" customHeight="1">
      <c r="A62" s="1100" t="s">
        <v>4328</v>
      </c>
      <c r="B62" s="1101" t="s">
        <v>2601</v>
      </c>
      <c r="C62" s="1101" t="s">
        <v>1624</v>
      </c>
      <c r="D62" s="1096" t="s">
        <v>5388</v>
      </c>
      <c r="E62" s="1097"/>
      <c r="F62" s="1098"/>
      <c r="G62" s="1101" t="s">
        <v>4137</v>
      </c>
      <c r="H62" s="1101"/>
      <c r="I62" s="1102"/>
    </row>
    <row r="63" spans="1:9" ht="25.5">
      <c r="A63" s="1094"/>
      <c r="B63" s="1095"/>
      <c r="C63" s="1095"/>
      <c r="D63" s="304" t="s">
        <v>4242</v>
      </c>
      <c r="E63" s="304" t="s">
        <v>4138</v>
      </c>
      <c r="F63" s="304" t="s">
        <v>4243</v>
      </c>
      <c r="G63" s="323" t="s">
        <v>4240</v>
      </c>
      <c r="H63" s="323" t="s">
        <v>4241</v>
      </c>
      <c r="I63" s="415" t="s">
        <v>5356</v>
      </c>
    </row>
    <row r="64" spans="1:9" ht="25.5">
      <c r="A64" s="3">
        <v>22</v>
      </c>
      <c r="B64" s="305">
        <v>22</v>
      </c>
      <c r="C64" s="4" t="s">
        <v>3417</v>
      </c>
      <c r="D64" s="573">
        <v>1000000</v>
      </c>
      <c r="E64" s="573">
        <f>D64*1.02</f>
        <v>1020000</v>
      </c>
      <c r="F64" s="573">
        <f>E64*1.02</f>
        <v>1040400</v>
      </c>
      <c r="G64" s="573">
        <v>209600</v>
      </c>
      <c r="H64" s="573">
        <v>1000000</v>
      </c>
      <c r="I64" s="573">
        <v>268000</v>
      </c>
    </row>
    <row r="65" spans="1:9">
      <c r="A65" s="3">
        <v>23</v>
      </c>
      <c r="B65" s="305">
        <v>23</v>
      </c>
      <c r="C65" s="4" t="s">
        <v>3970</v>
      </c>
      <c r="D65" s="573">
        <v>500000</v>
      </c>
      <c r="E65" s="573">
        <f>D65*1.02</f>
        <v>510000</v>
      </c>
      <c r="F65" s="573">
        <f>E65*1.02</f>
        <v>520200</v>
      </c>
      <c r="G65" s="573">
        <v>244343</v>
      </c>
      <c r="H65" s="573">
        <v>500000</v>
      </c>
      <c r="I65" s="573">
        <v>0</v>
      </c>
    </row>
    <row r="66" spans="1:9">
      <c r="A66" s="3">
        <v>24</v>
      </c>
      <c r="B66" s="305">
        <v>24</v>
      </c>
      <c r="C66" s="4" t="s">
        <v>4178</v>
      </c>
      <c r="D66" s="573"/>
      <c r="E66" s="573"/>
      <c r="F66" s="573"/>
      <c r="G66" s="573">
        <v>0</v>
      </c>
      <c r="H66" s="573"/>
      <c r="I66" s="573">
        <v>0</v>
      </c>
    </row>
    <row r="67" spans="1:9" ht="25.5">
      <c r="A67" s="3">
        <v>25</v>
      </c>
      <c r="B67" s="3">
        <v>25</v>
      </c>
      <c r="C67" s="4" t="s">
        <v>3271</v>
      </c>
      <c r="D67" s="573">
        <v>100000</v>
      </c>
      <c r="E67" s="573">
        <f>D67*1.02</f>
        <v>102000</v>
      </c>
      <c r="F67" s="573">
        <f>E67*1.02</f>
        <v>104040</v>
      </c>
      <c r="G67" s="574">
        <v>0</v>
      </c>
      <c r="H67" s="573">
        <v>100000</v>
      </c>
      <c r="I67" s="574">
        <v>0</v>
      </c>
    </row>
    <row r="68" spans="1:9">
      <c r="A68" s="3">
        <v>26</v>
      </c>
      <c r="B68" s="305">
        <v>26</v>
      </c>
      <c r="C68" s="4" t="s">
        <v>3973</v>
      </c>
      <c r="D68" s="573">
        <v>500000</v>
      </c>
      <c r="E68" s="573">
        <f>D68*1.02</f>
        <v>510000</v>
      </c>
      <c r="F68" s="573">
        <f>E68*1.02</f>
        <v>520200</v>
      </c>
      <c r="G68" s="573">
        <v>0</v>
      </c>
      <c r="H68" s="573">
        <v>500000</v>
      </c>
      <c r="I68" s="573">
        <v>0</v>
      </c>
    </row>
    <row r="69" spans="1:9" ht="25.5">
      <c r="A69" s="3">
        <v>27</v>
      </c>
      <c r="B69" s="305">
        <v>27</v>
      </c>
      <c r="C69" s="4" t="s">
        <v>1588</v>
      </c>
      <c r="D69" s="573"/>
      <c r="E69" s="573"/>
      <c r="F69" s="573"/>
      <c r="G69" s="573">
        <v>0</v>
      </c>
      <c r="H69" s="573"/>
      <c r="I69" s="573">
        <v>0</v>
      </c>
    </row>
    <row r="70" spans="1:9">
      <c r="A70" s="3">
        <v>28</v>
      </c>
      <c r="B70" s="305">
        <v>28</v>
      </c>
      <c r="C70" s="4" t="s">
        <v>4080</v>
      </c>
      <c r="D70" s="573">
        <v>2000000</v>
      </c>
      <c r="E70" s="573">
        <f>D70*1.02</f>
        <v>2040000</v>
      </c>
      <c r="F70" s="573">
        <f>E70*1.02</f>
        <v>2080800</v>
      </c>
      <c r="G70" s="573">
        <v>1879740</v>
      </c>
      <c r="H70" s="573">
        <v>2000000</v>
      </c>
      <c r="I70" s="573">
        <v>129625</v>
      </c>
    </row>
    <row r="71" spans="1:9">
      <c r="A71" s="3">
        <v>29</v>
      </c>
      <c r="B71" s="305">
        <v>29</v>
      </c>
      <c r="C71" s="4" t="s">
        <v>4081</v>
      </c>
      <c r="D71" s="573"/>
      <c r="E71" s="573"/>
      <c r="F71" s="573"/>
      <c r="G71" s="573">
        <v>0</v>
      </c>
      <c r="H71" s="573"/>
      <c r="I71" s="573">
        <v>0</v>
      </c>
    </row>
    <row r="72" spans="1:9">
      <c r="A72" s="3">
        <v>30</v>
      </c>
      <c r="B72" s="305">
        <v>30</v>
      </c>
      <c r="C72" s="4" t="s">
        <v>4491</v>
      </c>
      <c r="D72" s="573">
        <f>277750000-67000000</f>
        <v>210750000</v>
      </c>
      <c r="E72" s="573">
        <f>D72*1.02</f>
        <v>214965000</v>
      </c>
      <c r="F72" s="573">
        <f>E72*1.02</f>
        <v>219264300</v>
      </c>
      <c r="G72" s="573">
        <v>0</v>
      </c>
      <c r="H72" s="573">
        <v>500000</v>
      </c>
      <c r="I72" s="573">
        <v>0</v>
      </c>
    </row>
    <row r="73" spans="1:9">
      <c r="A73" s="3">
        <v>31</v>
      </c>
      <c r="B73" s="305">
        <v>31</v>
      </c>
      <c r="C73" s="4" t="s">
        <v>3104</v>
      </c>
      <c r="D73" s="573">
        <v>500000</v>
      </c>
      <c r="E73" s="573">
        <f>D73*1.02</f>
        <v>510000</v>
      </c>
      <c r="F73" s="573">
        <f>E73*1.02</f>
        <v>520200</v>
      </c>
      <c r="G73" s="573">
        <v>0</v>
      </c>
      <c r="H73" s="573">
        <v>50000</v>
      </c>
      <c r="I73" s="573">
        <v>70000</v>
      </c>
    </row>
    <row r="74" spans="1:9" ht="25.5">
      <c r="A74" s="3">
        <v>32</v>
      </c>
      <c r="B74" s="305">
        <v>32</v>
      </c>
      <c r="C74" s="4" t="s">
        <v>4083</v>
      </c>
      <c r="D74" s="573"/>
      <c r="E74" s="573"/>
      <c r="F74" s="573"/>
      <c r="G74" s="573">
        <v>0</v>
      </c>
      <c r="H74" s="573"/>
      <c r="I74" s="573">
        <v>0</v>
      </c>
    </row>
    <row r="75" spans="1:9" ht="25.5">
      <c r="A75" s="3">
        <v>33</v>
      </c>
      <c r="B75" s="305">
        <v>33</v>
      </c>
      <c r="C75" s="4" t="s">
        <v>4084</v>
      </c>
      <c r="D75" s="573"/>
      <c r="E75" s="573"/>
      <c r="F75" s="573"/>
      <c r="G75" s="573">
        <v>0</v>
      </c>
      <c r="H75" s="573"/>
      <c r="I75" s="573">
        <v>0</v>
      </c>
    </row>
    <row r="76" spans="1:9" ht="25.5">
      <c r="A76" s="3">
        <v>34</v>
      </c>
      <c r="B76" s="305">
        <v>34</v>
      </c>
      <c r="C76" s="4" t="s">
        <v>2379</v>
      </c>
      <c r="D76" s="573">
        <v>500000</v>
      </c>
      <c r="E76" s="573">
        <f>D76*1.02</f>
        <v>510000</v>
      </c>
      <c r="F76" s="573">
        <f>E76*1.02</f>
        <v>520200</v>
      </c>
      <c r="G76" s="573">
        <v>0</v>
      </c>
      <c r="H76" s="573">
        <v>2000000</v>
      </c>
      <c r="I76" s="573">
        <v>0</v>
      </c>
    </row>
    <row r="77" spans="1:9" ht="51">
      <c r="A77" s="3">
        <v>35</v>
      </c>
      <c r="B77" s="305">
        <v>35</v>
      </c>
      <c r="C77" s="4" t="s">
        <v>1219</v>
      </c>
      <c r="D77" s="573"/>
      <c r="E77" s="573"/>
      <c r="F77" s="573"/>
      <c r="G77" s="573">
        <v>0</v>
      </c>
      <c r="H77" s="573"/>
      <c r="I77" s="573">
        <v>0</v>
      </c>
    </row>
    <row r="78" spans="1:9" ht="25.5">
      <c r="A78" s="3">
        <v>36</v>
      </c>
      <c r="B78" s="305">
        <v>36</v>
      </c>
      <c r="C78" s="4" t="s">
        <v>1220</v>
      </c>
      <c r="D78" s="573"/>
      <c r="E78" s="573"/>
      <c r="F78" s="573"/>
      <c r="G78" s="573">
        <v>0</v>
      </c>
      <c r="H78" s="573"/>
      <c r="I78" s="573">
        <v>0</v>
      </c>
    </row>
    <row r="79" spans="1:9" ht="25.5">
      <c r="A79" s="3">
        <v>37</v>
      </c>
      <c r="B79" s="305">
        <v>37</v>
      </c>
      <c r="C79" s="4" t="s">
        <v>956</v>
      </c>
      <c r="D79" s="573">
        <v>35000000</v>
      </c>
      <c r="E79" s="573">
        <f>D79*1.02</f>
        <v>35700000</v>
      </c>
      <c r="F79" s="573">
        <f>E79*1.02</f>
        <v>36414000</v>
      </c>
      <c r="G79" s="573">
        <v>73762363.049999997</v>
      </c>
      <c r="H79" s="573">
        <v>150000000</v>
      </c>
      <c r="I79" s="573">
        <v>31761226.640000001</v>
      </c>
    </row>
    <row r="80" spans="1:9" ht="25.5">
      <c r="A80" s="3">
        <v>38</v>
      </c>
      <c r="B80" s="305">
        <v>38</v>
      </c>
      <c r="C80" s="4" t="s">
        <v>2433</v>
      </c>
      <c r="D80" s="573"/>
      <c r="E80" s="573"/>
      <c r="F80" s="573"/>
      <c r="G80" s="573">
        <v>0</v>
      </c>
      <c r="H80" s="573"/>
      <c r="I80" s="573">
        <v>0</v>
      </c>
    </row>
    <row r="81" spans="1:9">
      <c r="A81" s="3">
        <v>39</v>
      </c>
      <c r="B81" s="305">
        <v>39</v>
      </c>
      <c r="C81" s="4" t="s">
        <v>3933</v>
      </c>
      <c r="D81" s="573"/>
      <c r="E81" s="573"/>
      <c r="F81" s="573"/>
      <c r="G81" s="573">
        <v>0</v>
      </c>
      <c r="H81" s="573"/>
      <c r="I81" s="573">
        <v>0</v>
      </c>
    </row>
    <row r="82" spans="1:9" ht="25.5">
      <c r="A82" s="3">
        <v>40</v>
      </c>
      <c r="B82" s="305">
        <v>40</v>
      </c>
      <c r="C82" s="4" t="s">
        <v>2435</v>
      </c>
      <c r="D82" s="573">
        <v>500000</v>
      </c>
      <c r="E82" s="573">
        <f t="shared" ref="E82:F89" si="14">D82*1.02</f>
        <v>510000</v>
      </c>
      <c r="F82" s="573">
        <f t="shared" si="14"/>
        <v>520200</v>
      </c>
      <c r="G82" s="573">
        <v>0</v>
      </c>
      <c r="H82" s="573">
        <v>500000</v>
      </c>
      <c r="I82" s="573">
        <v>0</v>
      </c>
    </row>
    <row r="83" spans="1:9">
      <c r="A83" s="3">
        <v>41</v>
      </c>
      <c r="B83" s="305">
        <v>41</v>
      </c>
      <c r="C83" s="4" t="s">
        <v>3419</v>
      </c>
      <c r="D83" s="573">
        <v>7000000</v>
      </c>
      <c r="E83" s="573">
        <f t="shared" si="14"/>
        <v>7140000</v>
      </c>
      <c r="F83" s="573">
        <f t="shared" si="14"/>
        <v>7282800</v>
      </c>
      <c r="G83" s="573">
        <v>3020000</v>
      </c>
      <c r="H83" s="573">
        <v>800000</v>
      </c>
      <c r="I83" s="573">
        <v>6813750</v>
      </c>
    </row>
    <row r="84" spans="1:9">
      <c r="A84" s="3">
        <v>42</v>
      </c>
      <c r="B84" s="305">
        <v>42</v>
      </c>
      <c r="C84" s="4" t="s">
        <v>2494</v>
      </c>
      <c r="D84" s="573">
        <v>500000</v>
      </c>
      <c r="E84" s="573">
        <f t="shared" si="14"/>
        <v>510000</v>
      </c>
      <c r="F84" s="573">
        <f t="shared" si="14"/>
        <v>520200</v>
      </c>
      <c r="G84" s="573">
        <v>0</v>
      </c>
      <c r="H84" s="573">
        <v>1500000</v>
      </c>
      <c r="I84" s="573">
        <v>375700</v>
      </c>
    </row>
    <row r="85" spans="1:9">
      <c r="A85" s="3">
        <v>43</v>
      </c>
      <c r="B85" s="305">
        <v>43</v>
      </c>
      <c r="C85" s="4" t="s">
        <v>2495</v>
      </c>
      <c r="D85" s="573">
        <v>550000</v>
      </c>
      <c r="E85" s="573">
        <f t="shared" si="14"/>
        <v>561000</v>
      </c>
      <c r="F85" s="573">
        <f t="shared" si="14"/>
        <v>572220</v>
      </c>
      <c r="G85" s="573">
        <v>0</v>
      </c>
      <c r="H85" s="573">
        <v>550000</v>
      </c>
      <c r="I85" s="573">
        <v>0</v>
      </c>
    </row>
    <row r="86" spans="1:9">
      <c r="A86" s="3">
        <v>44</v>
      </c>
      <c r="B86" s="305">
        <v>44</v>
      </c>
      <c r="C86" s="4" t="s">
        <v>2726</v>
      </c>
      <c r="D86" s="573">
        <v>500000</v>
      </c>
      <c r="E86" s="573">
        <f t="shared" si="14"/>
        <v>510000</v>
      </c>
      <c r="F86" s="573">
        <f t="shared" si="14"/>
        <v>520200</v>
      </c>
      <c r="G86" s="573">
        <v>0</v>
      </c>
      <c r="H86" s="573">
        <v>2000000</v>
      </c>
      <c r="I86" s="573">
        <v>0</v>
      </c>
    </row>
    <row r="87" spans="1:9" ht="25.5">
      <c r="A87" s="3">
        <v>45</v>
      </c>
      <c r="B87" s="305">
        <v>45</v>
      </c>
      <c r="C87" s="4" t="s">
        <v>3874</v>
      </c>
      <c r="D87" s="573">
        <v>300000</v>
      </c>
      <c r="E87" s="573">
        <f t="shared" si="14"/>
        <v>306000</v>
      </c>
      <c r="F87" s="573">
        <f t="shared" si="14"/>
        <v>312120</v>
      </c>
      <c r="G87" s="573">
        <v>0</v>
      </c>
      <c r="H87" s="573">
        <v>300000</v>
      </c>
      <c r="I87" s="573">
        <v>0</v>
      </c>
    </row>
    <row r="88" spans="1:9" ht="25.5">
      <c r="A88" s="3">
        <v>46</v>
      </c>
      <c r="B88" s="305">
        <v>46</v>
      </c>
      <c r="C88" s="4" t="s">
        <v>2729</v>
      </c>
      <c r="D88" s="573">
        <v>3000000</v>
      </c>
      <c r="E88" s="573">
        <f t="shared" si="14"/>
        <v>3060000</v>
      </c>
      <c r="F88" s="573">
        <f t="shared" si="14"/>
        <v>3121200</v>
      </c>
      <c r="G88" s="573">
        <v>7031971.7999999998</v>
      </c>
      <c r="H88" s="573">
        <v>30000000</v>
      </c>
      <c r="I88" s="573">
        <v>2633680.37</v>
      </c>
    </row>
    <row r="89" spans="1:9">
      <c r="A89" s="3">
        <v>47</v>
      </c>
      <c r="B89" s="305">
        <v>47</v>
      </c>
      <c r="C89" s="4" t="s">
        <v>2730</v>
      </c>
      <c r="D89" s="573">
        <v>500000</v>
      </c>
      <c r="E89" s="573">
        <f t="shared" si="14"/>
        <v>510000</v>
      </c>
      <c r="F89" s="573">
        <f t="shared" si="14"/>
        <v>520200</v>
      </c>
      <c r="G89" s="573">
        <v>863517</v>
      </c>
      <c r="H89" s="573">
        <v>500000</v>
      </c>
      <c r="I89" s="573">
        <v>457381.76</v>
      </c>
    </row>
    <row r="90" spans="1:9" ht="15.75" thickBot="1">
      <c r="A90" s="5"/>
      <c r="B90" s="306"/>
      <c r="C90" s="703" t="s">
        <v>896</v>
      </c>
      <c r="D90" s="705">
        <f t="shared" ref="D90:I90" si="15">SUM(D41:D89)</f>
        <v>312600000</v>
      </c>
      <c r="E90" s="705">
        <f t="shared" si="15"/>
        <v>318852000</v>
      </c>
      <c r="F90" s="705">
        <f t="shared" si="15"/>
        <v>325229040</v>
      </c>
      <c r="G90" s="705">
        <f t="shared" si="15"/>
        <v>118345498.75999999</v>
      </c>
      <c r="H90" s="705">
        <f t="shared" si="15"/>
        <v>272350000</v>
      </c>
      <c r="I90" s="705">
        <f t="shared" si="15"/>
        <v>85387318.510000005</v>
      </c>
    </row>
    <row r="91" spans="1:9" ht="13.5" thickTop="1">
      <c r="B91" s="1"/>
      <c r="C91" s="6"/>
      <c r="D91" s="570"/>
      <c r="E91" s="570"/>
      <c r="F91" s="570"/>
      <c r="H91" s="572"/>
    </row>
    <row r="92" spans="1:9">
      <c r="B92" s="1"/>
      <c r="C92" s="1" t="s">
        <v>3881</v>
      </c>
      <c r="D92" s="566"/>
      <c r="E92" s="566"/>
      <c r="F92" s="566"/>
      <c r="G92" s="6"/>
      <c r="H92" s="6"/>
    </row>
    <row r="93" spans="1:9">
      <c r="B93" s="1"/>
      <c r="C93" s="1" t="s">
        <v>5430</v>
      </c>
      <c r="D93" s="566"/>
      <c r="E93" s="566"/>
      <c r="F93" s="566"/>
      <c r="G93" s="6"/>
      <c r="H93" s="6"/>
    </row>
    <row r="94" spans="1:9" ht="13.5" thickBot="1">
      <c r="B94" s="1"/>
      <c r="C94" s="6" t="s">
        <v>2731</v>
      </c>
      <c r="D94" s="566"/>
      <c r="E94" s="566"/>
      <c r="F94" s="566"/>
      <c r="G94" s="6"/>
      <c r="H94" s="6"/>
    </row>
    <row r="95" spans="1:9" ht="13.5" thickTop="1">
      <c r="A95" s="1047" t="s">
        <v>4328</v>
      </c>
      <c r="B95" s="1049" t="s">
        <v>2601</v>
      </c>
      <c r="C95" s="1049" t="s">
        <v>1624</v>
      </c>
      <c r="D95" s="1096" t="s">
        <v>5388</v>
      </c>
      <c r="E95" s="1097"/>
      <c r="F95" s="1098"/>
      <c r="G95" s="1049" t="s">
        <v>4137</v>
      </c>
      <c r="H95" s="1049"/>
      <c r="I95" s="1099"/>
    </row>
    <row r="96" spans="1:9" ht="25.5">
      <c r="A96" s="1094"/>
      <c r="B96" s="1095"/>
      <c r="C96" s="1095"/>
      <c r="D96" s="304" t="s">
        <v>4242</v>
      </c>
      <c r="E96" s="304" t="s">
        <v>4138</v>
      </c>
      <c r="F96" s="304" t="s">
        <v>4243</v>
      </c>
      <c r="G96" s="323" t="s">
        <v>4240</v>
      </c>
      <c r="H96" s="323" t="s">
        <v>4241</v>
      </c>
      <c r="I96" s="415" t="s">
        <v>5356</v>
      </c>
    </row>
    <row r="97" spans="1:9">
      <c r="A97" s="3">
        <v>1</v>
      </c>
      <c r="B97" s="305">
        <v>1</v>
      </c>
      <c r="C97" s="4" t="s">
        <v>703</v>
      </c>
      <c r="D97" s="573">
        <v>10000000</v>
      </c>
      <c r="E97" s="573">
        <f t="shared" ref="E97:F101" si="16">D97*1.02</f>
        <v>10200000</v>
      </c>
      <c r="F97" s="573">
        <f t="shared" si="16"/>
        <v>10404000</v>
      </c>
      <c r="G97" s="573">
        <v>4702625</v>
      </c>
      <c r="H97" s="573">
        <v>10000000</v>
      </c>
      <c r="I97" s="573">
        <v>9439375</v>
      </c>
    </row>
    <row r="98" spans="1:9" ht="25.5">
      <c r="A98" s="3">
        <v>2</v>
      </c>
      <c r="B98" s="305">
        <v>2</v>
      </c>
      <c r="C98" s="4" t="s">
        <v>704</v>
      </c>
      <c r="D98" s="573">
        <v>8000000</v>
      </c>
      <c r="E98" s="573">
        <f t="shared" si="16"/>
        <v>8160000</v>
      </c>
      <c r="F98" s="573">
        <f t="shared" si="16"/>
        <v>8323200</v>
      </c>
      <c r="G98" s="573">
        <v>3825490</v>
      </c>
      <c r="H98" s="573">
        <v>8000000</v>
      </c>
      <c r="I98" s="573">
        <v>6445000</v>
      </c>
    </row>
    <row r="99" spans="1:9" ht="25.5">
      <c r="A99" s="3">
        <v>3</v>
      </c>
      <c r="B99" s="305">
        <v>3</v>
      </c>
      <c r="C99" s="4" t="s">
        <v>705</v>
      </c>
      <c r="D99" s="573">
        <v>3000000</v>
      </c>
      <c r="E99" s="573">
        <f t="shared" si="16"/>
        <v>3060000</v>
      </c>
      <c r="F99" s="573">
        <f t="shared" si="16"/>
        <v>3121200</v>
      </c>
      <c r="G99" s="573">
        <v>0</v>
      </c>
      <c r="H99" s="573">
        <v>3000000</v>
      </c>
      <c r="I99" s="573">
        <v>0</v>
      </c>
    </row>
    <row r="100" spans="1:9" ht="25.5">
      <c r="A100" s="3">
        <v>4</v>
      </c>
      <c r="B100" s="305">
        <v>4</v>
      </c>
      <c r="C100" s="4" t="s">
        <v>2193</v>
      </c>
      <c r="D100" s="573">
        <v>2000000</v>
      </c>
      <c r="E100" s="573">
        <f t="shared" si="16"/>
        <v>2040000</v>
      </c>
      <c r="F100" s="573">
        <f t="shared" si="16"/>
        <v>2080800</v>
      </c>
      <c r="G100" s="573">
        <v>0</v>
      </c>
      <c r="H100" s="573">
        <v>2000000</v>
      </c>
      <c r="I100" s="573">
        <v>0</v>
      </c>
    </row>
    <row r="101" spans="1:9" ht="25.5">
      <c r="A101" s="3">
        <v>5</v>
      </c>
      <c r="B101" s="305">
        <v>5</v>
      </c>
      <c r="C101" s="4" t="s">
        <v>1403</v>
      </c>
      <c r="D101" s="573">
        <v>300000</v>
      </c>
      <c r="E101" s="573">
        <f t="shared" si="16"/>
        <v>306000</v>
      </c>
      <c r="F101" s="573">
        <f t="shared" si="16"/>
        <v>312120</v>
      </c>
      <c r="G101" s="573">
        <v>0</v>
      </c>
      <c r="H101" s="573">
        <v>300000</v>
      </c>
      <c r="I101" s="573">
        <v>0</v>
      </c>
    </row>
    <row r="102" spans="1:9" ht="25.5">
      <c r="A102" s="3">
        <v>6</v>
      </c>
      <c r="B102" s="305">
        <v>6</v>
      </c>
      <c r="C102" s="4" t="s">
        <v>218</v>
      </c>
      <c r="D102" s="573"/>
      <c r="E102" s="573"/>
      <c r="F102" s="573"/>
      <c r="G102" s="573">
        <v>0</v>
      </c>
      <c r="H102" s="573"/>
      <c r="I102" s="573">
        <v>0</v>
      </c>
    </row>
    <row r="103" spans="1:9" ht="25.5">
      <c r="A103" s="3">
        <v>7</v>
      </c>
      <c r="B103" s="305">
        <v>7</v>
      </c>
      <c r="C103" s="4" t="s">
        <v>2642</v>
      </c>
      <c r="D103" s="573">
        <v>200000</v>
      </c>
      <c r="E103" s="573">
        <f>D103*1.02</f>
        <v>204000</v>
      </c>
      <c r="F103" s="573">
        <f>E103*1.02</f>
        <v>208080</v>
      </c>
      <c r="G103" s="573">
        <v>0</v>
      </c>
      <c r="H103" s="573">
        <v>200000</v>
      </c>
      <c r="I103" s="573">
        <v>0</v>
      </c>
    </row>
    <row r="104" spans="1:9" ht="25.5">
      <c r="A104" s="3">
        <v>8</v>
      </c>
      <c r="B104" s="305">
        <v>8</v>
      </c>
      <c r="C104" s="4" t="s">
        <v>217</v>
      </c>
      <c r="D104" s="573">
        <v>5000000</v>
      </c>
      <c r="E104" s="573">
        <f>D104*1.02</f>
        <v>5100000</v>
      </c>
      <c r="F104" s="573">
        <f>E104*1.02</f>
        <v>5202000</v>
      </c>
      <c r="G104" s="573">
        <v>219000</v>
      </c>
      <c r="H104" s="573">
        <v>5000000</v>
      </c>
      <c r="I104" s="573">
        <v>220000</v>
      </c>
    </row>
    <row r="105" spans="1:9" ht="25.5">
      <c r="A105" s="3">
        <v>9</v>
      </c>
      <c r="B105" s="305">
        <v>9</v>
      </c>
      <c r="C105" s="4" t="s">
        <v>3083</v>
      </c>
      <c r="D105" s="573"/>
      <c r="E105" s="573"/>
      <c r="F105" s="573"/>
      <c r="G105" s="573">
        <v>0</v>
      </c>
      <c r="H105" s="573"/>
      <c r="I105" s="573">
        <v>0</v>
      </c>
    </row>
    <row r="106" spans="1:9">
      <c r="A106" s="3">
        <v>10</v>
      </c>
      <c r="B106" s="305">
        <v>10</v>
      </c>
      <c r="C106" s="4" t="s">
        <v>3084</v>
      </c>
      <c r="D106" s="573">
        <v>100000</v>
      </c>
      <c r="E106" s="573">
        <f>D106*1.02</f>
        <v>102000</v>
      </c>
      <c r="F106" s="573">
        <f>E106*1.02</f>
        <v>104040</v>
      </c>
      <c r="G106" s="573">
        <v>1165000</v>
      </c>
      <c r="H106" s="573">
        <v>100000</v>
      </c>
      <c r="I106" s="573">
        <v>10000</v>
      </c>
    </row>
    <row r="107" spans="1:9" ht="38.25">
      <c r="A107" s="3">
        <v>11</v>
      </c>
      <c r="B107" s="305">
        <v>11</v>
      </c>
      <c r="C107" s="4" t="s">
        <v>2623</v>
      </c>
      <c r="D107" s="573"/>
      <c r="E107" s="573"/>
      <c r="F107" s="573"/>
      <c r="G107" s="573">
        <v>0</v>
      </c>
      <c r="H107" s="573"/>
      <c r="I107" s="573">
        <v>0</v>
      </c>
    </row>
    <row r="108" spans="1:9">
      <c r="A108" s="3">
        <v>12</v>
      </c>
      <c r="B108" s="305">
        <v>12</v>
      </c>
      <c r="C108" s="4" t="s">
        <v>2624</v>
      </c>
      <c r="D108" s="573">
        <v>150000</v>
      </c>
      <c r="E108" s="573">
        <f>D108*1.02</f>
        <v>153000</v>
      </c>
      <c r="F108" s="573">
        <f>E108*1.02</f>
        <v>156060</v>
      </c>
      <c r="G108" s="573">
        <v>0</v>
      </c>
      <c r="H108" s="573">
        <v>150000</v>
      </c>
      <c r="I108" s="573">
        <v>0</v>
      </c>
    </row>
    <row r="109" spans="1:9" ht="38.25">
      <c r="A109" s="3">
        <v>13</v>
      </c>
      <c r="B109" s="305">
        <v>13</v>
      </c>
      <c r="C109" s="4" t="s">
        <v>2464</v>
      </c>
      <c r="D109" s="573">
        <v>50000</v>
      </c>
      <c r="E109" s="573">
        <f>D109*1.02</f>
        <v>51000</v>
      </c>
      <c r="F109" s="573">
        <f>E109*1.02</f>
        <v>52020</v>
      </c>
      <c r="G109" s="573">
        <v>0</v>
      </c>
      <c r="H109" s="573">
        <v>50000</v>
      </c>
      <c r="I109" s="573">
        <v>0</v>
      </c>
    </row>
    <row r="110" spans="1:9">
      <c r="A110" s="3">
        <v>14</v>
      </c>
      <c r="B110" s="305">
        <v>14</v>
      </c>
      <c r="C110" s="4" t="s">
        <v>225</v>
      </c>
      <c r="D110" s="573"/>
      <c r="E110" s="573"/>
      <c r="F110" s="573"/>
      <c r="G110" s="573">
        <v>0</v>
      </c>
      <c r="H110" s="573"/>
      <c r="I110" s="573">
        <v>0</v>
      </c>
    </row>
    <row r="111" spans="1:9">
      <c r="A111" s="3">
        <v>15</v>
      </c>
      <c r="B111" s="305">
        <v>15</v>
      </c>
      <c r="C111" s="4" t="s">
        <v>5362</v>
      </c>
      <c r="D111" s="573">
        <v>1000000</v>
      </c>
      <c r="E111" s="573">
        <f>D111*1.02</f>
        <v>1020000</v>
      </c>
      <c r="F111" s="573">
        <f>E111*1.02</f>
        <v>1040400</v>
      </c>
      <c r="G111" s="573">
        <v>0</v>
      </c>
      <c r="H111" s="573">
        <v>1000000</v>
      </c>
      <c r="I111" s="573">
        <v>0</v>
      </c>
    </row>
    <row r="112" spans="1:9" ht="15.75" thickBot="1">
      <c r="A112" s="5"/>
      <c r="B112" s="306"/>
      <c r="C112" s="703" t="s">
        <v>896</v>
      </c>
      <c r="D112" s="705">
        <f t="shared" ref="D112:I112" si="17">SUM(D97:D111)</f>
        <v>29800000</v>
      </c>
      <c r="E112" s="705">
        <f t="shared" si="17"/>
        <v>30396000</v>
      </c>
      <c r="F112" s="705">
        <f t="shared" si="17"/>
        <v>31003920</v>
      </c>
      <c r="G112" s="705">
        <f t="shared" si="17"/>
        <v>9912115</v>
      </c>
      <c r="H112" s="705">
        <f t="shared" si="17"/>
        <v>29800000</v>
      </c>
      <c r="I112" s="705">
        <f t="shared" si="17"/>
        <v>16114375</v>
      </c>
    </row>
    <row r="113" spans="1:9" ht="13.5" thickTop="1">
      <c r="B113" s="1"/>
      <c r="C113" s="1" t="s">
        <v>3881</v>
      </c>
      <c r="D113" s="566"/>
      <c r="E113" s="566"/>
      <c r="F113" s="566"/>
      <c r="G113" s="6"/>
      <c r="H113" s="6"/>
    </row>
    <row r="114" spans="1:9">
      <c r="B114" s="1"/>
      <c r="C114" s="1" t="s">
        <v>5430</v>
      </c>
      <c r="D114" s="566"/>
      <c r="E114" s="566"/>
      <c r="F114" s="566"/>
      <c r="G114" s="6"/>
      <c r="H114" s="6"/>
    </row>
    <row r="115" spans="1:9" ht="13.5" thickBot="1">
      <c r="B115" s="1"/>
      <c r="C115" s="1" t="s">
        <v>226</v>
      </c>
      <c r="D115" s="566"/>
      <c r="E115" s="566"/>
      <c r="F115" s="566"/>
      <c r="G115" s="6"/>
      <c r="H115" s="6"/>
    </row>
    <row r="116" spans="1:9" ht="13.5" thickTop="1">
      <c r="A116" s="1047" t="s">
        <v>4328</v>
      </c>
      <c r="B116" s="1049" t="s">
        <v>2601</v>
      </c>
      <c r="C116" s="1049" t="s">
        <v>1624</v>
      </c>
      <c r="D116" s="1096" t="s">
        <v>5388</v>
      </c>
      <c r="E116" s="1097"/>
      <c r="F116" s="1098"/>
      <c r="G116" s="1049" t="s">
        <v>4137</v>
      </c>
      <c r="H116" s="1049"/>
      <c r="I116" s="1099"/>
    </row>
    <row r="117" spans="1:9" ht="25.5">
      <c r="A117" s="1094"/>
      <c r="B117" s="1095"/>
      <c r="C117" s="1095"/>
      <c r="D117" s="304" t="s">
        <v>4242</v>
      </c>
      <c r="E117" s="304" t="s">
        <v>4138</v>
      </c>
      <c r="F117" s="304" t="s">
        <v>4243</v>
      </c>
      <c r="G117" s="323" t="s">
        <v>4240</v>
      </c>
      <c r="H117" s="323" t="s">
        <v>4241</v>
      </c>
      <c r="I117" s="415" t="s">
        <v>5356</v>
      </c>
    </row>
    <row r="118" spans="1:9">
      <c r="A118" s="3">
        <v>1</v>
      </c>
      <c r="B118" s="305">
        <v>1</v>
      </c>
      <c r="C118" s="4" t="s">
        <v>3339</v>
      </c>
      <c r="D118" s="567"/>
      <c r="E118" s="567"/>
      <c r="F118" s="567"/>
      <c r="G118" s="573">
        <v>0</v>
      </c>
      <c r="H118" s="573"/>
      <c r="I118" s="573">
        <v>0</v>
      </c>
    </row>
    <row r="119" spans="1:9" ht="25.5">
      <c r="A119" s="3">
        <v>2</v>
      </c>
      <c r="B119" s="305">
        <v>2</v>
      </c>
      <c r="C119" s="4" t="s">
        <v>223</v>
      </c>
      <c r="D119" s="567"/>
      <c r="E119" s="567"/>
      <c r="F119" s="567"/>
      <c r="G119" s="573">
        <v>0</v>
      </c>
      <c r="H119" s="573"/>
      <c r="I119" s="573">
        <v>0</v>
      </c>
    </row>
    <row r="120" spans="1:9" ht="25.5">
      <c r="A120" s="3">
        <v>3</v>
      </c>
      <c r="B120" s="305">
        <v>3</v>
      </c>
      <c r="C120" s="4" t="s">
        <v>224</v>
      </c>
      <c r="D120" s="567"/>
      <c r="E120" s="567"/>
      <c r="F120" s="567"/>
      <c r="G120" s="573">
        <v>0</v>
      </c>
      <c r="H120" s="573"/>
      <c r="I120" s="573">
        <v>0</v>
      </c>
    </row>
    <row r="121" spans="1:9" ht="25.5">
      <c r="A121" s="3">
        <v>4</v>
      </c>
      <c r="B121" s="305">
        <v>4</v>
      </c>
      <c r="C121" s="4" t="s">
        <v>2009</v>
      </c>
      <c r="D121" s="567">
        <v>6000000</v>
      </c>
      <c r="E121" s="573">
        <f>D121*1.02</f>
        <v>6120000</v>
      </c>
      <c r="F121" s="573">
        <f>E121*1.02</f>
        <v>6242400</v>
      </c>
      <c r="G121" s="573">
        <v>0</v>
      </c>
      <c r="H121" s="573">
        <v>0</v>
      </c>
      <c r="I121" s="573">
        <v>5800000</v>
      </c>
    </row>
    <row r="122" spans="1:9" ht="25.5">
      <c r="A122" s="3">
        <v>5</v>
      </c>
      <c r="B122" s="305">
        <v>5</v>
      </c>
      <c r="C122" s="4" t="s">
        <v>2010</v>
      </c>
      <c r="D122" s="575"/>
      <c r="E122" s="575"/>
      <c r="F122" s="567"/>
      <c r="G122" s="573">
        <v>0</v>
      </c>
      <c r="H122" s="573">
        <v>0</v>
      </c>
      <c r="I122" s="573">
        <v>0</v>
      </c>
    </row>
    <row r="123" spans="1:9" ht="25.5">
      <c r="A123" s="3">
        <v>6</v>
      </c>
      <c r="B123" s="305">
        <v>6</v>
      </c>
      <c r="C123" s="4" t="s">
        <v>1861</v>
      </c>
      <c r="D123" s="567"/>
      <c r="E123" s="567"/>
      <c r="F123" s="567"/>
      <c r="G123" s="573">
        <v>0</v>
      </c>
      <c r="H123" s="573"/>
      <c r="I123" s="573">
        <v>0</v>
      </c>
    </row>
    <row r="124" spans="1:9">
      <c r="A124" s="3">
        <v>7</v>
      </c>
      <c r="B124" s="305">
        <v>7</v>
      </c>
      <c r="C124" s="4" t="s">
        <v>1862</v>
      </c>
      <c r="D124" s="567"/>
      <c r="E124" s="567"/>
      <c r="F124" s="567"/>
      <c r="G124" s="573">
        <v>0</v>
      </c>
      <c r="H124" s="573"/>
      <c r="I124" s="573">
        <v>0</v>
      </c>
    </row>
    <row r="125" spans="1:9" ht="25.5">
      <c r="A125" s="3">
        <v>8</v>
      </c>
      <c r="B125" s="305">
        <v>8</v>
      </c>
      <c r="C125" s="4" t="s">
        <v>3327</v>
      </c>
      <c r="D125" s="567"/>
      <c r="E125" s="567"/>
      <c r="F125" s="567"/>
      <c r="G125" s="573">
        <v>0</v>
      </c>
      <c r="H125" s="573"/>
      <c r="I125" s="573">
        <v>0</v>
      </c>
    </row>
    <row r="126" spans="1:9" ht="25.5">
      <c r="A126" s="3">
        <v>9</v>
      </c>
      <c r="B126" s="305">
        <v>9</v>
      </c>
      <c r="C126" s="4" t="s">
        <v>3329</v>
      </c>
      <c r="D126" s="567"/>
      <c r="E126" s="567"/>
      <c r="F126" s="567"/>
      <c r="G126" s="573">
        <v>0</v>
      </c>
      <c r="H126" s="573"/>
      <c r="I126" s="573">
        <v>0</v>
      </c>
    </row>
    <row r="127" spans="1:9" ht="25.5">
      <c r="A127" s="3">
        <v>10</v>
      </c>
      <c r="B127" s="305">
        <v>10</v>
      </c>
      <c r="C127" s="4" t="s">
        <v>3184</v>
      </c>
      <c r="D127" s="567"/>
      <c r="E127" s="567"/>
      <c r="F127" s="567"/>
      <c r="G127" s="573">
        <v>0</v>
      </c>
      <c r="H127" s="573"/>
      <c r="I127" s="573">
        <v>0</v>
      </c>
    </row>
    <row r="128" spans="1:9" ht="25.5">
      <c r="A128" s="3">
        <v>11</v>
      </c>
      <c r="B128" s="305">
        <v>11</v>
      </c>
      <c r="C128" s="4" t="s">
        <v>3185</v>
      </c>
      <c r="D128" s="573">
        <v>1000000</v>
      </c>
      <c r="E128" s="573">
        <f>D128*1.02</f>
        <v>1020000</v>
      </c>
      <c r="F128" s="573">
        <f>E128*1.02</f>
        <v>1040400</v>
      </c>
      <c r="G128" s="573">
        <v>0</v>
      </c>
      <c r="H128" s="573">
        <v>1000000</v>
      </c>
      <c r="I128" s="573">
        <v>0</v>
      </c>
    </row>
    <row r="129" spans="1:9" ht="25.5">
      <c r="A129" s="3">
        <v>12</v>
      </c>
      <c r="B129" s="305">
        <v>12</v>
      </c>
      <c r="C129" s="4" t="s">
        <v>1824</v>
      </c>
      <c r="D129" s="573"/>
      <c r="E129" s="573"/>
      <c r="F129" s="573"/>
      <c r="G129" s="573">
        <v>0</v>
      </c>
      <c r="H129" s="573"/>
      <c r="I129" s="573">
        <v>0</v>
      </c>
    </row>
    <row r="130" spans="1:9" ht="25.5">
      <c r="A130" s="3">
        <v>13</v>
      </c>
      <c r="B130" s="305">
        <v>13</v>
      </c>
      <c r="C130" s="4" t="s">
        <v>1825</v>
      </c>
      <c r="D130" s="573"/>
      <c r="E130" s="573"/>
      <c r="F130" s="573"/>
      <c r="G130" s="573">
        <v>0</v>
      </c>
      <c r="H130" s="573"/>
      <c r="I130" s="573">
        <v>0</v>
      </c>
    </row>
    <row r="131" spans="1:9" ht="25.5">
      <c r="A131" s="3">
        <v>14</v>
      </c>
      <c r="B131" s="305">
        <v>14</v>
      </c>
      <c r="C131" s="4" t="s">
        <v>3655</v>
      </c>
      <c r="D131" s="573"/>
      <c r="E131" s="573"/>
      <c r="F131" s="573"/>
      <c r="G131" s="573">
        <v>0</v>
      </c>
      <c r="H131" s="573"/>
      <c r="I131" s="573">
        <v>0</v>
      </c>
    </row>
    <row r="132" spans="1:9" ht="25.5">
      <c r="A132" s="3">
        <v>15</v>
      </c>
      <c r="B132" s="305">
        <v>15</v>
      </c>
      <c r="C132" s="4" t="s">
        <v>1003</v>
      </c>
      <c r="D132" s="573"/>
      <c r="E132" s="573"/>
      <c r="F132" s="573"/>
      <c r="G132" s="573">
        <v>0</v>
      </c>
      <c r="H132" s="573"/>
      <c r="I132" s="573">
        <v>0</v>
      </c>
    </row>
    <row r="133" spans="1:9">
      <c r="A133" s="3">
        <v>16</v>
      </c>
      <c r="B133" s="305">
        <v>16</v>
      </c>
      <c r="C133" s="4" t="s">
        <v>5363</v>
      </c>
      <c r="D133" s="573">
        <v>800000000</v>
      </c>
      <c r="E133" s="573">
        <f>D133*1.02</f>
        <v>816000000</v>
      </c>
      <c r="F133" s="573">
        <f>E133*1.02</f>
        <v>832320000</v>
      </c>
      <c r="G133" s="573">
        <v>700000000</v>
      </c>
      <c r="H133" s="573">
        <v>460750000</v>
      </c>
      <c r="I133" s="573">
        <v>639200000</v>
      </c>
    </row>
    <row r="134" spans="1:9" ht="25.5">
      <c r="A134" s="3">
        <v>17</v>
      </c>
      <c r="B134" s="305">
        <v>17</v>
      </c>
      <c r="C134" s="4" t="s">
        <v>3102</v>
      </c>
      <c r="D134" s="573"/>
      <c r="E134" s="573"/>
      <c r="F134" s="573"/>
      <c r="G134" s="573">
        <v>0</v>
      </c>
      <c r="H134" s="573"/>
      <c r="I134" s="573">
        <v>0</v>
      </c>
    </row>
    <row r="135" spans="1:9" ht="25.5">
      <c r="A135" s="3">
        <v>18</v>
      </c>
      <c r="B135" s="305">
        <v>18</v>
      </c>
      <c r="C135" s="4" t="s">
        <v>994</v>
      </c>
      <c r="D135" s="575">
        <v>5000000</v>
      </c>
      <c r="E135" s="573">
        <f>D135*1.02</f>
        <v>5100000</v>
      </c>
      <c r="F135" s="573">
        <f>E135*1.02</f>
        <v>5202000</v>
      </c>
      <c r="G135" s="573">
        <v>0</v>
      </c>
      <c r="H135" s="575">
        <v>30000000</v>
      </c>
      <c r="I135" s="573">
        <v>0</v>
      </c>
    </row>
    <row r="136" spans="1:9">
      <c r="A136" s="3">
        <v>19</v>
      </c>
      <c r="B136" s="305">
        <v>19</v>
      </c>
      <c r="C136" s="4" t="s">
        <v>995</v>
      </c>
      <c r="D136" s="573"/>
      <c r="E136" s="573"/>
      <c r="F136" s="573"/>
      <c r="G136" s="573">
        <v>0</v>
      </c>
      <c r="H136" s="573"/>
      <c r="I136" s="573">
        <v>0</v>
      </c>
    </row>
    <row r="137" spans="1:9" ht="36.75" thickBot="1">
      <c r="A137" s="3">
        <v>20</v>
      </c>
      <c r="B137" s="305">
        <v>20</v>
      </c>
      <c r="C137" s="229" t="s">
        <v>4050</v>
      </c>
      <c r="D137" s="573"/>
      <c r="E137" s="573"/>
      <c r="F137" s="573"/>
      <c r="G137" s="573">
        <v>0</v>
      </c>
      <c r="H137" s="573"/>
      <c r="I137" s="573">
        <v>0</v>
      </c>
    </row>
    <row r="138" spans="1:9" ht="12" customHeight="1">
      <c r="A138" s="1100" t="s">
        <v>4328</v>
      </c>
      <c r="B138" s="1101" t="s">
        <v>2601</v>
      </c>
      <c r="C138" s="1101" t="s">
        <v>1624</v>
      </c>
      <c r="D138" s="1096" t="s">
        <v>5388</v>
      </c>
      <c r="E138" s="1097"/>
      <c r="F138" s="1098"/>
      <c r="G138" s="1101" t="s">
        <v>4137</v>
      </c>
      <c r="H138" s="1101"/>
      <c r="I138" s="1102"/>
    </row>
    <row r="139" spans="1:9" ht="25.5">
      <c r="A139" s="1094"/>
      <c r="B139" s="1095"/>
      <c r="C139" s="1095"/>
      <c r="D139" s="304" t="s">
        <v>4242</v>
      </c>
      <c r="E139" s="304" t="s">
        <v>4138</v>
      </c>
      <c r="F139" s="304" t="s">
        <v>4243</v>
      </c>
      <c r="G139" s="323" t="s">
        <v>4240</v>
      </c>
      <c r="H139" s="323" t="s">
        <v>4241</v>
      </c>
      <c r="I139" s="415" t="s">
        <v>5356</v>
      </c>
    </row>
    <row r="140" spans="1:9" ht="25.5">
      <c r="A140" s="3">
        <v>21</v>
      </c>
      <c r="B140" s="305">
        <v>21</v>
      </c>
      <c r="C140" s="4" t="s">
        <v>2732</v>
      </c>
      <c r="D140" s="573"/>
      <c r="E140" s="573"/>
      <c r="F140" s="573"/>
      <c r="G140" s="573">
        <v>0</v>
      </c>
      <c r="H140" s="573"/>
      <c r="I140" s="573">
        <v>0</v>
      </c>
    </row>
    <row r="141" spans="1:9" ht="25.5">
      <c r="A141" s="3">
        <v>22</v>
      </c>
      <c r="B141" s="305">
        <v>22</v>
      </c>
      <c r="C141" s="4" t="s">
        <v>5364</v>
      </c>
      <c r="D141" s="573"/>
      <c r="E141" s="573"/>
      <c r="F141" s="573"/>
      <c r="G141" s="573">
        <v>0</v>
      </c>
      <c r="H141" s="573"/>
      <c r="I141" s="573">
        <v>0</v>
      </c>
    </row>
    <row r="142" spans="1:9">
      <c r="A142" s="3">
        <v>23</v>
      </c>
      <c r="B142" s="305">
        <v>23</v>
      </c>
      <c r="C142" s="4" t="s">
        <v>2345</v>
      </c>
      <c r="D142" s="567">
        <v>5000000</v>
      </c>
      <c r="E142" s="573">
        <f>D142*1.02</f>
        <v>5100000</v>
      </c>
      <c r="F142" s="573">
        <f>E142*1.02</f>
        <v>5202000</v>
      </c>
      <c r="G142" s="573">
        <v>1320000</v>
      </c>
      <c r="H142" s="567">
        <v>5000000</v>
      </c>
      <c r="I142" s="573">
        <v>0</v>
      </c>
    </row>
    <row r="143" spans="1:9">
      <c r="A143" s="3">
        <v>24</v>
      </c>
      <c r="B143" s="305">
        <v>24</v>
      </c>
      <c r="C143" s="4" t="s">
        <v>497</v>
      </c>
      <c r="D143" s="567">
        <v>5000000</v>
      </c>
      <c r="E143" s="573">
        <f>D143*1.02</f>
        <v>5100000</v>
      </c>
      <c r="F143" s="573">
        <f>E143*1.02</f>
        <v>5202000</v>
      </c>
      <c r="G143" s="573">
        <v>4905205</v>
      </c>
      <c r="H143" s="567">
        <v>10000000</v>
      </c>
      <c r="I143" s="573">
        <v>4826964</v>
      </c>
    </row>
    <row r="144" spans="1:9" ht="25.5">
      <c r="A144" s="3">
        <v>25</v>
      </c>
      <c r="B144" s="305">
        <v>25</v>
      </c>
      <c r="C144" s="4" t="s">
        <v>1480</v>
      </c>
      <c r="D144" s="573"/>
      <c r="E144" s="573"/>
      <c r="F144" s="567"/>
      <c r="G144" s="573">
        <v>0</v>
      </c>
      <c r="H144" s="573"/>
      <c r="I144" s="573">
        <v>0</v>
      </c>
    </row>
    <row r="145" spans="1:9" ht="25.5">
      <c r="A145" s="3">
        <v>26</v>
      </c>
      <c r="B145" s="305">
        <v>26</v>
      </c>
      <c r="C145" s="4" t="s">
        <v>2351</v>
      </c>
      <c r="D145" s="567"/>
      <c r="E145" s="567"/>
      <c r="F145" s="567"/>
      <c r="G145" s="573">
        <v>8200</v>
      </c>
      <c r="H145" s="573"/>
      <c r="I145" s="573">
        <v>0</v>
      </c>
    </row>
    <row r="146" spans="1:9" ht="25.5">
      <c r="A146" s="3">
        <v>27</v>
      </c>
      <c r="B146" s="305">
        <v>27</v>
      </c>
      <c r="C146" s="4" t="s">
        <v>2352</v>
      </c>
      <c r="D146" s="573">
        <v>200000</v>
      </c>
      <c r="E146" s="573">
        <f t="shared" ref="E146:F148" si="18">D146*1.02</f>
        <v>204000</v>
      </c>
      <c r="F146" s="573">
        <f t="shared" si="18"/>
        <v>208080</v>
      </c>
      <c r="G146" s="573">
        <v>2841400</v>
      </c>
      <c r="H146" s="573">
        <v>200000</v>
      </c>
      <c r="I146" s="573">
        <v>147300</v>
      </c>
    </row>
    <row r="147" spans="1:9" ht="25.5">
      <c r="A147" s="3">
        <v>28</v>
      </c>
      <c r="B147" s="305">
        <v>28</v>
      </c>
      <c r="C147" s="4" t="s">
        <v>3068</v>
      </c>
      <c r="D147" s="573">
        <v>45000000</v>
      </c>
      <c r="E147" s="573">
        <f t="shared" si="18"/>
        <v>45900000</v>
      </c>
      <c r="F147" s="573">
        <f t="shared" si="18"/>
        <v>46818000</v>
      </c>
      <c r="G147" s="573">
        <v>28147000</v>
      </c>
      <c r="H147" s="573">
        <v>25000000</v>
      </c>
      <c r="I147" s="573">
        <v>40633000</v>
      </c>
    </row>
    <row r="148" spans="1:9" ht="38.25">
      <c r="A148" s="3">
        <v>29</v>
      </c>
      <c r="B148" s="305">
        <v>29</v>
      </c>
      <c r="C148" s="4" t="s">
        <v>161</v>
      </c>
      <c r="D148" s="573">
        <v>2000000</v>
      </c>
      <c r="E148" s="573">
        <f t="shared" si="18"/>
        <v>2040000</v>
      </c>
      <c r="F148" s="573">
        <f t="shared" si="18"/>
        <v>2080800</v>
      </c>
      <c r="G148" s="573">
        <v>0</v>
      </c>
      <c r="H148" s="573">
        <v>2000000</v>
      </c>
      <c r="I148" s="573">
        <v>0</v>
      </c>
    </row>
    <row r="149" spans="1:9" ht="25.5">
      <c r="A149" s="3">
        <v>30</v>
      </c>
      <c r="B149" s="305">
        <v>30</v>
      </c>
      <c r="C149" s="4" t="s">
        <v>162</v>
      </c>
      <c r="D149" s="573"/>
      <c r="E149" s="573"/>
      <c r="F149" s="573"/>
      <c r="G149" s="573">
        <v>0</v>
      </c>
      <c r="H149" s="573"/>
      <c r="I149" s="573">
        <v>0</v>
      </c>
    </row>
    <row r="150" spans="1:9" ht="38.25">
      <c r="A150" s="3">
        <v>31</v>
      </c>
      <c r="B150" s="305">
        <v>31</v>
      </c>
      <c r="C150" s="4" t="s">
        <v>163</v>
      </c>
      <c r="D150" s="573"/>
      <c r="E150" s="573"/>
      <c r="F150" s="573"/>
      <c r="G150" s="573">
        <v>0</v>
      </c>
      <c r="H150" s="573"/>
      <c r="I150" s="573">
        <v>0</v>
      </c>
    </row>
    <row r="151" spans="1:9" ht="38.25">
      <c r="A151" s="3">
        <v>32</v>
      </c>
      <c r="B151" s="305">
        <v>32</v>
      </c>
      <c r="C151" s="4" t="s">
        <v>335</v>
      </c>
      <c r="D151" s="573"/>
      <c r="E151" s="573"/>
      <c r="F151" s="573"/>
      <c r="G151" s="573">
        <v>0</v>
      </c>
      <c r="H151" s="573"/>
      <c r="I151" s="573">
        <v>0</v>
      </c>
    </row>
    <row r="152" spans="1:9" ht="25.5">
      <c r="A152" s="3">
        <v>33</v>
      </c>
      <c r="B152" s="305">
        <v>33</v>
      </c>
      <c r="C152" s="4" t="s">
        <v>2680</v>
      </c>
      <c r="D152" s="573"/>
      <c r="E152" s="573"/>
      <c r="F152" s="573"/>
      <c r="G152" s="573">
        <v>0</v>
      </c>
      <c r="H152" s="573"/>
      <c r="I152" s="573">
        <v>0</v>
      </c>
    </row>
    <row r="153" spans="1:9" ht="38.25">
      <c r="A153" s="3">
        <v>34</v>
      </c>
      <c r="B153" s="305">
        <v>34</v>
      </c>
      <c r="C153" s="4" t="s">
        <v>344</v>
      </c>
      <c r="D153" s="573"/>
      <c r="E153" s="573"/>
      <c r="F153" s="573"/>
      <c r="G153" s="573">
        <v>0</v>
      </c>
      <c r="H153" s="573"/>
      <c r="I153" s="573">
        <v>0</v>
      </c>
    </row>
    <row r="154" spans="1:9" ht="25.5">
      <c r="A154" s="3">
        <v>35</v>
      </c>
      <c r="B154" s="305">
        <v>35</v>
      </c>
      <c r="C154" s="4" t="s">
        <v>203</v>
      </c>
      <c r="D154" s="573">
        <v>50000</v>
      </c>
      <c r="E154" s="573">
        <f>D154*1.02</f>
        <v>51000</v>
      </c>
      <c r="F154" s="573">
        <f>E154*1.02</f>
        <v>52020</v>
      </c>
      <c r="G154" s="573">
        <v>0</v>
      </c>
      <c r="H154" s="573">
        <v>50000</v>
      </c>
      <c r="I154" s="573">
        <v>0</v>
      </c>
    </row>
    <row r="155" spans="1:9" ht="25.5">
      <c r="A155" s="3">
        <v>36</v>
      </c>
      <c r="B155" s="305">
        <v>36</v>
      </c>
      <c r="C155" s="4" t="s">
        <v>204</v>
      </c>
      <c r="D155" s="573"/>
      <c r="E155" s="573"/>
      <c r="F155" s="573"/>
      <c r="G155" s="573">
        <v>0</v>
      </c>
      <c r="H155" s="573"/>
      <c r="I155" s="573">
        <v>0</v>
      </c>
    </row>
    <row r="156" spans="1:9" ht="25.5">
      <c r="A156" s="3">
        <v>37</v>
      </c>
      <c r="B156" s="305">
        <v>37</v>
      </c>
      <c r="C156" s="4" t="s">
        <v>111</v>
      </c>
      <c r="D156" s="573"/>
      <c r="E156" s="573"/>
      <c r="F156" s="573"/>
      <c r="G156" s="573">
        <v>0</v>
      </c>
      <c r="H156" s="573"/>
      <c r="I156" s="573">
        <v>0</v>
      </c>
    </row>
    <row r="157" spans="1:9" ht="24">
      <c r="A157" s="3">
        <v>38</v>
      </c>
      <c r="B157" s="305">
        <v>38</v>
      </c>
      <c r="C157" s="229" t="s">
        <v>2529</v>
      </c>
      <c r="D157" s="573"/>
      <c r="E157" s="573"/>
      <c r="F157" s="573"/>
      <c r="G157" s="573">
        <v>0</v>
      </c>
      <c r="H157" s="573"/>
      <c r="I157" s="573">
        <v>0</v>
      </c>
    </row>
    <row r="158" spans="1:9">
      <c r="A158" s="3">
        <v>39</v>
      </c>
      <c r="B158" s="305">
        <v>39</v>
      </c>
      <c r="C158" s="4" t="s">
        <v>2481</v>
      </c>
      <c r="D158" s="573"/>
      <c r="E158" s="573"/>
      <c r="F158" s="573"/>
      <c r="G158" s="573">
        <v>0</v>
      </c>
      <c r="H158" s="573"/>
      <c r="I158" s="573">
        <v>0</v>
      </c>
    </row>
    <row r="159" spans="1:9">
      <c r="A159" s="3">
        <v>40</v>
      </c>
      <c r="B159" s="305">
        <v>40</v>
      </c>
      <c r="C159" s="4" t="s">
        <v>3856</v>
      </c>
      <c r="D159" s="573"/>
      <c r="E159" s="573"/>
      <c r="F159" s="573"/>
      <c r="G159" s="573">
        <v>0</v>
      </c>
      <c r="H159" s="573"/>
      <c r="I159" s="573">
        <v>0</v>
      </c>
    </row>
    <row r="160" spans="1:9" ht="25.5">
      <c r="A160" s="3">
        <v>41</v>
      </c>
      <c r="B160" s="305">
        <v>41</v>
      </c>
      <c r="C160" s="4" t="s">
        <v>3854</v>
      </c>
      <c r="D160" s="573"/>
      <c r="E160" s="573"/>
      <c r="F160" s="573"/>
      <c r="G160" s="573">
        <v>0</v>
      </c>
      <c r="H160" s="573"/>
      <c r="I160" s="573">
        <v>0</v>
      </c>
    </row>
    <row r="161" spans="1:9" ht="25.5">
      <c r="A161" s="3">
        <v>42</v>
      </c>
      <c r="B161" s="305">
        <v>42</v>
      </c>
      <c r="C161" s="4" t="s">
        <v>3855</v>
      </c>
      <c r="D161" s="573">
        <v>1000000</v>
      </c>
      <c r="E161" s="573">
        <f>D161*1.02</f>
        <v>1020000</v>
      </c>
      <c r="F161" s="573">
        <f>E161*1.02</f>
        <v>1040400</v>
      </c>
      <c r="G161" s="573">
        <v>0</v>
      </c>
      <c r="H161" s="573">
        <v>1000000</v>
      </c>
      <c r="I161" s="573">
        <v>0</v>
      </c>
    </row>
    <row r="162" spans="1:9">
      <c r="A162" s="3">
        <v>43</v>
      </c>
      <c r="B162" s="305">
        <v>43</v>
      </c>
      <c r="C162" s="4" t="s">
        <v>1055</v>
      </c>
      <c r="D162" s="573"/>
      <c r="E162" s="573"/>
      <c r="F162" s="573"/>
      <c r="G162" s="573">
        <v>0</v>
      </c>
      <c r="H162" s="573"/>
      <c r="I162" s="573">
        <v>0</v>
      </c>
    </row>
    <row r="163" spans="1:9" ht="26.25" thickBot="1">
      <c r="A163" s="3">
        <v>44</v>
      </c>
      <c r="B163" s="305">
        <v>44</v>
      </c>
      <c r="C163" s="4" t="s">
        <v>1056</v>
      </c>
      <c r="D163" s="573">
        <v>500000</v>
      </c>
      <c r="E163" s="573">
        <f>D163*1.02</f>
        <v>510000</v>
      </c>
      <c r="F163" s="573">
        <f>E163*1.02</f>
        <v>520200</v>
      </c>
      <c r="G163" s="573">
        <v>0</v>
      </c>
      <c r="H163" s="573">
        <v>500000</v>
      </c>
      <c r="I163" s="573">
        <v>0</v>
      </c>
    </row>
    <row r="164" spans="1:9" ht="12" customHeight="1">
      <c r="A164" s="1100" t="s">
        <v>4328</v>
      </c>
      <c r="B164" s="1101" t="s">
        <v>2601</v>
      </c>
      <c r="C164" s="1101" t="s">
        <v>1624</v>
      </c>
      <c r="D164" s="1096" t="s">
        <v>5388</v>
      </c>
      <c r="E164" s="1097"/>
      <c r="F164" s="1098"/>
      <c r="G164" s="1101" t="s">
        <v>4137</v>
      </c>
      <c r="H164" s="1101"/>
      <c r="I164" s="1102"/>
    </row>
    <row r="165" spans="1:9" ht="25.5">
      <c r="A165" s="1094"/>
      <c r="B165" s="1095"/>
      <c r="C165" s="1095"/>
      <c r="D165" s="304" t="s">
        <v>4242</v>
      </c>
      <c r="E165" s="304" t="s">
        <v>4138</v>
      </c>
      <c r="F165" s="304" t="s">
        <v>4243</v>
      </c>
      <c r="G165" s="323" t="s">
        <v>4240</v>
      </c>
      <c r="H165" s="323" t="s">
        <v>4241</v>
      </c>
      <c r="I165" s="415" t="s">
        <v>5356</v>
      </c>
    </row>
    <row r="166" spans="1:9" ht="25.5">
      <c r="A166" s="3">
        <v>45</v>
      </c>
      <c r="B166" s="305">
        <v>45</v>
      </c>
      <c r="C166" s="4" t="s">
        <v>1820</v>
      </c>
      <c r="D166" s="573"/>
      <c r="E166" s="573"/>
      <c r="F166" s="573"/>
      <c r="G166" s="573">
        <v>0</v>
      </c>
      <c r="H166" s="573"/>
      <c r="I166" s="573">
        <v>0</v>
      </c>
    </row>
    <row r="167" spans="1:9" ht="25.5">
      <c r="A167" s="3">
        <v>46</v>
      </c>
      <c r="B167" s="305">
        <v>46</v>
      </c>
      <c r="C167" s="4" t="s">
        <v>1821</v>
      </c>
      <c r="D167" s="573"/>
      <c r="E167" s="573"/>
      <c r="F167" s="573"/>
      <c r="G167" s="573">
        <v>0</v>
      </c>
      <c r="H167" s="573"/>
      <c r="I167" s="573">
        <v>0</v>
      </c>
    </row>
    <row r="168" spans="1:9">
      <c r="A168" s="3">
        <v>47</v>
      </c>
      <c r="B168" s="305">
        <v>47</v>
      </c>
      <c r="C168" s="4" t="s">
        <v>1822</v>
      </c>
      <c r="D168" s="573">
        <v>2000000</v>
      </c>
      <c r="E168" s="573">
        <f>D168*1.02</f>
        <v>2040000</v>
      </c>
      <c r="F168" s="573">
        <f>E168*1.02</f>
        <v>2080800</v>
      </c>
      <c r="G168" s="573">
        <v>0</v>
      </c>
      <c r="H168" s="573">
        <v>2000000</v>
      </c>
      <c r="I168" s="573">
        <v>0</v>
      </c>
    </row>
    <row r="169" spans="1:9">
      <c r="A169" s="3">
        <v>48</v>
      </c>
      <c r="B169" s="305">
        <v>48</v>
      </c>
      <c r="C169" s="4" t="s">
        <v>2999</v>
      </c>
      <c r="D169" s="573"/>
      <c r="E169" s="573"/>
      <c r="F169" s="567"/>
      <c r="G169" s="573">
        <v>0</v>
      </c>
      <c r="H169" s="573"/>
      <c r="I169" s="573">
        <v>0</v>
      </c>
    </row>
    <row r="170" spans="1:9">
      <c r="A170" s="3">
        <v>49</v>
      </c>
      <c r="B170" s="305">
        <v>49</v>
      </c>
      <c r="C170" s="4" t="s">
        <v>3608</v>
      </c>
      <c r="D170" s="573"/>
      <c r="E170" s="573"/>
      <c r="F170" s="567"/>
      <c r="G170" s="573">
        <v>0</v>
      </c>
      <c r="H170" s="573"/>
      <c r="I170" s="573">
        <v>0</v>
      </c>
    </row>
    <row r="171" spans="1:9" ht="24">
      <c r="A171" s="3">
        <v>50</v>
      </c>
      <c r="B171" s="305">
        <v>50</v>
      </c>
      <c r="C171" s="229" t="s">
        <v>3610</v>
      </c>
      <c r="D171" s="573"/>
      <c r="E171" s="573"/>
      <c r="F171" s="567"/>
      <c r="G171" s="573">
        <v>0</v>
      </c>
      <c r="H171" s="573"/>
      <c r="I171" s="573">
        <v>0</v>
      </c>
    </row>
    <row r="172" spans="1:9" ht="25.5">
      <c r="A172" s="3">
        <v>51</v>
      </c>
      <c r="B172" s="305">
        <v>51</v>
      </c>
      <c r="C172" s="4" t="s">
        <v>1674</v>
      </c>
      <c r="D172" s="573">
        <v>200000</v>
      </c>
      <c r="E172" s="573">
        <f>D172*1.02</f>
        <v>204000</v>
      </c>
      <c r="F172" s="573">
        <f>E172*1.02</f>
        <v>208080</v>
      </c>
      <c r="G172" s="573">
        <v>0</v>
      </c>
      <c r="H172" s="573">
        <v>200000</v>
      </c>
      <c r="I172" s="573">
        <v>0</v>
      </c>
    </row>
    <row r="173" spans="1:9">
      <c r="A173" s="3">
        <v>52</v>
      </c>
      <c r="B173" s="305">
        <v>52</v>
      </c>
      <c r="C173" s="4" t="s">
        <v>1675</v>
      </c>
      <c r="D173" s="573"/>
      <c r="E173" s="573"/>
      <c r="F173" s="573"/>
      <c r="G173" s="573">
        <v>0</v>
      </c>
      <c r="H173" s="573"/>
      <c r="I173" s="573">
        <v>0</v>
      </c>
    </row>
    <row r="174" spans="1:9" ht="25.5">
      <c r="A174" s="3">
        <v>53</v>
      </c>
      <c r="B174" s="305">
        <v>53</v>
      </c>
      <c r="C174" s="4" t="s">
        <v>3617</v>
      </c>
      <c r="D174" s="573"/>
      <c r="E174" s="573"/>
      <c r="F174" s="573"/>
      <c r="G174" s="573">
        <v>0</v>
      </c>
      <c r="H174" s="573"/>
      <c r="I174" s="573">
        <v>0</v>
      </c>
    </row>
    <row r="175" spans="1:9" ht="25.5">
      <c r="A175" s="3">
        <v>54</v>
      </c>
      <c r="B175" s="305">
        <v>54</v>
      </c>
      <c r="C175" s="4" t="s">
        <v>924</v>
      </c>
      <c r="D175" s="573"/>
      <c r="E175" s="573"/>
      <c r="F175" s="573"/>
      <c r="G175" s="573">
        <v>0</v>
      </c>
      <c r="H175" s="573"/>
      <c r="I175" s="573">
        <v>0</v>
      </c>
    </row>
    <row r="176" spans="1:9" ht="38.25">
      <c r="A176" s="3">
        <v>55</v>
      </c>
      <c r="B176" s="305">
        <v>55</v>
      </c>
      <c r="C176" s="4" t="s">
        <v>925</v>
      </c>
      <c r="D176" s="573"/>
      <c r="E176" s="573"/>
      <c r="F176" s="573"/>
      <c r="G176" s="573">
        <v>0</v>
      </c>
      <c r="H176" s="573"/>
      <c r="I176" s="573">
        <v>0</v>
      </c>
    </row>
    <row r="177" spans="1:9" ht="25.5">
      <c r="A177" s="3">
        <v>56</v>
      </c>
      <c r="B177" s="305">
        <v>56</v>
      </c>
      <c r="C177" s="4" t="s">
        <v>3902</v>
      </c>
      <c r="D177" s="573">
        <v>7000000</v>
      </c>
      <c r="E177" s="573">
        <f>D177*1.02</f>
        <v>7140000</v>
      </c>
      <c r="F177" s="573">
        <f>E177*1.02</f>
        <v>7282800</v>
      </c>
      <c r="G177" s="573">
        <v>0</v>
      </c>
      <c r="H177" s="573">
        <v>4500000</v>
      </c>
      <c r="I177" s="573">
        <v>0</v>
      </c>
    </row>
    <row r="178" spans="1:9" ht="15.75" thickBot="1">
      <c r="A178" s="5"/>
      <c r="B178" s="306"/>
      <c r="C178" s="373" t="s">
        <v>896</v>
      </c>
      <c r="D178" s="704">
        <f t="shared" ref="D178:I178" si="19">SUM(D118:D177)</f>
        <v>879950000</v>
      </c>
      <c r="E178" s="704">
        <f t="shared" si="19"/>
        <v>897549000</v>
      </c>
      <c r="F178" s="704">
        <f t="shared" si="19"/>
        <v>915499980</v>
      </c>
      <c r="G178" s="704">
        <f t="shared" si="19"/>
        <v>737221805</v>
      </c>
      <c r="H178" s="704">
        <f t="shared" si="19"/>
        <v>542200000</v>
      </c>
      <c r="I178" s="704">
        <f t="shared" si="19"/>
        <v>690607264</v>
      </c>
    </row>
    <row r="179" spans="1:9" ht="13.5" thickTop="1">
      <c r="D179" s="570"/>
      <c r="E179" s="570"/>
      <c r="F179" s="570"/>
      <c r="H179" s="572"/>
    </row>
    <row r="180" spans="1:9">
      <c r="B180" s="1"/>
      <c r="C180" s="1" t="s">
        <v>3881</v>
      </c>
      <c r="D180" s="566"/>
      <c r="E180" s="566"/>
      <c r="F180" s="566"/>
      <c r="G180" s="6"/>
      <c r="H180" s="6"/>
    </row>
    <row r="181" spans="1:9">
      <c r="B181" s="1"/>
      <c r="C181" s="1" t="s">
        <v>5430</v>
      </c>
      <c r="D181" s="566"/>
      <c r="E181" s="566"/>
      <c r="F181" s="566"/>
      <c r="G181" s="6"/>
      <c r="H181" s="6"/>
    </row>
    <row r="182" spans="1:9" ht="13.5" thickBot="1">
      <c r="B182" s="1"/>
      <c r="C182" s="1" t="s">
        <v>1000</v>
      </c>
      <c r="D182" s="566"/>
      <c r="E182" s="566"/>
      <c r="F182" s="566"/>
      <c r="G182" s="6"/>
      <c r="H182" s="6"/>
    </row>
    <row r="183" spans="1:9" ht="13.5" thickTop="1">
      <c r="A183" s="1047" t="s">
        <v>4328</v>
      </c>
      <c r="B183" s="1049" t="s">
        <v>2601</v>
      </c>
      <c r="C183" s="1049" t="s">
        <v>1624</v>
      </c>
      <c r="D183" s="1096" t="s">
        <v>5388</v>
      </c>
      <c r="E183" s="1097"/>
      <c r="F183" s="1098"/>
      <c r="G183" s="1049" t="s">
        <v>4137</v>
      </c>
      <c r="H183" s="1049"/>
      <c r="I183" s="1099"/>
    </row>
    <row r="184" spans="1:9" ht="25.5">
      <c r="A184" s="1094"/>
      <c r="B184" s="1095"/>
      <c r="C184" s="1095"/>
      <c r="D184" s="304" t="s">
        <v>4242</v>
      </c>
      <c r="E184" s="304" t="s">
        <v>4138</v>
      </c>
      <c r="F184" s="304" t="s">
        <v>4243</v>
      </c>
      <c r="G184" s="323" t="s">
        <v>4240</v>
      </c>
      <c r="H184" s="323" t="s">
        <v>4241</v>
      </c>
      <c r="I184" s="415" t="s">
        <v>5356</v>
      </c>
    </row>
    <row r="185" spans="1:9" ht="38.25">
      <c r="A185" s="3">
        <v>1</v>
      </c>
      <c r="B185" s="305">
        <v>1</v>
      </c>
      <c r="C185" s="4" t="s">
        <v>3181</v>
      </c>
      <c r="D185" s="567"/>
      <c r="E185" s="567"/>
      <c r="F185" s="567"/>
      <c r="G185" s="573">
        <v>0</v>
      </c>
      <c r="H185" s="573"/>
      <c r="I185" s="573">
        <v>0</v>
      </c>
    </row>
    <row r="186" spans="1:9">
      <c r="A186" s="3">
        <v>2</v>
      </c>
      <c r="B186" s="305">
        <v>2</v>
      </c>
      <c r="C186" s="4" t="s">
        <v>3182</v>
      </c>
      <c r="D186" s="567">
        <v>1000000</v>
      </c>
      <c r="E186" s="573">
        <f>D186*1.02</f>
        <v>1020000</v>
      </c>
      <c r="F186" s="573">
        <f>E186*1.02</f>
        <v>1040400</v>
      </c>
      <c r="G186" s="573">
        <v>1491020.48</v>
      </c>
      <c r="H186" s="573">
        <v>620789</v>
      </c>
      <c r="I186" s="573">
        <v>869200</v>
      </c>
    </row>
    <row r="187" spans="1:9" ht="38.25">
      <c r="A187" s="3">
        <v>3</v>
      </c>
      <c r="B187" s="305">
        <v>3</v>
      </c>
      <c r="C187" s="4" t="s">
        <v>1002</v>
      </c>
      <c r="D187" s="567"/>
      <c r="E187" s="567"/>
      <c r="F187" s="567"/>
      <c r="G187" s="573">
        <v>0</v>
      </c>
      <c r="H187" s="573"/>
      <c r="I187" s="573">
        <v>0</v>
      </c>
    </row>
    <row r="188" spans="1:9" ht="25.5">
      <c r="A188" s="3">
        <v>4</v>
      </c>
      <c r="B188" s="305">
        <v>4</v>
      </c>
      <c r="C188" s="4" t="s">
        <v>4013</v>
      </c>
      <c r="D188" s="567"/>
      <c r="E188" s="567"/>
      <c r="F188" s="567"/>
      <c r="G188" s="573">
        <v>167625</v>
      </c>
      <c r="H188" s="573"/>
      <c r="I188" s="573">
        <v>0</v>
      </c>
    </row>
    <row r="189" spans="1:9" ht="25.5">
      <c r="A189" s="3">
        <v>5</v>
      </c>
      <c r="B189" s="305">
        <v>5</v>
      </c>
      <c r="C189" s="4" t="s">
        <v>4014</v>
      </c>
      <c r="D189" s="567"/>
      <c r="E189" s="567"/>
      <c r="F189" s="567"/>
      <c r="G189" s="573">
        <v>0</v>
      </c>
      <c r="H189" s="573"/>
      <c r="I189" s="573">
        <v>0</v>
      </c>
    </row>
    <row r="190" spans="1:9" ht="38.25">
      <c r="A190" s="3">
        <v>6</v>
      </c>
      <c r="B190" s="305">
        <v>6</v>
      </c>
      <c r="C190" s="4" t="s">
        <v>1009</v>
      </c>
      <c r="D190" s="567"/>
      <c r="E190" s="567"/>
      <c r="F190" s="567"/>
      <c r="G190" s="573">
        <v>0</v>
      </c>
      <c r="H190" s="573"/>
      <c r="I190" s="573">
        <v>0</v>
      </c>
    </row>
    <row r="191" spans="1:9" ht="25.5">
      <c r="A191" s="3">
        <v>7</v>
      </c>
      <c r="B191" s="305">
        <v>7</v>
      </c>
      <c r="C191" s="4" t="s">
        <v>1455</v>
      </c>
      <c r="D191" s="567"/>
      <c r="E191" s="567"/>
      <c r="F191" s="567"/>
      <c r="G191" s="573">
        <v>0</v>
      </c>
      <c r="H191" s="573"/>
      <c r="I191" s="573">
        <v>0</v>
      </c>
    </row>
    <row r="192" spans="1:9" ht="15.75" thickBot="1">
      <c r="A192" s="5"/>
      <c r="B192" s="306"/>
      <c r="C192" s="373" t="s">
        <v>896</v>
      </c>
      <c r="D192" s="705">
        <f t="shared" ref="D192:I192" si="20">SUM(D185:D191)</f>
        <v>1000000</v>
      </c>
      <c r="E192" s="705">
        <f t="shared" si="20"/>
        <v>1020000</v>
      </c>
      <c r="F192" s="705">
        <f t="shared" si="20"/>
        <v>1040400</v>
      </c>
      <c r="G192" s="705">
        <f t="shared" si="20"/>
        <v>1658645.48</v>
      </c>
      <c r="H192" s="705">
        <f t="shared" si="20"/>
        <v>620789</v>
      </c>
      <c r="I192" s="705">
        <f t="shared" si="20"/>
        <v>869200</v>
      </c>
    </row>
    <row r="193" spans="1:9" ht="13.5" thickTop="1">
      <c r="B193" s="1"/>
      <c r="C193" s="6"/>
      <c r="D193" s="570"/>
      <c r="E193" s="570"/>
      <c r="F193" s="570"/>
      <c r="H193" s="572"/>
    </row>
    <row r="194" spans="1:9">
      <c r="B194" s="1"/>
      <c r="C194" s="1" t="s">
        <v>3881</v>
      </c>
      <c r="D194" s="566"/>
      <c r="E194" s="566"/>
      <c r="F194" s="566"/>
      <c r="G194" s="6"/>
      <c r="H194" s="6"/>
    </row>
    <row r="195" spans="1:9">
      <c r="B195" s="1"/>
      <c r="C195" s="1" t="s">
        <v>5430</v>
      </c>
      <c r="D195" s="566"/>
      <c r="E195" s="566"/>
      <c r="F195" s="566"/>
      <c r="G195" s="6"/>
      <c r="H195" s="6"/>
    </row>
    <row r="196" spans="1:9" ht="13.5" thickBot="1">
      <c r="B196" s="1"/>
      <c r="C196" s="1" t="s">
        <v>1010</v>
      </c>
      <c r="D196" s="566"/>
      <c r="E196" s="566"/>
      <c r="F196" s="566"/>
      <c r="G196" s="6"/>
      <c r="H196" s="6"/>
    </row>
    <row r="197" spans="1:9" ht="13.5" thickTop="1">
      <c r="A197" s="1047" t="s">
        <v>4328</v>
      </c>
      <c r="B197" s="1049" t="s">
        <v>2601</v>
      </c>
      <c r="C197" s="1049" t="s">
        <v>1624</v>
      </c>
      <c r="D197" s="1096" t="s">
        <v>5388</v>
      </c>
      <c r="E197" s="1097"/>
      <c r="F197" s="1098"/>
      <c r="G197" s="1049" t="s">
        <v>4137</v>
      </c>
      <c r="H197" s="1049"/>
      <c r="I197" s="1099"/>
    </row>
    <row r="198" spans="1:9" ht="25.5">
      <c r="A198" s="1094"/>
      <c r="B198" s="1095"/>
      <c r="C198" s="1095"/>
      <c r="D198" s="304" t="s">
        <v>4242</v>
      </c>
      <c r="E198" s="304" t="s">
        <v>4138</v>
      </c>
      <c r="F198" s="304" t="s">
        <v>4243</v>
      </c>
      <c r="G198" s="323" t="s">
        <v>4240</v>
      </c>
      <c r="H198" s="323" t="s">
        <v>4241</v>
      </c>
      <c r="I198" s="415" t="s">
        <v>5356</v>
      </c>
    </row>
    <row r="199" spans="1:9" ht="25.5">
      <c r="A199" s="3">
        <v>1</v>
      </c>
      <c r="B199" s="305">
        <v>1</v>
      </c>
      <c r="C199" s="4" t="s">
        <v>1077</v>
      </c>
      <c r="D199" s="567"/>
      <c r="E199" s="567"/>
      <c r="F199" s="567"/>
      <c r="G199" s="573">
        <v>0</v>
      </c>
      <c r="H199" s="573"/>
      <c r="I199" s="573">
        <v>0</v>
      </c>
    </row>
    <row r="200" spans="1:9" ht="25.5">
      <c r="A200" s="3">
        <v>2</v>
      </c>
      <c r="B200" s="305">
        <v>2</v>
      </c>
      <c r="C200" s="4" t="s">
        <v>1078</v>
      </c>
      <c r="D200" s="567"/>
      <c r="E200" s="567"/>
      <c r="F200" s="567"/>
      <c r="G200" s="573">
        <v>0</v>
      </c>
      <c r="H200" s="573"/>
      <c r="I200" s="573">
        <v>0</v>
      </c>
    </row>
    <row r="201" spans="1:9">
      <c r="A201" s="3">
        <v>3</v>
      </c>
      <c r="B201" s="305">
        <v>3</v>
      </c>
      <c r="C201" s="4" t="s">
        <v>1079</v>
      </c>
      <c r="D201" s="567"/>
      <c r="E201" s="567"/>
      <c r="F201" s="567"/>
      <c r="G201" s="573">
        <v>0</v>
      </c>
      <c r="H201" s="573"/>
      <c r="I201" s="573">
        <v>0</v>
      </c>
    </row>
    <row r="202" spans="1:9" ht="25.5">
      <c r="A202" s="3">
        <v>4</v>
      </c>
      <c r="B202" s="305">
        <v>4</v>
      </c>
      <c r="C202" s="4" t="s">
        <v>1215</v>
      </c>
      <c r="D202" s="567"/>
      <c r="E202" s="567"/>
      <c r="F202" s="567"/>
      <c r="G202" s="573">
        <v>0</v>
      </c>
      <c r="H202" s="573"/>
      <c r="I202" s="573">
        <v>0</v>
      </c>
    </row>
    <row r="203" spans="1:9" ht="25.5">
      <c r="A203" s="3">
        <v>5</v>
      </c>
      <c r="B203" s="305">
        <v>5</v>
      </c>
      <c r="C203" s="4" t="s">
        <v>1216</v>
      </c>
      <c r="D203" s="567"/>
      <c r="E203" s="567"/>
      <c r="F203" s="567"/>
      <c r="G203" s="573">
        <v>0</v>
      </c>
      <c r="H203" s="573"/>
      <c r="I203" s="573">
        <v>0</v>
      </c>
    </row>
    <row r="204" spans="1:9" ht="25.5">
      <c r="A204" s="3">
        <v>6</v>
      </c>
      <c r="B204" s="305">
        <v>6</v>
      </c>
      <c r="C204" s="4" t="s">
        <v>1084</v>
      </c>
      <c r="D204" s="567"/>
      <c r="E204" s="567"/>
      <c r="F204" s="567"/>
      <c r="G204" s="573">
        <v>0</v>
      </c>
      <c r="H204" s="573"/>
      <c r="I204" s="573">
        <v>0</v>
      </c>
    </row>
    <row r="205" spans="1:9" ht="25.5">
      <c r="A205" s="3">
        <v>7</v>
      </c>
      <c r="B205" s="305">
        <v>7</v>
      </c>
      <c r="C205" s="4" t="s">
        <v>3638</v>
      </c>
      <c r="D205" s="567"/>
      <c r="E205" s="567"/>
      <c r="F205" s="567"/>
      <c r="G205" s="573">
        <v>0</v>
      </c>
      <c r="H205" s="573"/>
      <c r="I205" s="573">
        <v>0</v>
      </c>
    </row>
    <row r="206" spans="1:9" ht="25.5">
      <c r="A206" s="3">
        <v>8</v>
      </c>
      <c r="B206" s="305">
        <v>8</v>
      </c>
      <c r="C206" s="4" t="s">
        <v>3639</v>
      </c>
      <c r="D206" s="567"/>
      <c r="E206" s="567"/>
      <c r="F206" s="567"/>
      <c r="G206" s="573">
        <v>0</v>
      </c>
      <c r="H206" s="573"/>
      <c r="I206" s="573">
        <v>0</v>
      </c>
    </row>
    <row r="207" spans="1:9" ht="25.5">
      <c r="A207" s="3">
        <v>9</v>
      </c>
      <c r="B207" s="305">
        <v>9</v>
      </c>
      <c r="C207" s="4" t="s">
        <v>1352</v>
      </c>
      <c r="D207" s="567">
        <v>120000000</v>
      </c>
      <c r="E207" s="573">
        <f>D207*1.02</f>
        <v>122400000</v>
      </c>
      <c r="F207" s="573">
        <f>E207*1.02</f>
        <v>124848000</v>
      </c>
      <c r="G207" s="573">
        <v>154268041.30000001</v>
      </c>
      <c r="H207" s="573">
        <v>100000000</v>
      </c>
      <c r="I207" s="573">
        <v>106931324.93000001</v>
      </c>
    </row>
    <row r="208" spans="1:9" ht="25.5">
      <c r="A208" s="3">
        <v>10</v>
      </c>
      <c r="B208" s="305">
        <v>10</v>
      </c>
      <c r="C208" s="4" t="s">
        <v>832</v>
      </c>
      <c r="D208" s="567"/>
      <c r="E208" s="567"/>
      <c r="F208" s="567"/>
      <c r="G208" s="573">
        <v>0</v>
      </c>
      <c r="H208" s="573"/>
      <c r="I208" s="573">
        <v>0</v>
      </c>
    </row>
    <row r="209" spans="1:9" ht="25.5">
      <c r="A209" s="3">
        <v>11</v>
      </c>
      <c r="B209" s="305">
        <v>11</v>
      </c>
      <c r="C209" s="4" t="s">
        <v>1354</v>
      </c>
      <c r="D209" s="567"/>
      <c r="E209" s="567"/>
      <c r="F209" s="567"/>
      <c r="G209" s="573">
        <v>0</v>
      </c>
      <c r="H209" s="573"/>
      <c r="I209" s="573">
        <v>0</v>
      </c>
    </row>
    <row r="210" spans="1:9" ht="25.5">
      <c r="A210" s="3">
        <v>12</v>
      </c>
      <c r="B210" s="305">
        <v>12</v>
      </c>
      <c r="C210" s="4" t="s">
        <v>613</v>
      </c>
      <c r="D210" s="567"/>
      <c r="E210" s="567"/>
      <c r="F210" s="567"/>
      <c r="G210" s="573">
        <v>0</v>
      </c>
      <c r="H210" s="573"/>
      <c r="I210" s="573">
        <v>0</v>
      </c>
    </row>
    <row r="211" spans="1:9" ht="38.25">
      <c r="A211" s="3">
        <v>13</v>
      </c>
      <c r="B211" s="305">
        <v>13</v>
      </c>
      <c r="C211" s="4" t="s">
        <v>729</v>
      </c>
      <c r="D211" s="567"/>
      <c r="E211" s="567"/>
      <c r="F211" s="567"/>
      <c r="G211" s="573">
        <v>0</v>
      </c>
      <c r="H211" s="573"/>
      <c r="I211" s="573">
        <v>0</v>
      </c>
    </row>
    <row r="212" spans="1:9" ht="25.5">
      <c r="A212" s="3">
        <v>14</v>
      </c>
      <c r="B212" s="305">
        <v>14</v>
      </c>
      <c r="C212" s="4" t="s">
        <v>730</v>
      </c>
      <c r="D212" s="706"/>
      <c r="E212" s="706"/>
      <c r="F212" s="706"/>
      <c r="G212" s="573">
        <v>0</v>
      </c>
      <c r="H212" s="573"/>
      <c r="I212" s="573">
        <v>0</v>
      </c>
    </row>
    <row r="213" spans="1:9" ht="15.75" thickBot="1">
      <c r="A213" s="5"/>
      <c r="B213" s="306"/>
      <c r="C213" s="703" t="s">
        <v>896</v>
      </c>
      <c r="D213" s="704">
        <f t="shared" ref="D213:I213" si="21">SUM(D199:D212)</f>
        <v>120000000</v>
      </c>
      <c r="E213" s="704">
        <f t="shared" si="21"/>
        <v>122400000</v>
      </c>
      <c r="F213" s="704">
        <f t="shared" si="21"/>
        <v>124848000</v>
      </c>
      <c r="G213" s="704">
        <f t="shared" si="21"/>
        <v>154268041.30000001</v>
      </c>
      <c r="H213" s="704">
        <f t="shared" si="21"/>
        <v>100000000</v>
      </c>
      <c r="I213" s="704">
        <f t="shared" si="21"/>
        <v>106931324.93000001</v>
      </c>
    </row>
    <row r="214" spans="1:9" ht="13.5" thickTop="1">
      <c r="B214" s="1"/>
      <c r="C214" s="1" t="s">
        <v>3881</v>
      </c>
      <c r="D214" s="566"/>
      <c r="E214" s="566"/>
      <c r="F214" s="566"/>
      <c r="G214" s="6"/>
      <c r="H214" s="6"/>
    </row>
    <row r="215" spans="1:9">
      <c r="B215" s="1"/>
      <c r="C215" s="1" t="s">
        <v>5430</v>
      </c>
      <c r="D215" s="566"/>
      <c r="E215" s="566"/>
      <c r="F215" s="566"/>
      <c r="G215" s="6"/>
      <c r="H215" s="6"/>
    </row>
    <row r="216" spans="1:9" ht="13.5" thickBot="1">
      <c r="B216" s="1"/>
      <c r="C216" s="1" t="s">
        <v>731</v>
      </c>
      <c r="D216" s="566"/>
      <c r="E216" s="566"/>
      <c r="F216" s="566"/>
      <c r="G216" s="6"/>
      <c r="H216" s="6"/>
    </row>
    <row r="217" spans="1:9" ht="13.5" thickTop="1">
      <c r="A217" s="1047" t="s">
        <v>4328</v>
      </c>
      <c r="B217" s="1049" t="s">
        <v>2601</v>
      </c>
      <c r="C217" s="1049" t="s">
        <v>1624</v>
      </c>
      <c r="D217" s="1096" t="s">
        <v>5388</v>
      </c>
      <c r="E217" s="1097"/>
      <c r="F217" s="1098"/>
      <c r="G217" s="1049" t="s">
        <v>4137</v>
      </c>
      <c r="H217" s="1049"/>
      <c r="I217" s="1099"/>
    </row>
    <row r="218" spans="1:9" ht="25.5">
      <c r="A218" s="1094"/>
      <c r="B218" s="1095"/>
      <c r="C218" s="1095"/>
      <c r="D218" s="304" t="s">
        <v>4242</v>
      </c>
      <c r="E218" s="304" t="s">
        <v>4138</v>
      </c>
      <c r="F218" s="304" t="s">
        <v>4243</v>
      </c>
      <c r="G218" s="323" t="s">
        <v>4240</v>
      </c>
      <c r="H218" s="323" t="s">
        <v>4241</v>
      </c>
      <c r="I218" s="415" t="s">
        <v>5356</v>
      </c>
    </row>
    <row r="219" spans="1:9" ht="36">
      <c r="A219" s="3">
        <v>1</v>
      </c>
      <c r="B219" s="305">
        <v>1</v>
      </c>
      <c r="C219" s="229" t="s">
        <v>173</v>
      </c>
      <c r="D219" s="567"/>
      <c r="E219" s="567"/>
      <c r="F219" s="567"/>
      <c r="G219" s="573">
        <v>0</v>
      </c>
      <c r="H219" s="573"/>
      <c r="I219" s="573">
        <v>0</v>
      </c>
    </row>
    <row r="220" spans="1:9" ht="25.5">
      <c r="A220" s="3">
        <v>2</v>
      </c>
      <c r="B220" s="305">
        <v>2</v>
      </c>
      <c r="C220" s="4" t="s">
        <v>174</v>
      </c>
      <c r="D220" s="567"/>
      <c r="E220" s="567"/>
      <c r="F220" s="567"/>
      <c r="G220" s="573">
        <v>0</v>
      </c>
      <c r="H220" s="573"/>
      <c r="I220" s="573">
        <v>0</v>
      </c>
    </row>
    <row r="221" spans="1:9" ht="25.5">
      <c r="A221" s="3">
        <v>3</v>
      </c>
      <c r="B221" s="305">
        <v>3</v>
      </c>
      <c r="C221" s="4" t="s">
        <v>306</v>
      </c>
      <c r="D221" s="567"/>
      <c r="E221" s="567"/>
      <c r="F221" s="567"/>
      <c r="G221" s="573">
        <v>0</v>
      </c>
      <c r="H221" s="573"/>
      <c r="I221" s="573">
        <v>0</v>
      </c>
    </row>
    <row r="222" spans="1:9" ht="25.5">
      <c r="A222" s="3">
        <v>4</v>
      </c>
      <c r="B222" s="305">
        <v>4</v>
      </c>
      <c r="C222" s="4" t="s">
        <v>2606</v>
      </c>
      <c r="D222" s="567"/>
      <c r="E222" s="567"/>
      <c r="F222" s="567"/>
      <c r="G222" s="573">
        <v>0</v>
      </c>
      <c r="H222" s="573"/>
      <c r="I222" s="573">
        <v>0</v>
      </c>
    </row>
    <row r="223" spans="1:9" ht="38.25">
      <c r="A223" s="3">
        <v>5</v>
      </c>
      <c r="B223" s="305">
        <v>5</v>
      </c>
      <c r="C223" s="4" t="s">
        <v>2964</v>
      </c>
      <c r="D223" s="567"/>
      <c r="E223" s="567"/>
      <c r="F223" s="567"/>
      <c r="G223" s="573">
        <v>0</v>
      </c>
      <c r="H223" s="573"/>
      <c r="I223" s="573">
        <v>0</v>
      </c>
    </row>
    <row r="224" spans="1:9" ht="25.5">
      <c r="A224" s="3">
        <v>6</v>
      </c>
      <c r="B224" s="305">
        <v>6</v>
      </c>
      <c r="C224" s="4" t="s">
        <v>2053</v>
      </c>
      <c r="D224" s="567"/>
      <c r="E224" s="567"/>
      <c r="F224" s="567"/>
      <c r="G224" s="573">
        <v>0</v>
      </c>
      <c r="H224" s="573"/>
      <c r="I224" s="573">
        <v>0</v>
      </c>
    </row>
    <row r="225" spans="1:9" ht="38.25">
      <c r="A225" s="3">
        <v>7</v>
      </c>
      <c r="B225" s="305">
        <v>7</v>
      </c>
      <c r="C225" s="4" t="s">
        <v>1903</v>
      </c>
      <c r="D225" s="567"/>
      <c r="E225" s="567"/>
      <c r="F225" s="567"/>
      <c r="G225" s="573">
        <v>0</v>
      </c>
      <c r="H225" s="573"/>
      <c r="I225" s="573">
        <v>0</v>
      </c>
    </row>
    <row r="226" spans="1:9" ht="25.5">
      <c r="A226" s="3">
        <v>8</v>
      </c>
      <c r="B226" s="305">
        <v>8</v>
      </c>
      <c r="C226" s="4" t="s">
        <v>1751</v>
      </c>
      <c r="D226" s="567"/>
      <c r="E226" s="567"/>
      <c r="F226" s="567"/>
      <c r="G226" s="573">
        <v>0</v>
      </c>
      <c r="H226" s="573"/>
      <c r="I226" s="573">
        <v>0</v>
      </c>
    </row>
    <row r="227" spans="1:9" ht="25.5">
      <c r="A227" s="3">
        <v>9</v>
      </c>
      <c r="B227" s="305">
        <v>9</v>
      </c>
      <c r="C227" s="4" t="s">
        <v>3513</v>
      </c>
      <c r="D227" s="567"/>
      <c r="E227" s="567"/>
      <c r="F227" s="567"/>
      <c r="G227" s="573">
        <v>0</v>
      </c>
      <c r="H227" s="573"/>
      <c r="I227" s="573">
        <v>0</v>
      </c>
    </row>
    <row r="228" spans="1:9" ht="38.25">
      <c r="A228" s="3">
        <v>10</v>
      </c>
      <c r="B228" s="305">
        <v>10</v>
      </c>
      <c r="C228" s="4" t="s">
        <v>1914</v>
      </c>
      <c r="D228" s="567"/>
      <c r="E228" s="567"/>
      <c r="F228" s="567"/>
      <c r="G228" s="573">
        <v>0</v>
      </c>
      <c r="H228" s="573"/>
      <c r="I228" s="573">
        <v>0</v>
      </c>
    </row>
    <row r="229" spans="1:9" ht="25.5">
      <c r="A229" s="3">
        <v>11</v>
      </c>
      <c r="B229" s="305">
        <v>11</v>
      </c>
      <c r="C229" s="4" t="s">
        <v>1807</v>
      </c>
      <c r="D229" s="567"/>
      <c r="E229" s="567"/>
      <c r="F229" s="567"/>
      <c r="G229" s="573">
        <v>0</v>
      </c>
      <c r="H229" s="573"/>
      <c r="I229" s="573">
        <v>0</v>
      </c>
    </row>
    <row r="230" spans="1:9" ht="51">
      <c r="A230" s="3">
        <v>12</v>
      </c>
      <c r="B230" s="305">
        <v>12</v>
      </c>
      <c r="C230" s="4" t="s">
        <v>3802</v>
      </c>
      <c r="D230" s="567"/>
      <c r="E230" s="567"/>
      <c r="F230" s="567"/>
      <c r="G230" s="573">
        <v>0</v>
      </c>
      <c r="H230" s="573"/>
      <c r="I230" s="573">
        <v>0</v>
      </c>
    </row>
    <row r="231" spans="1:9" ht="13.5" thickBot="1">
      <c r="A231" s="5"/>
      <c r="B231" s="306"/>
      <c r="C231" s="373" t="s">
        <v>896</v>
      </c>
      <c r="D231" s="576">
        <f>SUM(D219:D230)</f>
        <v>0</v>
      </c>
      <c r="E231" s="576">
        <f>SUM(E219:E230)</f>
        <v>0</v>
      </c>
      <c r="F231" s="576">
        <f>SUM(F219:F230)</f>
        <v>0</v>
      </c>
      <c r="G231" s="577"/>
      <c r="H231" s="576">
        <f>SUM(H219:H230)</f>
        <v>0</v>
      </c>
      <c r="I231" s="576">
        <f>SUM(I219:I230)</f>
        <v>0</v>
      </c>
    </row>
    <row r="232" spans="1:9" ht="13.5" thickTop="1">
      <c r="B232" s="1"/>
      <c r="C232" s="1" t="s">
        <v>3881</v>
      </c>
      <c r="D232" s="566"/>
      <c r="E232" s="566"/>
      <c r="F232" s="566"/>
      <c r="G232" s="6"/>
      <c r="H232" s="6"/>
    </row>
    <row r="233" spans="1:9">
      <c r="B233" s="1"/>
      <c r="C233" s="1" t="s">
        <v>5430</v>
      </c>
      <c r="D233" s="566"/>
      <c r="E233" s="566"/>
      <c r="F233" s="566"/>
      <c r="G233" s="6"/>
      <c r="H233" s="6"/>
    </row>
    <row r="234" spans="1:9" ht="13.5" thickBot="1">
      <c r="B234" s="1"/>
      <c r="C234" s="1" t="s">
        <v>3418</v>
      </c>
      <c r="D234" s="566"/>
      <c r="E234" s="566"/>
      <c r="F234" s="566"/>
      <c r="G234" s="6"/>
      <c r="H234" s="6"/>
    </row>
    <row r="235" spans="1:9" ht="13.5" thickTop="1">
      <c r="A235" s="1047" t="s">
        <v>4328</v>
      </c>
      <c r="B235" s="1049" t="s">
        <v>2601</v>
      </c>
      <c r="C235" s="1049" t="s">
        <v>1624</v>
      </c>
      <c r="D235" s="1096" t="s">
        <v>5388</v>
      </c>
      <c r="E235" s="1097"/>
      <c r="F235" s="1098"/>
      <c r="G235" s="1049" t="s">
        <v>4137</v>
      </c>
      <c r="H235" s="1049"/>
      <c r="I235" s="1099"/>
    </row>
    <row r="236" spans="1:9" ht="25.5">
      <c r="A236" s="1094"/>
      <c r="B236" s="1095"/>
      <c r="C236" s="1095"/>
      <c r="D236" s="304" t="s">
        <v>4242</v>
      </c>
      <c r="E236" s="304" t="s">
        <v>4138</v>
      </c>
      <c r="F236" s="304" t="s">
        <v>4243</v>
      </c>
      <c r="G236" s="323" t="s">
        <v>4240</v>
      </c>
      <c r="H236" s="323" t="s">
        <v>4241</v>
      </c>
      <c r="I236" s="415" t="s">
        <v>5356</v>
      </c>
    </row>
    <row r="237" spans="1:9" ht="25.5">
      <c r="A237" s="3">
        <v>1</v>
      </c>
      <c r="B237" s="305">
        <v>1</v>
      </c>
      <c r="C237" s="4" t="s">
        <v>3099</v>
      </c>
      <c r="D237" s="567"/>
      <c r="E237" s="567"/>
      <c r="F237" s="567"/>
      <c r="G237" s="573">
        <v>0</v>
      </c>
      <c r="H237" s="573"/>
      <c r="I237" s="573">
        <v>0</v>
      </c>
    </row>
    <row r="238" spans="1:9" ht="51">
      <c r="A238" s="3">
        <v>2</v>
      </c>
      <c r="B238" s="305">
        <v>2</v>
      </c>
      <c r="C238" s="4" t="s">
        <v>3267</v>
      </c>
      <c r="D238" s="567"/>
      <c r="E238" s="567"/>
      <c r="F238" s="567"/>
      <c r="G238" s="573">
        <v>0</v>
      </c>
      <c r="H238" s="573"/>
      <c r="I238" s="573">
        <v>0</v>
      </c>
    </row>
    <row r="239" spans="1:9">
      <c r="A239" s="3">
        <v>3</v>
      </c>
      <c r="B239" s="305">
        <v>3</v>
      </c>
      <c r="C239" s="4" t="s">
        <v>3100</v>
      </c>
      <c r="D239" s="573">
        <v>500000</v>
      </c>
      <c r="E239" s="573">
        <f>D239*1.02</f>
        <v>510000</v>
      </c>
      <c r="F239" s="573">
        <f>E239*1.02</f>
        <v>520200</v>
      </c>
      <c r="G239" s="573"/>
      <c r="H239" s="573">
        <v>500000</v>
      </c>
      <c r="I239" s="573">
        <v>0</v>
      </c>
    </row>
    <row r="240" spans="1:9">
      <c r="A240" s="3">
        <v>4</v>
      </c>
      <c r="B240" s="305">
        <v>4</v>
      </c>
      <c r="C240" s="4" t="s">
        <v>3101</v>
      </c>
      <c r="D240" s="573">
        <v>80000000</v>
      </c>
      <c r="E240" s="573">
        <f>D240*1.02</f>
        <v>81600000</v>
      </c>
      <c r="F240" s="573">
        <f>E240*1.02</f>
        <v>83232000</v>
      </c>
      <c r="G240" s="573">
        <v>235160</v>
      </c>
      <c r="H240" s="573">
        <v>50000000</v>
      </c>
      <c r="I240" s="573">
        <v>330400</v>
      </c>
    </row>
    <row r="241" spans="1:9">
      <c r="A241" s="3">
        <v>5</v>
      </c>
      <c r="B241" s="305">
        <v>5</v>
      </c>
      <c r="C241" s="4" t="s">
        <v>1589</v>
      </c>
      <c r="D241" s="573"/>
      <c r="E241" s="573"/>
      <c r="F241" s="573"/>
      <c r="G241" s="573">
        <v>0</v>
      </c>
      <c r="H241" s="573"/>
      <c r="I241" s="573">
        <v>0</v>
      </c>
    </row>
    <row r="242" spans="1:9">
      <c r="A242" s="3">
        <v>6</v>
      </c>
      <c r="B242" s="305">
        <v>6</v>
      </c>
      <c r="C242" s="4" t="s">
        <v>3659</v>
      </c>
      <c r="D242" s="573"/>
      <c r="E242" s="573"/>
      <c r="F242" s="573"/>
      <c r="G242" s="573">
        <v>0</v>
      </c>
      <c r="H242" s="573"/>
      <c r="I242" s="573">
        <v>0</v>
      </c>
    </row>
    <row r="243" spans="1:9" ht="25.5">
      <c r="A243" s="3">
        <v>7</v>
      </c>
      <c r="B243" s="305">
        <v>7</v>
      </c>
      <c r="C243" s="4" t="s">
        <v>3660</v>
      </c>
      <c r="D243" s="573"/>
      <c r="E243" s="573"/>
      <c r="F243" s="573"/>
      <c r="G243" s="573">
        <v>0</v>
      </c>
      <c r="H243" s="573"/>
      <c r="I243" s="573">
        <v>0</v>
      </c>
    </row>
    <row r="244" spans="1:9" ht="25.5">
      <c r="A244" s="3" t="s">
        <v>3661</v>
      </c>
      <c r="B244" s="305" t="s">
        <v>3661</v>
      </c>
      <c r="C244" s="4" t="s">
        <v>992</v>
      </c>
      <c r="D244" s="573">
        <v>20000000</v>
      </c>
      <c r="E244" s="573">
        <f t="shared" ref="E244:F248" si="22">D244*1.02</f>
        <v>20400000</v>
      </c>
      <c r="F244" s="573">
        <f t="shared" si="22"/>
        <v>20808000</v>
      </c>
      <c r="G244" s="573">
        <v>41000</v>
      </c>
      <c r="H244" s="573">
        <v>0</v>
      </c>
      <c r="I244" s="573">
        <v>1653475</v>
      </c>
    </row>
    <row r="245" spans="1:9" ht="25.5">
      <c r="A245" s="3" t="s">
        <v>993</v>
      </c>
      <c r="B245" s="305" t="s">
        <v>993</v>
      </c>
      <c r="C245" s="4" t="s">
        <v>3150</v>
      </c>
      <c r="D245" s="573">
        <v>6500000</v>
      </c>
      <c r="E245" s="573">
        <f t="shared" si="22"/>
        <v>6630000</v>
      </c>
      <c r="F245" s="573">
        <f t="shared" si="22"/>
        <v>6762600</v>
      </c>
      <c r="G245" s="573">
        <v>1305000</v>
      </c>
      <c r="H245" s="573">
        <v>5000000</v>
      </c>
      <c r="I245" s="573">
        <v>6041500</v>
      </c>
    </row>
    <row r="246" spans="1:9" ht="25.5">
      <c r="A246" s="3" t="s">
        <v>3831</v>
      </c>
      <c r="B246" s="305" t="s">
        <v>3831</v>
      </c>
      <c r="C246" s="4" t="s">
        <v>3832</v>
      </c>
      <c r="D246" s="567">
        <v>16500000</v>
      </c>
      <c r="E246" s="573">
        <f t="shared" si="22"/>
        <v>16830000</v>
      </c>
      <c r="F246" s="573">
        <f t="shared" si="22"/>
        <v>17166600</v>
      </c>
      <c r="G246" s="573">
        <v>0</v>
      </c>
      <c r="H246" s="567">
        <v>16500000</v>
      </c>
      <c r="I246" s="573">
        <v>224500</v>
      </c>
    </row>
    <row r="247" spans="1:9">
      <c r="A247" s="3" t="s">
        <v>3833</v>
      </c>
      <c r="B247" s="305" t="s">
        <v>3833</v>
      </c>
      <c r="C247" s="4" t="s">
        <v>3834</v>
      </c>
      <c r="D247" s="575">
        <v>5000000</v>
      </c>
      <c r="E247" s="573">
        <f t="shared" si="22"/>
        <v>5100000</v>
      </c>
      <c r="F247" s="573">
        <f t="shared" si="22"/>
        <v>5202000</v>
      </c>
      <c r="G247" s="573">
        <v>0</v>
      </c>
      <c r="H247" s="575">
        <v>10000000</v>
      </c>
      <c r="I247" s="573">
        <v>0</v>
      </c>
    </row>
    <row r="248" spans="1:9" ht="25.5">
      <c r="A248" s="3" t="s">
        <v>3835</v>
      </c>
      <c r="B248" s="305" t="s">
        <v>3835</v>
      </c>
      <c r="C248" s="4" t="s">
        <v>3980</v>
      </c>
      <c r="D248" s="575">
        <v>5000000</v>
      </c>
      <c r="E248" s="573">
        <f t="shared" si="22"/>
        <v>5100000</v>
      </c>
      <c r="F248" s="573">
        <f t="shared" si="22"/>
        <v>5202000</v>
      </c>
      <c r="G248" s="573">
        <v>0</v>
      </c>
      <c r="H248" s="575">
        <v>10000000</v>
      </c>
      <c r="I248" s="573">
        <v>0</v>
      </c>
    </row>
    <row r="249" spans="1:9">
      <c r="A249" s="3" t="s">
        <v>3981</v>
      </c>
      <c r="B249" s="305" t="s">
        <v>3981</v>
      </c>
      <c r="C249" s="4" t="s">
        <v>3869</v>
      </c>
      <c r="D249" s="567"/>
      <c r="E249" s="567"/>
      <c r="F249" s="567"/>
      <c r="G249" s="573">
        <v>0</v>
      </c>
      <c r="H249" s="567">
        <v>0</v>
      </c>
      <c r="I249" s="573">
        <v>0</v>
      </c>
    </row>
    <row r="250" spans="1:9" ht="25.5">
      <c r="A250" s="3" t="s">
        <v>3870</v>
      </c>
      <c r="B250" s="305" t="s">
        <v>3870</v>
      </c>
      <c r="C250" s="4" t="s">
        <v>2724</v>
      </c>
      <c r="D250" s="575">
        <v>70000000</v>
      </c>
      <c r="E250" s="573">
        <f t="shared" ref="E250:F252" si="23">D250*1.02</f>
        <v>71400000</v>
      </c>
      <c r="F250" s="573">
        <f t="shared" si="23"/>
        <v>72828000</v>
      </c>
      <c r="G250" s="573">
        <v>59690250</v>
      </c>
      <c r="H250" s="575">
        <v>15000000</v>
      </c>
      <c r="I250" s="573">
        <v>67569200</v>
      </c>
    </row>
    <row r="251" spans="1:9">
      <c r="A251" s="3" t="s">
        <v>2725</v>
      </c>
      <c r="B251" s="305" t="s">
        <v>2725</v>
      </c>
      <c r="C251" s="4" t="s">
        <v>4052</v>
      </c>
      <c r="D251" s="573">
        <v>150000000</v>
      </c>
      <c r="E251" s="573">
        <f t="shared" si="23"/>
        <v>153000000</v>
      </c>
      <c r="F251" s="573">
        <f t="shared" si="23"/>
        <v>156060000</v>
      </c>
      <c r="G251" s="573">
        <v>135785592</v>
      </c>
      <c r="H251" s="573">
        <v>150000000</v>
      </c>
      <c r="I251" s="573">
        <v>148092309.44999999</v>
      </c>
    </row>
    <row r="252" spans="1:9">
      <c r="A252" s="3" t="s">
        <v>3557</v>
      </c>
      <c r="B252" s="305" t="s">
        <v>3557</v>
      </c>
      <c r="C252" s="4" t="s">
        <v>3558</v>
      </c>
      <c r="D252" s="575">
        <v>500000</v>
      </c>
      <c r="E252" s="573">
        <f t="shared" si="23"/>
        <v>510000</v>
      </c>
      <c r="F252" s="573">
        <f t="shared" si="23"/>
        <v>520200</v>
      </c>
      <c r="G252" s="573">
        <v>0</v>
      </c>
      <c r="H252" s="575">
        <v>500000</v>
      </c>
      <c r="I252" s="573">
        <v>0</v>
      </c>
    </row>
    <row r="253" spans="1:9" ht="25.5">
      <c r="A253" s="3" t="s">
        <v>3559</v>
      </c>
      <c r="B253" s="305" t="s">
        <v>3559</v>
      </c>
      <c r="C253" s="4" t="s">
        <v>3560</v>
      </c>
      <c r="D253" s="573"/>
      <c r="E253" s="573"/>
      <c r="F253" s="573"/>
      <c r="G253" s="573">
        <v>0</v>
      </c>
      <c r="H253" s="573">
        <v>0</v>
      </c>
      <c r="I253" s="573">
        <v>0</v>
      </c>
    </row>
    <row r="254" spans="1:9">
      <c r="A254" s="3" t="s">
        <v>3864</v>
      </c>
      <c r="B254" s="305" t="s">
        <v>3864</v>
      </c>
      <c r="C254" s="4" t="s">
        <v>3865</v>
      </c>
      <c r="D254" s="573"/>
      <c r="E254" s="573"/>
      <c r="F254" s="573"/>
      <c r="G254" s="573">
        <v>0</v>
      </c>
      <c r="H254" s="573">
        <v>0</v>
      </c>
      <c r="I254" s="573">
        <v>0</v>
      </c>
    </row>
    <row r="255" spans="1:9" ht="25.5">
      <c r="A255" s="3" t="s">
        <v>3866</v>
      </c>
      <c r="B255" s="305" t="s">
        <v>3866</v>
      </c>
      <c r="C255" s="4" t="s">
        <v>3867</v>
      </c>
      <c r="D255" s="575">
        <v>5000000</v>
      </c>
      <c r="E255" s="573">
        <f>D255*1.02</f>
        <v>5100000</v>
      </c>
      <c r="F255" s="573">
        <f>E255*1.02</f>
        <v>5202000</v>
      </c>
      <c r="G255" s="573">
        <v>0</v>
      </c>
      <c r="H255" s="575">
        <v>5000000</v>
      </c>
      <c r="I255" s="573">
        <v>0</v>
      </c>
    </row>
    <row r="256" spans="1:9" ht="25.5">
      <c r="A256" s="3" t="s">
        <v>3868</v>
      </c>
      <c r="B256" s="305" t="s">
        <v>3868</v>
      </c>
      <c r="C256" s="4" t="s">
        <v>2727</v>
      </c>
      <c r="D256" s="573"/>
      <c r="E256" s="573"/>
      <c r="F256" s="573"/>
      <c r="G256" s="573">
        <v>0</v>
      </c>
      <c r="H256" s="573"/>
      <c r="I256" s="573">
        <v>0</v>
      </c>
    </row>
    <row r="257" spans="1:9">
      <c r="A257" s="3" t="s">
        <v>2728</v>
      </c>
      <c r="B257" s="305" t="s">
        <v>2728</v>
      </c>
      <c r="C257" s="4" t="s">
        <v>3198</v>
      </c>
      <c r="D257" s="573"/>
      <c r="E257" s="573"/>
      <c r="F257" s="573"/>
      <c r="G257" s="573">
        <v>0</v>
      </c>
      <c r="H257" s="573"/>
      <c r="I257" s="573">
        <v>0</v>
      </c>
    </row>
    <row r="258" spans="1:9">
      <c r="A258" s="3" t="s">
        <v>3199</v>
      </c>
      <c r="B258" s="305" t="s">
        <v>3199</v>
      </c>
      <c r="C258" s="4" t="s">
        <v>3200</v>
      </c>
      <c r="D258" s="575">
        <v>500000</v>
      </c>
      <c r="E258" s="573">
        <f>D258*1.02</f>
        <v>510000</v>
      </c>
      <c r="F258" s="573">
        <f>E258*1.02</f>
        <v>520200</v>
      </c>
      <c r="G258" s="573">
        <v>0</v>
      </c>
      <c r="H258" s="575">
        <v>1000000</v>
      </c>
      <c r="I258" s="573">
        <v>0</v>
      </c>
    </row>
    <row r="259" spans="1:9" ht="13.5" thickBot="1">
      <c r="A259" s="3" t="s">
        <v>3201</v>
      </c>
      <c r="B259" s="305" t="s">
        <v>3201</v>
      </c>
      <c r="C259" s="4" t="s">
        <v>3202</v>
      </c>
      <c r="D259" s="575">
        <v>500000</v>
      </c>
      <c r="E259" s="573">
        <f>D259*1.02</f>
        <v>510000</v>
      </c>
      <c r="F259" s="573">
        <f>E259*1.02</f>
        <v>520200</v>
      </c>
      <c r="G259" s="573">
        <v>0</v>
      </c>
      <c r="H259" s="575">
        <v>0</v>
      </c>
      <c r="I259" s="573">
        <v>0</v>
      </c>
    </row>
    <row r="260" spans="1:9" ht="12" customHeight="1">
      <c r="A260" s="1100" t="s">
        <v>4328</v>
      </c>
      <c r="B260" s="1101" t="s">
        <v>2601</v>
      </c>
      <c r="C260" s="1101" t="s">
        <v>1624</v>
      </c>
      <c r="D260" s="1096" t="s">
        <v>5388</v>
      </c>
      <c r="E260" s="1097"/>
      <c r="F260" s="1098"/>
      <c r="G260" s="1101" t="s">
        <v>4137</v>
      </c>
      <c r="H260" s="1101"/>
      <c r="I260" s="1102"/>
    </row>
    <row r="261" spans="1:9" ht="25.5">
      <c r="A261" s="1094"/>
      <c r="B261" s="1095"/>
      <c r="C261" s="1095"/>
      <c r="D261" s="304" t="s">
        <v>4242</v>
      </c>
      <c r="E261" s="304" t="s">
        <v>4138</v>
      </c>
      <c r="F261" s="304" t="s">
        <v>4243</v>
      </c>
      <c r="G261" s="323" t="s">
        <v>4240</v>
      </c>
      <c r="H261" s="323" t="s">
        <v>4241</v>
      </c>
      <c r="I261" s="415" t="s">
        <v>5356</v>
      </c>
    </row>
    <row r="262" spans="1:9" ht="25.5">
      <c r="A262" s="3" t="s">
        <v>3205</v>
      </c>
      <c r="B262" s="305" t="s">
        <v>3205</v>
      </c>
      <c r="C262" s="4" t="s">
        <v>208</v>
      </c>
      <c r="D262" s="575">
        <v>5000000</v>
      </c>
      <c r="E262" s="573">
        <f>D262*1.02</f>
        <v>5100000</v>
      </c>
      <c r="F262" s="573">
        <f>E262*1.02</f>
        <v>5202000</v>
      </c>
      <c r="G262" s="573">
        <v>0</v>
      </c>
      <c r="H262" s="575">
        <v>4000000</v>
      </c>
      <c r="I262" s="573">
        <v>0</v>
      </c>
    </row>
    <row r="263" spans="1:9" ht="25.5">
      <c r="A263" s="3" t="s">
        <v>3069</v>
      </c>
      <c r="B263" s="305" t="s">
        <v>3069</v>
      </c>
      <c r="C263" s="4" t="s">
        <v>3070</v>
      </c>
      <c r="D263" s="567">
        <v>5000000</v>
      </c>
      <c r="E263" s="573">
        <f>D263*1.02</f>
        <v>5100000</v>
      </c>
      <c r="F263" s="573">
        <f>E263*1.02</f>
        <v>5202000</v>
      </c>
      <c r="G263" s="575">
        <v>0</v>
      </c>
      <c r="H263" s="575">
        <v>1000000</v>
      </c>
      <c r="I263" s="575">
        <v>0</v>
      </c>
    </row>
    <row r="264" spans="1:9">
      <c r="A264" s="3" t="s">
        <v>3071</v>
      </c>
      <c r="B264" s="305" t="s">
        <v>3071</v>
      </c>
      <c r="C264" s="4" t="s">
        <v>2137</v>
      </c>
      <c r="D264" s="567"/>
      <c r="E264" s="567"/>
      <c r="F264" s="567"/>
      <c r="G264" s="575">
        <v>0</v>
      </c>
      <c r="H264" s="575"/>
      <c r="I264" s="575">
        <v>0</v>
      </c>
    </row>
    <row r="265" spans="1:9">
      <c r="A265" s="3" t="s">
        <v>1331</v>
      </c>
      <c r="B265" s="305" t="s">
        <v>1331</v>
      </c>
      <c r="C265" s="4" t="s">
        <v>1332</v>
      </c>
      <c r="D265" s="567"/>
      <c r="E265" s="567"/>
      <c r="F265" s="567"/>
      <c r="G265" s="575">
        <v>0</v>
      </c>
      <c r="H265" s="575"/>
      <c r="I265" s="575">
        <v>0</v>
      </c>
    </row>
    <row r="266" spans="1:9">
      <c r="A266" s="3" t="s">
        <v>1333</v>
      </c>
      <c r="B266" s="305" t="s">
        <v>1333</v>
      </c>
      <c r="C266" s="4" t="s">
        <v>3156</v>
      </c>
      <c r="D266" s="567"/>
      <c r="E266" s="567"/>
      <c r="F266" s="567"/>
      <c r="G266" s="575">
        <v>0</v>
      </c>
      <c r="H266" s="575"/>
      <c r="I266" s="575">
        <v>0</v>
      </c>
    </row>
    <row r="267" spans="1:9">
      <c r="A267" s="3" t="s">
        <v>3157</v>
      </c>
      <c r="B267" s="305" t="s">
        <v>3157</v>
      </c>
      <c r="C267" s="4" t="s">
        <v>3158</v>
      </c>
      <c r="D267" s="567">
        <v>40000000</v>
      </c>
      <c r="E267" s="573">
        <f>D267*1.02</f>
        <v>40800000</v>
      </c>
      <c r="F267" s="573">
        <f>E267*1.02</f>
        <v>41616000</v>
      </c>
      <c r="G267" s="573">
        <v>60020047.060000002</v>
      </c>
      <c r="H267" s="573">
        <v>54342238</v>
      </c>
      <c r="I267" s="573">
        <v>39867448.560000002</v>
      </c>
    </row>
    <row r="268" spans="1:9" ht="25.5">
      <c r="A268" s="3" t="s">
        <v>3159</v>
      </c>
      <c r="B268" s="305" t="s">
        <v>3159</v>
      </c>
      <c r="C268" s="4" t="s">
        <v>2369</v>
      </c>
      <c r="D268" s="567">
        <f>G268*1.05</f>
        <v>0</v>
      </c>
      <c r="E268" s="567">
        <f>H268*1.05</f>
        <v>0</v>
      </c>
      <c r="F268" s="567">
        <f>I268*1.05</f>
        <v>0</v>
      </c>
      <c r="G268" s="573">
        <v>0</v>
      </c>
      <c r="H268" s="573">
        <v>0</v>
      </c>
      <c r="I268" s="573">
        <v>0</v>
      </c>
    </row>
    <row r="269" spans="1:9">
      <c r="A269" s="3" t="s">
        <v>2370</v>
      </c>
      <c r="B269" s="305" t="s">
        <v>2370</v>
      </c>
      <c r="C269" s="4" t="s">
        <v>2371</v>
      </c>
      <c r="D269" s="567">
        <v>500000</v>
      </c>
      <c r="E269" s="573">
        <f t="shared" ref="E269:F274" si="24">D269*1.02</f>
        <v>510000</v>
      </c>
      <c r="F269" s="573">
        <f t="shared" si="24"/>
        <v>520200</v>
      </c>
      <c r="G269" s="573">
        <v>0</v>
      </c>
      <c r="H269" s="573">
        <v>0</v>
      </c>
      <c r="I269" s="573">
        <v>0</v>
      </c>
    </row>
    <row r="270" spans="1:9">
      <c r="A270" s="3" t="s">
        <v>2372</v>
      </c>
      <c r="B270" s="305" t="s">
        <v>2372</v>
      </c>
      <c r="C270" s="4" t="s">
        <v>2373</v>
      </c>
      <c r="D270" s="567">
        <f>G270*1.05</f>
        <v>23100</v>
      </c>
      <c r="E270" s="573">
        <f t="shared" si="24"/>
        <v>23562</v>
      </c>
      <c r="F270" s="573">
        <f t="shared" si="24"/>
        <v>24033.24</v>
      </c>
      <c r="G270" s="573">
        <v>22000</v>
      </c>
      <c r="H270" s="573">
        <v>76440</v>
      </c>
      <c r="I270" s="573">
        <v>0</v>
      </c>
    </row>
    <row r="271" spans="1:9" ht="25.5">
      <c r="A271" s="3" t="s">
        <v>2374</v>
      </c>
      <c r="B271" s="305" t="s">
        <v>2374</v>
      </c>
      <c r="C271" s="4" t="s">
        <v>2375</v>
      </c>
      <c r="D271" s="567">
        <v>80000000</v>
      </c>
      <c r="E271" s="573">
        <f t="shared" si="24"/>
        <v>81600000</v>
      </c>
      <c r="F271" s="573">
        <f t="shared" si="24"/>
        <v>83232000</v>
      </c>
      <c r="G271" s="573">
        <v>0</v>
      </c>
      <c r="H271" s="573">
        <v>0</v>
      </c>
      <c r="I271" s="573">
        <v>0</v>
      </c>
    </row>
    <row r="272" spans="1:9" ht="25.5">
      <c r="A272" s="3" t="s">
        <v>2215</v>
      </c>
      <c r="B272" s="305" t="s">
        <v>2215</v>
      </c>
      <c r="C272" s="4" t="s">
        <v>2216</v>
      </c>
      <c r="D272" s="573">
        <v>500000</v>
      </c>
      <c r="E272" s="573">
        <f t="shared" si="24"/>
        <v>510000</v>
      </c>
      <c r="F272" s="573">
        <f t="shared" si="24"/>
        <v>520200</v>
      </c>
      <c r="G272" s="573">
        <v>0</v>
      </c>
      <c r="H272" s="573">
        <v>500000</v>
      </c>
      <c r="I272" s="573">
        <v>0</v>
      </c>
    </row>
    <row r="273" spans="1:9">
      <c r="A273" s="3" t="s">
        <v>2217</v>
      </c>
      <c r="B273" s="305" t="s">
        <v>2217</v>
      </c>
      <c r="C273" s="4" t="s">
        <v>2218</v>
      </c>
      <c r="D273" s="573">
        <v>3500000</v>
      </c>
      <c r="E273" s="573">
        <f t="shared" si="24"/>
        <v>3570000</v>
      </c>
      <c r="F273" s="573">
        <f t="shared" si="24"/>
        <v>3641400</v>
      </c>
      <c r="G273" s="573">
        <v>0</v>
      </c>
      <c r="H273" s="573">
        <v>3000000</v>
      </c>
      <c r="I273" s="573">
        <v>0</v>
      </c>
    </row>
    <row r="274" spans="1:9" ht="25.5">
      <c r="A274" s="3" t="s">
        <v>2378</v>
      </c>
      <c r="B274" s="305" t="s">
        <v>2378</v>
      </c>
      <c r="C274" s="4" t="s">
        <v>2377</v>
      </c>
      <c r="D274" s="573">
        <v>500000</v>
      </c>
      <c r="E274" s="573">
        <f t="shared" si="24"/>
        <v>510000</v>
      </c>
      <c r="F274" s="573">
        <f t="shared" si="24"/>
        <v>520200</v>
      </c>
      <c r="G274" s="573">
        <v>0</v>
      </c>
      <c r="H274" s="573">
        <v>2000000</v>
      </c>
      <c r="I274" s="573">
        <v>0</v>
      </c>
    </row>
    <row r="275" spans="1:9" ht="25.5">
      <c r="A275" s="3" t="s">
        <v>4197</v>
      </c>
      <c r="B275" s="3" t="s">
        <v>4197</v>
      </c>
      <c r="C275" s="4" t="s">
        <v>4196</v>
      </c>
      <c r="D275" s="573">
        <v>0</v>
      </c>
      <c r="E275" s="573">
        <v>0</v>
      </c>
      <c r="F275" s="573">
        <v>0</v>
      </c>
      <c r="G275" s="573">
        <v>0</v>
      </c>
      <c r="H275" s="573">
        <v>0</v>
      </c>
      <c r="I275" s="573">
        <v>0</v>
      </c>
    </row>
    <row r="276" spans="1:9">
      <c r="A276" s="3" t="s">
        <v>4199</v>
      </c>
      <c r="B276" s="3" t="s">
        <v>4199</v>
      </c>
      <c r="C276" s="4" t="s">
        <v>4198</v>
      </c>
      <c r="D276" s="573">
        <v>0</v>
      </c>
      <c r="E276" s="573">
        <v>0</v>
      </c>
      <c r="F276" s="573">
        <v>0</v>
      </c>
      <c r="G276" s="573">
        <v>0</v>
      </c>
      <c r="H276" s="573">
        <v>0</v>
      </c>
      <c r="I276" s="573">
        <v>0</v>
      </c>
    </row>
    <row r="277" spans="1:9">
      <c r="A277" s="317"/>
      <c r="B277" s="318"/>
      <c r="C277" s="319"/>
      <c r="D277" s="578"/>
      <c r="E277" s="578"/>
      <c r="F277" s="578"/>
      <c r="G277" s="579"/>
      <c r="H277" s="578"/>
      <c r="I277" s="579"/>
    </row>
    <row r="278" spans="1:9" ht="15.75" thickBot="1">
      <c r="A278" s="5"/>
      <c r="B278" s="306"/>
      <c r="C278" s="703" t="s">
        <v>896</v>
      </c>
      <c r="D278" s="704">
        <f>SUM(D237:D277)</f>
        <v>495023100</v>
      </c>
      <c r="E278" s="704">
        <f>SUM(E237:E277)</f>
        <v>504923562</v>
      </c>
      <c r="F278" s="704">
        <f>SUM(F237:F277)</f>
        <v>515022033.24000001</v>
      </c>
      <c r="G278" s="704">
        <f>SUM(G237:G271)</f>
        <v>257099049.06</v>
      </c>
      <c r="H278" s="704">
        <f>SUM(H237:H277)</f>
        <v>328418678</v>
      </c>
      <c r="I278" s="704">
        <f>SUM(I237:I277)</f>
        <v>263778833.00999999</v>
      </c>
    </row>
    <row r="279" spans="1:9" ht="13.5" thickTop="1">
      <c r="B279" s="1"/>
      <c r="C279" s="6"/>
      <c r="D279" s="570"/>
      <c r="E279" s="570"/>
      <c r="F279" s="570"/>
      <c r="H279" s="572"/>
    </row>
    <row r="280" spans="1:9">
      <c r="B280" s="1"/>
      <c r="C280" s="1" t="s">
        <v>3881</v>
      </c>
      <c r="D280" s="566"/>
      <c r="E280" s="566"/>
      <c r="F280" s="566"/>
      <c r="G280" s="6"/>
      <c r="H280" s="6"/>
    </row>
    <row r="281" spans="1:9">
      <c r="B281" s="1"/>
      <c r="C281" s="1" t="s">
        <v>5430</v>
      </c>
      <c r="D281" s="566"/>
      <c r="E281" s="566"/>
      <c r="F281" s="566"/>
      <c r="G281" s="580"/>
      <c r="H281" s="580"/>
    </row>
    <row r="282" spans="1:9" ht="13.5" thickBot="1">
      <c r="B282" s="1"/>
      <c r="C282" s="1" t="s">
        <v>2376</v>
      </c>
      <c r="D282" s="566"/>
      <c r="E282" s="566"/>
      <c r="F282" s="566"/>
      <c r="G282" s="6"/>
      <c r="H282" s="6"/>
    </row>
    <row r="283" spans="1:9" ht="13.5" thickTop="1">
      <c r="A283" s="1047" t="s">
        <v>4328</v>
      </c>
      <c r="B283" s="1049" t="s">
        <v>2601</v>
      </c>
      <c r="C283" s="1049" t="s">
        <v>1624</v>
      </c>
      <c r="D283" s="1096" t="s">
        <v>5388</v>
      </c>
      <c r="E283" s="1097"/>
      <c r="F283" s="1098"/>
      <c r="G283" s="1049" t="s">
        <v>4137</v>
      </c>
      <c r="H283" s="1049"/>
      <c r="I283" s="1099"/>
    </row>
    <row r="284" spans="1:9" ht="25.5">
      <c r="A284" s="1094"/>
      <c r="B284" s="1095"/>
      <c r="C284" s="1095"/>
      <c r="D284" s="304" t="s">
        <v>4242</v>
      </c>
      <c r="E284" s="304" t="s">
        <v>4138</v>
      </c>
      <c r="F284" s="304" t="s">
        <v>4243</v>
      </c>
      <c r="G284" s="323" t="s">
        <v>4240</v>
      </c>
      <c r="H284" s="323" t="s">
        <v>4241</v>
      </c>
      <c r="I284" s="415" t="s">
        <v>5356</v>
      </c>
    </row>
    <row r="285" spans="1:9">
      <c r="A285" s="3">
        <v>1</v>
      </c>
      <c r="B285" s="305">
        <v>1</v>
      </c>
      <c r="C285" s="4" t="s">
        <v>2146</v>
      </c>
      <c r="D285" s="567">
        <f>45121821455+143045339.94</f>
        <v>45264866794.940002</v>
      </c>
      <c r="E285" s="573">
        <f>D285*1.02</f>
        <v>46170164130.838806</v>
      </c>
      <c r="F285" s="573">
        <f>E285*1.02</f>
        <v>47093567413.455582</v>
      </c>
      <c r="G285" s="567">
        <v>47143520101.209999</v>
      </c>
      <c r="H285" s="567">
        <v>45121821455</v>
      </c>
      <c r="I285" s="567">
        <v>43031606146.080002</v>
      </c>
    </row>
    <row r="286" spans="1:9" ht="25.5">
      <c r="A286" s="3">
        <v>2</v>
      </c>
      <c r="B286" s="305">
        <v>2</v>
      </c>
      <c r="C286" s="4" t="s">
        <v>609</v>
      </c>
      <c r="D286" s="567">
        <f>1833778892-6-94-1020350000</f>
        <v>813428792</v>
      </c>
      <c r="E286" s="573">
        <f>D286*1.02</f>
        <v>829697367.84000003</v>
      </c>
      <c r="F286" s="573">
        <f>E286*1.02</f>
        <v>846291315.19679999</v>
      </c>
      <c r="G286" s="567">
        <v>0</v>
      </c>
      <c r="H286" s="567">
        <v>9741982155</v>
      </c>
      <c r="I286" s="567">
        <v>0</v>
      </c>
    </row>
    <row r="287" spans="1:9" ht="38.25">
      <c r="A287" s="3">
        <v>3</v>
      </c>
      <c r="B287" s="305">
        <v>3</v>
      </c>
      <c r="C287" s="4" t="s">
        <v>2846</v>
      </c>
      <c r="D287" s="567">
        <v>0</v>
      </c>
      <c r="E287" s="567">
        <v>0</v>
      </c>
      <c r="F287" s="567">
        <v>0</v>
      </c>
      <c r="G287" s="567">
        <v>0</v>
      </c>
      <c r="H287" s="567">
        <v>0</v>
      </c>
      <c r="I287" s="567">
        <v>0</v>
      </c>
    </row>
    <row r="288" spans="1:9" ht="25.5">
      <c r="A288" s="3">
        <v>4</v>
      </c>
      <c r="B288" s="305">
        <v>4</v>
      </c>
      <c r="C288" s="4" t="s">
        <v>2847</v>
      </c>
      <c r="D288" s="567">
        <v>0</v>
      </c>
      <c r="E288" s="567">
        <f>D288*1.05</f>
        <v>0</v>
      </c>
      <c r="F288" s="567">
        <f>E288*1.05</f>
        <v>0</v>
      </c>
      <c r="G288" s="567">
        <v>0</v>
      </c>
      <c r="H288" s="567">
        <v>0</v>
      </c>
      <c r="I288" s="567">
        <v>0</v>
      </c>
    </row>
    <row r="289" spans="1:9">
      <c r="A289" s="3">
        <v>5</v>
      </c>
      <c r="B289" s="305">
        <v>5</v>
      </c>
      <c r="C289" s="4" t="s">
        <v>3746</v>
      </c>
      <c r="D289" s="567">
        <f>2300000000-1841965000</f>
        <v>458035000</v>
      </c>
      <c r="E289" s="573">
        <f>D289*1.02</f>
        <v>467195700</v>
      </c>
      <c r="F289" s="573">
        <f>E289*1.02</f>
        <v>476539614</v>
      </c>
      <c r="G289" s="567">
        <v>2318262465.8200002</v>
      </c>
      <c r="H289" s="567">
        <v>0</v>
      </c>
      <c r="I289" s="567">
        <v>2231299761.8400002</v>
      </c>
    </row>
    <row r="290" spans="1:9" ht="15.75" thickBot="1">
      <c r="A290" s="5"/>
      <c r="B290" s="306"/>
      <c r="C290" s="703" t="s">
        <v>896</v>
      </c>
      <c r="D290" s="704">
        <f t="shared" ref="D290:I290" si="25">SUM(D285:D289)</f>
        <v>46536330586.940002</v>
      </c>
      <c r="E290" s="704">
        <f t="shared" si="25"/>
        <v>47467057198.678802</v>
      </c>
      <c r="F290" s="704">
        <f t="shared" si="25"/>
        <v>48416398342.652382</v>
      </c>
      <c r="G290" s="704">
        <f t="shared" si="25"/>
        <v>49461782567.029999</v>
      </c>
      <c r="H290" s="704">
        <f t="shared" si="25"/>
        <v>54863803610</v>
      </c>
      <c r="I290" s="704">
        <f t="shared" si="25"/>
        <v>45262905907.919998</v>
      </c>
    </row>
    <row r="291" spans="1:9" ht="13.5" thickTop="1"/>
    <row r="292" spans="1:9">
      <c r="D292" s="572" t="e">
        <f>BUDBRF!#REF!</f>
        <v>#REF!</v>
      </c>
    </row>
    <row r="293" spans="1:9" ht="15">
      <c r="D293" s="707"/>
    </row>
    <row r="294" spans="1:9" ht="15">
      <c r="D294" s="708"/>
    </row>
    <row r="295" spans="1:9" ht="15">
      <c r="D295" s="940">
        <v>1841965000</v>
      </c>
    </row>
  </sheetData>
  <mergeCells count="70">
    <mergeCell ref="A39:A40"/>
    <mergeCell ref="B39:B40"/>
    <mergeCell ref="C39:C40"/>
    <mergeCell ref="D39:F39"/>
    <mergeCell ref="G39:I39"/>
    <mergeCell ref="A4:A5"/>
    <mergeCell ref="B4:B5"/>
    <mergeCell ref="C4:C5"/>
    <mergeCell ref="D4:F4"/>
    <mergeCell ref="G4:I4"/>
    <mergeCell ref="A95:A96"/>
    <mergeCell ref="B95:B96"/>
    <mergeCell ref="C95:C96"/>
    <mergeCell ref="D95:F95"/>
    <mergeCell ref="G95:I95"/>
    <mergeCell ref="A26:A27"/>
    <mergeCell ref="B26:B27"/>
    <mergeCell ref="C26:C27"/>
    <mergeCell ref="D26:F26"/>
    <mergeCell ref="G26:I26"/>
    <mergeCell ref="A138:A139"/>
    <mergeCell ref="B138:B139"/>
    <mergeCell ref="C138:C139"/>
    <mergeCell ref="D138:F138"/>
    <mergeCell ref="G138:I138"/>
    <mergeCell ref="A62:A63"/>
    <mergeCell ref="B62:B63"/>
    <mergeCell ref="C62:C63"/>
    <mergeCell ref="D62:F62"/>
    <mergeCell ref="G62:I62"/>
    <mergeCell ref="A183:A184"/>
    <mergeCell ref="B183:B184"/>
    <mergeCell ref="C183:C184"/>
    <mergeCell ref="D183:F183"/>
    <mergeCell ref="G183:I183"/>
    <mergeCell ref="A116:A117"/>
    <mergeCell ref="B116:B117"/>
    <mergeCell ref="C116:C117"/>
    <mergeCell ref="D116:F116"/>
    <mergeCell ref="G116:I116"/>
    <mergeCell ref="A217:A218"/>
    <mergeCell ref="B217:B218"/>
    <mergeCell ref="C217:C218"/>
    <mergeCell ref="D217:F217"/>
    <mergeCell ref="G217:I217"/>
    <mergeCell ref="A164:A165"/>
    <mergeCell ref="B164:B165"/>
    <mergeCell ref="C164:C165"/>
    <mergeCell ref="D164:F164"/>
    <mergeCell ref="G164:I164"/>
    <mergeCell ref="A260:A261"/>
    <mergeCell ref="B260:B261"/>
    <mergeCell ref="C260:C261"/>
    <mergeCell ref="D260:F260"/>
    <mergeCell ref="G260:I260"/>
    <mergeCell ref="A197:A198"/>
    <mergeCell ref="B197:B198"/>
    <mergeCell ref="C197:C198"/>
    <mergeCell ref="D197:F197"/>
    <mergeCell ref="G197:I197"/>
    <mergeCell ref="A283:A284"/>
    <mergeCell ref="B283:B284"/>
    <mergeCell ref="C283:C284"/>
    <mergeCell ref="D283:F283"/>
    <mergeCell ref="G283:I283"/>
    <mergeCell ref="A235:A236"/>
    <mergeCell ref="B235:B236"/>
    <mergeCell ref="C235:C236"/>
    <mergeCell ref="D235:F235"/>
    <mergeCell ref="G235:I235"/>
  </mergeCells>
  <phoneticPr fontId="22" type="noConversion"/>
  <pageMargins left="0.51181102362204722" right="0.15748031496062992" top="0.35433070866141736" bottom="0.43307086614173229" header="0.23622047244094491" footer="0.15748031496062992"/>
  <pageSetup paperSize="9" scale="85" firstPageNumber="4" orientation="landscape" useFirstPageNumber="1" r:id="rId1"/>
  <headerFooter alignWithMargins="0">
    <oddFooter>&amp;C&amp;P</oddFooter>
  </headerFooter>
  <rowBreaks count="13" manualBreakCount="13">
    <brk id="21" max="16383" man="1"/>
    <brk id="35" max="8" man="1"/>
    <brk id="61" max="8" man="1"/>
    <brk id="90" max="8" man="1"/>
    <brk id="112" max="8" man="1"/>
    <brk id="137" max="8" man="1"/>
    <brk id="163" max="8" man="1"/>
    <brk id="178" max="8" man="1"/>
    <brk id="192" max="8" man="1"/>
    <brk id="213" max="8" man="1"/>
    <brk id="231" max="8" man="1"/>
    <brk id="259" max="8" man="1"/>
    <brk id="27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Q345"/>
  <sheetViews>
    <sheetView workbookViewId="0">
      <selection activeCell="K34" sqref="K34"/>
    </sheetView>
  </sheetViews>
  <sheetFormatPr defaultColWidth="11.42578125" defaultRowHeight="15"/>
  <sheetData>
    <row r="1" spans="1:17">
      <c r="A1" s="242" t="s">
        <v>4275</v>
      </c>
    </row>
    <row r="2" spans="1:17">
      <c r="A2" s="327" t="s">
        <v>4276</v>
      </c>
      <c r="B2" s="327">
        <v>1</v>
      </c>
      <c r="C2" s="327">
        <v>2</v>
      </c>
      <c r="D2" s="327">
        <v>3</v>
      </c>
      <c r="E2" s="327">
        <v>4</v>
      </c>
      <c r="F2" s="327">
        <v>5</v>
      </c>
      <c r="G2" s="327">
        <v>6</v>
      </c>
      <c r="H2" s="327">
        <v>7</v>
      </c>
      <c r="I2" s="327">
        <v>8</v>
      </c>
      <c r="J2" s="327">
        <v>9</v>
      </c>
      <c r="K2" s="327">
        <v>10</v>
      </c>
      <c r="L2" s="327">
        <v>11</v>
      </c>
      <c r="M2" s="327">
        <v>12</v>
      </c>
      <c r="N2" s="327">
        <v>13</v>
      </c>
      <c r="O2" s="327">
        <v>14</v>
      </c>
      <c r="P2" s="327">
        <v>15</v>
      </c>
      <c r="Q2" s="327" t="s">
        <v>4277</v>
      </c>
    </row>
    <row r="3" spans="1:17">
      <c r="A3" s="328">
        <v>1</v>
      </c>
      <c r="B3" s="329">
        <v>201395.57893036498</v>
      </c>
      <c r="C3" s="329">
        <v>202823.57893036498</v>
      </c>
      <c r="D3" s="329">
        <v>204251.57893036498</v>
      </c>
      <c r="E3" s="329">
        <v>205679.57893036498</v>
      </c>
      <c r="F3" s="329">
        <v>207107.57893036498</v>
      </c>
      <c r="G3" s="329">
        <v>208535.57893036498</v>
      </c>
      <c r="H3" s="329">
        <v>209963.57893036498</v>
      </c>
      <c r="I3" s="329">
        <v>211391.57893036498</v>
      </c>
      <c r="J3" s="329">
        <v>212819.57893036498</v>
      </c>
      <c r="K3" s="329">
        <v>214247.57893036498</v>
      </c>
      <c r="L3" s="329">
        <v>215675.57893036498</v>
      </c>
      <c r="M3" s="329">
        <v>217103.57893036498</v>
      </c>
      <c r="N3" s="329">
        <v>218531.57893036498</v>
      </c>
      <c r="O3" s="329">
        <v>219959.57893036498</v>
      </c>
      <c r="P3" s="329">
        <v>221387.57893036498</v>
      </c>
      <c r="Q3" s="330">
        <v>1428.3600000000001</v>
      </c>
    </row>
    <row r="4" spans="1:17">
      <c r="A4" s="328">
        <v>2</v>
      </c>
      <c r="B4" s="329">
        <v>207025.37893036503</v>
      </c>
      <c r="C4" s="329">
        <v>208933.37893036503</v>
      </c>
      <c r="D4" s="329">
        <v>210841.37893036503</v>
      </c>
      <c r="E4" s="329">
        <v>212749.37893036503</v>
      </c>
      <c r="F4" s="329">
        <v>214657.37893036503</v>
      </c>
      <c r="G4" s="329">
        <v>216565.37893036503</v>
      </c>
      <c r="H4" s="329">
        <v>218473.37893036503</v>
      </c>
      <c r="I4" s="329">
        <v>220381.37893036503</v>
      </c>
      <c r="J4" s="329">
        <v>222289.37893036503</v>
      </c>
      <c r="K4" s="329">
        <v>224197.37893036503</v>
      </c>
      <c r="L4" s="329">
        <v>226105.37893036503</v>
      </c>
      <c r="M4" s="329">
        <v>228013.37893036503</v>
      </c>
      <c r="N4" s="329">
        <v>229921.37893036503</v>
      </c>
      <c r="O4" s="329">
        <v>231829.37893036503</v>
      </c>
      <c r="P4" s="329">
        <v>233737.37893036503</v>
      </c>
      <c r="Q4" s="330">
        <v>1909.56</v>
      </c>
    </row>
    <row r="5" spans="1:17">
      <c r="A5" s="328">
        <v>3</v>
      </c>
      <c r="B5" s="329">
        <v>209784.17893036499</v>
      </c>
      <c r="C5" s="329">
        <v>212172.17893036499</v>
      </c>
      <c r="D5" s="329">
        <v>214560.17893036499</v>
      </c>
      <c r="E5" s="329">
        <v>216948.17893036499</v>
      </c>
      <c r="F5" s="329">
        <v>219336.17893036499</v>
      </c>
      <c r="G5" s="329">
        <v>221724.17893036499</v>
      </c>
      <c r="H5" s="329">
        <v>224112.17893036499</v>
      </c>
      <c r="I5" s="329">
        <v>226500.17893036499</v>
      </c>
      <c r="J5" s="329">
        <v>228888.17893036499</v>
      </c>
      <c r="K5" s="329">
        <v>231276.17893036499</v>
      </c>
      <c r="L5" s="329">
        <v>233664.17893036499</v>
      </c>
      <c r="M5" s="329">
        <v>236052.17893036499</v>
      </c>
      <c r="N5" s="329">
        <v>238440.17893036499</v>
      </c>
      <c r="O5" s="329">
        <v>240828.17893036499</v>
      </c>
      <c r="P5" s="329">
        <v>243216.17893036499</v>
      </c>
      <c r="Q5" s="330">
        <v>2390.88</v>
      </c>
    </row>
    <row r="6" spans="1:17">
      <c r="A6" s="328">
        <v>4</v>
      </c>
      <c r="B6" s="329">
        <v>213070.978930365</v>
      </c>
      <c r="C6" s="329">
        <v>215938.978930365</v>
      </c>
      <c r="D6" s="329">
        <v>218806.978930365</v>
      </c>
      <c r="E6" s="329">
        <v>221674.978930365</v>
      </c>
      <c r="F6" s="329">
        <v>224542.978930365</v>
      </c>
      <c r="G6" s="329">
        <v>227410.978930365</v>
      </c>
      <c r="H6" s="329">
        <v>230278.978930365</v>
      </c>
      <c r="I6" s="329">
        <v>233146.978930365</v>
      </c>
      <c r="J6" s="329">
        <v>236014.978930365</v>
      </c>
      <c r="K6" s="329">
        <v>238882.978930365</v>
      </c>
      <c r="L6" s="329">
        <v>241750.978930365</v>
      </c>
      <c r="M6" s="329">
        <v>244618.978930365</v>
      </c>
      <c r="N6" s="329">
        <v>247486.978930365</v>
      </c>
      <c r="O6" s="329">
        <v>250354.978930365</v>
      </c>
      <c r="P6" s="329">
        <v>253222.978930365</v>
      </c>
      <c r="Q6" s="330">
        <v>2872.08</v>
      </c>
    </row>
    <row r="7" spans="1:17">
      <c r="A7" s="328">
        <v>5</v>
      </c>
      <c r="B7" s="329">
        <v>216225.77893036499</v>
      </c>
      <c r="C7" s="329">
        <v>219561.77893036499</v>
      </c>
      <c r="D7" s="329">
        <v>222897.77893036499</v>
      </c>
      <c r="E7" s="329">
        <v>226233.77893036499</v>
      </c>
      <c r="F7" s="329">
        <v>229569.77893036499</v>
      </c>
      <c r="G7" s="329">
        <v>232905.77893036499</v>
      </c>
      <c r="H7" s="329">
        <v>236241.77893036499</v>
      </c>
      <c r="I7" s="329">
        <v>239577.77893036499</v>
      </c>
      <c r="J7" s="329">
        <v>242913.77893036499</v>
      </c>
      <c r="K7" s="329">
        <v>246249.77893036499</v>
      </c>
      <c r="L7" s="329">
        <v>249585.77893036499</v>
      </c>
      <c r="M7" s="329">
        <v>252921.77893036499</v>
      </c>
      <c r="N7" s="329">
        <v>256257.77893036499</v>
      </c>
      <c r="O7" s="329">
        <v>259593.77893036499</v>
      </c>
      <c r="P7" s="329">
        <v>262929.77893036499</v>
      </c>
      <c r="Q7" s="330">
        <v>278.16000000000003</v>
      </c>
    </row>
    <row r="8" spans="1:17">
      <c r="A8" s="328">
        <v>6</v>
      </c>
      <c r="B8" s="329">
        <v>221875.37893036497</v>
      </c>
      <c r="C8" s="329">
        <v>225931.37893036497</v>
      </c>
      <c r="D8" s="329">
        <v>229987.37893036497</v>
      </c>
      <c r="E8" s="329">
        <v>234043.37893036497</v>
      </c>
      <c r="F8" s="329">
        <v>238099.37893036497</v>
      </c>
      <c r="G8" s="329">
        <v>242155.37893036497</v>
      </c>
      <c r="H8" s="329">
        <v>246211.37893036497</v>
      </c>
      <c r="I8" s="329">
        <v>250267.37893036497</v>
      </c>
      <c r="J8" s="329">
        <v>254323.37893036497</v>
      </c>
      <c r="K8" s="329">
        <v>258379.37893036497</v>
      </c>
      <c r="L8" s="329">
        <v>262435.37893036497</v>
      </c>
      <c r="M8" s="329">
        <v>266491.37893036497</v>
      </c>
      <c r="N8" s="329">
        <v>270547.37893036497</v>
      </c>
      <c r="O8" s="329">
        <v>274603.37893036497</v>
      </c>
      <c r="P8" s="329">
        <v>278659.37893036497</v>
      </c>
      <c r="Q8" s="330">
        <v>338.96</v>
      </c>
    </row>
    <row r="9" spans="1:17">
      <c r="A9" s="328">
        <v>7</v>
      </c>
      <c r="B9" s="329">
        <v>297698.70240000007</v>
      </c>
      <c r="C9" s="329">
        <v>302702.70240000007</v>
      </c>
      <c r="D9" s="329">
        <v>307706.70240000007</v>
      </c>
      <c r="E9" s="329">
        <v>312710.70240000007</v>
      </c>
      <c r="F9" s="329">
        <v>317714.70240000007</v>
      </c>
      <c r="G9" s="329">
        <v>322718.70240000007</v>
      </c>
      <c r="H9" s="329">
        <v>327722.70240000007</v>
      </c>
      <c r="I9" s="329">
        <v>332726.70240000007</v>
      </c>
      <c r="J9" s="329">
        <v>337730.70240000007</v>
      </c>
      <c r="K9" s="329">
        <v>342734.70240000007</v>
      </c>
      <c r="L9" s="329">
        <v>347738.70240000007</v>
      </c>
      <c r="M9" s="329">
        <v>352742.70240000007</v>
      </c>
      <c r="N9" s="329">
        <v>357746.70240000007</v>
      </c>
      <c r="O9" s="329">
        <v>362750.70240000007</v>
      </c>
      <c r="P9" s="329">
        <v>367754.70240000007</v>
      </c>
      <c r="Q9" s="330">
        <v>5014.5599999999995</v>
      </c>
    </row>
    <row r="10" spans="1:17">
      <c r="A10" s="328">
        <v>8</v>
      </c>
      <c r="B10" s="329">
        <v>330117.27408</v>
      </c>
      <c r="C10" s="329">
        <v>336129.27408</v>
      </c>
      <c r="D10" s="329">
        <v>342141.27408</v>
      </c>
      <c r="E10" s="329">
        <v>348153.27408</v>
      </c>
      <c r="F10" s="329">
        <v>354165.27408</v>
      </c>
      <c r="G10" s="329">
        <v>360177.27408</v>
      </c>
      <c r="H10" s="329">
        <v>366189.27408</v>
      </c>
      <c r="I10" s="329">
        <v>372201.27408</v>
      </c>
      <c r="J10" s="329">
        <v>378213.27408</v>
      </c>
      <c r="K10" s="329">
        <v>384225.27408</v>
      </c>
      <c r="L10" s="329">
        <v>390237.27408</v>
      </c>
      <c r="M10" s="329">
        <v>396249.27408000006</v>
      </c>
      <c r="N10" s="329">
        <v>402261.27408000006</v>
      </c>
      <c r="O10" s="329">
        <v>408273.27408000006</v>
      </c>
      <c r="P10" s="329">
        <v>414285.27408000006</v>
      </c>
      <c r="Q10" s="330">
        <v>6023.64</v>
      </c>
    </row>
    <row r="11" spans="1:17">
      <c r="A11" s="328">
        <v>9</v>
      </c>
      <c r="B11" s="329">
        <v>395353.90619999997</v>
      </c>
      <c r="C11" s="329">
        <v>402517.90619999997</v>
      </c>
      <c r="D11" s="329">
        <v>409681.90619999997</v>
      </c>
      <c r="E11" s="329">
        <v>416845.90619999997</v>
      </c>
      <c r="F11" s="329">
        <v>424009.90619999997</v>
      </c>
      <c r="G11" s="329">
        <v>431173.90619999997</v>
      </c>
      <c r="H11" s="329">
        <v>438337.90619999997</v>
      </c>
      <c r="I11" s="329">
        <v>445501.90619999997</v>
      </c>
      <c r="J11" s="329">
        <v>452665.90619999997</v>
      </c>
      <c r="K11" s="329">
        <v>459829.90619999997</v>
      </c>
      <c r="L11" s="329">
        <v>466993.90619999997</v>
      </c>
      <c r="M11" s="329">
        <v>474157.90619999997</v>
      </c>
      <c r="N11" s="329">
        <v>481321.90619999997</v>
      </c>
      <c r="O11" s="329">
        <v>488485.90619999997</v>
      </c>
      <c r="P11" s="329">
        <v>495649.90619999997</v>
      </c>
      <c r="Q11" s="330">
        <v>7172.52</v>
      </c>
    </row>
    <row r="12" spans="1:17">
      <c r="A12" s="328">
        <v>10</v>
      </c>
      <c r="B12" s="329">
        <v>468206.5687200001</v>
      </c>
      <c r="C12" s="329">
        <v>476090.5687200001</v>
      </c>
      <c r="D12" s="329">
        <v>483974.5687200001</v>
      </c>
      <c r="E12" s="329">
        <v>491858.5687200001</v>
      </c>
      <c r="F12" s="329">
        <v>499742.5687200001</v>
      </c>
      <c r="G12" s="329">
        <v>507626.5687200001</v>
      </c>
      <c r="H12" s="329">
        <v>515510.5687200001</v>
      </c>
      <c r="I12" s="329">
        <v>523394.5687200001</v>
      </c>
      <c r="J12" s="329">
        <v>531278.5687200001</v>
      </c>
      <c r="K12" s="329">
        <v>539162.5687200001</v>
      </c>
      <c r="L12" s="329">
        <v>547046.5687200001</v>
      </c>
      <c r="M12" s="329">
        <v>554930.5687200001</v>
      </c>
      <c r="N12" s="329">
        <v>562814.5687200001</v>
      </c>
      <c r="O12" s="329">
        <v>570698.5687200001</v>
      </c>
      <c r="P12" s="329">
        <v>578582.5687200001</v>
      </c>
      <c r="Q12" s="330">
        <v>7886.64</v>
      </c>
    </row>
    <row r="13" spans="1:17">
      <c r="A13" s="328">
        <v>12</v>
      </c>
      <c r="B13" s="329">
        <v>527773.0537200002</v>
      </c>
      <c r="C13" s="329">
        <v>540229.0537200002</v>
      </c>
      <c r="D13" s="329">
        <v>552685.0537200002</v>
      </c>
      <c r="E13" s="329">
        <v>565141.0537200002</v>
      </c>
      <c r="F13" s="329">
        <v>577597.0537200002</v>
      </c>
      <c r="G13" s="329">
        <v>590053.0537200002</v>
      </c>
      <c r="H13" s="329">
        <v>602509.0537200002</v>
      </c>
      <c r="I13" s="329">
        <v>614965.0537200002</v>
      </c>
      <c r="J13" s="329">
        <v>627421.0537200002</v>
      </c>
      <c r="K13" s="329">
        <v>639877.0537200002</v>
      </c>
      <c r="L13" s="329">
        <v>652333.0537200002</v>
      </c>
      <c r="M13" s="329">
        <v>0</v>
      </c>
      <c r="N13" s="329">
        <v>0</v>
      </c>
      <c r="O13" s="329">
        <v>0</v>
      </c>
      <c r="P13" s="329">
        <v>0</v>
      </c>
      <c r="Q13" s="330">
        <v>12466.560000000001</v>
      </c>
    </row>
    <row r="14" spans="1:17">
      <c r="A14" s="328">
        <v>13</v>
      </c>
      <c r="B14" s="329">
        <v>602407.53804000001</v>
      </c>
      <c r="C14" s="329">
        <v>615583.53804000001</v>
      </c>
      <c r="D14" s="329">
        <v>628759.53804000001</v>
      </c>
      <c r="E14" s="329">
        <v>641935.53804000001</v>
      </c>
      <c r="F14" s="329">
        <v>655111.53804000001</v>
      </c>
      <c r="G14" s="329">
        <v>668287.53804000001</v>
      </c>
      <c r="H14" s="329">
        <v>681463.53804000001</v>
      </c>
      <c r="I14" s="329">
        <v>694639.53804000001</v>
      </c>
      <c r="J14" s="329">
        <v>707815.53804000001</v>
      </c>
      <c r="K14" s="329">
        <v>720991.53804000001</v>
      </c>
      <c r="L14" s="329">
        <v>734167.53804000001</v>
      </c>
      <c r="M14" s="329">
        <v>0</v>
      </c>
      <c r="N14" s="329">
        <v>0</v>
      </c>
      <c r="O14" s="329">
        <v>0</v>
      </c>
      <c r="P14" s="329">
        <v>0</v>
      </c>
      <c r="Q14" s="330">
        <v>13180.68</v>
      </c>
    </row>
    <row r="15" spans="1:17">
      <c r="A15" s="328">
        <v>14</v>
      </c>
      <c r="B15" s="329">
        <v>640731.40824000002</v>
      </c>
      <c r="C15" s="329">
        <v>654915.40824000002</v>
      </c>
      <c r="D15" s="329">
        <v>669099.40824000002</v>
      </c>
      <c r="E15" s="329">
        <v>683283.40824000002</v>
      </c>
      <c r="F15" s="329">
        <v>697467.40824000002</v>
      </c>
      <c r="G15" s="329">
        <v>711651.40824000002</v>
      </c>
      <c r="H15" s="329">
        <v>725835.40824000002</v>
      </c>
      <c r="I15" s="329">
        <v>740019.40824000002</v>
      </c>
      <c r="J15" s="329">
        <v>754203.40824000002</v>
      </c>
      <c r="K15" s="329">
        <v>768387.40824000002</v>
      </c>
      <c r="L15" s="329">
        <v>782571.40824000002</v>
      </c>
      <c r="M15" s="329">
        <v>0</v>
      </c>
      <c r="N15" s="329">
        <v>0</v>
      </c>
      <c r="O15" s="329">
        <v>0</v>
      </c>
      <c r="P15" s="329">
        <v>0</v>
      </c>
      <c r="Q15" s="330">
        <v>14189.880000000001</v>
      </c>
    </row>
    <row r="16" spans="1:17">
      <c r="A16" s="328">
        <v>15</v>
      </c>
      <c r="B16" s="329">
        <v>620027.89992</v>
      </c>
      <c r="C16" s="329">
        <v>639179.89992</v>
      </c>
      <c r="D16" s="329">
        <v>658331.89992</v>
      </c>
      <c r="E16" s="329">
        <v>677483.89992</v>
      </c>
      <c r="F16" s="329">
        <v>696635.89992</v>
      </c>
      <c r="G16" s="329">
        <v>715787.89992</v>
      </c>
      <c r="H16" s="329">
        <v>734939.89992</v>
      </c>
      <c r="I16" s="329">
        <v>754091.89992</v>
      </c>
      <c r="J16" s="329">
        <v>773243.89992</v>
      </c>
      <c r="K16" s="329">
        <v>0</v>
      </c>
      <c r="L16" s="329">
        <v>0</v>
      </c>
      <c r="M16" s="329">
        <v>0</v>
      </c>
      <c r="N16" s="329">
        <v>0</v>
      </c>
      <c r="O16" s="329">
        <v>0</v>
      </c>
      <c r="P16" s="329">
        <v>0</v>
      </c>
      <c r="Q16" s="330">
        <v>19157.52</v>
      </c>
    </row>
    <row r="17" spans="1:17">
      <c r="A17" s="328">
        <v>16</v>
      </c>
      <c r="B17" s="329">
        <v>631249.26084</v>
      </c>
      <c r="C17" s="329">
        <v>654265.26084</v>
      </c>
      <c r="D17" s="329">
        <v>677281.26084</v>
      </c>
      <c r="E17" s="329">
        <v>700297.26084</v>
      </c>
      <c r="F17" s="329">
        <v>723313.26084</v>
      </c>
      <c r="G17" s="329">
        <v>746329.26084</v>
      </c>
      <c r="H17" s="329">
        <v>769345.26084</v>
      </c>
      <c r="I17" s="329">
        <v>792361.26083999989</v>
      </c>
      <c r="J17" s="329">
        <v>815377.26083999989</v>
      </c>
      <c r="K17" s="329">
        <v>0</v>
      </c>
      <c r="L17" s="329">
        <v>0</v>
      </c>
      <c r="M17" s="329">
        <v>0</v>
      </c>
      <c r="N17" s="329">
        <v>0</v>
      </c>
      <c r="O17" s="329">
        <v>0</v>
      </c>
      <c r="P17" s="329">
        <v>0</v>
      </c>
      <c r="Q17" s="330">
        <v>23023.56</v>
      </c>
    </row>
    <row r="18" spans="1:17">
      <c r="A18" s="328">
        <v>17</v>
      </c>
      <c r="B18" s="329">
        <v>820624.03909199999</v>
      </c>
      <c r="C18" s="329">
        <v>850544.83909200004</v>
      </c>
      <c r="D18" s="329">
        <v>880465.63909200008</v>
      </c>
      <c r="E18" s="329">
        <v>910386.43909200002</v>
      </c>
      <c r="F18" s="329">
        <v>940307.23909200006</v>
      </c>
      <c r="G18" s="329">
        <v>970228.03909199999</v>
      </c>
      <c r="H18" s="329">
        <v>1000148.839092</v>
      </c>
      <c r="I18" s="329">
        <v>1030069.6390919999</v>
      </c>
      <c r="J18" s="329">
        <v>1059990.4390919998</v>
      </c>
      <c r="K18" s="329">
        <v>0</v>
      </c>
      <c r="L18" s="329">
        <v>0</v>
      </c>
      <c r="M18" s="329">
        <v>0</v>
      </c>
      <c r="N18" s="329">
        <v>0</v>
      </c>
      <c r="O18" s="329">
        <v>0</v>
      </c>
      <c r="P18" s="329">
        <v>0</v>
      </c>
      <c r="Q18" s="330">
        <v>24218.760000000002</v>
      </c>
    </row>
    <row r="19" spans="1:17"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</row>
    <row r="20" spans="1:17"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</row>
    <row r="21" spans="1:17">
      <c r="A21" s="242" t="s">
        <v>4278</v>
      </c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</row>
    <row r="22" spans="1:17">
      <c r="A22" s="327" t="s">
        <v>4276</v>
      </c>
      <c r="B22" s="327">
        <v>1</v>
      </c>
      <c r="C22" s="327">
        <v>2</v>
      </c>
      <c r="D22" s="327">
        <v>3</v>
      </c>
      <c r="E22" s="327">
        <v>4</v>
      </c>
      <c r="F22" s="327">
        <v>5</v>
      </c>
      <c r="G22" s="327">
        <v>6</v>
      </c>
      <c r="H22" s="327">
        <v>7</v>
      </c>
      <c r="I22" s="327">
        <v>8</v>
      </c>
      <c r="J22" s="327">
        <v>9</v>
      </c>
      <c r="K22" s="327">
        <v>10</v>
      </c>
      <c r="L22" s="327">
        <v>11</v>
      </c>
      <c r="M22" s="327">
        <v>12</v>
      </c>
      <c r="N22" s="327">
        <v>13</v>
      </c>
      <c r="O22" s="327">
        <v>14</v>
      </c>
      <c r="P22" s="327">
        <v>15</v>
      </c>
      <c r="Q22" s="327" t="s">
        <v>4277</v>
      </c>
    </row>
    <row r="23" spans="1:17">
      <c r="A23" s="328">
        <v>1</v>
      </c>
      <c r="B23" s="329">
        <f>B3*0.2</f>
        <v>40279.115786073002</v>
      </c>
      <c r="C23" s="329">
        <f t="shared" ref="C23:P23" si="0">C3*0.2</f>
        <v>40564.715786073</v>
      </c>
      <c r="D23" s="329">
        <f t="shared" si="0"/>
        <v>40850.315786072999</v>
      </c>
      <c r="E23" s="329">
        <f t="shared" si="0"/>
        <v>41135.915786072997</v>
      </c>
      <c r="F23" s="329">
        <f t="shared" si="0"/>
        <v>41421.515786072996</v>
      </c>
      <c r="G23" s="329">
        <f t="shared" si="0"/>
        <v>41707.115786073002</v>
      </c>
      <c r="H23" s="329">
        <f t="shared" si="0"/>
        <v>41992.715786073</v>
      </c>
      <c r="I23" s="329">
        <f t="shared" si="0"/>
        <v>42278.315786072999</v>
      </c>
      <c r="J23" s="329">
        <f t="shared" si="0"/>
        <v>42563.915786072997</v>
      </c>
      <c r="K23" s="329">
        <f t="shared" si="0"/>
        <v>42849.515786072996</v>
      </c>
      <c r="L23" s="329">
        <f t="shared" si="0"/>
        <v>43135.115786073002</v>
      </c>
      <c r="M23" s="329">
        <f t="shared" si="0"/>
        <v>43420.715786073</v>
      </c>
      <c r="N23" s="329">
        <f t="shared" si="0"/>
        <v>43706.315786072999</v>
      </c>
      <c r="O23" s="329">
        <f t="shared" si="0"/>
        <v>43991.915786072997</v>
      </c>
      <c r="P23" s="329">
        <f t="shared" si="0"/>
        <v>44277.515786072996</v>
      </c>
      <c r="Q23" s="330">
        <v>446.76000000000204</v>
      </c>
    </row>
    <row r="24" spans="1:17">
      <c r="A24" s="328">
        <v>2</v>
      </c>
      <c r="B24" s="329">
        <f t="shared" ref="B24:P38" si="1">B4*0.2</f>
        <v>41405.075786073008</v>
      </c>
      <c r="C24" s="329">
        <f t="shared" si="1"/>
        <v>41786.675786073007</v>
      </c>
      <c r="D24" s="329">
        <f t="shared" si="1"/>
        <v>42168.275786073005</v>
      </c>
      <c r="E24" s="329">
        <f t="shared" si="1"/>
        <v>42549.875786073011</v>
      </c>
      <c r="F24" s="329">
        <f t="shared" si="1"/>
        <v>42931.47578607301</v>
      </c>
      <c r="G24" s="329">
        <f t="shared" si="1"/>
        <v>43313.075786073008</v>
      </c>
      <c r="H24" s="329">
        <f t="shared" si="1"/>
        <v>43694.675786073007</v>
      </c>
      <c r="I24" s="329">
        <f t="shared" si="1"/>
        <v>44076.275786073005</v>
      </c>
      <c r="J24" s="329">
        <f t="shared" si="1"/>
        <v>44457.875786073011</v>
      </c>
      <c r="K24" s="329">
        <f t="shared" si="1"/>
        <v>44839.47578607301</v>
      </c>
      <c r="L24" s="329">
        <f t="shared" si="1"/>
        <v>45221.075786073008</v>
      </c>
      <c r="M24" s="329">
        <f t="shared" si="1"/>
        <v>45602.675786073007</v>
      </c>
      <c r="N24" s="329">
        <f t="shared" si="1"/>
        <v>45984.275786073005</v>
      </c>
      <c r="O24" s="329">
        <f t="shared" si="1"/>
        <v>46365.875786073011</v>
      </c>
      <c r="P24" s="329">
        <f t="shared" si="1"/>
        <v>46747.47578607301</v>
      </c>
      <c r="Q24" s="330">
        <v>595.67999999999995</v>
      </c>
    </row>
    <row r="25" spans="1:17">
      <c r="A25" s="328">
        <v>3</v>
      </c>
      <c r="B25" s="329">
        <f t="shared" si="1"/>
        <v>41956.835786073003</v>
      </c>
      <c r="C25" s="329">
        <f t="shared" si="1"/>
        <v>42434.435786073002</v>
      </c>
      <c r="D25" s="329">
        <f t="shared" si="1"/>
        <v>42912.035786073</v>
      </c>
      <c r="E25" s="329">
        <f t="shared" si="1"/>
        <v>43389.635786072999</v>
      </c>
      <c r="F25" s="329">
        <f t="shared" si="1"/>
        <v>43867.235786072997</v>
      </c>
      <c r="G25" s="329">
        <f t="shared" si="1"/>
        <v>44344.835786073003</v>
      </c>
      <c r="H25" s="329">
        <f t="shared" si="1"/>
        <v>44822.435786073002</v>
      </c>
      <c r="I25" s="329">
        <f t="shared" si="1"/>
        <v>45300.035786073</v>
      </c>
      <c r="J25" s="329">
        <f t="shared" si="1"/>
        <v>45777.635786072999</v>
      </c>
      <c r="K25" s="329">
        <f t="shared" si="1"/>
        <v>46255.235786072997</v>
      </c>
      <c r="L25" s="329">
        <f t="shared" si="1"/>
        <v>46732.835786073003</v>
      </c>
      <c r="M25" s="329">
        <f t="shared" si="1"/>
        <v>47210.435786073002</v>
      </c>
      <c r="N25" s="329">
        <f t="shared" si="1"/>
        <v>47688.035786073</v>
      </c>
      <c r="O25" s="329">
        <f t="shared" si="1"/>
        <v>48165.635786072999</v>
      </c>
      <c r="P25" s="329">
        <f t="shared" si="1"/>
        <v>48643.235786072997</v>
      </c>
      <c r="Q25" s="330">
        <v>722.70000000000073</v>
      </c>
    </row>
    <row r="26" spans="1:17">
      <c r="A26" s="328">
        <v>4</v>
      </c>
      <c r="B26" s="329">
        <f t="shared" si="1"/>
        <v>42614.195786073004</v>
      </c>
      <c r="C26" s="329">
        <f t="shared" si="1"/>
        <v>43187.795786073002</v>
      </c>
      <c r="D26" s="329">
        <f t="shared" si="1"/>
        <v>43761.395786073001</v>
      </c>
      <c r="E26" s="329">
        <f t="shared" si="1"/>
        <v>44334.995786073006</v>
      </c>
      <c r="F26" s="329">
        <f t="shared" si="1"/>
        <v>44908.595786073005</v>
      </c>
      <c r="G26" s="329">
        <f t="shared" si="1"/>
        <v>45482.195786073004</v>
      </c>
      <c r="H26" s="329">
        <f t="shared" si="1"/>
        <v>46055.795786073002</v>
      </c>
      <c r="I26" s="329">
        <f t="shared" si="1"/>
        <v>46629.395786073001</v>
      </c>
      <c r="J26" s="329">
        <f t="shared" si="1"/>
        <v>47202.995786073006</v>
      </c>
      <c r="K26" s="329">
        <f t="shared" si="1"/>
        <v>47776.595786073005</v>
      </c>
      <c r="L26" s="329">
        <f t="shared" si="1"/>
        <v>48350.195786073004</v>
      </c>
      <c r="M26" s="329">
        <f t="shared" si="1"/>
        <v>48923.795786073002</v>
      </c>
      <c r="N26" s="329">
        <f t="shared" si="1"/>
        <v>49497.395786073001</v>
      </c>
      <c r="O26" s="329">
        <f t="shared" si="1"/>
        <v>50070.995786073006</v>
      </c>
      <c r="P26" s="329">
        <f t="shared" si="1"/>
        <v>50644.595786073005</v>
      </c>
      <c r="Q26" s="330">
        <v>867.23999999999796</v>
      </c>
    </row>
    <row r="27" spans="1:17">
      <c r="A27" s="328">
        <v>5</v>
      </c>
      <c r="B27" s="329">
        <f t="shared" si="1"/>
        <v>43245.155786073003</v>
      </c>
      <c r="C27" s="329">
        <f t="shared" si="1"/>
        <v>43912.355786073</v>
      </c>
      <c r="D27" s="329">
        <f t="shared" si="1"/>
        <v>44579.555786073004</v>
      </c>
      <c r="E27" s="329">
        <f t="shared" si="1"/>
        <v>45246.755786073001</v>
      </c>
      <c r="F27" s="329">
        <f t="shared" si="1"/>
        <v>45913.955786072998</v>
      </c>
      <c r="G27" s="329">
        <f t="shared" si="1"/>
        <v>46581.155786073003</v>
      </c>
      <c r="H27" s="329">
        <f t="shared" si="1"/>
        <v>47248.355786073</v>
      </c>
      <c r="I27" s="329">
        <f t="shared" si="1"/>
        <v>47915.555786073004</v>
      </c>
      <c r="J27" s="329">
        <f t="shared" si="1"/>
        <v>48582.755786073001</v>
      </c>
      <c r="K27" s="329">
        <f t="shared" si="1"/>
        <v>49249.955786072998</v>
      </c>
      <c r="L27" s="329">
        <f t="shared" si="1"/>
        <v>49917.155786073003</v>
      </c>
      <c r="M27" s="329">
        <f t="shared" si="1"/>
        <v>50584.355786073</v>
      </c>
      <c r="N27" s="329">
        <f t="shared" si="1"/>
        <v>51251.555786073004</v>
      </c>
      <c r="O27" s="329">
        <f t="shared" si="1"/>
        <v>51918.755786073001</v>
      </c>
      <c r="P27" s="329">
        <f t="shared" si="1"/>
        <v>52585.955786072998</v>
      </c>
      <c r="Q27" s="330">
        <v>981.11999999999898</v>
      </c>
    </row>
    <row r="28" spans="1:17">
      <c r="A28" s="328">
        <v>6</v>
      </c>
      <c r="B28" s="329">
        <f t="shared" si="1"/>
        <v>44375.075786072994</v>
      </c>
      <c r="C28" s="329">
        <f t="shared" si="1"/>
        <v>45186.275786072998</v>
      </c>
      <c r="D28" s="329">
        <f t="shared" si="1"/>
        <v>45997.475786072995</v>
      </c>
      <c r="E28" s="329">
        <f t="shared" si="1"/>
        <v>46808.675786072999</v>
      </c>
      <c r="F28" s="329">
        <f t="shared" si="1"/>
        <v>47619.875786072997</v>
      </c>
      <c r="G28" s="329">
        <f t="shared" si="1"/>
        <v>48431.075786072994</v>
      </c>
      <c r="H28" s="329">
        <f t="shared" si="1"/>
        <v>49242.275786072998</v>
      </c>
      <c r="I28" s="329">
        <f t="shared" si="1"/>
        <v>50053.475786072995</v>
      </c>
      <c r="J28" s="329">
        <f t="shared" si="1"/>
        <v>50864.675786072999</v>
      </c>
      <c r="K28" s="329">
        <f t="shared" si="1"/>
        <v>51675.875786072997</v>
      </c>
      <c r="L28" s="329">
        <f t="shared" si="1"/>
        <v>52487.075786072994</v>
      </c>
      <c r="M28" s="329">
        <f t="shared" si="1"/>
        <v>53298.275786072998</v>
      </c>
      <c r="N28" s="329">
        <f t="shared" si="1"/>
        <v>54109.475786072995</v>
      </c>
      <c r="O28" s="329">
        <f t="shared" si="1"/>
        <v>54920.675786072999</v>
      </c>
      <c r="P28" s="329">
        <f t="shared" si="1"/>
        <v>55731.875786072997</v>
      </c>
      <c r="Q28" s="330">
        <v>1191.3599999999999</v>
      </c>
    </row>
    <row r="29" spans="1:17">
      <c r="A29" s="328">
        <v>7</v>
      </c>
      <c r="B29" s="329">
        <f t="shared" si="1"/>
        <v>59539.740480000015</v>
      </c>
      <c r="C29" s="329">
        <f t="shared" si="1"/>
        <v>60540.540480000018</v>
      </c>
      <c r="D29" s="329">
        <f t="shared" si="1"/>
        <v>61541.340480000013</v>
      </c>
      <c r="E29" s="329">
        <f t="shared" si="1"/>
        <v>62542.140480000016</v>
      </c>
      <c r="F29" s="329">
        <f t="shared" si="1"/>
        <v>63542.940480000019</v>
      </c>
      <c r="G29" s="329">
        <f t="shared" si="1"/>
        <v>64543.740480000015</v>
      </c>
      <c r="H29" s="329">
        <f t="shared" si="1"/>
        <v>65544.540480000011</v>
      </c>
      <c r="I29" s="329">
        <f t="shared" si="1"/>
        <v>66545.340480000013</v>
      </c>
      <c r="J29" s="329">
        <f t="shared" si="1"/>
        <v>67546.140480000016</v>
      </c>
      <c r="K29" s="329">
        <f t="shared" si="1"/>
        <v>68546.940480000019</v>
      </c>
      <c r="L29" s="329">
        <f t="shared" si="1"/>
        <v>69547.740480000022</v>
      </c>
      <c r="M29" s="329">
        <f t="shared" si="1"/>
        <v>70548.540480000011</v>
      </c>
      <c r="N29" s="329">
        <f t="shared" si="1"/>
        <v>71549.340480000013</v>
      </c>
      <c r="O29" s="329">
        <f t="shared" si="1"/>
        <v>72550.140480000016</v>
      </c>
      <c r="P29" s="329">
        <f t="shared" si="1"/>
        <v>73550.940480000019</v>
      </c>
      <c r="Q29" s="330">
        <v>1287.72</v>
      </c>
    </row>
    <row r="30" spans="1:17">
      <c r="A30" s="328">
        <v>8</v>
      </c>
      <c r="B30" s="329">
        <f t="shared" si="1"/>
        <v>66023.454815999998</v>
      </c>
      <c r="C30" s="329">
        <f t="shared" si="1"/>
        <v>67225.854816000006</v>
      </c>
      <c r="D30" s="329">
        <f t="shared" si="1"/>
        <v>68428.254816000001</v>
      </c>
      <c r="E30" s="329">
        <f t="shared" si="1"/>
        <v>69630.654816000009</v>
      </c>
      <c r="F30" s="329">
        <f t="shared" si="1"/>
        <v>70833.054816000003</v>
      </c>
      <c r="G30" s="329">
        <f t="shared" si="1"/>
        <v>72035.454815999998</v>
      </c>
      <c r="H30" s="329">
        <f t="shared" si="1"/>
        <v>73237.854816000006</v>
      </c>
      <c r="I30" s="329">
        <f t="shared" si="1"/>
        <v>74440.254816000001</v>
      </c>
      <c r="J30" s="329">
        <f t="shared" si="1"/>
        <v>75642.654816000009</v>
      </c>
      <c r="K30" s="329">
        <f t="shared" si="1"/>
        <v>76845.054816000003</v>
      </c>
      <c r="L30" s="329">
        <f t="shared" si="1"/>
        <v>78047.454815999998</v>
      </c>
      <c r="M30" s="329">
        <f t="shared" si="1"/>
        <v>79249.854816000021</v>
      </c>
      <c r="N30" s="329">
        <f t="shared" si="1"/>
        <v>80452.254816000015</v>
      </c>
      <c r="O30" s="329">
        <f t="shared" si="1"/>
        <v>81654.654816000024</v>
      </c>
      <c r="P30" s="329">
        <f t="shared" si="1"/>
        <v>82857.054816000018</v>
      </c>
      <c r="Q30" s="330">
        <v>1340.8640000000014</v>
      </c>
    </row>
    <row r="31" spans="1:17">
      <c r="A31" s="328">
        <v>9</v>
      </c>
      <c r="B31" s="329">
        <f t="shared" si="1"/>
        <v>79070.781239999997</v>
      </c>
      <c r="C31" s="329">
        <f t="shared" si="1"/>
        <v>80503.58124</v>
      </c>
      <c r="D31" s="329">
        <f t="shared" si="1"/>
        <v>81936.381240000002</v>
      </c>
      <c r="E31" s="329">
        <f t="shared" si="1"/>
        <v>83369.181240000005</v>
      </c>
      <c r="F31" s="329">
        <f t="shared" si="1"/>
        <v>84801.981239999994</v>
      </c>
      <c r="G31" s="329">
        <f t="shared" si="1"/>
        <v>86234.781239999997</v>
      </c>
      <c r="H31" s="329">
        <f t="shared" si="1"/>
        <v>87667.58124</v>
      </c>
      <c r="I31" s="329">
        <f t="shared" si="1"/>
        <v>89100.381240000002</v>
      </c>
      <c r="J31" s="329">
        <f t="shared" si="1"/>
        <v>90533.181240000005</v>
      </c>
      <c r="K31" s="329">
        <f t="shared" si="1"/>
        <v>91965.981239999994</v>
      </c>
      <c r="L31" s="329">
        <f t="shared" si="1"/>
        <v>93398.781239999997</v>
      </c>
      <c r="M31" s="329">
        <f t="shared" si="1"/>
        <v>94831.58124</v>
      </c>
      <c r="N31" s="329">
        <f t="shared" si="1"/>
        <v>96264.381240000002</v>
      </c>
      <c r="O31" s="329">
        <f t="shared" si="1"/>
        <v>97697.181240000005</v>
      </c>
      <c r="P31" s="329">
        <f t="shared" si="1"/>
        <v>99129.981239999994</v>
      </c>
      <c r="Q31" s="330">
        <v>1839.6</v>
      </c>
    </row>
    <row r="32" spans="1:17">
      <c r="A32" s="328">
        <v>10</v>
      </c>
      <c r="B32" s="329">
        <f t="shared" si="1"/>
        <v>93641.313744000028</v>
      </c>
      <c r="C32" s="329">
        <f t="shared" si="1"/>
        <v>95218.113744000031</v>
      </c>
      <c r="D32" s="329">
        <f t="shared" si="1"/>
        <v>96794.91374400002</v>
      </c>
      <c r="E32" s="329">
        <f t="shared" si="1"/>
        <v>98371.713744000022</v>
      </c>
      <c r="F32" s="329">
        <f t="shared" si="1"/>
        <v>99948.513744000025</v>
      </c>
      <c r="G32" s="329">
        <f t="shared" si="1"/>
        <v>101525.31374400003</v>
      </c>
      <c r="H32" s="329">
        <f t="shared" si="1"/>
        <v>103102.11374400003</v>
      </c>
      <c r="I32" s="329">
        <f t="shared" si="1"/>
        <v>104678.91374400002</v>
      </c>
      <c r="J32" s="329">
        <f t="shared" si="1"/>
        <v>106255.71374400002</v>
      </c>
      <c r="K32" s="329">
        <f t="shared" si="1"/>
        <v>107832.51374400003</v>
      </c>
      <c r="L32" s="329">
        <f t="shared" si="1"/>
        <v>109409.31374400003</v>
      </c>
      <c r="M32" s="329">
        <f t="shared" si="1"/>
        <v>110986.11374400003</v>
      </c>
      <c r="N32" s="329">
        <f t="shared" si="1"/>
        <v>112562.91374400002</v>
      </c>
      <c r="O32" s="329">
        <f t="shared" si="1"/>
        <v>114139.71374400002</v>
      </c>
      <c r="P32" s="329">
        <f t="shared" si="1"/>
        <v>115716.51374400003</v>
      </c>
      <c r="Q32" s="330">
        <v>1951.29</v>
      </c>
    </row>
    <row r="33" spans="1:17">
      <c r="A33" s="328">
        <v>12</v>
      </c>
      <c r="B33" s="329">
        <f t="shared" si="1"/>
        <v>105554.61074400005</v>
      </c>
      <c r="C33" s="329">
        <f t="shared" si="1"/>
        <v>108045.81074400005</v>
      </c>
      <c r="D33" s="329">
        <f t="shared" si="1"/>
        <v>110537.01074400004</v>
      </c>
      <c r="E33" s="329">
        <f t="shared" si="1"/>
        <v>113028.21074400004</v>
      </c>
      <c r="F33" s="329">
        <f t="shared" si="1"/>
        <v>115519.41074400005</v>
      </c>
      <c r="G33" s="329">
        <f t="shared" si="1"/>
        <v>118010.61074400005</v>
      </c>
      <c r="H33" s="329">
        <f t="shared" si="1"/>
        <v>120501.81074400005</v>
      </c>
      <c r="I33" s="329">
        <f t="shared" si="1"/>
        <v>122993.01074400004</v>
      </c>
      <c r="J33" s="329">
        <f t="shared" si="1"/>
        <v>125484.21074400004</v>
      </c>
      <c r="K33" s="329">
        <f t="shared" si="1"/>
        <v>127975.41074400005</v>
      </c>
      <c r="L33" s="329">
        <f t="shared" si="1"/>
        <v>130466.61074400005</v>
      </c>
      <c r="M33" s="329">
        <f t="shared" si="1"/>
        <v>0</v>
      </c>
      <c r="N33" s="329">
        <f t="shared" si="1"/>
        <v>0</v>
      </c>
      <c r="O33" s="329">
        <f t="shared" si="1"/>
        <v>0</v>
      </c>
      <c r="P33" s="329">
        <f t="shared" si="1"/>
        <v>0</v>
      </c>
      <c r="Q33" s="330">
        <v>3086.5859999999957</v>
      </c>
    </row>
    <row r="34" spans="1:17">
      <c r="A34" s="328">
        <v>13</v>
      </c>
      <c r="B34" s="329">
        <f t="shared" si="1"/>
        <v>120481.50760800001</v>
      </c>
      <c r="C34" s="329">
        <f t="shared" si="1"/>
        <v>123116.70760800001</v>
      </c>
      <c r="D34" s="329">
        <f t="shared" si="1"/>
        <v>125751.90760800001</v>
      </c>
      <c r="E34" s="329">
        <f t="shared" si="1"/>
        <v>128387.10760800001</v>
      </c>
      <c r="F34" s="329">
        <f t="shared" si="1"/>
        <v>131022.307608</v>
      </c>
      <c r="G34" s="329">
        <f t="shared" si="1"/>
        <v>133657.50760800001</v>
      </c>
      <c r="H34" s="329">
        <f t="shared" si="1"/>
        <v>136292.707608</v>
      </c>
      <c r="I34" s="329">
        <f t="shared" si="1"/>
        <v>138927.90760800001</v>
      </c>
      <c r="J34" s="329">
        <f t="shared" si="1"/>
        <v>141563.10760800002</v>
      </c>
      <c r="K34" s="329">
        <f t="shared" si="1"/>
        <v>144198.307608</v>
      </c>
      <c r="L34" s="329">
        <f t="shared" si="1"/>
        <v>146833.50760800001</v>
      </c>
      <c r="M34" s="329">
        <f t="shared" si="1"/>
        <v>0</v>
      </c>
      <c r="N34" s="329">
        <f t="shared" si="1"/>
        <v>0</v>
      </c>
      <c r="O34" s="329">
        <f t="shared" si="1"/>
        <v>0</v>
      </c>
      <c r="P34" s="329">
        <f t="shared" si="1"/>
        <v>0</v>
      </c>
      <c r="Q34" s="330">
        <v>3263.9759999999951</v>
      </c>
    </row>
    <row r="35" spans="1:17">
      <c r="A35" s="328">
        <v>14</v>
      </c>
      <c r="B35" s="329">
        <f t="shared" si="1"/>
        <v>128146.281648</v>
      </c>
      <c r="C35" s="329">
        <f t="shared" si="1"/>
        <v>130983.08164800001</v>
      </c>
      <c r="D35" s="329">
        <f t="shared" si="1"/>
        <v>133819.88164800001</v>
      </c>
      <c r="E35" s="329">
        <f t="shared" si="1"/>
        <v>136656.681648</v>
      </c>
      <c r="F35" s="329">
        <f t="shared" si="1"/>
        <v>139493.48164800002</v>
      </c>
      <c r="G35" s="329">
        <f t="shared" si="1"/>
        <v>142330.281648</v>
      </c>
      <c r="H35" s="329">
        <f t="shared" si="1"/>
        <v>145167.08164800002</v>
      </c>
      <c r="I35" s="329">
        <f t="shared" si="1"/>
        <v>148003.88164800001</v>
      </c>
      <c r="J35" s="329">
        <f t="shared" si="1"/>
        <v>150840.681648</v>
      </c>
      <c r="K35" s="329">
        <f t="shared" si="1"/>
        <v>153677.48164800002</v>
      </c>
      <c r="L35" s="329">
        <f t="shared" si="1"/>
        <v>156514.281648</v>
      </c>
      <c r="M35" s="329">
        <f t="shared" si="1"/>
        <v>0</v>
      </c>
      <c r="N35" s="329">
        <f t="shared" si="1"/>
        <v>0</v>
      </c>
      <c r="O35" s="329">
        <f t="shared" si="1"/>
        <v>0</v>
      </c>
      <c r="P35" s="329">
        <f t="shared" si="1"/>
        <v>0</v>
      </c>
      <c r="Q35" s="330">
        <v>3252.1499999999942</v>
      </c>
    </row>
    <row r="36" spans="1:17">
      <c r="A36" s="328">
        <v>15</v>
      </c>
      <c r="B36" s="329">
        <f t="shared" si="1"/>
        <v>124005.57998400001</v>
      </c>
      <c r="C36" s="329">
        <f t="shared" si="1"/>
        <v>127835.97998400001</v>
      </c>
      <c r="D36" s="329">
        <f t="shared" si="1"/>
        <v>131666.379984</v>
      </c>
      <c r="E36" s="329">
        <f t="shared" si="1"/>
        <v>135496.77998399999</v>
      </c>
      <c r="F36" s="329">
        <f t="shared" si="1"/>
        <v>139327.17998400002</v>
      </c>
      <c r="G36" s="329">
        <f t="shared" si="1"/>
        <v>143157.57998400001</v>
      </c>
      <c r="H36" s="329">
        <f t="shared" si="1"/>
        <v>146987.97998400001</v>
      </c>
      <c r="I36" s="329">
        <f t="shared" si="1"/>
        <v>150818.379984</v>
      </c>
      <c r="J36" s="329">
        <f t="shared" si="1"/>
        <v>154648.77998399999</v>
      </c>
      <c r="K36" s="329">
        <f t="shared" si="1"/>
        <v>0</v>
      </c>
      <c r="L36" s="329">
        <f t="shared" si="1"/>
        <v>0</v>
      </c>
      <c r="M36" s="329">
        <f t="shared" si="1"/>
        <v>0</v>
      </c>
      <c r="N36" s="329">
        <f t="shared" si="1"/>
        <v>0</v>
      </c>
      <c r="O36" s="329">
        <f t="shared" si="1"/>
        <v>0</v>
      </c>
      <c r="P36" s="329">
        <f t="shared" si="1"/>
        <v>0</v>
      </c>
      <c r="Q36" s="330">
        <v>4390.9500000000116</v>
      </c>
    </row>
    <row r="37" spans="1:17">
      <c r="A37" s="328">
        <v>16</v>
      </c>
      <c r="B37" s="329">
        <f t="shared" si="1"/>
        <v>126249.85216800001</v>
      </c>
      <c r="C37" s="329">
        <f t="shared" si="1"/>
        <v>130853.05216800001</v>
      </c>
      <c r="D37" s="329">
        <f t="shared" si="1"/>
        <v>135456.25216800001</v>
      </c>
      <c r="E37" s="329">
        <f t="shared" si="1"/>
        <v>140059.45216800002</v>
      </c>
      <c r="F37" s="329">
        <f t="shared" si="1"/>
        <v>144662.652168</v>
      </c>
      <c r="G37" s="329">
        <f t="shared" si="1"/>
        <v>149265.85216800001</v>
      </c>
      <c r="H37" s="329">
        <f t="shared" si="1"/>
        <v>153869.05216799999</v>
      </c>
      <c r="I37" s="329">
        <f t="shared" si="1"/>
        <v>158472.25216799998</v>
      </c>
      <c r="J37" s="329">
        <f t="shared" si="1"/>
        <v>163075.45216799999</v>
      </c>
      <c r="K37" s="329">
        <f t="shared" si="1"/>
        <v>0</v>
      </c>
      <c r="L37" s="329">
        <f t="shared" si="1"/>
        <v>0</v>
      </c>
      <c r="M37" s="329">
        <f t="shared" si="1"/>
        <v>0</v>
      </c>
      <c r="N37" s="329">
        <f t="shared" si="1"/>
        <v>0</v>
      </c>
      <c r="O37" s="329">
        <f t="shared" si="1"/>
        <v>0</v>
      </c>
      <c r="P37" s="329">
        <f t="shared" si="1"/>
        <v>0</v>
      </c>
      <c r="Q37" s="330">
        <v>5277.8999999999942</v>
      </c>
    </row>
    <row r="38" spans="1:17">
      <c r="A38" s="328">
        <v>17</v>
      </c>
      <c r="B38" s="329">
        <f t="shared" si="1"/>
        <v>164124.8078184</v>
      </c>
      <c r="C38" s="329">
        <f t="shared" si="1"/>
        <v>170108.96781840001</v>
      </c>
      <c r="D38" s="329">
        <f t="shared" si="1"/>
        <v>176093.12781840004</v>
      </c>
      <c r="E38" s="329">
        <f t="shared" si="1"/>
        <v>182077.28781840001</v>
      </c>
      <c r="F38" s="329">
        <f t="shared" si="1"/>
        <v>188061.44781840002</v>
      </c>
      <c r="G38" s="329">
        <f t="shared" si="1"/>
        <v>194045.60781840002</v>
      </c>
      <c r="H38" s="329">
        <f t="shared" si="1"/>
        <v>200029.76781840003</v>
      </c>
      <c r="I38" s="329">
        <f t="shared" si="1"/>
        <v>206013.92781839997</v>
      </c>
      <c r="J38" s="329">
        <f t="shared" si="1"/>
        <v>211998.08781839997</v>
      </c>
      <c r="K38" s="329">
        <f t="shared" si="1"/>
        <v>0</v>
      </c>
      <c r="L38" s="329">
        <f t="shared" si="1"/>
        <v>0</v>
      </c>
      <c r="M38" s="329">
        <f t="shared" si="1"/>
        <v>0</v>
      </c>
      <c r="N38" s="329">
        <f t="shared" si="1"/>
        <v>0</v>
      </c>
      <c r="O38" s="329">
        <f t="shared" si="1"/>
        <v>0</v>
      </c>
      <c r="P38" s="329">
        <f t="shared" si="1"/>
        <v>0</v>
      </c>
      <c r="Q38" s="330">
        <v>5989.6499999999942</v>
      </c>
    </row>
    <row r="39" spans="1:17"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</row>
    <row r="40" spans="1:17"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</row>
    <row r="41" spans="1:17">
      <c r="A41" s="242" t="s">
        <v>4279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</row>
    <row r="42" spans="1:17">
      <c r="A42" s="327" t="s">
        <v>4276</v>
      </c>
      <c r="B42" s="327">
        <v>1</v>
      </c>
      <c r="C42" s="327">
        <v>2</v>
      </c>
      <c r="D42" s="327">
        <v>3</v>
      </c>
      <c r="E42" s="327">
        <v>4</v>
      </c>
      <c r="F42" s="327">
        <v>5</v>
      </c>
      <c r="G42" s="327">
        <v>6</v>
      </c>
      <c r="H42" s="327">
        <v>7</v>
      </c>
      <c r="I42" s="327">
        <v>8</v>
      </c>
      <c r="J42" s="327">
        <v>9</v>
      </c>
      <c r="K42" s="327">
        <v>10</v>
      </c>
      <c r="L42" s="327">
        <v>11</v>
      </c>
      <c r="M42" s="327">
        <v>12</v>
      </c>
      <c r="N42" s="327">
        <v>13</v>
      </c>
      <c r="O42" s="327">
        <v>14</v>
      </c>
      <c r="P42" s="327">
        <v>15</v>
      </c>
      <c r="Q42" s="327" t="s">
        <v>4277</v>
      </c>
    </row>
    <row r="43" spans="1:17">
      <c r="A43" s="328">
        <v>1</v>
      </c>
      <c r="B43" s="332">
        <v>10608</v>
      </c>
      <c r="C43" s="332">
        <v>10852.8</v>
      </c>
      <c r="D43" s="332">
        <v>11097.6</v>
      </c>
      <c r="E43" s="332">
        <v>11342.4</v>
      </c>
      <c r="F43" s="332">
        <v>11587.2</v>
      </c>
      <c r="G43" s="332">
        <v>11832</v>
      </c>
      <c r="H43" s="332">
        <v>12076.8</v>
      </c>
      <c r="I43" s="332">
        <v>12321.6</v>
      </c>
      <c r="J43" s="332">
        <v>12566.4</v>
      </c>
      <c r="K43" s="332">
        <v>12811.2</v>
      </c>
      <c r="L43" s="332">
        <v>13056</v>
      </c>
      <c r="M43" s="332">
        <v>13300.8</v>
      </c>
      <c r="N43" s="332">
        <v>13545.6</v>
      </c>
      <c r="O43" s="332">
        <v>13790.4</v>
      </c>
      <c r="P43" s="332">
        <v>14035.2</v>
      </c>
      <c r="Q43" s="330">
        <v>244.80000000000109</v>
      </c>
    </row>
    <row r="44" spans="1:17">
      <c r="A44" s="328">
        <v>2</v>
      </c>
      <c r="B44" s="332">
        <v>11032.32</v>
      </c>
      <c r="C44" s="332">
        <v>11358.72</v>
      </c>
      <c r="D44" s="332">
        <v>11685.12</v>
      </c>
      <c r="E44" s="332">
        <v>12011.52</v>
      </c>
      <c r="F44" s="332">
        <v>12337.92</v>
      </c>
      <c r="G44" s="332">
        <v>12664.32</v>
      </c>
      <c r="H44" s="332">
        <v>12990.72</v>
      </c>
      <c r="I44" s="332">
        <v>13317.12</v>
      </c>
      <c r="J44" s="332">
        <v>13643.52</v>
      </c>
      <c r="K44" s="332">
        <v>13969.92</v>
      </c>
      <c r="L44" s="332">
        <v>14296.32</v>
      </c>
      <c r="M44" s="332">
        <v>14622.72</v>
      </c>
      <c r="N44" s="332">
        <v>14949.12</v>
      </c>
      <c r="O44" s="332">
        <v>15275.52</v>
      </c>
      <c r="P44" s="332">
        <v>15601.92</v>
      </c>
      <c r="Q44" s="330">
        <v>326.40000000000146</v>
      </c>
    </row>
    <row r="45" spans="1:17">
      <c r="A45" s="328">
        <v>3</v>
      </c>
      <c r="B45" s="332">
        <v>11064.24</v>
      </c>
      <c r="C45" s="332">
        <v>11460.24</v>
      </c>
      <c r="D45" s="332">
        <v>11856.24</v>
      </c>
      <c r="E45" s="332">
        <v>12252.24</v>
      </c>
      <c r="F45" s="332">
        <v>12648.24</v>
      </c>
      <c r="G45" s="332">
        <v>13044.24</v>
      </c>
      <c r="H45" s="332">
        <v>13440.24</v>
      </c>
      <c r="I45" s="332">
        <v>13836.24</v>
      </c>
      <c r="J45" s="332">
        <v>14232.24</v>
      </c>
      <c r="K45" s="332">
        <v>14628.24</v>
      </c>
      <c r="L45" s="332">
        <v>15024.24</v>
      </c>
      <c r="M45" s="332">
        <v>15420.24</v>
      </c>
      <c r="N45" s="332">
        <v>15816.24</v>
      </c>
      <c r="O45" s="332">
        <v>16212.24</v>
      </c>
      <c r="P45" s="332">
        <v>16608.240000000002</v>
      </c>
      <c r="Q45" s="330">
        <v>396</v>
      </c>
    </row>
    <row r="46" spans="1:17">
      <c r="A46" s="328">
        <v>4</v>
      </c>
      <c r="B46" s="332">
        <v>11618.64</v>
      </c>
      <c r="C46" s="332">
        <v>12093.84</v>
      </c>
      <c r="D46" s="332">
        <v>12569.04</v>
      </c>
      <c r="E46" s="332">
        <v>13044.24</v>
      </c>
      <c r="F46" s="332">
        <v>13519.44</v>
      </c>
      <c r="G46" s="332">
        <v>13994.64</v>
      </c>
      <c r="H46" s="332">
        <v>14469.84</v>
      </c>
      <c r="I46" s="332">
        <v>14945.04</v>
      </c>
      <c r="J46" s="332">
        <v>15420.24</v>
      </c>
      <c r="K46" s="332">
        <v>15895.44</v>
      </c>
      <c r="L46" s="332">
        <v>16370.64</v>
      </c>
      <c r="M46" s="332">
        <v>16845.84</v>
      </c>
      <c r="N46" s="332">
        <v>17321.04</v>
      </c>
      <c r="O46" s="332">
        <v>17796.240000000002</v>
      </c>
      <c r="P46" s="332">
        <v>18271.439999999999</v>
      </c>
      <c r="Q46" s="330">
        <v>475.20000000000073</v>
      </c>
    </row>
    <row r="47" spans="1:17">
      <c r="A47" s="328">
        <v>5</v>
      </c>
      <c r="B47" s="332">
        <v>12840.96</v>
      </c>
      <c r="C47" s="332">
        <v>13378.56</v>
      </c>
      <c r="D47" s="332">
        <v>13916.16</v>
      </c>
      <c r="E47" s="332">
        <v>14453.76</v>
      </c>
      <c r="F47" s="332">
        <v>14991.36</v>
      </c>
      <c r="G47" s="332">
        <v>15528.96</v>
      </c>
      <c r="H47" s="332">
        <v>16066.56</v>
      </c>
      <c r="I47" s="332">
        <v>16604.16</v>
      </c>
      <c r="J47" s="332">
        <v>17141.759999999998</v>
      </c>
      <c r="K47" s="332">
        <v>17679.36</v>
      </c>
      <c r="L47" s="332">
        <v>18216.96</v>
      </c>
      <c r="M47" s="332">
        <v>18754.560000000001</v>
      </c>
      <c r="N47" s="332">
        <v>19292.16</v>
      </c>
      <c r="O47" s="332">
        <v>19829.759999999998</v>
      </c>
      <c r="P47" s="332">
        <v>20367.36</v>
      </c>
      <c r="Q47" s="330">
        <v>537.6</v>
      </c>
    </row>
    <row r="48" spans="1:17">
      <c r="A48" s="328">
        <v>6</v>
      </c>
      <c r="B48" s="332">
        <v>15782.4</v>
      </c>
      <c r="C48" s="332">
        <v>16435.2</v>
      </c>
      <c r="D48" s="332">
        <v>17088</v>
      </c>
      <c r="E48" s="332">
        <v>17740.8</v>
      </c>
      <c r="F48" s="332">
        <v>18393.599999999999</v>
      </c>
      <c r="G48" s="332">
        <v>19046.400000000001</v>
      </c>
      <c r="H48" s="332">
        <v>19699.2</v>
      </c>
      <c r="I48" s="332">
        <v>20352</v>
      </c>
      <c r="J48" s="332">
        <v>21004.799999999999</v>
      </c>
      <c r="K48" s="332">
        <v>21657.599999999999</v>
      </c>
      <c r="L48" s="332">
        <v>22310.400000000001</v>
      </c>
      <c r="M48" s="332">
        <v>22963.200000000001</v>
      </c>
      <c r="N48" s="332">
        <v>23616</v>
      </c>
      <c r="O48" s="332">
        <v>24268.799999999999</v>
      </c>
      <c r="P48" s="332">
        <v>24921.599999999999</v>
      </c>
      <c r="Q48" s="330">
        <v>652.79999999999927</v>
      </c>
    </row>
    <row r="49" spans="1:17">
      <c r="A49" s="328">
        <v>7</v>
      </c>
      <c r="B49" s="332">
        <v>18520.32</v>
      </c>
      <c r="C49" s="332">
        <v>19225.919999999998</v>
      </c>
      <c r="D49" s="332">
        <v>19931.52</v>
      </c>
      <c r="E49" s="332">
        <v>20637.12</v>
      </c>
      <c r="F49" s="332">
        <v>21342.720000000001</v>
      </c>
      <c r="G49" s="332">
        <v>22048.32</v>
      </c>
      <c r="H49" s="332">
        <v>22753.919999999998</v>
      </c>
      <c r="I49" s="332">
        <v>23459.52</v>
      </c>
      <c r="J49" s="332">
        <v>24165.119999999999</v>
      </c>
      <c r="K49" s="332">
        <v>24870.720000000001</v>
      </c>
      <c r="L49" s="332">
        <v>25576.32</v>
      </c>
      <c r="M49" s="332">
        <v>26281.919999999998</v>
      </c>
      <c r="N49" s="332">
        <v>26987.52</v>
      </c>
      <c r="O49" s="332">
        <v>27693.119999999999</v>
      </c>
      <c r="P49" s="332">
        <v>28398.720000000001</v>
      </c>
      <c r="Q49" s="330">
        <v>705.59999999999854</v>
      </c>
    </row>
    <row r="50" spans="1:17">
      <c r="A50" s="328">
        <v>8</v>
      </c>
      <c r="B50" s="332">
        <v>24319.68</v>
      </c>
      <c r="C50" s="332">
        <v>25054.400000000001</v>
      </c>
      <c r="D50" s="332">
        <v>25789.119999999999</v>
      </c>
      <c r="E50" s="332">
        <v>26523.84</v>
      </c>
      <c r="F50" s="332">
        <v>27258.560000000001</v>
      </c>
      <c r="G50" s="332">
        <v>27993.279999999999</v>
      </c>
      <c r="H50" s="332">
        <v>28728</v>
      </c>
      <c r="I50" s="332">
        <v>29462.720000000001</v>
      </c>
      <c r="J50" s="332">
        <v>30197.439999999999</v>
      </c>
      <c r="K50" s="332">
        <v>30932.16</v>
      </c>
      <c r="L50" s="332">
        <v>31666.880000000001</v>
      </c>
      <c r="M50" s="332">
        <v>32401.599999999999</v>
      </c>
      <c r="N50" s="332">
        <v>33136.32</v>
      </c>
      <c r="O50" s="332">
        <v>33871.040000000001</v>
      </c>
      <c r="P50" s="332">
        <v>34605.760000000002</v>
      </c>
      <c r="Q50" s="330">
        <v>734.72000000000116</v>
      </c>
    </row>
    <row r="51" spans="1:17">
      <c r="A51" s="328">
        <v>9</v>
      </c>
      <c r="B51" s="332">
        <v>28667.52</v>
      </c>
      <c r="C51" s="332">
        <v>29675.52</v>
      </c>
      <c r="D51" s="332">
        <v>30683.52</v>
      </c>
      <c r="E51" s="332">
        <v>31691.52</v>
      </c>
      <c r="F51" s="332">
        <v>32699.52</v>
      </c>
      <c r="G51" s="332">
        <v>33707.519999999997</v>
      </c>
      <c r="H51" s="332">
        <v>34715.519999999997</v>
      </c>
      <c r="I51" s="332">
        <v>35723.519999999997</v>
      </c>
      <c r="J51" s="332">
        <v>36731.519999999997</v>
      </c>
      <c r="K51" s="332">
        <v>37739.519999999997</v>
      </c>
      <c r="L51" s="332">
        <v>38747.519999999997</v>
      </c>
      <c r="M51" s="332">
        <v>39755.519999999997</v>
      </c>
      <c r="N51" s="332">
        <v>40763.519999999997</v>
      </c>
      <c r="O51" s="332">
        <v>41771.519999999997</v>
      </c>
      <c r="P51" s="332">
        <v>42779.519999999997</v>
      </c>
      <c r="Q51" s="330">
        <v>1008</v>
      </c>
    </row>
    <row r="52" spans="1:17">
      <c r="A52" s="328">
        <v>10</v>
      </c>
      <c r="B52" s="332">
        <v>32542.560000000001</v>
      </c>
      <c r="C52" s="332">
        <v>33611.760000000002</v>
      </c>
      <c r="D52" s="332">
        <v>34680.959999999999</v>
      </c>
      <c r="E52" s="332">
        <v>35750.160000000003</v>
      </c>
      <c r="F52" s="332">
        <v>36819.360000000001</v>
      </c>
      <c r="G52" s="332">
        <v>37888.559999999998</v>
      </c>
      <c r="H52" s="332">
        <v>38957.760000000002</v>
      </c>
      <c r="I52" s="332">
        <v>40026.959999999999</v>
      </c>
      <c r="J52" s="332">
        <v>41096.160000000003</v>
      </c>
      <c r="K52" s="332">
        <v>42165.36</v>
      </c>
      <c r="L52" s="332">
        <v>43234.559999999998</v>
      </c>
      <c r="M52" s="332">
        <v>44303.76</v>
      </c>
      <c r="N52" s="332">
        <v>45372.959999999999</v>
      </c>
      <c r="O52" s="332">
        <v>46442.16</v>
      </c>
      <c r="P52" s="332">
        <v>47511.360000000001</v>
      </c>
      <c r="Q52" s="330">
        <v>1069.2</v>
      </c>
    </row>
    <row r="53" spans="1:17">
      <c r="A53" s="328">
        <v>12</v>
      </c>
      <c r="B53" s="332">
        <v>38257.919999999998</v>
      </c>
      <c r="C53" s="332">
        <v>39949.199999999997</v>
      </c>
      <c r="D53" s="332">
        <v>41640.480000000003</v>
      </c>
      <c r="E53" s="332">
        <v>43331.76</v>
      </c>
      <c r="F53" s="332">
        <v>45023.040000000001</v>
      </c>
      <c r="G53" s="332">
        <v>46714.32</v>
      </c>
      <c r="H53" s="332">
        <v>48405.599999999999</v>
      </c>
      <c r="I53" s="332">
        <v>50096.88</v>
      </c>
      <c r="J53" s="332">
        <v>51788.160000000003</v>
      </c>
      <c r="K53" s="332">
        <v>53479.44</v>
      </c>
      <c r="L53" s="332">
        <v>55170.720000000001</v>
      </c>
      <c r="M53" s="332">
        <v>56862</v>
      </c>
      <c r="N53" s="332">
        <v>58553.279999999999</v>
      </c>
      <c r="O53" s="332">
        <v>60244.56</v>
      </c>
      <c r="P53" s="332">
        <v>61935.839999999997</v>
      </c>
      <c r="Q53" s="330">
        <v>1691.28</v>
      </c>
    </row>
    <row r="54" spans="1:17">
      <c r="A54" s="328">
        <v>13</v>
      </c>
      <c r="B54" s="332">
        <v>42774.48</v>
      </c>
      <c r="C54" s="332">
        <v>44562.96</v>
      </c>
      <c r="D54" s="332">
        <v>46351.44</v>
      </c>
      <c r="E54" s="332">
        <v>48139.92</v>
      </c>
      <c r="F54" s="332">
        <v>49928.4</v>
      </c>
      <c r="G54" s="332">
        <v>51716.88</v>
      </c>
      <c r="H54" s="332">
        <v>53505.36</v>
      </c>
      <c r="I54" s="332">
        <v>55293.84</v>
      </c>
      <c r="J54" s="332">
        <v>57082.32</v>
      </c>
      <c r="K54" s="332">
        <v>58870.8</v>
      </c>
      <c r="L54" s="332">
        <v>60659.28</v>
      </c>
      <c r="M54" s="332">
        <v>62447.76</v>
      </c>
      <c r="N54" s="332">
        <v>64236.24</v>
      </c>
      <c r="O54" s="332">
        <v>66024.72</v>
      </c>
      <c r="P54" s="332">
        <v>67813.2</v>
      </c>
      <c r="Q54" s="330">
        <v>1788.48</v>
      </c>
    </row>
    <row r="55" spans="1:17">
      <c r="A55" s="328">
        <v>14</v>
      </c>
      <c r="B55" s="332">
        <v>43806</v>
      </c>
      <c r="C55" s="332">
        <v>45588</v>
      </c>
      <c r="D55" s="332">
        <v>47370</v>
      </c>
      <c r="E55" s="332">
        <v>49152</v>
      </c>
      <c r="F55" s="332">
        <v>50934</v>
      </c>
      <c r="G55" s="332">
        <v>52716</v>
      </c>
      <c r="H55" s="332">
        <v>54498</v>
      </c>
      <c r="I55" s="332">
        <v>56280</v>
      </c>
      <c r="J55" s="332">
        <v>58062</v>
      </c>
      <c r="K55" s="332">
        <v>59844</v>
      </c>
      <c r="L55" s="332">
        <v>61626</v>
      </c>
      <c r="M55" s="332">
        <v>63408</v>
      </c>
      <c r="N55" s="332">
        <v>65190</v>
      </c>
      <c r="O55" s="332">
        <v>66972</v>
      </c>
      <c r="P55" s="332">
        <v>68754</v>
      </c>
      <c r="Q55" s="330">
        <v>1782</v>
      </c>
    </row>
    <row r="56" spans="1:17">
      <c r="A56" s="328">
        <v>15</v>
      </c>
      <c r="B56" s="332">
        <v>48983</v>
      </c>
      <c r="C56" s="332">
        <v>51389</v>
      </c>
      <c r="D56" s="332">
        <v>53795</v>
      </c>
      <c r="E56" s="332">
        <v>56201</v>
      </c>
      <c r="F56" s="332">
        <v>58607</v>
      </c>
      <c r="G56" s="332">
        <v>61013</v>
      </c>
      <c r="H56" s="332">
        <v>63419</v>
      </c>
      <c r="I56" s="332">
        <v>65825</v>
      </c>
      <c r="J56" s="332">
        <v>68231</v>
      </c>
      <c r="K56" s="332">
        <v>70637</v>
      </c>
      <c r="L56" s="332">
        <v>73043</v>
      </c>
      <c r="M56" s="332">
        <v>75449</v>
      </c>
      <c r="N56" s="332">
        <v>77855</v>
      </c>
      <c r="O56" s="332">
        <v>80261</v>
      </c>
      <c r="P56" s="332">
        <v>82667</v>
      </c>
      <c r="Q56" s="330">
        <v>2406</v>
      </c>
    </row>
    <row r="57" spans="1:17">
      <c r="A57" s="328">
        <v>16</v>
      </c>
      <c r="B57" s="332">
        <v>53180</v>
      </c>
      <c r="C57" s="332">
        <v>56072</v>
      </c>
      <c r="D57" s="332">
        <v>58964</v>
      </c>
      <c r="E57" s="332">
        <v>61856</v>
      </c>
      <c r="F57" s="332">
        <v>64748</v>
      </c>
      <c r="G57" s="332">
        <v>67640</v>
      </c>
      <c r="H57" s="332">
        <v>70532</v>
      </c>
      <c r="I57" s="332">
        <v>73424</v>
      </c>
      <c r="J57" s="332">
        <v>76316</v>
      </c>
      <c r="K57" s="332">
        <v>79208</v>
      </c>
      <c r="L57" s="332">
        <v>82100</v>
      </c>
      <c r="M57" s="332">
        <v>84992</v>
      </c>
      <c r="N57" s="332">
        <v>87884</v>
      </c>
      <c r="O57" s="332">
        <v>90776</v>
      </c>
      <c r="P57" s="332">
        <v>93668</v>
      </c>
      <c r="Q57" s="330">
        <v>2892</v>
      </c>
    </row>
    <row r="58" spans="1:17">
      <c r="A58" s="328">
        <v>17</v>
      </c>
      <c r="B58" s="332">
        <v>60407.5</v>
      </c>
      <c r="C58" s="332">
        <v>63689.5</v>
      </c>
      <c r="D58" s="332">
        <v>66971.5</v>
      </c>
      <c r="E58" s="332">
        <v>70253.5</v>
      </c>
      <c r="F58" s="332">
        <v>73535.5</v>
      </c>
      <c r="G58" s="332">
        <v>76817.5</v>
      </c>
      <c r="H58" s="332">
        <v>80099.5</v>
      </c>
      <c r="I58" s="332">
        <v>83381.5</v>
      </c>
      <c r="J58" s="332">
        <v>86663.5</v>
      </c>
      <c r="K58" s="332">
        <v>89945.5</v>
      </c>
      <c r="L58" s="332">
        <v>93227.5</v>
      </c>
      <c r="M58" s="332">
        <v>96509.5</v>
      </c>
      <c r="N58" s="332">
        <v>99791.5</v>
      </c>
      <c r="O58" s="332">
        <v>103073.5</v>
      </c>
      <c r="P58" s="332">
        <v>106355.5</v>
      </c>
      <c r="Q58" s="330">
        <v>3282</v>
      </c>
    </row>
    <row r="59" spans="1:17"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</row>
    <row r="60" spans="1:17"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</row>
    <row r="61" spans="1:17">
      <c r="A61" s="242" t="s">
        <v>4280</v>
      </c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</row>
    <row r="62" spans="1:17">
      <c r="A62" s="327" t="s">
        <v>4276</v>
      </c>
      <c r="B62" s="327">
        <v>1</v>
      </c>
      <c r="C62" s="327">
        <v>2</v>
      </c>
      <c r="D62" s="327">
        <v>3</v>
      </c>
      <c r="E62" s="327">
        <v>4</v>
      </c>
      <c r="F62" s="327">
        <v>5</v>
      </c>
      <c r="G62" s="327">
        <v>6</v>
      </c>
      <c r="H62" s="327">
        <v>7</v>
      </c>
      <c r="I62" s="327">
        <v>8</v>
      </c>
      <c r="J62" s="327">
        <v>9</v>
      </c>
      <c r="K62" s="327">
        <v>10</v>
      </c>
      <c r="L62" s="327">
        <v>11</v>
      </c>
      <c r="M62" s="327">
        <v>12</v>
      </c>
      <c r="N62" s="327">
        <v>13</v>
      </c>
      <c r="O62" s="327">
        <v>14</v>
      </c>
      <c r="P62" s="327">
        <v>15</v>
      </c>
      <c r="Q62" s="327" t="s">
        <v>4277</v>
      </c>
    </row>
    <row r="63" spans="1:17">
      <c r="A63" s="328">
        <v>1</v>
      </c>
      <c r="B63" s="332">
        <v>1284</v>
      </c>
      <c r="C63" s="332">
        <v>1284</v>
      </c>
      <c r="D63" s="332">
        <v>1284</v>
      </c>
      <c r="E63" s="332">
        <v>1284</v>
      </c>
      <c r="F63" s="332">
        <v>1284</v>
      </c>
      <c r="G63" s="332">
        <v>1284</v>
      </c>
      <c r="H63" s="332">
        <v>1284</v>
      </c>
      <c r="I63" s="332">
        <v>1284</v>
      </c>
      <c r="J63" s="332">
        <v>1284</v>
      </c>
      <c r="K63" s="332">
        <v>1284</v>
      </c>
      <c r="L63" s="332">
        <v>1284</v>
      </c>
      <c r="M63" s="332">
        <v>1284</v>
      </c>
      <c r="N63" s="332">
        <v>1284</v>
      </c>
      <c r="O63" s="332">
        <v>1284</v>
      </c>
      <c r="P63" s="332">
        <v>1284</v>
      </c>
      <c r="Q63" s="330"/>
    </row>
    <row r="64" spans="1:17">
      <c r="A64" s="328">
        <v>2</v>
      </c>
      <c r="B64" s="332">
        <v>1284</v>
      </c>
      <c r="C64" s="332">
        <v>1284</v>
      </c>
      <c r="D64" s="332">
        <v>1284</v>
      </c>
      <c r="E64" s="332">
        <v>1284</v>
      </c>
      <c r="F64" s="332">
        <v>1284</v>
      </c>
      <c r="G64" s="332">
        <v>1284</v>
      </c>
      <c r="H64" s="332">
        <v>1284</v>
      </c>
      <c r="I64" s="332">
        <v>1284</v>
      </c>
      <c r="J64" s="332">
        <v>1284</v>
      </c>
      <c r="K64" s="332">
        <v>1284</v>
      </c>
      <c r="L64" s="332">
        <v>1284</v>
      </c>
      <c r="M64" s="332">
        <v>1284</v>
      </c>
      <c r="N64" s="332">
        <v>1284</v>
      </c>
      <c r="O64" s="332">
        <v>1284</v>
      </c>
      <c r="P64" s="332">
        <v>1284</v>
      </c>
      <c r="Q64" s="330"/>
    </row>
    <row r="65" spans="1:17">
      <c r="A65" s="328">
        <v>3</v>
      </c>
      <c r="B65" s="332">
        <v>1284</v>
      </c>
      <c r="C65" s="332">
        <v>1284</v>
      </c>
      <c r="D65" s="332">
        <v>1284</v>
      </c>
      <c r="E65" s="332">
        <v>1284</v>
      </c>
      <c r="F65" s="332">
        <v>1284</v>
      </c>
      <c r="G65" s="332">
        <v>1284</v>
      </c>
      <c r="H65" s="332">
        <v>1284</v>
      </c>
      <c r="I65" s="332">
        <v>1284</v>
      </c>
      <c r="J65" s="332">
        <v>1284</v>
      </c>
      <c r="K65" s="332">
        <v>1284</v>
      </c>
      <c r="L65" s="332">
        <v>1284</v>
      </c>
      <c r="M65" s="332">
        <v>1284</v>
      </c>
      <c r="N65" s="332">
        <v>1284</v>
      </c>
      <c r="O65" s="332">
        <v>1284</v>
      </c>
      <c r="P65" s="332">
        <v>1284</v>
      </c>
      <c r="Q65" s="330"/>
    </row>
    <row r="66" spans="1:17">
      <c r="A66" s="328">
        <v>4</v>
      </c>
      <c r="B66" s="332">
        <v>1284</v>
      </c>
      <c r="C66" s="332">
        <v>1284</v>
      </c>
      <c r="D66" s="332">
        <v>1284</v>
      </c>
      <c r="E66" s="332">
        <v>1284</v>
      </c>
      <c r="F66" s="332">
        <v>1284</v>
      </c>
      <c r="G66" s="332">
        <v>1284</v>
      </c>
      <c r="H66" s="332">
        <v>1284</v>
      </c>
      <c r="I66" s="332">
        <v>1284</v>
      </c>
      <c r="J66" s="332">
        <v>1284</v>
      </c>
      <c r="K66" s="332">
        <v>1284</v>
      </c>
      <c r="L66" s="332">
        <v>1284</v>
      </c>
      <c r="M66" s="332">
        <v>1284</v>
      </c>
      <c r="N66" s="332">
        <v>1284</v>
      </c>
      <c r="O66" s="332">
        <v>1284</v>
      </c>
      <c r="P66" s="332">
        <v>1284</v>
      </c>
      <c r="Q66" s="330"/>
    </row>
    <row r="67" spans="1:17">
      <c r="A67" s="328">
        <v>5</v>
      </c>
      <c r="B67" s="332">
        <v>1284</v>
      </c>
      <c r="C67" s="332">
        <v>1284</v>
      </c>
      <c r="D67" s="332">
        <v>1284</v>
      </c>
      <c r="E67" s="332">
        <v>1284</v>
      </c>
      <c r="F67" s="332">
        <v>1284</v>
      </c>
      <c r="G67" s="332">
        <v>1284</v>
      </c>
      <c r="H67" s="332">
        <v>1284</v>
      </c>
      <c r="I67" s="332">
        <v>1284</v>
      </c>
      <c r="J67" s="332">
        <v>1284</v>
      </c>
      <c r="K67" s="332">
        <v>1284</v>
      </c>
      <c r="L67" s="332">
        <v>1284</v>
      </c>
      <c r="M67" s="332">
        <v>1284</v>
      </c>
      <c r="N67" s="332">
        <v>1284</v>
      </c>
      <c r="O67" s="332">
        <v>1284</v>
      </c>
      <c r="P67" s="332">
        <v>1284</v>
      </c>
      <c r="Q67" s="330"/>
    </row>
    <row r="68" spans="1:17">
      <c r="A68" s="328">
        <v>6</v>
      </c>
      <c r="B68" s="332">
        <v>1284</v>
      </c>
      <c r="C68" s="332">
        <v>1284</v>
      </c>
      <c r="D68" s="332">
        <v>1284</v>
      </c>
      <c r="E68" s="332">
        <v>1284</v>
      </c>
      <c r="F68" s="332">
        <v>1284</v>
      </c>
      <c r="G68" s="332">
        <v>1284</v>
      </c>
      <c r="H68" s="332">
        <v>1284</v>
      </c>
      <c r="I68" s="332">
        <v>1284</v>
      </c>
      <c r="J68" s="332">
        <v>1284</v>
      </c>
      <c r="K68" s="332">
        <v>1284</v>
      </c>
      <c r="L68" s="332">
        <v>1284</v>
      </c>
      <c r="M68" s="332">
        <v>1284</v>
      </c>
      <c r="N68" s="332">
        <v>1284</v>
      </c>
      <c r="O68" s="332">
        <v>1284</v>
      </c>
      <c r="P68" s="332">
        <v>1284</v>
      </c>
      <c r="Q68" s="330"/>
    </row>
    <row r="69" spans="1:17">
      <c r="A69" s="328">
        <v>7</v>
      </c>
      <c r="B69" s="332">
        <v>1800</v>
      </c>
      <c r="C69" s="332">
        <v>1800</v>
      </c>
      <c r="D69" s="332">
        <v>1800</v>
      </c>
      <c r="E69" s="332">
        <v>1800</v>
      </c>
      <c r="F69" s="332">
        <v>1800</v>
      </c>
      <c r="G69" s="332">
        <v>1800</v>
      </c>
      <c r="H69" s="332">
        <v>1800</v>
      </c>
      <c r="I69" s="332">
        <v>1800</v>
      </c>
      <c r="J69" s="332">
        <v>1800</v>
      </c>
      <c r="K69" s="332">
        <v>1800</v>
      </c>
      <c r="L69" s="332">
        <v>1800</v>
      </c>
      <c r="M69" s="332">
        <v>1800</v>
      </c>
      <c r="N69" s="332">
        <v>1800</v>
      </c>
      <c r="O69" s="332">
        <v>1800</v>
      </c>
      <c r="P69" s="332">
        <v>1800</v>
      </c>
      <c r="Q69" s="330"/>
    </row>
    <row r="70" spans="1:17">
      <c r="A70" s="328">
        <v>8</v>
      </c>
      <c r="B70" s="332">
        <v>1800</v>
      </c>
      <c r="C70" s="332">
        <v>1800</v>
      </c>
      <c r="D70" s="332">
        <v>1800</v>
      </c>
      <c r="E70" s="332">
        <v>1800</v>
      </c>
      <c r="F70" s="332">
        <v>1800</v>
      </c>
      <c r="G70" s="332">
        <v>1800</v>
      </c>
      <c r="H70" s="332">
        <v>1800</v>
      </c>
      <c r="I70" s="332">
        <v>1800</v>
      </c>
      <c r="J70" s="332">
        <v>1800</v>
      </c>
      <c r="K70" s="332">
        <v>1800</v>
      </c>
      <c r="L70" s="332">
        <v>1800</v>
      </c>
      <c r="M70" s="332">
        <v>1800</v>
      </c>
      <c r="N70" s="332">
        <v>1800</v>
      </c>
      <c r="O70" s="332">
        <v>1800</v>
      </c>
      <c r="P70" s="332">
        <v>1800</v>
      </c>
      <c r="Q70" s="330"/>
    </row>
    <row r="71" spans="1:17">
      <c r="A71" s="328">
        <v>9</v>
      </c>
      <c r="B71" s="332">
        <v>1800</v>
      </c>
      <c r="C71" s="332">
        <v>1800</v>
      </c>
      <c r="D71" s="332">
        <v>1800</v>
      </c>
      <c r="E71" s="332">
        <v>1800</v>
      </c>
      <c r="F71" s="332">
        <v>1800</v>
      </c>
      <c r="G71" s="332">
        <v>1800</v>
      </c>
      <c r="H71" s="332">
        <v>1800</v>
      </c>
      <c r="I71" s="332">
        <v>1800</v>
      </c>
      <c r="J71" s="332">
        <v>1800</v>
      </c>
      <c r="K71" s="332">
        <v>1800</v>
      </c>
      <c r="L71" s="332">
        <v>1800</v>
      </c>
      <c r="M71" s="332">
        <v>1800</v>
      </c>
      <c r="N71" s="332">
        <v>1800</v>
      </c>
      <c r="O71" s="332">
        <v>1800</v>
      </c>
      <c r="P71" s="332">
        <v>1800</v>
      </c>
      <c r="Q71" s="330"/>
    </row>
    <row r="72" spans="1:17">
      <c r="A72" s="328">
        <v>10</v>
      </c>
      <c r="B72" s="332">
        <v>1800</v>
      </c>
      <c r="C72" s="332">
        <v>1800</v>
      </c>
      <c r="D72" s="332">
        <v>1800</v>
      </c>
      <c r="E72" s="332">
        <v>1800</v>
      </c>
      <c r="F72" s="332">
        <v>1800</v>
      </c>
      <c r="G72" s="332">
        <v>1800</v>
      </c>
      <c r="H72" s="332">
        <v>1800</v>
      </c>
      <c r="I72" s="332">
        <v>1800</v>
      </c>
      <c r="J72" s="332">
        <v>1800</v>
      </c>
      <c r="K72" s="332">
        <v>1800</v>
      </c>
      <c r="L72" s="332">
        <v>1800</v>
      </c>
      <c r="M72" s="332">
        <v>1800</v>
      </c>
      <c r="N72" s="332">
        <v>1800</v>
      </c>
      <c r="O72" s="332">
        <v>1800</v>
      </c>
      <c r="P72" s="332">
        <v>1800</v>
      </c>
      <c r="Q72" s="330"/>
    </row>
    <row r="73" spans="1:17">
      <c r="A73" s="328">
        <v>12</v>
      </c>
      <c r="B73" s="332">
        <v>1800</v>
      </c>
      <c r="C73" s="332">
        <v>1800</v>
      </c>
      <c r="D73" s="332">
        <v>1800</v>
      </c>
      <c r="E73" s="332">
        <v>1800</v>
      </c>
      <c r="F73" s="332">
        <v>1800</v>
      </c>
      <c r="G73" s="332">
        <v>1800</v>
      </c>
      <c r="H73" s="332">
        <v>1800</v>
      </c>
      <c r="I73" s="332">
        <v>1800</v>
      </c>
      <c r="J73" s="332">
        <v>1800</v>
      </c>
      <c r="K73" s="332">
        <v>1800</v>
      </c>
      <c r="L73" s="332">
        <v>1800</v>
      </c>
      <c r="M73" s="332">
        <v>1800</v>
      </c>
      <c r="N73" s="332">
        <v>0</v>
      </c>
      <c r="O73" s="332">
        <v>0</v>
      </c>
      <c r="P73" s="332">
        <v>0</v>
      </c>
      <c r="Q73" s="330"/>
    </row>
    <row r="74" spans="1:17">
      <c r="A74" s="328">
        <v>13</v>
      </c>
      <c r="B74" s="332">
        <v>1800</v>
      </c>
      <c r="C74" s="332">
        <v>1800</v>
      </c>
      <c r="D74" s="332">
        <v>1800</v>
      </c>
      <c r="E74" s="332">
        <v>1800</v>
      </c>
      <c r="F74" s="332">
        <v>1800</v>
      </c>
      <c r="G74" s="332">
        <v>1800</v>
      </c>
      <c r="H74" s="332">
        <v>1800</v>
      </c>
      <c r="I74" s="332">
        <v>1800</v>
      </c>
      <c r="J74" s="332">
        <v>1800</v>
      </c>
      <c r="K74" s="332">
        <v>1800</v>
      </c>
      <c r="L74" s="332">
        <v>1800</v>
      </c>
      <c r="M74" s="332">
        <v>1800</v>
      </c>
      <c r="N74" s="332">
        <v>0</v>
      </c>
      <c r="O74" s="332">
        <v>0</v>
      </c>
      <c r="P74" s="332">
        <v>0</v>
      </c>
      <c r="Q74" s="330"/>
    </row>
    <row r="75" spans="1:17">
      <c r="A75" s="328">
        <v>14</v>
      </c>
      <c r="B75" s="332">
        <v>1800</v>
      </c>
      <c r="C75" s="332">
        <v>1800</v>
      </c>
      <c r="D75" s="332">
        <v>1800</v>
      </c>
      <c r="E75" s="332">
        <v>1800</v>
      </c>
      <c r="F75" s="332">
        <v>1800</v>
      </c>
      <c r="G75" s="332">
        <v>1800</v>
      </c>
      <c r="H75" s="332">
        <v>1800</v>
      </c>
      <c r="I75" s="332">
        <v>1800</v>
      </c>
      <c r="J75" s="332">
        <v>1800</v>
      </c>
      <c r="K75" s="332">
        <v>1800</v>
      </c>
      <c r="L75" s="332">
        <v>1800</v>
      </c>
      <c r="M75" s="332">
        <v>1800</v>
      </c>
      <c r="N75" s="332">
        <v>0</v>
      </c>
      <c r="O75" s="332">
        <v>0</v>
      </c>
      <c r="P75" s="332">
        <v>0</v>
      </c>
      <c r="Q75" s="330"/>
    </row>
    <row r="76" spans="1:17">
      <c r="A76" s="328">
        <v>15</v>
      </c>
      <c r="B76" s="332">
        <v>2700</v>
      </c>
      <c r="C76" s="332">
        <v>2700</v>
      </c>
      <c r="D76" s="332">
        <v>2700</v>
      </c>
      <c r="E76" s="332">
        <v>2700</v>
      </c>
      <c r="F76" s="332">
        <v>2700</v>
      </c>
      <c r="G76" s="332">
        <v>2700</v>
      </c>
      <c r="H76" s="332">
        <v>2700</v>
      </c>
      <c r="I76" s="332">
        <v>2700</v>
      </c>
      <c r="J76" s="332">
        <v>2700</v>
      </c>
      <c r="K76" s="332">
        <v>2700</v>
      </c>
      <c r="L76" s="332">
        <v>2700</v>
      </c>
      <c r="M76" s="332">
        <v>2700</v>
      </c>
      <c r="N76" s="332">
        <v>0</v>
      </c>
      <c r="O76" s="332">
        <v>0</v>
      </c>
      <c r="P76" s="332">
        <v>0</v>
      </c>
      <c r="Q76" s="330"/>
    </row>
    <row r="77" spans="1:17">
      <c r="A77" s="328">
        <v>16</v>
      </c>
      <c r="B77" s="332">
        <v>2700</v>
      </c>
      <c r="C77" s="332">
        <v>2700</v>
      </c>
      <c r="D77" s="332">
        <v>2700</v>
      </c>
      <c r="E77" s="332">
        <v>2700</v>
      </c>
      <c r="F77" s="332">
        <v>2700</v>
      </c>
      <c r="G77" s="332">
        <v>2700</v>
      </c>
      <c r="H77" s="332">
        <v>2700</v>
      </c>
      <c r="I77" s="332">
        <v>2700</v>
      </c>
      <c r="J77" s="332">
        <v>2700</v>
      </c>
      <c r="K77" s="332">
        <v>0</v>
      </c>
      <c r="L77" s="332">
        <v>0</v>
      </c>
      <c r="M77" s="332">
        <v>0</v>
      </c>
      <c r="N77" s="332">
        <v>0</v>
      </c>
      <c r="O77" s="332">
        <v>0</v>
      </c>
      <c r="P77" s="332">
        <v>0</v>
      </c>
      <c r="Q77" s="330"/>
    </row>
    <row r="78" spans="1:17">
      <c r="A78" s="328">
        <v>17</v>
      </c>
      <c r="B78" s="332">
        <v>2700</v>
      </c>
      <c r="C78" s="332">
        <v>2700</v>
      </c>
      <c r="D78" s="332">
        <v>2700</v>
      </c>
      <c r="E78" s="332">
        <v>2700</v>
      </c>
      <c r="F78" s="332">
        <v>2700</v>
      </c>
      <c r="G78" s="332">
        <v>2700</v>
      </c>
      <c r="H78" s="332">
        <v>2700</v>
      </c>
      <c r="I78" s="332">
        <v>2700</v>
      </c>
      <c r="J78" s="332">
        <v>2700</v>
      </c>
      <c r="K78" s="332">
        <v>0</v>
      </c>
      <c r="L78" s="332">
        <v>0</v>
      </c>
      <c r="M78" s="332">
        <v>0</v>
      </c>
      <c r="N78" s="332">
        <v>0</v>
      </c>
      <c r="O78" s="332">
        <v>0</v>
      </c>
      <c r="P78" s="332">
        <v>0</v>
      </c>
      <c r="Q78" s="330"/>
    </row>
    <row r="79" spans="1:17"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</row>
    <row r="80" spans="1:17"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</row>
    <row r="81" spans="1:17">
      <c r="A81" s="242" t="s">
        <v>4281</v>
      </c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</row>
    <row r="82" spans="1:17">
      <c r="A82" s="327" t="s">
        <v>4276</v>
      </c>
      <c r="B82" s="327">
        <v>1</v>
      </c>
      <c r="C82" s="327">
        <v>2</v>
      </c>
      <c r="D82" s="327">
        <v>3</v>
      </c>
      <c r="E82" s="327">
        <v>4</v>
      </c>
      <c r="F82" s="327">
        <v>5</v>
      </c>
      <c r="G82" s="327">
        <v>6</v>
      </c>
      <c r="H82" s="327">
        <v>7</v>
      </c>
      <c r="I82" s="327">
        <v>8</v>
      </c>
      <c r="J82" s="327">
        <v>9</v>
      </c>
      <c r="K82" s="327">
        <v>10</v>
      </c>
      <c r="L82" s="327">
        <v>11</v>
      </c>
      <c r="M82" s="327">
        <v>12</v>
      </c>
      <c r="N82" s="327">
        <v>13</v>
      </c>
      <c r="O82" s="327">
        <v>14</v>
      </c>
      <c r="P82" s="327">
        <v>15</v>
      </c>
      <c r="Q82" s="327" t="s">
        <v>4277</v>
      </c>
    </row>
    <row r="83" spans="1:17">
      <c r="A83" s="328">
        <v>1</v>
      </c>
      <c r="B83" s="332">
        <v>2400</v>
      </c>
      <c r="C83" s="332">
        <v>2400</v>
      </c>
      <c r="D83" s="332">
        <v>2400</v>
      </c>
      <c r="E83" s="332">
        <v>2400</v>
      </c>
      <c r="F83" s="332">
        <v>2400</v>
      </c>
      <c r="G83" s="332">
        <v>2400</v>
      </c>
      <c r="H83" s="332">
        <v>2400</v>
      </c>
      <c r="I83" s="332">
        <v>2400</v>
      </c>
      <c r="J83" s="332">
        <v>2400</v>
      </c>
      <c r="K83" s="332">
        <v>2400</v>
      </c>
      <c r="L83" s="332">
        <v>2400</v>
      </c>
      <c r="M83" s="332">
        <v>2400</v>
      </c>
      <c r="N83" s="332">
        <v>2400</v>
      </c>
      <c r="O83" s="332">
        <v>2400</v>
      </c>
      <c r="P83" s="332">
        <v>2400</v>
      </c>
      <c r="Q83" s="330"/>
    </row>
    <row r="84" spans="1:17">
      <c r="A84" s="328">
        <v>2</v>
      </c>
      <c r="B84" s="332">
        <v>2400</v>
      </c>
      <c r="C84" s="332">
        <v>2400</v>
      </c>
      <c r="D84" s="332">
        <v>2400</v>
      </c>
      <c r="E84" s="332">
        <v>2400</v>
      </c>
      <c r="F84" s="332">
        <v>2400</v>
      </c>
      <c r="G84" s="332">
        <v>2400</v>
      </c>
      <c r="H84" s="332">
        <v>2400</v>
      </c>
      <c r="I84" s="332">
        <v>2400</v>
      </c>
      <c r="J84" s="332">
        <v>2400</v>
      </c>
      <c r="K84" s="332">
        <v>2400</v>
      </c>
      <c r="L84" s="332">
        <v>2400</v>
      </c>
      <c r="M84" s="332">
        <v>2400</v>
      </c>
      <c r="N84" s="332">
        <v>2400</v>
      </c>
      <c r="O84" s="332">
        <v>2400</v>
      </c>
      <c r="P84" s="332">
        <v>2400</v>
      </c>
      <c r="Q84" s="330"/>
    </row>
    <row r="85" spans="1:17">
      <c r="A85" s="328">
        <v>3</v>
      </c>
      <c r="B85" s="332">
        <v>2400</v>
      </c>
      <c r="C85" s="332">
        <v>2400</v>
      </c>
      <c r="D85" s="332">
        <v>2400</v>
      </c>
      <c r="E85" s="332">
        <v>2400</v>
      </c>
      <c r="F85" s="332">
        <v>2400</v>
      </c>
      <c r="G85" s="332">
        <v>2400</v>
      </c>
      <c r="H85" s="332">
        <v>2400</v>
      </c>
      <c r="I85" s="332">
        <v>2400</v>
      </c>
      <c r="J85" s="332">
        <v>2400</v>
      </c>
      <c r="K85" s="332">
        <v>2400</v>
      </c>
      <c r="L85" s="332">
        <v>2400</v>
      </c>
      <c r="M85" s="332">
        <v>2400</v>
      </c>
      <c r="N85" s="332">
        <v>2400</v>
      </c>
      <c r="O85" s="332">
        <v>2400</v>
      </c>
      <c r="P85" s="332">
        <v>2400</v>
      </c>
      <c r="Q85" s="330"/>
    </row>
    <row r="86" spans="1:17">
      <c r="A86" s="328">
        <v>4</v>
      </c>
      <c r="B86" s="332">
        <v>2400</v>
      </c>
      <c r="C86" s="332">
        <v>2400</v>
      </c>
      <c r="D86" s="332">
        <v>2400</v>
      </c>
      <c r="E86" s="332">
        <v>2400</v>
      </c>
      <c r="F86" s="332">
        <v>2400</v>
      </c>
      <c r="G86" s="332">
        <v>2400</v>
      </c>
      <c r="H86" s="332">
        <v>2400</v>
      </c>
      <c r="I86" s="332">
        <v>2400</v>
      </c>
      <c r="J86" s="332">
        <v>2400</v>
      </c>
      <c r="K86" s="332">
        <v>2400</v>
      </c>
      <c r="L86" s="332">
        <v>2400</v>
      </c>
      <c r="M86" s="332">
        <v>2400</v>
      </c>
      <c r="N86" s="332">
        <v>2400</v>
      </c>
      <c r="O86" s="332">
        <v>2400</v>
      </c>
      <c r="P86" s="332">
        <v>2400</v>
      </c>
      <c r="Q86" s="330"/>
    </row>
    <row r="87" spans="1:17">
      <c r="A87" s="328">
        <v>5</v>
      </c>
      <c r="B87" s="332">
        <v>2400</v>
      </c>
      <c r="C87" s="332">
        <v>2400</v>
      </c>
      <c r="D87" s="332">
        <v>2400</v>
      </c>
      <c r="E87" s="332">
        <v>2400</v>
      </c>
      <c r="F87" s="332">
        <v>2400</v>
      </c>
      <c r="G87" s="332">
        <v>2400</v>
      </c>
      <c r="H87" s="332">
        <v>2400</v>
      </c>
      <c r="I87" s="332">
        <v>2400</v>
      </c>
      <c r="J87" s="332">
        <v>2400</v>
      </c>
      <c r="K87" s="332">
        <v>2400</v>
      </c>
      <c r="L87" s="332">
        <v>2400</v>
      </c>
      <c r="M87" s="332">
        <v>2400</v>
      </c>
      <c r="N87" s="332">
        <v>2400</v>
      </c>
      <c r="O87" s="332">
        <v>2400</v>
      </c>
      <c r="P87" s="332">
        <v>2400</v>
      </c>
      <c r="Q87" s="330"/>
    </row>
    <row r="88" spans="1:17">
      <c r="A88" s="328">
        <v>6</v>
      </c>
      <c r="B88" s="332">
        <v>2400</v>
      </c>
      <c r="C88" s="332">
        <v>2400</v>
      </c>
      <c r="D88" s="332">
        <v>2400</v>
      </c>
      <c r="E88" s="332">
        <v>2400</v>
      </c>
      <c r="F88" s="332">
        <v>2400</v>
      </c>
      <c r="G88" s="332">
        <v>2400</v>
      </c>
      <c r="H88" s="332">
        <v>2400</v>
      </c>
      <c r="I88" s="332">
        <v>2400</v>
      </c>
      <c r="J88" s="332">
        <v>2400</v>
      </c>
      <c r="K88" s="332">
        <v>2400</v>
      </c>
      <c r="L88" s="332">
        <v>2400</v>
      </c>
      <c r="M88" s="332">
        <v>2400</v>
      </c>
      <c r="N88" s="332">
        <v>2400</v>
      </c>
      <c r="O88" s="332">
        <v>2400</v>
      </c>
      <c r="P88" s="332">
        <v>2400</v>
      </c>
      <c r="Q88" s="330"/>
    </row>
    <row r="89" spans="1:17">
      <c r="A89" s="328">
        <v>7</v>
      </c>
      <c r="B89" s="332">
        <v>3840</v>
      </c>
      <c r="C89" s="332">
        <v>3840</v>
      </c>
      <c r="D89" s="332">
        <v>3840</v>
      </c>
      <c r="E89" s="332">
        <v>3840</v>
      </c>
      <c r="F89" s="332">
        <v>3840</v>
      </c>
      <c r="G89" s="332">
        <v>3840</v>
      </c>
      <c r="H89" s="332">
        <v>3840</v>
      </c>
      <c r="I89" s="332">
        <v>3840</v>
      </c>
      <c r="J89" s="332">
        <v>3840</v>
      </c>
      <c r="K89" s="332">
        <v>3840</v>
      </c>
      <c r="L89" s="332">
        <v>3840</v>
      </c>
      <c r="M89" s="332">
        <v>3840</v>
      </c>
      <c r="N89" s="332">
        <v>3840</v>
      </c>
      <c r="O89" s="332">
        <v>3840</v>
      </c>
      <c r="P89" s="332">
        <v>3840</v>
      </c>
      <c r="Q89" s="330"/>
    </row>
    <row r="90" spans="1:17">
      <c r="A90" s="328">
        <v>8</v>
      </c>
      <c r="B90" s="332">
        <v>3840</v>
      </c>
      <c r="C90" s="332">
        <v>3840</v>
      </c>
      <c r="D90" s="332">
        <v>3840</v>
      </c>
      <c r="E90" s="332">
        <v>3840</v>
      </c>
      <c r="F90" s="332">
        <v>3840</v>
      </c>
      <c r="G90" s="332">
        <v>3840</v>
      </c>
      <c r="H90" s="332">
        <v>3840</v>
      </c>
      <c r="I90" s="332">
        <v>3840</v>
      </c>
      <c r="J90" s="332">
        <v>3840</v>
      </c>
      <c r="K90" s="332">
        <v>3840</v>
      </c>
      <c r="L90" s="332">
        <v>3840</v>
      </c>
      <c r="M90" s="332">
        <v>3840</v>
      </c>
      <c r="N90" s="332">
        <v>3840</v>
      </c>
      <c r="O90" s="332">
        <v>3840</v>
      </c>
      <c r="P90" s="332">
        <v>3840</v>
      </c>
      <c r="Q90" s="330"/>
    </row>
    <row r="91" spans="1:17">
      <c r="A91" s="328">
        <v>9</v>
      </c>
      <c r="B91" s="332">
        <v>3840</v>
      </c>
      <c r="C91" s="332">
        <v>3840</v>
      </c>
      <c r="D91" s="332">
        <v>3840</v>
      </c>
      <c r="E91" s="332">
        <v>3840</v>
      </c>
      <c r="F91" s="332">
        <v>3840</v>
      </c>
      <c r="G91" s="332">
        <v>3840</v>
      </c>
      <c r="H91" s="332">
        <v>3840</v>
      </c>
      <c r="I91" s="332">
        <v>3840</v>
      </c>
      <c r="J91" s="332">
        <v>3840</v>
      </c>
      <c r="K91" s="332">
        <v>3840</v>
      </c>
      <c r="L91" s="332">
        <v>3840</v>
      </c>
      <c r="M91" s="332">
        <v>3840</v>
      </c>
      <c r="N91" s="332">
        <v>3840</v>
      </c>
      <c r="O91" s="332">
        <v>3840</v>
      </c>
      <c r="P91" s="332">
        <v>3840</v>
      </c>
      <c r="Q91" s="330"/>
    </row>
    <row r="92" spans="1:17">
      <c r="A92" s="328">
        <v>10</v>
      </c>
      <c r="B92" s="332">
        <v>3840</v>
      </c>
      <c r="C92" s="332">
        <v>3840</v>
      </c>
      <c r="D92" s="332">
        <v>3840</v>
      </c>
      <c r="E92" s="332">
        <v>3840</v>
      </c>
      <c r="F92" s="332">
        <v>3840</v>
      </c>
      <c r="G92" s="332">
        <v>3840</v>
      </c>
      <c r="H92" s="332">
        <v>3840</v>
      </c>
      <c r="I92" s="332">
        <v>3840</v>
      </c>
      <c r="J92" s="332">
        <v>3840</v>
      </c>
      <c r="K92" s="332">
        <v>3840</v>
      </c>
      <c r="L92" s="332">
        <v>3840</v>
      </c>
      <c r="M92" s="332">
        <v>3840</v>
      </c>
      <c r="N92" s="332">
        <v>3840</v>
      </c>
      <c r="O92" s="332">
        <v>3840</v>
      </c>
      <c r="P92" s="332">
        <v>3840</v>
      </c>
      <c r="Q92" s="330"/>
    </row>
    <row r="93" spans="1:17">
      <c r="A93" s="328">
        <v>12</v>
      </c>
      <c r="B93" s="332">
        <v>3840</v>
      </c>
      <c r="C93" s="332">
        <v>3840</v>
      </c>
      <c r="D93" s="332">
        <v>3840</v>
      </c>
      <c r="E93" s="332">
        <v>3840</v>
      </c>
      <c r="F93" s="332">
        <v>3840</v>
      </c>
      <c r="G93" s="332">
        <v>3840</v>
      </c>
      <c r="H93" s="332">
        <v>3840</v>
      </c>
      <c r="I93" s="332">
        <v>3840</v>
      </c>
      <c r="J93" s="332">
        <v>3840</v>
      </c>
      <c r="K93" s="332">
        <v>3840</v>
      </c>
      <c r="L93" s="332">
        <v>3840</v>
      </c>
      <c r="M93" s="332">
        <v>3840</v>
      </c>
      <c r="N93" s="332">
        <v>0</v>
      </c>
      <c r="O93" s="332">
        <v>0</v>
      </c>
      <c r="P93" s="332">
        <v>0</v>
      </c>
      <c r="Q93" s="330"/>
    </row>
    <row r="94" spans="1:17">
      <c r="A94" s="328">
        <v>13</v>
      </c>
      <c r="B94" s="332">
        <v>3840</v>
      </c>
      <c r="C94" s="332">
        <v>3840</v>
      </c>
      <c r="D94" s="332">
        <v>3840</v>
      </c>
      <c r="E94" s="332">
        <v>3840</v>
      </c>
      <c r="F94" s="332">
        <v>3840</v>
      </c>
      <c r="G94" s="332">
        <v>3840</v>
      </c>
      <c r="H94" s="332">
        <v>3840</v>
      </c>
      <c r="I94" s="332">
        <v>3840</v>
      </c>
      <c r="J94" s="332">
        <v>3840</v>
      </c>
      <c r="K94" s="332">
        <v>3840</v>
      </c>
      <c r="L94" s="332">
        <v>3840</v>
      </c>
      <c r="M94" s="332">
        <v>3840</v>
      </c>
      <c r="N94" s="332">
        <v>0</v>
      </c>
      <c r="O94" s="332">
        <v>0</v>
      </c>
      <c r="P94" s="332">
        <v>0</v>
      </c>
      <c r="Q94" s="330"/>
    </row>
    <row r="95" spans="1:17">
      <c r="A95" s="328">
        <v>14</v>
      </c>
      <c r="B95" s="332">
        <v>4440</v>
      </c>
      <c r="C95" s="332">
        <v>4440</v>
      </c>
      <c r="D95" s="332">
        <v>4440</v>
      </c>
      <c r="E95" s="332">
        <v>4440</v>
      </c>
      <c r="F95" s="332">
        <v>4440</v>
      </c>
      <c r="G95" s="332">
        <v>4440</v>
      </c>
      <c r="H95" s="332">
        <v>4440</v>
      </c>
      <c r="I95" s="332">
        <v>4440</v>
      </c>
      <c r="J95" s="332">
        <v>4440</v>
      </c>
      <c r="K95" s="332">
        <v>4440</v>
      </c>
      <c r="L95" s="332">
        <v>4440</v>
      </c>
      <c r="M95" s="332">
        <v>4440</v>
      </c>
      <c r="N95" s="332">
        <v>0</v>
      </c>
      <c r="O95" s="332">
        <v>0</v>
      </c>
      <c r="P95" s="332">
        <v>0</v>
      </c>
      <c r="Q95" s="330"/>
    </row>
    <row r="96" spans="1:17">
      <c r="A96" s="328">
        <v>15</v>
      </c>
      <c r="B96" s="332">
        <v>5400</v>
      </c>
      <c r="C96" s="332">
        <v>5400</v>
      </c>
      <c r="D96" s="332">
        <v>5400</v>
      </c>
      <c r="E96" s="332">
        <v>5400</v>
      </c>
      <c r="F96" s="332">
        <v>5400</v>
      </c>
      <c r="G96" s="332">
        <v>5400</v>
      </c>
      <c r="H96" s="332">
        <v>5400</v>
      </c>
      <c r="I96" s="332">
        <v>5400</v>
      </c>
      <c r="J96" s="332">
        <v>5400</v>
      </c>
      <c r="K96" s="332">
        <v>5400</v>
      </c>
      <c r="L96" s="332">
        <v>5400</v>
      </c>
      <c r="M96" s="332">
        <v>5400</v>
      </c>
      <c r="N96" s="332">
        <v>0</v>
      </c>
      <c r="O96" s="332">
        <v>0</v>
      </c>
      <c r="P96" s="332">
        <v>0</v>
      </c>
      <c r="Q96" s="330"/>
    </row>
    <row r="97" spans="1:17">
      <c r="A97" s="328">
        <v>16</v>
      </c>
      <c r="B97" s="332">
        <v>5400</v>
      </c>
      <c r="C97" s="332">
        <v>5400</v>
      </c>
      <c r="D97" s="332">
        <v>5400</v>
      </c>
      <c r="E97" s="332">
        <v>5400</v>
      </c>
      <c r="F97" s="332">
        <v>5400</v>
      </c>
      <c r="G97" s="332">
        <v>5400</v>
      </c>
      <c r="H97" s="332">
        <v>5400</v>
      </c>
      <c r="I97" s="332">
        <v>5400</v>
      </c>
      <c r="J97" s="332">
        <v>5400</v>
      </c>
      <c r="K97" s="332">
        <v>0</v>
      </c>
      <c r="L97" s="332">
        <v>0</v>
      </c>
      <c r="M97" s="332">
        <v>0</v>
      </c>
      <c r="N97" s="332">
        <v>0</v>
      </c>
      <c r="O97" s="332">
        <v>0</v>
      </c>
      <c r="P97" s="332">
        <v>0</v>
      </c>
      <c r="Q97" s="330"/>
    </row>
    <row r="98" spans="1:17">
      <c r="A98" s="328">
        <v>17</v>
      </c>
      <c r="B98" s="332">
        <v>5400</v>
      </c>
      <c r="C98" s="332">
        <v>5400</v>
      </c>
      <c r="D98" s="332">
        <v>5400</v>
      </c>
      <c r="E98" s="332">
        <v>5400</v>
      </c>
      <c r="F98" s="332">
        <v>5400</v>
      </c>
      <c r="G98" s="332">
        <v>5400</v>
      </c>
      <c r="H98" s="332">
        <v>5400</v>
      </c>
      <c r="I98" s="332">
        <v>5400</v>
      </c>
      <c r="J98" s="332">
        <v>5400</v>
      </c>
      <c r="K98" s="332">
        <v>0</v>
      </c>
      <c r="L98" s="332">
        <v>0</v>
      </c>
      <c r="M98" s="332">
        <v>0</v>
      </c>
      <c r="N98" s="332">
        <v>0</v>
      </c>
      <c r="O98" s="332">
        <v>0</v>
      </c>
      <c r="P98" s="332">
        <v>0</v>
      </c>
      <c r="Q98" s="330"/>
    </row>
    <row r="101" spans="1:17">
      <c r="A101" s="242" t="s">
        <v>4282</v>
      </c>
    </row>
    <row r="102" spans="1:17">
      <c r="A102" s="333" t="s">
        <v>4276</v>
      </c>
      <c r="B102" s="333">
        <v>1</v>
      </c>
      <c r="C102" s="333">
        <v>2</v>
      </c>
      <c r="D102" s="333">
        <f t="shared" ref="D102:P102" si="2">C102+1</f>
        <v>3</v>
      </c>
      <c r="E102" s="333">
        <f t="shared" si="2"/>
        <v>4</v>
      </c>
      <c r="F102" s="333">
        <f t="shared" si="2"/>
        <v>5</v>
      </c>
      <c r="G102" s="333">
        <f t="shared" si="2"/>
        <v>6</v>
      </c>
      <c r="H102" s="333">
        <f t="shared" si="2"/>
        <v>7</v>
      </c>
      <c r="I102" s="333">
        <f t="shared" si="2"/>
        <v>8</v>
      </c>
      <c r="J102" s="333">
        <f t="shared" si="2"/>
        <v>9</v>
      </c>
      <c r="K102" s="333">
        <f t="shared" si="2"/>
        <v>10</v>
      </c>
      <c r="L102" s="333">
        <f t="shared" si="2"/>
        <v>11</v>
      </c>
      <c r="M102" s="333">
        <f t="shared" si="2"/>
        <v>12</v>
      </c>
      <c r="N102" s="333">
        <f t="shared" si="2"/>
        <v>13</v>
      </c>
      <c r="O102" s="333">
        <f t="shared" si="2"/>
        <v>14</v>
      </c>
      <c r="P102" s="333">
        <f t="shared" si="2"/>
        <v>15</v>
      </c>
      <c r="Q102" s="333" t="s">
        <v>4277</v>
      </c>
    </row>
    <row r="103" spans="1:17">
      <c r="A103" s="242">
        <v>1</v>
      </c>
      <c r="B103">
        <v>15600</v>
      </c>
      <c r="C103">
        <f>+B103+Q103</f>
        <v>15960</v>
      </c>
      <c r="D103">
        <f>+C103+Q103</f>
        <v>16320</v>
      </c>
      <c r="E103">
        <f>+D103+Q103</f>
        <v>16680</v>
      </c>
      <c r="F103">
        <f>+E103+Q103</f>
        <v>17040</v>
      </c>
      <c r="G103">
        <f>+F103+Q103</f>
        <v>17400</v>
      </c>
      <c r="H103">
        <f>+G103+Q103</f>
        <v>17760</v>
      </c>
      <c r="I103">
        <f>+H103+Q103</f>
        <v>18120</v>
      </c>
      <c r="J103">
        <f>+I103+Q103</f>
        <v>18480</v>
      </c>
      <c r="K103">
        <f>+J103+Q103</f>
        <v>18840</v>
      </c>
      <c r="L103">
        <f>+K103+Q103</f>
        <v>19200</v>
      </c>
      <c r="M103">
        <f>+L103+Q103</f>
        <v>19560</v>
      </c>
      <c r="N103">
        <f>+M103+Q103</f>
        <v>19920</v>
      </c>
      <c r="O103">
        <f>+N103+Q103</f>
        <v>20280</v>
      </c>
      <c r="P103">
        <f>+O103+Q103</f>
        <v>20640</v>
      </c>
      <c r="Q103">
        <v>360</v>
      </c>
    </row>
    <row r="104" spans="1:17">
      <c r="A104" s="242">
        <v>2</v>
      </c>
      <c r="B104">
        <v>16224</v>
      </c>
      <c r="C104">
        <f t="shared" ref="C104:C118" si="3">+B104+Q104</f>
        <v>16704</v>
      </c>
      <c r="D104">
        <f t="shared" ref="D104:D118" si="4">+C104+Q104</f>
        <v>17184</v>
      </c>
      <c r="E104">
        <f t="shared" ref="E104:E118" si="5">+D104+Q104</f>
        <v>17664</v>
      </c>
      <c r="F104">
        <f t="shared" ref="F104:F118" si="6">+E104+Q104</f>
        <v>18144</v>
      </c>
      <c r="G104">
        <f t="shared" ref="G104:G118" si="7">+F104+Q104</f>
        <v>18624</v>
      </c>
      <c r="H104">
        <f t="shared" ref="H104:H118" si="8">+G104+Q104</f>
        <v>19104</v>
      </c>
      <c r="I104">
        <f t="shared" ref="I104:I118" si="9">+H104+Q104</f>
        <v>19584</v>
      </c>
      <c r="J104">
        <f t="shared" ref="J104:J118" si="10">+I104+Q104</f>
        <v>20064</v>
      </c>
      <c r="K104">
        <f t="shared" ref="K104:K118" si="11">+J104+Q104</f>
        <v>20544</v>
      </c>
      <c r="L104">
        <f t="shared" ref="L104:L118" si="12">+K104+Q104</f>
        <v>21024</v>
      </c>
      <c r="M104">
        <f t="shared" ref="M104:M118" si="13">+L104+Q104</f>
        <v>21504</v>
      </c>
      <c r="N104">
        <f t="shared" ref="N104:N118" si="14">+M104+Q104</f>
        <v>21984</v>
      </c>
      <c r="O104">
        <f t="shared" ref="O104:O118" si="15">+N104+Q104</f>
        <v>22464</v>
      </c>
      <c r="P104">
        <f t="shared" ref="P104:P118" si="16">+O104+Q104</f>
        <v>22944</v>
      </c>
      <c r="Q104">
        <v>480</v>
      </c>
    </row>
    <row r="105" spans="1:17">
      <c r="A105" s="242">
        <v>3</v>
      </c>
      <c r="B105">
        <v>16764</v>
      </c>
      <c r="C105">
        <f t="shared" si="3"/>
        <v>17364</v>
      </c>
      <c r="D105">
        <f t="shared" si="4"/>
        <v>17964</v>
      </c>
      <c r="E105">
        <f t="shared" si="5"/>
        <v>18564</v>
      </c>
      <c r="F105">
        <f t="shared" si="6"/>
        <v>19164</v>
      </c>
      <c r="G105">
        <f t="shared" si="7"/>
        <v>19764</v>
      </c>
      <c r="H105">
        <f t="shared" si="8"/>
        <v>20364</v>
      </c>
      <c r="I105">
        <f t="shared" si="9"/>
        <v>20964</v>
      </c>
      <c r="J105">
        <f t="shared" si="10"/>
        <v>21564</v>
      </c>
      <c r="K105">
        <f t="shared" si="11"/>
        <v>22164</v>
      </c>
      <c r="L105">
        <f t="shared" si="12"/>
        <v>22764</v>
      </c>
      <c r="M105">
        <f t="shared" si="13"/>
        <v>23364</v>
      </c>
      <c r="N105">
        <f t="shared" si="14"/>
        <v>23964</v>
      </c>
      <c r="O105">
        <f t="shared" si="15"/>
        <v>24564</v>
      </c>
      <c r="P105">
        <f t="shared" si="16"/>
        <v>25164</v>
      </c>
      <c r="Q105">
        <v>600</v>
      </c>
    </row>
    <row r="106" spans="1:17">
      <c r="A106" s="242">
        <v>4</v>
      </c>
      <c r="B106">
        <v>17604</v>
      </c>
      <c r="C106">
        <f t="shared" si="3"/>
        <v>18324</v>
      </c>
      <c r="D106">
        <f t="shared" si="4"/>
        <v>19044</v>
      </c>
      <c r="E106">
        <f t="shared" si="5"/>
        <v>19764</v>
      </c>
      <c r="F106">
        <f t="shared" si="6"/>
        <v>20484</v>
      </c>
      <c r="G106">
        <f t="shared" si="7"/>
        <v>21204</v>
      </c>
      <c r="H106">
        <f t="shared" si="8"/>
        <v>21924</v>
      </c>
      <c r="I106">
        <f t="shared" si="9"/>
        <v>22644</v>
      </c>
      <c r="J106">
        <f t="shared" si="10"/>
        <v>23364</v>
      </c>
      <c r="K106">
        <f t="shared" si="11"/>
        <v>24084</v>
      </c>
      <c r="L106">
        <f t="shared" si="12"/>
        <v>24804</v>
      </c>
      <c r="M106">
        <f t="shared" si="13"/>
        <v>25524</v>
      </c>
      <c r="N106">
        <f t="shared" si="14"/>
        <v>26244</v>
      </c>
      <c r="O106">
        <f t="shared" si="15"/>
        <v>26964</v>
      </c>
      <c r="P106">
        <f t="shared" si="16"/>
        <v>27684</v>
      </c>
      <c r="Q106">
        <v>720</v>
      </c>
    </row>
    <row r="107" spans="1:17">
      <c r="A107" s="242">
        <v>5</v>
      </c>
      <c r="B107">
        <v>20064</v>
      </c>
      <c r="C107">
        <f t="shared" si="3"/>
        <v>20904</v>
      </c>
      <c r="D107">
        <f t="shared" si="4"/>
        <v>21744</v>
      </c>
      <c r="E107">
        <f t="shared" si="5"/>
        <v>22584</v>
      </c>
      <c r="F107">
        <f t="shared" si="6"/>
        <v>23424</v>
      </c>
      <c r="G107">
        <f t="shared" si="7"/>
        <v>24264</v>
      </c>
      <c r="H107">
        <f t="shared" si="8"/>
        <v>25104</v>
      </c>
      <c r="I107">
        <f t="shared" si="9"/>
        <v>25944</v>
      </c>
      <c r="J107">
        <f t="shared" si="10"/>
        <v>26784</v>
      </c>
      <c r="K107">
        <f t="shared" si="11"/>
        <v>27624</v>
      </c>
      <c r="L107">
        <f t="shared" si="12"/>
        <v>28464</v>
      </c>
      <c r="M107">
        <f t="shared" si="13"/>
        <v>29304</v>
      </c>
      <c r="N107">
        <f t="shared" si="14"/>
        <v>30144</v>
      </c>
      <c r="O107">
        <f t="shared" si="15"/>
        <v>30984</v>
      </c>
      <c r="P107">
        <f t="shared" si="16"/>
        <v>31824</v>
      </c>
      <c r="Q107">
        <v>840</v>
      </c>
    </row>
    <row r="108" spans="1:17">
      <c r="A108" s="242">
        <v>6</v>
      </c>
      <c r="B108">
        <v>24660</v>
      </c>
      <c r="C108">
        <f t="shared" si="3"/>
        <v>25680</v>
      </c>
      <c r="D108">
        <f t="shared" si="4"/>
        <v>26700</v>
      </c>
      <c r="E108">
        <f t="shared" si="5"/>
        <v>27720</v>
      </c>
      <c r="F108">
        <f t="shared" si="6"/>
        <v>28740</v>
      </c>
      <c r="G108">
        <f t="shared" si="7"/>
        <v>29760</v>
      </c>
      <c r="H108">
        <f t="shared" si="8"/>
        <v>30780</v>
      </c>
      <c r="I108">
        <f t="shared" si="9"/>
        <v>31800</v>
      </c>
      <c r="J108">
        <f t="shared" si="10"/>
        <v>32820</v>
      </c>
      <c r="K108">
        <f t="shared" si="11"/>
        <v>33840</v>
      </c>
      <c r="L108">
        <f t="shared" si="12"/>
        <v>34860</v>
      </c>
      <c r="M108">
        <f t="shared" si="13"/>
        <v>35880</v>
      </c>
      <c r="N108">
        <f t="shared" si="14"/>
        <v>36900</v>
      </c>
      <c r="O108">
        <f t="shared" si="15"/>
        <v>37920</v>
      </c>
      <c r="P108">
        <f t="shared" si="16"/>
        <v>38940</v>
      </c>
      <c r="Q108">
        <v>1020</v>
      </c>
    </row>
    <row r="109" spans="1:17">
      <c r="A109" s="242">
        <v>7</v>
      </c>
      <c r="B109">
        <v>33072</v>
      </c>
      <c r="C109">
        <f t="shared" si="3"/>
        <v>34332</v>
      </c>
      <c r="D109">
        <f t="shared" si="4"/>
        <v>35592</v>
      </c>
      <c r="E109">
        <f t="shared" si="5"/>
        <v>36852</v>
      </c>
      <c r="F109">
        <f t="shared" si="6"/>
        <v>38112</v>
      </c>
      <c r="G109">
        <f t="shared" si="7"/>
        <v>39372</v>
      </c>
      <c r="H109">
        <f t="shared" si="8"/>
        <v>40632</v>
      </c>
      <c r="I109">
        <f t="shared" si="9"/>
        <v>41892</v>
      </c>
      <c r="J109">
        <f t="shared" si="10"/>
        <v>43152</v>
      </c>
      <c r="K109">
        <f t="shared" si="11"/>
        <v>44412</v>
      </c>
      <c r="L109">
        <f t="shared" si="12"/>
        <v>45672</v>
      </c>
      <c r="M109">
        <f t="shared" si="13"/>
        <v>46932</v>
      </c>
      <c r="N109">
        <f t="shared" si="14"/>
        <v>48192</v>
      </c>
      <c r="O109">
        <f t="shared" si="15"/>
        <v>49452</v>
      </c>
      <c r="P109">
        <f t="shared" si="16"/>
        <v>50712</v>
      </c>
      <c r="Q109">
        <v>1260</v>
      </c>
    </row>
    <row r="110" spans="1:17">
      <c r="A110" s="242">
        <v>8</v>
      </c>
      <c r="B110">
        <v>43428</v>
      </c>
      <c r="C110">
        <f t="shared" si="3"/>
        <v>44740</v>
      </c>
      <c r="D110">
        <f t="shared" si="4"/>
        <v>46052</v>
      </c>
      <c r="E110">
        <f t="shared" si="5"/>
        <v>47364</v>
      </c>
      <c r="F110">
        <f t="shared" si="6"/>
        <v>48676</v>
      </c>
      <c r="G110">
        <f t="shared" si="7"/>
        <v>49988</v>
      </c>
      <c r="H110">
        <f t="shared" si="8"/>
        <v>51300</v>
      </c>
      <c r="I110">
        <f t="shared" si="9"/>
        <v>52612</v>
      </c>
      <c r="J110">
        <f t="shared" si="10"/>
        <v>53924</v>
      </c>
      <c r="K110">
        <f t="shared" si="11"/>
        <v>55236</v>
      </c>
      <c r="L110">
        <f t="shared" si="12"/>
        <v>56548</v>
      </c>
      <c r="M110">
        <f t="shared" si="13"/>
        <v>57860</v>
      </c>
      <c r="N110">
        <f t="shared" si="14"/>
        <v>59172</v>
      </c>
      <c r="O110">
        <f t="shared" si="15"/>
        <v>60484</v>
      </c>
      <c r="P110">
        <f t="shared" si="16"/>
        <v>61796</v>
      </c>
      <c r="Q110">
        <v>1312</v>
      </c>
    </row>
    <row r="111" spans="1:17">
      <c r="A111" s="242">
        <v>9</v>
      </c>
      <c r="B111">
        <v>51192</v>
      </c>
      <c r="C111">
        <f t="shared" si="3"/>
        <v>52992</v>
      </c>
      <c r="D111">
        <f t="shared" si="4"/>
        <v>54792</v>
      </c>
      <c r="E111">
        <f t="shared" si="5"/>
        <v>56592</v>
      </c>
      <c r="F111">
        <f t="shared" si="6"/>
        <v>58392</v>
      </c>
      <c r="G111">
        <f t="shared" si="7"/>
        <v>60192</v>
      </c>
      <c r="H111">
        <f t="shared" si="8"/>
        <v>61992</v>
      </c>
      <c r="I111">
        <f t="shared" si="9"/>
        <v>63792</v>
      </c>
      <c r="J111">
        <f t="shared" si="10"/>
        <v>65592</v>
      </c>
      <c r="K111">
        <f t="shared" si="11"/>
        <v>67392</v>
      </c>
      <c r="L111">
        <f t="shared" si="12"/>
        <v>69192</v>
      </c>
      <c r="M111">
        <f t="shared" si="13"/>
        <v>70992</v>
      </c>
      <c r="N111">
        <f t="shared" si="14"/>
        <v>72792</v>
      </c>
      <c r="O111">
        <f t="shared" si="15"/>
        <v>74592</v>
      </c>
      <c r="P111">
        <f t="shared" si="16"/>
        <v>76392</v>
      </c>
      <c r="Q111">
        <v>1800</v>
      </c>
    </row>
    <row r="112" spans="1:17">
      <c r="A112" s="242">
        <v>10</v>
      </c>
      <c r="B112">
        <v>60264</v>
      </c>
      <c r="C112">
        <f t="shared" si="3"/>
        <v>62244</v>
      </c>
      <c r="D112">
        <f t="shared" si="4"/>
        <v>64224</v>
      </c>
      <c r="E112">
        <f t="shared" si="5"/>
        <v>66204</v>
      </c>
      <c r="F112">
        <f t="shared" si="6"/>
        <v>68184</v>
      </c>
      <c r="G112">
        <f t="shared" si="7"/>
        <v>70164</v>
      </c>
      <c r="H112">
        <f t="shared" si="8"/>
        <v>72144</v>
      </c>
      <c r="I112">
        <f t="shared" si="9"/>
        <v>74124</v>
      </c>
      <c r="J112">
        <f t="shared" si="10"/>
        <v>76104</v>
      </c>
      <c r="K112">
        <f t="shared" si="11"/>
        <v>78084</v>
      </c>
      <c r="L112">
        <f t="shared" si="12"/>
        <v>80064</v>
      </c>
      <c r="M112">
        <f t="shared" si="13"/>
        <v>82044</v>
      </c>
      <c r="N112">
        <f t="shared" si="14"/>
        <v>84024</v>
      </c>
      <c r="O112">
        <f t="shared" si="15"/>
        <v>86004</v>
      </c>
      <c r="P112">
        <f t="shared" si="16"/>
        <v>87984</v>
      </c>
      <c r="Q112">
        <v>1980</v>
      </c>
    </row>
    <row r="113" spans="1:17">
      <c r="A113" s="242">
        <v>12</v>
      </c>
      <c r="B113">
        <v>70848</v>
      </c>
      <c r="C113">
        <f t="shared" si="3"/>
        <v>73980</v>
      </c>
      <c r="D113">
        <f t="shared" si="4"/>
        <v>77112</v>
      </c>
      <c r="E113">
        <f t="shared" si="5"/>
        <v>80244</v>
      </c>
      <c r="F113">
        <f t="shared" si="6"/>
        <v>83376</v>
      </c>
      <c r="G113">
        <f t="shared" si="7"/>
        <v>86508</v>
      </c>
      <c r="H113">
        <f t="shared" si="8"/>
        <v>89640</v>
      </c>
      <c r="I113">
        <f t="shared" si="9"/>
        <v>92772</v>
      </c>
      <c r="J113">
        <f t="shared" si="10"/>
        <v>95904</v>
      </c>
      <c r="K113">
        <f t="shared" si="11"/>
        <v>99036</v>
      </c>
      <c r="L113">
        <f t="shared" si="12"/>
        <v>102168</v>
      </c>
      <c r="M113">
        <f t="shared" si="13"/>
        <v>105300</v>
      </c>
      <c r="N113">
        <f t="shared" si="14"/>
        <v>108432</v>
      </c>
      <c r="O113">
        <f t="shared" si="15"/>
        <v>111564</v>
      </c>
      <c r="P113">
        <f t="shared" si="16"/>
        <v>114696</v>
      </c>
      <c r="Q113">
        <v>3132</v>
      </c>
    </row>
    <row r="114" spans="1:17">
      <c r="A114" s="242">
        <v>13</v>
      </c>
      <c r="B114">
        <v>79212</v>
      </c>
      <c r="C114">
        <f t="shared" si="3"/>
        <v>82524</v>
      </c>
      <c r="D114">
        <f t="shared" si="4"/>
        <v>85836</v>
      </c>
      <c r="E114">
        <f t="shared" si="5"/>
        <v>89148</v>
      </c>
      <c r="F114">
        <f t="shared" si="6"/>
        <v>92460</v>
      </c>
      <c r="G114">
        <f t="shared" si="7"/>
        <v>95772</v>
      </c>
      <c r="H114">
        <f t="shared" si="8"/>
        <v>99084</v>
      </c>
      <c r="I114">
        <f t="shared" si="9"/>
        <v>102396</v>
      </c>
      <c r="J114">
        <f t="shared" si="10"/>
        <v>105708</v>
      </c>
      <c r="K114">
        <f t="shared" si="11"/>
        <v>109020</v>
      </c>
      <c r="L114">
        <f t="shared" si="12"/>
        <v>112332</v>
      </c>
      <c r="M114">
        <f t="shared" si="13"/>
        <v>115644</v>
      </c>
      <c r="N114">
        <f t="shared" si="14"/>
        <v>118956</v>
      </c>
      <c r="O114">
        <f t="shared" si="15"/>
        <v>122268</v>
      </c>
      <c r="P114">
        <f t="shared" si="16"/>
        <v>125580</v>
      </c>
      <c r="Q114">
        <v>3312</v>
      </c>
    </row>
    <row r="115" spans="1:17">
      <c r="A115" s="242">
        <v>14</v>
      </c>
      <c r="B115">
        <v>87612</v>
      </c>
      <c r="C115">
        <f t="shared" si="3"/>
        <v>91176</v>
      </c>
      <c r="D115">
        <f t="shared" si="4"/>
        <v>94740</v>
      </c>
      <c r="E115">
        <f t="shared" si="5"/>
        <v>98304</v>
      </c>
      <c r="F115">
        <f t="shared" si="6"/>
        <v>101868</v>
      </c>
      <c r="G115">
        <f t="shared" si="7"/>
        <v>105432</v>
      </c>
      <c r="H115">
        <f t="shared" si="8"/>
        <v>108996</v>
      </c>
      <c r="I115">
        <f t="shared" si="9"/>
        <v>112560</v>
      </c>
      <c r="J115">
        <f t="shared" si="10"/>
        <v>116124</v>
      </c>
      <c r="K115">
        <f t="shared" si="11"/>
        <v>119688</v>
      </c>
      <c r="L115">
        <f t="shared" si="12"/>
        <v>123252</v>
      </c>
      <c r="M115">
        <f t="shared" si="13"/>
        <v>126816</v>
      </c>
      <c r="N115">
        <f t="shared" si="14"/>
        <v>130380</v>
      </c>
      <c r="O115">
        <f t="shared" si="15"/>
        <v>133944</v>
      </c>
      <c r="P115">
        <f t="shared" si="16"/>
        <v>137508</v>
      </c>
      <c r="Q115">
        <v>3564</v>
      </c>
    </row>
    <row r="116" spans="1:17">
      <c r="A116" s="242">
        <v>15</v>
      </c>
      <c r="B116">
        <v>97966</v>
      </c>
      <c r="C116">
        <f t="shared" si="3"/>
        <v>102778</v>
      </c>
      <c r="D116">
        <f t="shared" si="4"/>
        <v>107590</v>
      </c>
      <c r="E116">
        <f t="shared" si="5"/>
        <v>112402</v>
      </c>
      <c r="F116">
        <f t="shared" si="6"/>
        <v>117214</v>
      </c>
      <c r="G116">
        <f t="shared" si="7"/>
        <v>122026</v>
      </c>
      <c r="H116">
        <f t="shared" si="8"/>
        <v>126838</v>
      </c>
      <c r="I116">
        <f t="shared" si="9"/>
        <v>131650</v>
      </c>
      <c r="J116">
        <f t="shared" si="10"/>
        <v>136462</v>
      </c>
      <c r="K116">
        <f t="shared" si="11"/>
        <v>141274</v>
      </c>
      <c r="L116">
        <f t="shared" si="12"/>
        <v>146086</v>
      </c>
      <c r="M116">
        <f t="shared" si="13"/>
        <v>150898</v>
      </c>
      <c r="N116">
        <f t="shared" si="14"/>
        <v>155710</v>
      </c>
      <c r="O116">
        <f t="shared" si="15"/>
        <v>160522</v>
      </c>
      <c r="P116">
        <f t="shared" si="16"/>
        <v>165334</v>
      </c>
      <c r="Q116">
        <v>4812</v>
      </c>
    </row>
    <row r="117" spans="1:17">
      <c r="A117" s="242">
        <v>16</v>
      </c>
      <c r="B117">
        <v>106360</v>
      </c>
      <c r="C117">
        <f t="shared" si="3"/>
        <v>112144</v>
      </c>
      <c r="D117">
        <f t="shared" si="4"/>
        <v>117928</v>
      </c>
      <c r="E117">
        <f t="shared" si="5"/>
        <v>123712</v>
      </c>
      <c r="F117">
        <f t="shared" si="6"/>
        <v>129496</v>
      </c>
      <c r="G117">
        <f t="shared" si="7"/>
        <v>135280</v>
      </c>
      <c r="H117">
        <f t="shared" si="8"/>
        <v>141064</v>
      </c>
      <c r="I117">
        <f t="shared" si="9"/>
        <v>146848</v>
      </c>
      <c r="J117">
        <f t="shared" si="10"/>
        <v>152632</v>
      </c>
      <c r="K117">
        <f t="shared" si="11"/>
        <v>158416</v>
      </c>
      <c r="L117">
        <f t="shared" si="12"/>
        <v>164200</v>
      </c>
      <c r="M117">
        <f t="shared" si="13"/>
        <v>169984</v>
      </c>
      <c r="N117">
        <f t="shared" si="14"/>
        <v>175768</v>
      </c>
      <c r="O117">
        <f t="shared" si="15"/>
        <v>181552</v>
      </c>
      <c r="P117">
        <f t="shared" si="16"/>
        <v>187336</v>
      </c>
      <c r="Q117">
        <v>5784</v>
      </c>
    </row>
    <row r="118" spans="1:17">
      <c r="A118" s="242">
        <v>17</v>
      </c>
      <c r="B118">
        <v>120815</v>
      </c>
      <c r="C118">
        <f t="shared" si="3"/>
        <v>127379</v>
      </c>
      <c r="D118">
        <f t="shared" si="4"/>
        <v>133943</v>
      </c>
      <c r="E118">
        <f t="shared" si="5"/>
        <v>140507</v>
      </c>
      <c r="F118">
        <f t="shared" si="6"/>
        <v>147071</v>
      </c>
      <c r="G118">
        <f t="shared" si="7"/>
        <v>153635</v>
      </c>
      <c r="H118">
        <f t="shared" si="8"/>
        <v>160199</v>
      </c>
      <c r="I118">
        <f t="shared" si="9"/>
        <v>166763</v>
      </c>
      <c r="J118">
        <f t="shared" si="10"/>
        <v>173327</v>
      </c>
      <c r="K118">
        <f t="shared" si="11"/>
        <v>179891</v>
      </c>
      <c r="L118">
        <f t="shared" si="12"/>
        <v>186455</v>
      </c>
      <c r="M118">
        <f t="shared" si="13"/>
        <v>193019</v>
      </c>
      <c r="N118">
        <f t="shared" si="14"/>
        <v>199583</v>
      </c>
      <c r="O118">
        <f t="shared" si="15"/>
        <v>206147</v>
      </c>
      <c r="P118">
        <f t="shared" si="16"/>
        <v>212711</v>
      </c>
      <c r="Q118">
        <v>6564</v>
      </c>
    </row>
    <row r="121" spans="1:17">
      <c r="A121" s="242" t="s">
        <v>4283</v>
      </c>
    </row>
    <row r="122" spans="1:17">
      <c r="A122" s="333" t="s">
        <v>4276</v>
      </c>
      <c r="B122" s="333">
        <v>1</v>
      </c>
      <c r="C122" s="333">
        <v>2</v>
      </c>
      <c r="D122" s="333">
        <f t="shared" ref="D122:P122" si="17">C122+1</f>
        <v>3</v>
      </c>
      <c r="E122" s="333">
        <f t="shared" si="17"/>
        <v>4</v>
      </c>
      <c r="F122" s="333">
        <f t="shared" si="17"/>
        <v>5</v>
      </c>
      <c r="G122" s="333">
        <f t="shared" si="17"/>
        <v>6</v>
      </c>
      <c r="H122" s="333">
        <f t="shared" si="17"/>
        <v>7</v>
      </c>
      <c r="I122" s="333">
        <f t="shared" si="17"/>
        <v>8</v>
      </c>
      <c r="J122" s="333">
        <f t="shared" si="17"/>
        <v>9</v>
      </c>
      <c r="K122" s="333">
        <f t="shared" si="17"/>
        <v>10</v>
      </c>
      <c r="L122" s="333">
        <f t="shared" si="17"/>
        <v>11</v>
      </c>
      <c r="M122" s="333">
        <f t="shared" si="17"/>
        <v>12</v>
      </c>
      <c r="N122" s="333">
        <f t="shared" si="17"/>
        <v>13</v>
      </c>
      <c r="O122" s="333">
        <f t="shared" si="17"/>
        <v>14</v>
      </c>
      <c r="P122" s="333">
        <f t="shared" si="17"/>
        <v>15</v>
      </c>
      <c r="Q122" s="333" t="s">
        <v>4277</v>
      </c>
    </row>
    <row r="123" spans="1:17">
      <c r="A123" s="242">
        <v>1</v>
      </c>
      <c r="B123">
        <v>1083.3</v>
      </c>
      <c r="C123">
        <f>+B123+Q123</f>
        <v>1108.3</v>
      </c>
      <c r="D123">
        <f>+C123+Q123</f>
        <v>1133.3</v>
      </c>
      <c r="E123">
        <f>+D123+Q123</f>
        <v>1158.3</v>
      </c>
      <c r="F123">
        <f>+E123+Q123</f>
        <v>1183.3</v>
      </c>
      <c r="G123">
        <f>+F123+Q123</f>
        <v>1208.3</v>
      </c>
      <c r="H123">
        <f>+G123+Q123</f>
        <v>1233.3</v>
      </c>
      <c r="I123">
        <f>+H123+Q123</f>
        <v>1258.3</v>
      </c>
      <c r="J123">
        <f>+I123+Q123</f>
        <v>1283.3</v>
      </c>
      <c r="K123">
        <f>+J123+Q123</f>
        <v>1308.3</v>
      </c>
      <c r="L123">
        <f>+K123+Q123</f>
        <v>1333.3</v>
      </c>
      <c r="M123">
        <f>+L123+Q123</f>
        <v>1358.3</v>
      </c>
      <c r="N123">
        <f>+M123+Q123</f>
        <v>1383.3</v>
      </c>
      <c r="O123">
        <f>+N123+Q123</f>
        <v>1408.3</v>
      </c>
      <c r="P123">
        <f>+O123+Q123</f>
        <v>1433.3</v>
      </c>
      <c r="Q123">
        <v>25</v>
      </c>
    </row>
    <row r="124" spans="1:17">
      <c r="A124" s="242">
        <v>2</v>
      </c>
      <c r="B124">
        <v>1126.7</v>
      </c>
      <c r="C124">
        <f t="shared" ref="C124:C138" si="18">+B124+Q124</f>
        <v>1160.03</v>
      </c>
      <c r="D124">
        <f t="shared" ref="D124:D138" si="19">+C124+Q124</f>
        <v>1193.3599999999999</v>
      </c>
      <c r="E124">
        <f t="shared" ref="E124:E138" si="20">+D124+Q124</f>
        <v>1226.6899999999998</v>
      </c>
      <c r="F124">
        <f t="shared" ref="F124:F138" si="21">+E124+Q124</f>
        <v>1260.0199999999998</v>
      </c>
      <c r="G124">
        <f t="shared" ref="G124:G138" si="22">+F124+Q124</f>
        <v>1293.3499999999997</v>
      </c>
      <c r="H124">
        <f t="shared" ref="H124:H138" si="23">+G124+Q124</f>
        <v>1326.6799999999996</v>
      </c>
      <c r="I124">
        <f t="shared" ref="I124:I138" si="24">+H124+Q124</f>
        <v>1360.0099999999995</v>
      </c>
      <c r="J124">
        <f t="shared" ref="J124:J138" si="25">+I124+Q124</f>
        <v>1393.3399999999995</v>
      </c>
      <c r="K124">
        <f t="shared" ref="K124:K136" si="26">+J124+Q124</f>
        <v>1426.6699999999994</v>
      </c>
      <c r="L124">
        <f t="shared" ref="L124:L136" si="27">+K124+Q124</f>
        <v>1459.9999999999993</v>
      </c>
      <c r="M124">
        <f t="shared" ref="M124:M136" si="28">+L124+Q124</f>
        <v>1493.3299999999992</v>
      </c>
      <c r="N124">
        <f t="shared" ref="N124:N132" si="29">+M124+Q124</f>
        <v>1526.6599999999992</v>
      </c>
      <c r="O124">
        <f t="shared" ref="O124:O132" si="30">+N124+Q124</f>
        <v>1559.9899999999991</v>
      </c>
      <c r="P124">
        <f t="shared" ref="P124:P132" si="31">+O124+Q124</f>
        <v>1593.319999999999</v>
      </c>
      <c r="Q124">
        <v>33.33</v>
      </c>
    </row>
    <row r="125" spans="1:17">
      <c r="A125" s="242">
        <v>3</v>
      </c>
      <c r="B125">
        <v>1164.2</v>
      </c>
      <c r="C125">
        <f t="shared" si="18"/>
        <v>1205.8700000000001</v>
      </c>
      <c r="D125">
        <f t="shared" si="19"/>
        <v>1247.5400000000002</v>
      </c>
      <c r="E125">
        <f t="shared" si="20"/>
        <v>1289.2100000000003</v>
      </c>
      <c r="F125">
        <f t="shared" si="21"/>
        <v>1330.8800000000003</v>
      </c>
      <c r="G125">
        <f t="shared" si="22"/>
        <v>1372.5500000000004</v>
      </c>
      <c r="H125">
        <f t="shared" si="23"/>
        <v>1414.2200000000005</v>
      </c>
      <c r="I125">
        <f t="shared" si="24"/>
        <v>1455.8900000000006</v>
      </c>
      <c r="J125">
        <f t="shared" si="25"/>
        <v>1497.5600000000006</v>
      </c>
      <c r="K125">
        <f t="shared" si="26"/>
        <v>1539.2300000000007</v>
      </c>
      <c r="L125">
        <f t="shared" si="27"/>
        <v>1580.9000000000008</v>
      </c>
      <c r="M125">
        <f t="shared" si="28"/>
        <v>1622.5700000000008</v>
      </c>
      <c r="N125">
        <f t="shared" si="29"/>
        <v>1664.2400000000009</v>
      </c>
      <c r="O125">
        <f t="shared" si="30"/>
        <v>1705.910000000001</v>
      </c>
      <c r="P125">
        <f t="shared" si="31"/>
        <v>1747.5800000000011</v>
      </c>
      <c r="Q125">
        <v>41.67</v>
      </c>
    </row>
    <row r="126" spans="1:17">
      <c r="A126" s="242">
        <v>4</v>
      </c>
      <c r="B126">
        <v>1222.5</v>
      </c>
      <c r="C126">
        <f t="shared" si="18"/>
        <v>1272.5</v>
      </c>
      <c r="D126">
        <f t="shared" si="19"/>
        <v>1322.5</v>
      </c>
      <c r="E126">
        <f t="shared" si="20"/>
        <v>1372.5</v>
      </c>
      <c r="F126">
        <f t="shared" si="21"/>
        <v>1422.5</v>
      </c>
      <c r="G126">
        <f t="shared" si="22"/>
        <v>1472.5</v>
      </c>
      <c r="H126">
        <f t="shared" si="23"/>
        <v>1522.5</v>
      </c>
      <c r="I126">
        <f t="shared" si="24"/>
        <v>1572.5</v>
      </c>
      <c r="J126">
        <f t="shared" si="25"/>
        <v>1622.5</v>
      </c>
      <c r="K126">
        <f t="shared" si="26"/>
        <v>1672.5</v>
      </c>
      <c r="L126">
        <f t="shared" si="27"/>
        <v>1722.5</v>
      </c>
      <c r="M126">
        <f t="shared" si="28"/>
        <v>1772.5</v>
      </c>
      <c r="N126">
        <f t="shared" si="29"/>
        <v>1822.5</v>
      </c>
      <c r="O126">
        <f t="shared" si="30"/>
        <v>1872.5</v>
      </c>
      <c r="P126">
        <f t="shared" si="31"/>
        <v>1922.5</v>
      </c>
      <c r="Q126">
        <v>50</v>
      </c>
    </row>
    <row r="127" spans="1:17">
      <c r="A127" s="242">
        <v>5</v>
      </c>
      <c r="B127">
        <v>1393.3</v>
      </c>
      <c r="C127">
        <f t="shared" si="18"/>
        <v>1451.6399999999999</v>
      </c>
      <c r="D127">
        <f t="shared" si="19"/>
        <v>1509.9799999999998</v>
      </c>
      <c r="E127">
        <f t="shared" si="20"/>
        <v>1568.3199999999997</v>
      </c>
      <c r="F127">
        <f t="shared" si="21"/>
        <v>1626.6599999999996</v>
      </c>
      <c r="G127">
        <f t="shared" si="22"/>
        <v>1684.9999999999995</v>
      </c>
      <c r="H127">
        <f t="shared" si="23"/>
        <v>1743.3399999999995</v>
      </c>
      <c r="I127">
        <f t="shared" si="24"/>
        <v>1801.6799999999994</v>
      </c>
      <c r="J127">
        <f t="shared" si="25"/>
        <v>1860.0199999999993</v>
      </c>
      <c r="K127">
        <f t="shared" si="26"/>
        <v>1918.3599999999992</v>
      </c>
      <c r="L127">
        <f t="shared" si="27"/>
        <v>1976.6999999999991</v>
      </c>
      <c r="M127">
        <f t="shared" si="28"/>
        <v>2035.0399999999991</v>
      </c>
      <c r="N127">
        <f t="shared" si="29"/>
        <v>2093.3799999999992</v>
      </c>
      <c r="O127">
        <f t="shared" si="30"/>
        <v>2151.7199999999993</v>
      </c>
      <c r="P127">
        <f t="shared" si="31"/>
        <v>2210.0599999999995</v>
      </c>
      <c r="Q127">
        <v>58.34</v>
      </c>
    </row>
    <row r="128" spans="1:17">
      <c r="A128" s="242">
        <v>6</v>
      </c>
      <c r="B128">
        <v>1712.5</v>
      </c>
      <c r="C128">
        <f t="shared" si="18"/>
        <v>1783.34</v>
      </c>
      <c r="D128">
        <f t="shared" si="19"/>
        <v>1854.1799999999998</v>
      </c>
      <c r="E128">
        <f t="shared" si="20"/>
        <v>1925.0199999999998</v>
      </c>
      <c r="F128">
        <f t="shared" si="21"/>
        <v>1995.8599999999997</v>
      </c>
      <c r="G128">
        <f t="shared" si="22"/>
        <v>2066.6999999999998</v>
      </c>
      <c r="H128">
        <f t="shared" si="23"/>
        <v>2137.54</v>
      </c>
      <c r="I128">
        <f t="shared" si="24"/>
        <v>2208.38</v>
      </c>
      <c r="J128">
        <f t="shared" si="25"/>
        <v>2279.2200000000003</v>
      </c>
      <c r="K128">
        <f t="shared" si="26"/>
        <v>2350.0600000000004</v>
      </c>
      <c r="L128">
        <f t="shared" si="27"/>
        <v>2420.9000000000005</v>
      </c>
      <c r="M128">
        <f t="shared" si="28"/>
        <v>2491.7400000000007</v>
      </c>
      <c r="N128">
        <f t="shared" si="29"/>
        <v>2562.5800000000008</v>
      </c>
      <c r="O128">
        <f t="shared" si="30"/>
        <v>2633.420000000001</v>
      </c>
      <c r="P128">
        <f t="shared" si="31"/>
        <v>2704.2600000000011</v>
      </c>
      <c r="Q128">
        <v>70.84</v>
      </c>
    </row>
    <row r="129" spans="1:17">
      <c r="A129" s="242">
        <v>7</v>
      </c>
      <c r="B129">
        <v>2296.6999999999998</v>
      </c>
      <c r="C129">
        <f t="shared" si="18"/>
        <v>2384.1999999999998</v>
      </c>
      <c r="D129">
        <f t="shared" si="19"/>
        <v>2471.6999999999998</v>
      </c>
      <c r="E129">
        <f t="shared" si="20"/>
        <v>2559.1999999999998</v>
      </c>
      <c r="F129">
        <f t="shared" si="21"/>
        <v>2646.7</v>
      </c>
      <c r="G129">
        <f t="shared" si="22"/>
        <v>2734.2</v>
      </c>
      <c r="H129">
        <f t="shared" si="23"/>
        <v>2821.7</v>
      </c>
      <c r="I129">
        <f t="shared" si="24"/>
        <v>2909.2</v>
      </c>
      <c r="J129">
        <f t="shared" si="25"/>
        <v>2996.7</v>
      </c>
      <c r="K129">
        <f t="shared" si="26"/>
        <v>3084.2</v>
      </c>
      <c r="L129">
        <f t="shared" si="27"/>
        <v>3171.7</v>
      </c>
      <c r="M129">
        <f t="shared" si="28"/>
        <v>3259.2</v>
      </c>
      <c r="N129">
        <f t="shared" si="29"/>
        <v>3346.7</v>
      </c>
      <c r="O129">
        <f t="shared" si="30"/>
        <v>3434.2</v>
      </c>
      <c r="P129">
        <f t="shared" si="31"/>
        <v>3521.7</v>
      </c>
      <c r="Q129">
        <v>87.5</v>
      </c>
    </row>
    <row r="130" spans="1:17">
      <c r="A130" s="242">
        <v>8</v>
      </c>
      <c r="B130">
        <v>3015.8</v>
      </c>
      <c r="C130">
        <f t="shared" si="18"/>
        <v>3106.9</v>
      </c>
      <c r="D130">
        <f t="shared" si="19"/>
        <v>3198</v>
      </c>
      <c r="E130">
        <f t="shared" si="20"/>
        <v>3289.1</v>
      </c>
      <c r="F130">
        <f t="shared" si="21"/>
        <v>3380.2</v>
      </c>
      <c r="G130">
        <f t="shared" si="22"/>
        <v>3471.2999999999997</v>
      </c>
      <c r="H130">
        <f t="shared" si="23"/>
        <v>3562.3999999999996</v>
      </c>
      <c r="I130">
        <f t="shared" si="24"/>
        <v>3653.4999999999995</v>
      </c>
      <c r="J130">
        <f t="shared" si="25"/>
        <v>3744.5999999999995</v>
      </c>
      <c r="K130">
        <f t="shared" si="26"/>
        <v>3835.6999999999994</v>
      </c>
      <c r="L130">
        <f t="shared" si="27"/>
        <v>3926.7999999999993</v>
      </c>
      <c r="M130">
        <f t="shared" si="28"/>
        <v>4017.8999999999992</v>
      </c>
      <c r="N130">
        <f t="shared" si="29"/>
        <v>4108.9999999999991</v>
      </c>
      <c r="O130">
        <f t="shared" si="30"/>
        <v>4200.0999999999995</v>
      </c>
      <c r="P130">
        <f t="shared" si="31"/>
        <v>4291.2</v>
      </c>
      <c r="Q130">
        <v>91.1</v>
      </c>
    </row>
    <row r="131" spans="1:17">
      <c r="A131" s="242">
        <v>9</v>
      </c>
      <c r="B131">
        <v>3555</v>
      </c>
      <c r="C131">
        <f t="shared" si="18"/>
        <v>3680</v>
      </c>
      <c r="D131">
        <f t="shared" si="19"/>
        <v>3805</v>
      </c>
      <c r="E131">
        <f t="shared" si="20"/>
        <v>3930</v>
      </c>
      <c r="F131">
        <f t="shared" si="21"/>
        <v>4055</v>
      </c>
      <c r="G131">
        <f t="shared" si="22"/>
        <v>4180</v>
      </c>
      <c r="H131">
        <f t="shared" si="23"/>
        <v>4305</v>
      </c>
      <c r="I131">
        <f t="shared" si="24"/>
        <v>4430</v>
      </c>
      <c r="J131">
        <f t="shared" si="25"/>
        <v>4555</v>
      </c>
      <c r="K131">
        <f t="shared" si="26"/>
        <v>4680</v>
      </c>
      <c r="L131">
        <f t="shared" si="27"/>
        <v>4805</v>
      </c>
      <c r="M131">
        <f t="shared" si="28"/>
        <v>4930</v>
      </c>
      <c r="N131">
        <f t="shared" si="29"/>
        <v>5055</v>
      </c>
      <c r="O131">
        <f t="shared" si="30"/>
        <v>5180</v>
      </c>
      <c r="P131">
        <f t="shared" si="31"/>
        <v>5305</v>
      </c>
      <c r="Q131">
        <v>125</v>
      </c>
    </row>
    <row r="132" spans="1:17">
      <c r="A132" s="242">
        <v>10</v>
      </c>
      <c r="B132">
        <v>4185</v>
      </c>
      <c r="C132">
        <f t="shared" si="18"/>
        <v>4322.5</v>
      </c>
      <c r="D132">
        <f t="shared" si="19"/>
        <v>4460</v>
      </c>
      <c r="E132">
        <f t="shared" si="20"/>
        <v>4597.5</v>
      </c>
      <c r="F132">
        <f t="shared" si="21"/>
        <v>4735</v>
      </c>
      <c r="G132">
        <f t="shared" si="22"/>
        <v>4872.5</v>
      </c>
      <c r="H132">
        <f t="shared" si="23"/>
        <v>5010</v>
      </c>
      <c r="I132">
        <f t="shared" si="24"/>
        <v>5147.5</v>
      </c>
      <c r="J132">
        <f t="shared" si="25"/>
        <v>5285</v>
      </c>
      <c r="K132">
        <f t="shared" si="26"/>
        <v>5422.5</v>
      </c>
      <c r="L132">
        <f t="shared" si="27"/>
        <v>5560</v>
      </c>
      <c r="M132">
        <f t="shared" si="28"/>
        <v>5697.5</v>
      </c>
      <c r="N132">
        <f t="shared" si="29"/>
        <v>5835</v>
      </c>
      <c r="O132">
        <f t="shared" si="30"/>
        <v>5972.5</v>
      </c>
      <c r="P132">
        <f t="shared" si="31"/>
        <v>6110</v>
      </c>
      <c r="Q132">
        <v>137.5</v>
      </c>
    </row>
    <row r="133" spans="1:17">
      <c r="A133" s="242">
        <v>12</v>
      </c>
      <c r="B133">
        <v>4920</v>
      </c>
      <c r="C133">
        <f t="shared" si="18"/>
        <v>5137.5</v>
      </c>
      <c r="D133">
        <f t="shared" si="19"/>
        <v>5355</v>
      </c>
      <c r="E133">
        <f t="shared" si="20"/>
        <v>5572.5</v>
      </c>
      <c r="F133">
        <f t="shared" si="21"/>
        <v>5790</v>
      </c>
      <c r="G133">
        <f t="shared" si="22"/>
        <v>6007.5</v>
      </c>
      <c r="H133">
        <f t="shared" si="23"/>
        <v>6225</v>
      </c>
      <c r="I133">
        <f t="shared" si="24"/>
        <v>6442.5</v>
      </c>
      <c r="J133">
        <f t="shared" si="25"/>
        <v>6660</v>
      </c>
      <c r="K133">
        <f t="shared" si="26"/>
        <v>6877.5</v>
      </c>
      <c r="L133">
        <f t="shared" si="27"/>
        <v>7095</v>
      </c>
      <c r="M133">
        <f t="shared" si="28"/>
        <v>7312.5</v>
      </c>
      <c r="Q133">
        <v>217.5</v>
      </c>
    </row>
    <row r="134" spans="1:17">
      <c r="A134" s="242">
        <v>13</v>
      </c>
      <c r="B134">
        <v>5500.8</v>
      </c>
      <c r="C134">
        <f t="shared" si="18"/>
        <v>5730.8</v>
      </c>
      <c r="D134">
        <f t="shared" si="19"/>
        <v>5960.8</v>
      </c>
      <c r="E134">
        <f t="shared" si="20"/>
        <v>6190.8</v>
      </c>
      <c r="F134">
        <f t="shared" si="21"/>
        <v>6420.8</v>
      </c>
      <c r="G134">
        <f t="shared" si="22"/>
        <v>6650.8</v>
      </c>
      <c r="H134">
        <f t="shared" si="23"/>
        <v>6880.8</v>
      </c>
      <c r="I134">
        <f t="shared" si="24"/>
        <v>7110.8</v>
      </c>
      <c r="J134">
        <f t="shared" si="25"/>
        <v>7340.8</v>
      </c>
      <c r="K134">
        <f t="shared" si="26"/>
        <v>7570.8</v>
      </c>
      <c r="L134">
        <f t="shared" si="27"/>
        <v>7800.8</v>
      </c>
      <c r="M134">
        <f t="shared" si="28"/>
        <v>8030.8</v>
      </c>
      <c r="Q134">
        <v>230</v>
      </c>
    </row>
    <row r="135" spans="1:17">
      <c r="A135" s="242">
        <v>14</v>
      </c>
      <c r="B135">
        <v>6084.2</v>
      </c>
      <c r="C135">
        <f t="shared" si="18"/>
        <v>6331.7</v>
      </c>
      <c r="D135">
        <f t="shared" si="19"/>
        <v>6579.2</v>
      </c>
      <c r="E135">
        <f t="shared" si="20"/>
        <v>6826.7</v>
      </c>
      <c r="F135">
        <f t="shared" si="21"/>
        <v>7074.2</v>
      </c>
      <c r="G135">
        <f t="shared" si="22"/>
        <v>7321.7</v>
      </c>
      <c r="H135">
        <f t="shared" si="23"/>
        <v>7569.2</v>
      </c>
      <c r="I135">
        <f t="shared" si="24"/>
        <v>7816.7</v>
      </c>
      <c r="J135">
        <f t="shared" si="25"/>
        <v>8064.2</v>
      </c>
      <c r="K135">
        <f t="shared" si="26"/>
        <v>8311.7000000000007</v>
      </c>
      <c r="L135">
        <f t="shared" si="27"/>
        <v>8559.2000000000007</v>
      </c>
      <c r="M135">
        <f t="shared" si="28"/>
        <v>8806.7000000000007</v>
      </c>
      <c r="Q135">
        <v>247.5</v>
      </c>
    </row>
    <row r="136" spans="1:17">
      <c r="A136" s="242">
        <v>15</v>
      </c>
      <c r="B136">
        <v>6803.2</v>
      </c>
      <c r="C136">
        <f t="shared" si="18"/>
        <v>7137.37</v>
      </c>
      <c r="D136">
        <f t="shared" si="19"/>
        <v>7471.54</v>
      </c>
      <c r="E136">
        <f t="shared" si="20"/>
        <v>7805.71</v>
      </c>
      <c r="F136">
        <f t="shared" si="21"/>
        <v>8139.88</v>
      </c>
      <c r="G136">
        <f t="shared" si="22"/>
        <v>8474.0499999999993</v>
      </c>
      <c r="H136">
        <f t="shared" si="23"/>
        <v>8808.2199999999993</v>
      </c>
      <c r="I136">
        <f t="shared" si="24"/>
        <v>9142.39</v>
      </c>
      <c r="J136">
        <f t="shared" si="25"/>
        <v>9476.56</v>
      </c>
      <c r="K136">
        <f t="shared" si="26"/>
        <v>9810.73</v>
      </c>
      <c r="L136">
        <f t="shared" si="27"/>
        <v>10144.9</v>
      </c>
      <c r="M136">
        <f t="shared" si="28"/>
        <v>10479.07</v>
      </c>
      <c r="Q136">
        <v>334.17</v>
      </c>
    </row>
    <row r="137" spans="1:17">
      <c r="A137" s="242">
        <v>16</v>
      </c>
      <c r="B137">
        <v>7386.1</v>
      </c>
      <c r="C137">
        <f t="shared" si="18"/>
        <v>7787.75</v>
      </c>
      <c r="D137">
        <f t="shared" si="19"/>
        <v>8189.4</v>
      </c>
      <c r="E137">
        <f t="shared" si="20"/>
        <v>8591.0499999999993</v>
      </c>
      <c r="F137">
        <f t="shared" si="21"/>
        <v>8992.6999999999989</v>
      </c>
      <c r="G137">
        <f t="shared" si="22"/>
        <v>9394.3499999999985</v>
      </c>
      <c r="H137">
        <f t="shared" si="23"/>
        <v>9795.9999999999982</v>
      </c>
      <c r="I137">
        <f t="shared" si="24"/>
        <v>10197.649999999998</v>
      </c>
      <c r="J137">
        <f t="shared" si="25"/>
        <v>10599.299999999997</v>
      </c>
      <c r="Q137">
        <v>401.65</v>
      </c>
    </row>
    <row r="138" spans="1:17">
      <c r="A138" s="242">
        <v>17</v>
      </c>
      <c r="B138">
        <v>8389.9</v>
      </c>
      <c r="C138">
        <f t="shared" si="18"/>
        <v>8845.75</v>
      </c>
      <c r="D138">
        <f t="shared" si="19"/>
        <v>9301.6</v>
      </c>
      <c r="E138">
        <f t="shared" si="20"/>
        <v>9757.4500000000007</v>
      </c>
      <c r="F138">
        <f t="shared" si="21"/>
        <v>10213.300000000001</v>
      </c>
      <c r="G138">
        <f t="shared" si="22"/>
        <v>10669.150000000001</v>
      </c>
      <c r="H138">
        <f t="shared" si="23"/>
        <v>11125.000000000002</v>
      </c>
      <c r="I138">
        <f t="shared" si="24"/>
        <v>11580.850000000002</v>
      </c>
      <c r="J138">
        <f t="shared" si="25"/>
        <v>12036.700000000003</v>
      </c>
      <c r="Q138">
        <v>455.85</v>
      </c>
    </row>
    <row r="141" spans="1:17">
      <c r="A141" s="242" t="s">
        <v>4284</v>
      </c>
    </row>
    <row r="142" spans="1:17">
      <c r="A142" s="333" t="s">
        <v>4276</v>
      </c>
      <c r="B142" s="333">
        <v>1</v>
      </c>
      <c r="C142" s="333">
        <v>2</v>
      </c>
      <c r="D142" s="333">
        <f t="shared" ref="D142:P142" si="32">C142+1</f>
        <v>3</v>
      </c>
      <c r="E142" s="333">
        <f t="shared" si="32"/>
        <v>4</v>
      </c>
      <c r="F142" s="333">
        <f t="shared" si="32"/>
        <v>5</v>
      </c>
      <c r="G142" s="333">
        <f t="shared" si="32"/>
        <v>6</v>
      </c>
      <c r="H142" s="333">
        <f t="shared" si="32"/>
        <v>7</v>
      </c>
      <c r="I142" s="333">
        <f t="shared" si="32"/>
        <v>8</v>
      </c>
      <c r="J142" s="333">
        <f t="shared" si="32"/>
        <v>9</v>
      </c>
      <c r="K142" s="333">
        <f t="shared" si="32"/>
        <v>10</v>
      </c>
      <c r="L142" s="333">
        <f t="shared" si="32"/>
        <v>11</v>
      </c>
      <c r="M142" s="333">
        <f t="shared" si="32"/>
        <v>12</v>
      </c>
      <c r="N142" s="333">
        <f t="shared" si="32"/>
        <v>13</v>
      </c>
      <c r="O142" s="333">
        <f t="shared" si="32"/>
        <v>14</v>
      </c>
      <c r="P142" s="333">
        <f t="shared" si="32"/>
        <v>15</v>
      </c>
      <c r="Q142" s="333" t="s">
        <v>4277</v>
      </c>
    </row>
    <row r="143" spans="1:17">
      <c r="A143" s="242">
        <v>1</v>
      </c>
      <c r="B143">
        <v>685</v>
      </c>
      <c r="C143">
        <v>685</v>
      </c>
      <c r="D143">
        <v>685</v>
      </c>
      <c r="E143">
        <v>685</v>
      </c>
      <c r="F143">
        <v>685</v>
      </c>
      <c r="G143">
        <v>685</v>
      </c>
      <c r="H143">
        <v>685</v>
      </c>
      <c r="I143">
        <v>685</v>
      </c>
      <c r="J143">
        <v>685</v>
      </c>
      <c r="K143">
        <v>685</v>
      </c>
      <c r="L143">
        <v>685</v>
      </c>
      <c r="M143">
        <v>685</v>
      </c>
      <c r="N143">
        <v>685</v>
      </c>
      <c r="O143">
        <v>685</v>
      </c>
      <c r="P143">
        <v>685</v>
      </c>
    </row>
    <row r="144" spans="1:17">
      <c r="A144" s="242">
        <v>2</v>
      </c>
      <c r="B144">
        <v>685</v>
      </c>
      <c r="C144">
        <v>685</v>
      </c>
      <c r="D144">
        <v>685</v>
      </c>
      <c r="E144">
        <v>685</v>
      </c>
      <c r="F144">
        <v>685</v>
      </c>
      <c r="G144">
        <v>685</v>
      </c>
      <c r="H144">
        <v>685</v>
      </c>
      <c r="I144">
        <v>685</v>
      </c>
      <c r="J144">
        <v>685</v>
      </c>
      <c r="K144">
        <v>685</v>
      </c>
      <c r="L144">
        <v>685</v>
      </c>
      <c r="M144">
        <v>685</v>
      </c>
      <c r="N144">
        <v>685</v>
      </c>
      <c r="O144">
        <v>685</v>
      </c>
      <c r="P144">
        <v>685</v>
      </c>
    </row>
    <row r="145" spans="1:16">
      <c r="A145" s="242">
        <v>3</v>
      </c>
      <c r="B145">
        <v>685</v>
      </c>
      <c r="C145">
        <v>685</v>
      </c>
      <c r="D145">
        <v>685</v>
      </c>
      <c r="E145">
        <v>685</v>
      </c>
      <c r="F145">
        <v>685</v>
      </c>
      <c r="G145">
        <v>685</v>
      </c>
      <c r="H145">
        <v>685</v>
      </c>
      <c r="I145">
        <v>685</v>
      </c>
      <c r="J145">
        <v>685</v>
      </c>
      <c r="K145">
        <v>685</v>
      </c>
      <c r="L145">
        <v>685</v>
      </c>
      <c r="M145">
        <v>685</v>
      </c>
      <c r="N145">
        <v>685</v>
      </c>
      <c r="O145">
        <v>685</v>
      </c>
      <c r="P145">
        <v>685</v>
      </c>
    </row>
    <row r="146" spans="1:16">
      <c r="A146" s="242">
        <v>4</v>
      </c>
      <c r="B146">
        <v>685</v>
      </c>
      <c r="C146">
        <v>685</v>
      </c>
      <c r="D146">
        <v>685</v>
      </c>
      <c r="E146">
        <v>685</v>
      </c>
      <c r="F146">
        <v>685</v>
      </c>
      <c r="G146">
        <v>685</v>
      </c>
      <c r="H146">
        <v>685</v>
      </c>
      <c r="I146">
        <v>685</v>
      </c>
      <c r="J146">
        <v>685</v>
      </c>
      <c r="K146">
        <v>685</v>
      </c>
      <c r="L146">
        <v>685</v>
      </c>
      <c r="M146">
        <v>685</v>
      </c>
      <c r="N146">
        <v>685</v>
      </c>
      <c r="O146">
        <v>685</v>
      </c>
      <c r="P146">
        <v>685</v>
      </c>
    </row>
    <row r="147" spans="1:16">
      <c r="A147" s="242">
        <v>5</v>
      </c>
      <c r="B147">
        <v>685</v>
      </c>
      <c r="C147">
        <v>685</v>
      </c>
      <c r="D147">
        <v>685</v>
      </c>
      <c r="E147">
        <v>685</v>
      </c>
      <c r="F147">
        <v>685</v>
      </c>
      <c r="G147">
        <v>685</v>
      </c>
      <c r="H147">
        <v>685</v>
      </c>
      <c r="I147">
        <v>685</v>
      </c>
      <c r="J147">
        <v>685</v>
      </c>
      <c r="K147">
        <v>685</v>
      </c>
      <c r="L147">
        <v>685</v>
      </c>
      <c r="M147">
        <v>685</v>
      </c>
      <c r="N147">
        <v>685</v>
      </c>
      <c r="O147">
        <v>685</v>
      </c>
      <c r="P147">
        <v>685</v>
      </c>
    </row>
    <row r="148" spans="1:16">
      <c r="A148" s="242">
        <v>6</v>
      </c>
      <c r="B148">
        <v>685</v>
      </c>
      <c r="C148">
        <v>685</v>
      </c>
      <c r="D148">
        <v>685</v>
      </c>
      <c r="E148">
        <v>685</v>
      </c>
      <c r="F148">
        <v>685</v>
      </c>
      <c r="G148">
        <v>685</v>
      </c>
      <c r="H148">
        <v>685</v>
      </c>
      <c r="I148">
        <v>685</v>
      </c>
      <c r="J148">
        <v>685</v>
      </c>
      <c r="K148">
        <v>685</v>
      </c>
      <c r="L148">
        <v>685</v>
      </c>
      <c r="M148">
        <v>685</v>
      </c>
      <c r="N148">
        <v>685</v>
      </c>
      <c r="O148">
        <v>685</v>
      </c>
      <c r="P148">
        <v>685</v>
      </c>
    </row>
    <row r="149" spans="1:16">
      <c r="A149" s="242">
        <v>7</v>
      </c>
      <c r="B149">
        <v>852</v>
      </c>
      <c r="C149">
        <v>852</v>
      </c>
      <c r="D149">
        <v>852</v>
      </c>
      <c r="E149">
        <v>852</v>
      </c>
      <c r="F149">
        <v>852</v>
      </c>
      <c r="G149">
        <v>852</v>
      </c>
      <c r="H149">
        <v>852</v>
      </c>
      <c r="I149">
        <v>852</v>
      </c>
      <c r="J149">
        <v>852</v>
      </c>
      <c r="K149">
        <v>852</v>
      </c>
      <c r="L149">
        <v>852</v>
      </c>
      <c r="M149">
        <v>852</v>
      </c>
      <c r="N149">
        <v>852</v>
      </c>
      <c r="O149">
        <v>852</v>
      </c>
      <c r="P149">
        <v>852</v>
      </c>
    </row>
    <row r="150" spans="1:16">
      <c r="A150" s="242">
        <v>8</v>
      </c>
      <c r="B150">
        <v>852</v>
      </c>
      <c r="C150">
        <v>852</v>
      </c>
      <c r="D150">
        <v>852</v>
      </c>
      <c r="E150">
        <v>852</v>
      </c>
      <c r="F150">
        <v>852</v>
      </c>
      <c r="G150">
        <v>852</v>
      </c>
      <c r="H150">
        <v>852</v>
      </c>
      <c r="I150">
        <v>852</v>
      </c>
      <c r="J150">
        <v>852</v>
      </c>
      <c r="K150">
        <v>852</v>
      </c>
      <c r="L150">
        <v>852</v>
      </c>
      <c r="M150">
        <v>852</v>
      </c>
      <c r="N150">
        <v>852</v>
      </c>
      <c r="O150">
        <v>852</v>
      </c>
      <c r="P150">
        <v>852</v>
      </c>
    </row>
    <row r="151" spans="1:16">
      <c r="A151" s="242">
        <v>9</v>
      </c>
      <c r="B151">
        <v>852</v>
      </c>
      <c r="C151">
        <v>852</v>
      </c>
      <c r="D151">
        <v>852</v>
      </c>
      <c r="E151">
        <v>852</v>
      </c>
      <c r="F151">
        <v>852</v>
      </c>
      <c r="G151">
        <v>852</v>
      </c>
      <c r="H151">
        <v>852</v>
      </c>
      <c r="I151">
        <v>852</v>
      </c>
      <c r="J151">
        <v>852</v>
      </c>
      <c r="K151">
        <v>852</v>
      </c>
      <c r="L151">
        <v>852</v>
      </c>
      <c r="M151">
        <v>852</v>
      </c>
      <c r="N151">
        <v>852</v>
      </c>
      <c r="O151">
        <v>852</v>
      </c>
      <c r="P151">
        <v>852</v>
      </c>
    </row>
    <row r="152" spans="1:16">
      <c r="A152" s="242">
        <v>10</v>
      </c>
      <c r="B152">
        <v>852</v>
      </c>
      <c r="C152">
        <v>852</v>
      </c>
      <c r="D152">
        <v>852</v>
      </c>
      <c r="E152">
        <v>852</v>
      </c>
      <c r="F152">
        <v>852</v>
      </c>
      <c r="G152">
        <v>852</v>
      </c>
      <c r="H152">
        <v>852</v>
      </c>
      <c r="I152">
        <v>852</v>
      </c>
      <c r="J152">
        <v>852</v>
      </c>
      <c r="K152">
        <v>852</v>
      </c>
      <c r="L152">
        <v>852</v>
      </c>
      <c r="M152">
        <v>852</v>
      </c>
      <c r="N152">
        <v>852</v>
      </c>
      <c r="O152">
        <v>852</v>
      </c>
      <c r="P152">
        <v>852</v>
      </c>
    </row>
    <row r="153" spans="1:16">
      <c r="A153" s="242">
        <v>12</v>
      </c>
      <c r="B153">
        <v>852</v>
      </c>
      <c r="C153">
        <v>852</v>
      </c>
      <c r="D153">
        <v>852</v>
      </c>
      <c r="E153">
        <v>852</v>
      </c>
      <c r="F153">
        <v>852</v>
      </c>
      <c r="G153">
        <v>852</v>
      </c>
      <c r="H153">
        <v>852</v>
      </c>
      <c r="I153">
        <v>852</v>
      </c>
      <c r="J153">
        <v>852</v>
      </c>
      <c r="K153">
        <v>852</v>
      </c>
      <c r="L153">
        <v>852</v>
      </c>
      <c r="M153">
        <v>852</v>
      </c>
    </row>
    <row r="154" spans="1:16">
      <c r="A154" s="242">
        <v>13</v>
      </c>
      <c r="B154">
        <v>852</v>
      </c>
      <c r="C154">
        <v>852</v>
      </c>
      <c r="D154">
        <v>852</v>
      </c>
      <c r="E154">
        <v>852</v>
      </c>
      <c r="F154">
        <v>852</v>
      </c>
      <c r="G154">
        <v>852</v>
      </c>
      <c r="H154">
        <v>852</v>
      </c>
      <c r="I154">
        <v>852</v>
      </c>
      <c r="J154">
        <v>852</v>
      </c>
      <c r="K154">
        <v>852</v>
      </c>
      <c r="L154">
        <v>852</v>
      </c>
      <c r="M154">
        <v>852</v>
      </c>
    </row>
    <row r="155" spans="1:16">
      <c r="A155" s="242">
        <v>14</v>
      </c>
      <c r="B155">
        <v>852</v>
      </c>
      <c r="C155">
        <v>852</v>
      </c>
      <c r="D155">
        <v>852</v>
      </c>
      <c r="E155">
        <v>852</v>
      </c>
      <c r="F155">
        <v>852</v>
      </c>
      <c r="G155">
        <v>852</v>
      </c>
      <c r="H155">
        <v>852</v>
      </c>
      <c r="I155">
        <v>852</v>
      </c>
      <c r="J155">
        <v>852</v>
      </c>
      <c r="K155">
        <v>852</v>
      </c>
      <c r="L155">
        <v>852</v>
      </c>
      <c r="M155">
        <v>852</v>
      </c>
    </row>
    <row r="156" spans="1:16">
      <c r="A156" s="242">
        <v>15</v>
      </c>
      <c r="B156">
        <v>852</v>
      </c>
      <c r="C156">
        <v>852</v>
      </c>
      <c r="D156">
        <v>852</v>
      </c>
      <c r="E156">
        <v>852</v>
      </c>
      <c r="F156">
        <v>852</v>
      </c>
      <c r="G156">
        <v>852</v>
      </c>
      <c r="H156">
        <v>852</v>
      </c>
      <c r="I156">
        <v>852</v>
      </c>
      <c r="J156">
        <v>852</v>
      </c>
      <c r="K156">
        <v>852</v>
      </c>
      <c r="L156">
        <v>852</v>
      </c>
      <c r="M156">
        <v>852</v>
      </c>
    </row>
    <row r="157" spans="1:16">
      <c r="A157" s="242">
        <v>16</v>
      </c>
      <c r="B157">
        <v>852</v>
      </c>
      <c r="C157">
        <v>852</v>
      </c>
      <c r="D157">
        <v>852</v>
      </c>
      <c r="E157">
        <v>852</v>
      </c>
      <c r="F157">
        <v>852</v>
      </c>
      <c r="G157">
        <v>852</v>
      </c>
      <c r="H157">
        <v>852</v>
      </c>
      <c r="I157">
        <v>852</v>
      </c>
      <c r="J157">
        <v>852</v>
      </c>
    </row>
    <row r="158" spans="1:16">
      <c r="A158" s="242">
        <v>17</v>
      </c>
      <c r="B158">
        <v>852</v>
      </c>
      <c r="C158">
        <v>852</v>
      </c>
      <c r="D158">
        <v>852</v>
      </c>
      <c r="E158">
        <v>852</v>
      </c>
      <c r="F158">
        <v>852</v>
      </c>
      <c r="G158">
        <v>852</v>
      </c>
      <c r="H158">
        <v>852</v>
      </c>
      <c r="I158">
        <v>852</v>
      </c>
      <c r="J158">
        <v>852</v>
      </c>
    </row>
    <row r="161" spans="1:17">
      <c r="A161" s="242" t="s">
        <v>4285</v>
      </c>
    </row>
    <row r="162" spans="1:17">
      <c r="A162" s="333" t="s">
        <v>4276</v>
      </c>
      <c r="B162" s="333">
        <v>1</v>
      </c>
      <c r="C162" s="333">
        <v>2</v>
      </c>
      <c r="D162" s="333">
        <f t="shared" ref="D162:P162" si="33">C162+1</f>
        <v>3</v>
      </c>
      <c r="E162" s="333">
        <f t="shared" si="33"/>
        <v>4</v>
      </c>
      <c r="F162" s="333">
        <f t="shared" si="33"/>
        <v>5</v>
      </c>
      <c r="G162" s="333">
        <f t="shared" si="33"/>
        <v>6</v>
      </c>
      <c r="H162" s="333">
        <f t="shared" si="33"/>
        <v>7</v>
      </c>
      <c r="I162" s="333">
        <f t="shared" si="33"/>
        <v>8</v>
      </c>
      <c r="J162" s="333">
        <f t="shared" si="33"/>
        <v>9</v>
      </c>
      <c r="K162" s="333">
        <f t="shared" si="33"/>
        <v>10</v>
      </c>
      <c r="L162" s="333">
        <f t="shared" si="33"/>
        <v>11</v>
      </c>
      <c r="M162" s="333">
        <f t="shared" si="33"/>
        <v>12</v>
      </c>
      <c r="N162" s="333">
        <f t="shared" si="33"/>
        <v>13</v>
      </c>
      <c r="O162" s="333">
        <f t="shared" si="33"/>
        <v>14</v>
      </c>
      <c r="P162" s="333">
        <f t="shared" si="33"/>
        <v>15</v>
      </c>
      <c r="Q162" s="333" t="s">
        <v>4277</v>
      </c>
    </row>
    <row r="163" spans="1:17">
      <c r="A163" s="242">
        <v>1</v>
      </c>
      <c r="B163">
        <v>15600</v>
      </c>
      <c r="C163">
        <f>+B163+Q163</f>
        <v>15960</v>
      </c>
      <c r="D163">
        <f>+C163+Q163</f>
        <v>16320</v>
      </c>
      <c r="E163">
        <f>+D163+Q163</f>
        <v>16680</v>
      </c>
      <c r="F163">
        <f>+E163+Q163</f>
        <v>17040</v>
      </c>
      <c r="G163">
        <f>+F163+Q163</f>
        <v>17400</v>
      </c>
      <c r="H163">
        <f>+G163+Q163</f>
        <v>17760</v>
      </c>
      <c r="I163">
        <f>+H163+Q163</f>
        <v>18120</v>
      </c>
      <c r="J163">
        <f>+I163+Q163</f>
        <v>18480</v>
      </c>
      <c r="K163">
        <f>+J163+Q163</f>
        <v>18840</v>
      </c>
      <c r="L163">
        <f>+K163+Q163</f>
        <v>19200</v>
      </c>
      <c r="M163">
        <f>+L163+Q163</f>
        <v>19560</v>
      </c>
      <c r="N163">
        <f>+M163+Q163</f>
        <v>19920</v>
      </c>
      <c r="O163">
        <f>+N163+Q163</f>
        <v>20280</v>
      </c>
      <c r="P163">
        <f>+O163+Q163</f>
        <v>20640</v>
      </c>
      <c r="Q163">
        <v>360</v>
      </c>
    </row>
    <row r="164" spans="1:17">
      <c r="A164" s="242">
        <v>2</v>
      </c>
      <c r="B164">
        <v>16224</v>
      </c>
      <c r="C164">
        <f t="shared" ref="C164:C178" si="34">+B164+Q164</f>
        <v>16704</v>
      </c>
      <c r="D164">
        <f t="shared" ref="D164:D178" si="35">+C164+Q164</f>
        <v>17184</v>
      </c>
      <c r="E164">
        <f t="shared" ref="E164:E178" si="36">+D164+Q164</f>
        <v>17664</v>
      </c>
      <c r="F164">
        <f t="shared" ref="F164:F178" si="37">+E164+Q164</f>
        <v>18144</v>
      </c>
      <c r="G164">
        <f t="shared" ref="G164:G178" si="38">+F164+Q164</f>
        <v>18624</v>
      </c>
      <c r="H164">
        <f t="shared" ref="H164:H178" si="39">+G164+Q164</f>
        <v>19104</v>
      </c>
      <c r="I164">
        <f t="shared" ref="I164:I178" si="40">+H164+Q164</f>
        <v>19584</v>
      </c>
      <c r="J164">
        <f t="shared" ref="J164:J178" si="41">+I164+Q164</f>
        <v>20064</v>
      </c>
      <c r="K164">
        <f t="shared" ref="K164:K176" si="42">+J164+Q164</f>
        <v>20544</v>
      </c>
      <c r="L164">
        <f t="shared" ref="L164:L176" si="43">+K164+Q164</f>
        <v>21024</v>
      </c>
      <c r="M164">
        <f t="shared" ref="M164:M176" si="44">+L164+Q164</f>
        <v>21504</v>
      </c>
      <c r="N164">
        <f t="shared" ref="N164:N172" si="45">+M164+Q164</f>
        <v>21984</v>
      </c>
      <c r="O164">
        <f t="shared" ref="O164:O172" si="46">+N164+Q164</f>
        <v>22464</v>
      </c>
      <c r="P164">
        <f t="shared" ref="P164:P172" si="47">+O164+Q164</f>
        <v>22944</v>
      </c>
      <c r="Q164">
        <v>480</v>
      </c>
    </row>
    <row r="165" spans="1:17">
      <c r="A165" s="242">
        <v>3</v>
      </c>
      <c r="B165">
        <v>16764</v>
      </c>
      <c r="C165">
        <f t="shared" si="34"/>
        <v>17364</v>
      </c>
      <c r="D165">
        <f t="shared" si="35"/>
        <v>17964</v>
      </c>
      <c r="E165">
        <f t="shared" si="36"/>
        <v>18564</v>
      </c>
      <c r="F165">
        <f t="shared" si="37"/>
        <v>19164</v>
      </c>
      <c r="G165">
        <f t="shared" si="38"/>
        <v>19764</v>
      </c>
      <c r="H165">
        <f t="shared" si="39"/>
        <v>20364</v>
      </c>
      <c r="I165">
        <f t="shared" si="40"/>
        <v>20964</v>
      </c>
      <c r="J165">
        <f t="shared" si="41"/>
        <v>21564</v>
      </c>
      <c r="K165">
        <f t="shared" si="42"/>
        <v>22164</v>
      </c>
      <c r="L165">
        <f t="shared" si="43"/>
        <v>22764</v>
      </c>
      <c r="M165">
        <f t="shared" si="44"/>
        <v>23364</v>
      </c>
      <c r="N165">
        <f t="shared" si="45"/>
        <v>23964</v>
      </c>
      <c r="O165">
        <f t="shared" si="46"/>
        <v>24564</v>
      </c>
      <c r="P165">
        <f t="shared" si="47"/>
        <v>25164</v>
      </c>
      <c r="Q165">
        <v>600</v>
      </c>
    </row>
    <row r="166" spans="1:17">
      <c r="A166" s="242">
        <v>4</v>
      </c>
      <c r="B166">
        <v>17604</v>
      </c>
      <c r="C166">
        <f t="shared" si="34"/>
        <v>18324</v>
      </c>
      <c r="D166">
        <f t="shared" si="35"/>
        <v>19044</v>
      </c>
      <c r="E166">
        <f t="shared" si="36"/>
        <v>19764</v>
      </c>
      <c r="F166">
        <f t="shared" si="37"/>
        <v>20484</v>
      </c>
      <c r="G166">
        <f t="shared" si="38"/>
        <v>21204</v>
      </c>
      <c r="H166">
        <f t="shared" si="39"/>
        <v>21924</v>
      </c>
      <c r="I166">
        <f t="shared" si="40"/>
        <v>22644</v>
      </c>
      <c r="J166">
        <f t="shared" si="41"/>
        <v>23364</v>
      </c>
      <c r="K166">
        <f t="shared" si="42"/>
        <v>24084</v>
      </c>
      <c r="L166">
        <f t="shared" si="43"/>
        <v>24804</v>
      </c>
      <c r="M166">
        <f t="shared" si="44"/>
        <v>25524</v>
      </c>
      <c r="N166">
        <f t="shared" si="45"/>
        <v>26244</v>
      </c>
      <c r="O166">
        <f t="shared" si="46"/>
        <v>26964</v>
      </c>
      <c r="P166">
        <f t="shared" si="47"/>
        <v>27684</v>
      </c>
      <c r="Q166">
        <v>720</v>
      </c>
    </row>
    <row r="167" spans="1:17">
      <c r="A167" s="242">
        <v>5</v>
      </c>
      <c r="B167">
        <v>20064</v>
      </c>
      <c r="C167">
        <f t="shared" si="34"/>
        <v>20904</v>
      </c>
      <c r="D167">
        <f t="shared" si="35"/>
        <v>21744</v>
      </c>
      <c r="E167">
        <f t="shared" si="36"/>
        <v>22584</v>
      </c>
      <c r="F167">
        <f t="shared" si="37"/>
        <v>23424</v>
      </c>
      <c r="G167">
        <f t="shared" si="38"/>
        <v>24264</v>
      </c>
      <c r="H167">
        <f t="shared" si="39"/>
        <v>25104</v>
      </c>
      <c r="I167">
        <f t="shared" si="40"/>
        <v>25944</v>
      </c>
      <c r="J167">
        <f t="shared" si="41"/>
        <v>26784</v>
      </c>
      <c r="K167">
        <f t="shared" si="42"/>
        <v>27624</v>
      </c>
      <c r="L167">
        <f t="shared" si="43"/>
        <v>28464</v>
      </c>
      <c r="M167">
        <f t="shared" si="44"/>
        <v>29304</v>
      </c>
      <c r="N167">
        <f t="shared" si="45"/>
        <v>30144</v>
      </c>
      <c r="O167">
        <f t="shared" si="46"/>
        <v>30984</v>
      </c>
      <c r="P167">
        <f t="shared" si="47"/>
        <v>31824</v>
      </c>
      <c r="Q167">
        <v>840</v>
      </c>
    </row>
    <row r="168" spans="1:17">
      <c r="A168" s="242">
        <v>6</v>
      </c>
      <c r="B168">
        <v>24660</v>
      </c>
      <c r="C168">
        <f t="shared" si="34"/>
        <v>25680</v>
      </c>
      <c r="D168">
        <f t="shared" si="35"/>
        <v>26700</v>
      </c>
      <c r="E168">
        <f t="shared" si="36"/>
        <v>27720</v>
      </c>
      <c r="F168">
        <f t="shared" si="37"/>
        <v>28740</v>
      </c>
      <c r="G168">
        <f t="shared" si="38"/>
        <v>29760</v>
      </c>
      <c r="H168">
        <f t="shared" si="39"/>
        <v>30780</v>
      </c>
      <c r="I168">
        <f t="shared" si="40"/>
        <v>31800</v>
      </c>
      <c r="J168">
        <f t="shared" si="41"/>
        <v>32820</v>
      </c>
      <c r="K168">
        <f t="shared" si="42"/>
        <v>33840</v>
      </c>
      <c r="L168">
        <f t="shared" si="43"/>
        <v>34860</v>
      </c>
      <c r="M168">
        <f t="shared" si="44"/>
        <v>35880</v>
      </c>
      <c r="N168">
        <f t="shared" si="45"/>
        <v>36900</v>
      </c>
      <c r="O168">
        <f t="shared" si="46"/>
        <v>37920</v>
      </c>
      <c r="P168">
        <f t="shared" si="47"/>
        <v>38940</v>
      </c>
      <c r="Q168">
        <v>1020</v>
      </c>
    </row>
    <row r="169" spans="1:17">
      <c r="A169" s="242">
        <v>7</v>
      </c>
      <c r="B169">
        <v>33072</v>
      </c>
      <c r="C169">
        <f t="shared" si="34"/>
        <v>34332</v>
      </c>
      <c r="D169">
        <f t="shared" si="35"/>
        <v>35592</v>
      </c>
      <c r="E169">
        <f t="shared" si="36"/>
        <v>36852</v>
      </c>
      <c r="F169">
        <f t="shared" si="37"/>
        <v>38112</v>
      </c>
      <c r="G169">
        <f t="shared" si="38"/>
        <v>39372</v>
      </c>
      <c r="H169">
        <f t="shared" si="39"/>
        <v>40632</v>
      </c>
      <c r="I169">
        <f t="shared" si="40"/>
        <v>41892</v>
      </c>
      <c r="J169">
        <f t="shared" si="41"/>
        <v>43152</v>
      </c>
      <c r="K169">
        <f t="shared" si="42"/>
        <v>44412</v>
      </c>
      <c r="L169">
        <f t="shared" si="43"/>
        <v>45672</v>
      </c>
      <c r="M169">
        <f t="shared" si="44"/>
        <v>46932</v>
      </c>
      <c r="N169">
        <f t="shared" si="45"/>
        <v>48192</v>
      </c>
      <c r="O169">
        <f t="shared" si="46"/>
        <v>49452</v>
      </c>
      <c r="P169">
        <f t="shared" si="47"/>
        <v>50712</v>
      </c>
      <c r="Q169">
        <v>1260</v>
      </c>
    </row>
    <row r="170" spans="1:17">
      <c r="A170" s="242">
        <v>8</v>
      </c>
      <c r="B170">
        <v>43428</v>
      </c>
      <c r="C170">
        <f t="shared" si="34"/>
        <v>44740</v>
      </c>
      <c r="D170">
        <f t="shared" si="35"/>
        <v>46052</v>
      </c>
      <c r="E170">
        <f t="shared" si="36"/>
        <v>47364</v>
      </c>
      <c r="F170">
        <f t="shared" si="37"/>
        <v>48676</v>
      </c>
      <c r="G170">
        <f t="shared" si="38"/>
        <v>49988</v>
      </c>
      <c r="H170">
        <f t="shared" si="39"/>
        <v>51300</v>
      </c>
      <c r="I170">
        <f t="shared" si="40"/>
        <v>52612</v>
      </c>
      <c r="J170">
        <f t="shared" si="41"/>
        <v>53924</v>
      </c>
      <c r="K170">
        <f t="shared" si="42"/>
        <v>55236</v>
      </c>
      <c r="L170">
        <f t="shared" si="43"/>
        <v>56548</v>
      </c>
      <c r="M170">
        <f t="shared" si="44"/>
        <v>57860</v>
      </c>
      <c r="N170">
        <f t="shared" si="45"/>
        <v>59172</v>
      </c>
      <c r="O170">
        <f t="shared" si="46"/>
        <v>60484</v>
      </c>
      <c r="P170">
        <f t="shared" si="47"/>
        <v>61796</v>
      </c>
      <c r="Q170">
        <v>1312</v>
      </c>
    </row>
    <row r="171" spans="1:17">
      <c r="A171" s="242">
        <v>9</v>
      </c>
      <c r="B171">
        <v>51192</v>
      </c>
      <c r="C171">
        <f t="shared" si="34"/>
        <v>52992</v>
      </c>
      <c r="D171">
        <f t="shared" si="35"/>
        <v>54792</v>
      </c>
      <c r="E171">
        <f t="shared" si="36"/>
        <v>56592</v>
      </c>
      <c r="F171">
        <f t="shared" si="37"/>
        <v>58392</v>
      </c>
      <c r="G171">
        <f t="shared" si="38"/>
        <v>60192</v>
      </c>
      <c r="H171">
        <f t="shared" si="39"/>
        <v>61992</v>
      </c>
      <c r="I171">
        <f t="shared" si="40"/>
        <v>63792</v>
      </c>
      <c r="J171">
        <f t="shared" si="41"/>
        <v>65592</v>
      </c>
      <c r="K171">
        <f t="shared" si="42"/>
        <v>67392</v>
      </c>
      <c r="L171">
        <f t="shared" si="43"/>
        <v>69192</v>
      </c>
      <c r="M171">
        <f t="shared" si="44"/>
        <v>70992</v>
      </c>
      <c r="N171">
        <f t="shared" si="45"/>
        <v>72792</v>
      </c>
      <c r="O171">
        <f t="shared" si="46"/>
        <v>74592</v>
      </c>
      <c r="P171">
        <f t="shared" si="47"/>
        <v>76392</v>
      </c>
      <c r="Q171">
        <v>1800</v>
      </c>
    </row>
    <row r="172" spans="1:17">
      <c r="A172" s="242">
        <v>10</v>
      </c>
      <c r="B172">
        <v>60264</v>
      </c>
      <c r="C172">
        <f t="shared" si="34"/>
        <v>62244</v>
      </c>
      <c r="D172">
        <f t="shared" si="35"/>
        <v>64224</v>
      </c>
      <c r="E172">
        <f t="shared" si="36"/>
        <v>66204</v>
      </c>
      <c r="F172">
        <f t="shared" si="37"/>
        <v>68184</v>
      </c>
      <c r="G172">
        <f t="shared" si="38"/>
        <v>70164</v>
      </c>
      <c r="H172">
        <f t="shared" si="39"/>
        <v>72144</v>
      </c>
      <c r="I172">
        <f t="shared" si="40"/>
        <v>74124</v>
      </c>
      <c r="J172">
        <f t="shared" si="41"/>
        <v>76104</v>
      </c>
      <c r="K172">
        <f t="shared" si="42"/>
        <v>78084</v>
      </c>
      <c r="L172">
        <f t="shared" si="43"/>
        <v>80064</v>
      </c>
      <c r="M172">
        <f t="shared" si="44"/>
        <v>82044</v>
      </c>
      <c r="N172">
        <f t="shared" si="45"/>
        <v>84024</v>
      </c>
      <c r="O172">
        <f t="shared" si="46"/>
        <v>86004</v>
      </c>
      <c r="P172">
        <f t="shared" si="47"/>
        <v>87984</v>
      </c>
      <c r="Q172">
        <v>1980</v>
      </c>
    </row>
    <row r="173" spans="1:17">
      <c r="A173" s="242">
        <v>12</v>
      </c>
      <c r="B173">
        <v>70848</v>
      </c>
      <c r="C173">
        <f t="shared" si="34"/>
        <v>73980</v>
      </c>
      <c r="D173">
        <f t="shared" si="35"/>
        <v>77112</v>
      </c>
      <c r="E173">
        <f t="shared" si="36"/>
        <v>80244</v>
      </c>
      <c r="F173">
        <f t="shared" si="37"/>
        <v>83376</v>
      </c>
      <c r="G173">
        <f t="shared" si="38"/>
        <v>86508</v>
      </c>
      <c r="H173">
        <f t="shared" si="39"/>
        <v>89640</v>
      </c>
      <c r="I173">
        <f t="shared" si="40"/>
        <v>92772</v>
      </c>
      <c r="J173">
        <f t="shared" si="41"/>
        <v>95904</v>
      </c>
      <c r="K173">
        <f t="shared" si="42"/>
        <v>99036</v>
      </c>
      <c r="L173">
        <f t="shared" si="43"/>
        <v>102168</v>
      </c>
      <c r="M173">
        <f t="shared" si="44"/>
        <v>105300</v>
      </c>
      <c r="Q173">
        <v>3132</v>
      </c>
    </row>
    <row r="174" spans="1:17">
      <c r="A174" s="242">
        <v>13</v>
      </c>
      <c r="B174">
        <v>79212</v>
      </c>
      <c r="C174">
        <f t="shared" si="34"/>
        <v>82524</v>
      </c>
      <c r="D174">
        <f t="shared" si="35"/>
        <v>85836</v>
      </c>
      <c r="E174">
        <f t="shared" si="36"/>
        <v>89148</v>
      </c>
      <c r="F174">
        <f t="shared" si="37"/>
        <v>92460</v>
      </c>
      <c r="G174">
        <f t="shared" si="38"/>
        <v>95772</v>
      </c>
      <c r="H174">
        <f t="shared" si="39"/>
        <v>99084</v>
      </c>
      <c r="I174">
        <f t="shared" si="40"/>
        <v>102396</v>
      </c>
      <c r="J174">
        <f t="shared" si="41"/>
        <v>105708</v>
      </c>
      <c r="K174">
        <f t="shared" si="42"/>
        <v>109020</v>
      </c>
      <c r="L174">
        <f t="shared" si="43"/>
        <v>112332</v>
      </c>
      <c r="M174">
        <f t="shared" si="44"/>
        <v>115644</v>
      </c>
      <c r="Q174">
        <v>3312</v>
      </c>
    </row>
    <row r="175" spans="1:17">
      <c r="A175" s="242">
        <v>14</v>
      </c>
      <c r="B175">
        <v>87612</v>
      </c>
      <c r="C175">
        <f t="shared" si="34"/>
        <v>91176</v>
      </c>
      <c r="D175">
        <f t="shared" si="35"/>
        <v>94740</v>
      </c>
      <c r="E175">
        <f t="shared" si="36"/>
        <v>98304</v>
      </c>
      <c r="F175">
        <f t="shared" si="37"/>
        <v>101868</v>
      </c>
      <c r="G175">
        <f t="shared" si="38"/>
        <v>105432</v>
      </c>
      <c r="H175">
        <f t="shared" si="39"/>
        <v>108996</v>
      </c>
      <c r="I175">
        <f t="shared" si="40"/>
        <v>112560</v>
      </c>
      <c r="J175">
        <f t="shared" si="41"/>
        <v>116124</v>
      </c>
      <c r="K175">
        <f t="shared" si="42"/>
        <v>119688</v>
      </c>
      <c r="L175">
        <f t="shared" si="43"/>
        <v>123252</v>
      </c>
      <c r="M175">
        <f t="shared" si="44"/>
        <v>126816</v>
      </c>
      <c r="Q175">
        <v>3564</v>
      </c>
    </row>
    <row r="176" spans="1:17">
      <c r="A176" s="242">
        <v>15</v>
      </c>
      <c r="B176">
        <v>97966</v>
      </c>
      <c r="C176">
        <f t="shared" si="34"/>
        <v>102778</v>
      </c>
      <c r="D176">
        <f t="shared" si="35"/>
        <v>107590</v>
      </c>
      <c r="E176">
        <f t="shared" si="36"/>
        <v>112402</v>
      </c>
      <c r="F176">
        <f t="shared" si="37"/>
        <v>117214</v>
      </c>
      <c r="G176">
        <f t="shared" si="38"/>
        <v>122026</v>
      </c>
      <c r="H176">
        <f t="shared" si="39"/>
        <v>126838</v>
      </c>
      <c r="I176">
        <f t="shared" si="40"/>
        <v>131650</v>
      </c>
      <c r="J176">
        <f t="shared" si="41"/>
        <v>136462</v>
      </c>
      <c r="K176">
        <f t="shared" si="42"/>
        <v>141274</v>
      </c>
      <c r="L176">
        <f t="shared" si="43"/>
        <v>146086</v>
      </c>
      <c r="M176">
        <f t="shared" si="44"/>
        <v>150898</v>
      </c>
      <c r="Q176">
        <v>4812</v>
      </c>
    </row>
    <row r="177" spans="1:17">
      <c r="A177" s="242">
        <v>16</v>
      </c>
      <c r="B177">
        <v>106360</v>
      </c>
      <c r="C177">
        <f t="shared" si="34"/>
        <v>112144</v>
      </c>
      <c r="D177">
        <f t="shared" si="35"/>
        <v>117928</v>
      </c>
      <c r="E177">
        <f t="shared" si="36"/>
        <v>123712</v>
      </c>
      <c r="F177">
        <f t="shared" si="37"/>
        <v>129496</v>
      </c>
      <c r="G177">
        <f t="shared" si="38"/>
        <v>135280</v>
      </c>
      <c r="H177">
        <f t="shared" si="39"/>
        <v>141064</v>
      </c>
      <c r="I177">
        <f t="shared" si="40"/>
        <v>146848</v>
      </c>
      <c r="J177">
        <f t="shared" si="41"/>
        <v>152632</v>
      </c>
      <c r="Q177">
        <v>5784</v>
      </c>
    </row>
    <row r="178" spans="1:17">
      <c r="A178" s="242">
        <v>17</v>
      </c>
      <c r="B178">
        <v>120815</v>
      </c>
      <c r="C178">
        <f t="shared" si="34"/>
        <v>127379</v>
      </c>
      <c r="D178">
        <f t="shared" si="35"/>
        <v>133943</v>
      </c>
      <c r="E178">
        <f t="shared" si="36"/>
        <v>140507</v>
      </c>
      <c r="F178">
        <f t="shared" si="37"/>
        <v>147071</v>
      </c>
      <c r="G178">
        <f t="shared" si="38"/>
        <v>153635</v>
      </c>
      <c r="H178">
        <f t="shared" si="39"/>
        <v>160199</v>
      </c>
      <c r="I178">
        <f t="shared" si="40"/>
        <v>166763</v>
      </c>
      <c r="J178">
        <f t="shared" si="41"/>
        <v>173327</v>
      </c>
      <c r="Q178">
        <v>6564</v>
      </c>
    </row>
    <row r="181" spans="1:17">
      <c r="A181" s="242" t="s">
        <v>4286</v>
      </c>
    </row>
    <row r="182" spans="1:17">
      <c r="A182" s="333" t="s">
        <v>4276</v>
      </c>
      <c r="B182" s="333">
        <v>1</v>
      </c>
      <c r="C182" s="333">
        <v>2</v>
      </c>
      <c r="D182" s="333">
        <f t="shared" ref="D182:P182" si="48">C182+1</f>
        <v>3</v>
      </c>
      <c r="E182" s="333">
        <f t="shared" si="48"/>
        <v>4</v>
      </c>
      <c r="F182" s="333">
        <f t="shared" si="48"/>
        <v>5</v>
      </c>
      <c r="G182" s="333">
        <f t="shared" si="48"/>
        <v>6</v>
      </c>
      <c r="H182" s="333">
        <f t="shared" si="48"/>
        <v>7</v>
      </c>
      <c r="I182" s="333">
        <f t="shared" si="48"/>
        <v>8</v>
      </c>
      <c r="J182" s="333">
        <f t="shared" si="48"/>
        <v>9</v>
      </c>
      <c r="K182" s="333">
        <f t="shared" si="48"/>
        <v>10</v>
      </c>
      <c r="L182" s="333">
        <f t="shared" si="48"/>
        <v>11</v>
      </c>
      <c r="M182" s="333">
        <f t="shared" si="48"/>
        <v>12</v>
      </c>
      <c r="N182" s="333">
        <f t="shared" si="48"/>
        <v>13</v>
      </c>
      <c r="O182" s="333">
        <f t="shared" si="48"/>
        <v>14</v>
      </c>
      <c r="P182" s="333">
        <f t="shared" si="48"/>
        <v>15</v>
      </c>
      <c r="Q182" s="333" t="s">
        <v>4277</v>
      </c>
    </row>
    <row r="183" spans="1:17">
      <c r="A183" s="242">
        <v>1</v>
      </c>
      <c r="B183">
        <v>21840</v>
      </c>
      <c r="C183">
        <f>+B183+Q183</f>
        <v>22344</v>
      </c>
      <c r="D183">
        <f>+C183+Q183</f>
        <v>22848</v>
      </c>
      <c r="E183">
        <f>+D183+Q183</f>
        <v>23352</v>
      </c>
      <c r="F183">
        <f>+E183+Q183</f>
        <v>23856</v>
      </c>
      <c r="G183">
        <f>+F183+Q183</f>
        <v>24360</v>
      </c>
      <c r="H183">
        <f>+G183+Q183</f>
        <v>24864</v>
      </c>
      <c r="I183">
        <f>+H183+Q183</f>
        <v>25368</v>
      </c>
      <c r="J183">
        <f>+I183+Q183</f>
        <v>25872</v>
      </c>
      <c r="K183">
        <f>+J183+Q183</f>
        <v>26376</v>
      </c>
      <c r="L183">
        <f>+K183+Q183</f>
        <v>26880</v>
      </c>
      <c r="M183">
        <f>+L183+Q183</f>
        <v>27384</v>
      </c>
      <c r="N183">
        <f>+M183+Q183</f>
        <v>27888</v>
      </c>
      <c r="O183">
        <f>+N183+Q183</f>
        <v>28392</v>
      </c>
      <c r="P183">
        <f>+O183+Q183</f>
        <v>28896</v>
      </c>
      <c r="Q183">
        <v>504</v>
      </c>
    </row>
    <row r="184" spans="1:17">
      <c r="A184" s="242">
        <v>2</v>
      </c>
      <c r="B184">
        <v>22714</v>
      </c>
      <c r="C184">
        <f t="shared" ref="C184:C198" si="49">+B184+Q184</f>
        <v>23386</v>
      </c>
      <c r="D184">
        <f t="shared" ref="D184:D198" si="50">+C184+Q184</f>
        <v>24058</v>
      </c>
      <c r="E184">
        <f t="shared" ref="E184:E198" si="51">+D184+Q184</f>
        <v>24730</v>
      </c>
      <c r="F184">
        <f t="shared" ref="F184:F198" si="52">+E184+Q184</f>
        <v>25402</v>
      </c>
      <c r="G184">
        <f t="shared" ref="G184:G198" si="53">+F184+Q184</f>
        <v>26074</v>
      </c>
      <c r="H184">
        <f t="shared" ref="H184:H198" si="54">+G184+Q184</f>
        <v>26746</v>
      </c>
      <c r="I184">
        <f t="shared" ref="I184:I198" si="55">+H184+Q184</f>
        <v>27418</v>
      </c>
      <c r="J184">
        <f t="shared" ref="J184:J196" si="56">+I184+Q184</f>
        <v>28090</v>
      </c>
      <c r="K184">
        <f t="shared" ref="K184:K196" si="57">+J184+Q184</f>
        <v>28762</v>
      </c>
      <c r="L184">
        <f t="shared" ref="L184:L196" si="58">+K184+Q184</f>
        <v>29434</v>
      </c>
      <c r="M184">
        <f t="shared" ref="M184:M196" si="59">+L184+Q184</f>
        <v>30106</v>
      </c>
      <c r="N184">
        <f t="shared" ref="N184:N192" si="60">+M184+Q184</f>
        <v>30778</v>
      </c>
      <c r="O184">
        <f t="shared" ref="O184:O192" si="61">+N184+Q184</f>
        <v>31450</v>
      </c>
      <c r="P184">
        <f t="shared" ref="P184:P192" si="62">+O184+Q184</f>
        <v>32122</v>
      </c>
      <c r="Q184">
        <v>672</v>
      </c>
    </row>
    <row r="185" spans="1:17">
      <c r="A185" s="242">
        <v>3</v>
      </c>
      <c r="B185">
        <v>23470</v>
      </c>
      <c r="C185">
        <f t="shared" si="49"/>
        <v>24310</v>
      </c>
      <c r="D185">
        <f t="shared" si="50"/>
        <v>25150</v>
      </c>
      <c r="E185">
        <f t="shared" si="51"/>
        <v>25990</v>
      </c>
      <c r="F185">
        <f t="shared" si="52"/>
        <v>26830</v>
      </c>
      <c r="G185">
        <f t="shared" si="53"/>
        <v>27670</v>
      </c>
      <c r="H185">
        <f t="shared" si="54"/>
        <v>28510</v>
      </c>
      <c r="I185">
        <f t="shared" si="55"/>
        <v>29350</v>
      </c>
      <c r="J185">
        <f t="shared" si="56"/>
        <v>30190</v>
      </c>
      <c r="K185">
        <f t="shared" si="57"/>
        <v>31030</v>
      </c>
      <c r="L185">
        <f t="shared" si="58"/>
        <v>31870</v>
      </c>
      <c r="M185">
        <f t="shared" si="59"/>
        <v>32710</v>
      </c>
      <c r="N185">
        <f t="shared" si="60"/>
        <v>33550</v>
      </c>
      <c r="O185">
        <f t="shared" si="61"/>
        <v>34390</v>
      </c>
      <c r="P185">
        <f t="shared" si="62"/>
        <v>35230</v>
      </c>
      <c r="Q185">
        <v>840</v>
      </c>
    </row>
    <row r="186" spans="1:17">
      <c r="A186" s="242">
        <v>4</v>
      </c>
      <c r="B186">
        <v>24646</v>
      </c>
      <c r="C186">
        <f t="shared" si="49"/>
        <v>25654</v>
      </c>
      <c r="D186">
        <f t="shared" si="50"/>
        <v>26662</v>
      </c>
      <c r="E186">
        <f t="shared" si="51"/>
        <v>27670</v>
      </c>
      <c r="F186">
        <f t="shared" si="52"/>
        <v>28678</v>
      </c>
      <c r="G186">
        <f t="shared" si="53"/>
        <v>29686</v>
      </c>
      <c r="H186">
        <f t="shared" si="54"/>
        <v>30694</v>
      </c>
      <c r="I186">
        <f t="shared" si="55"/>
        <v>31702</v>
      </c>
      <c r="J186">
        <f t="shared" si="56"/>
        <v>32710</v>
      </c>
      <c r="K186">
        <f t="shared" si="57"/>
        <v>33718</v>
      </c>
      <c r="L186">
        <f t="shared" si="58"/>
        <v>34726</v>
      </c>
      <c r="M186">
        <f t="shared" si="59"/>
        <v>35734</v>
      </c>
      <c r="N186">
        <f t="shared" si="60"/>
        <v>36742</v>
      </c>
      <c r="O186">
        <f t="shared" si="61"/>
        <v>37750</v>
      </c>
      <c r="P186">
        <f t="shared" si="62"/>
        <v>38758</v>
      </c>
      <c r="Q186">
        <v>1008</v>
      </c>
    </row>
    <row r="187" spans="1:17">
      <c r="A187" s="242">
        <v>5</v>
      </c>
      <c r="B187">
        <v>28090</v>
      </c>
      <c r="C187">
        <f t="shared" si="49"/>
        <v>29266</v>
      </c>
      <c r="D187">
        <f t="shared" si="50"/>
        <v>30442</v>
      </c>
      <c r="E187">
        <f t="shared" si="51"/>
        <v>31618</v>
      </c>
      <c r="F187">
        <f t="shared" si="52"/>
        <v>32794</v>
      </c>
      <c r="G187">
        <f t="shared" si="53"/>
        <v>33970</v>
      </c>
      <c r="H187">
        <f t="shared" si="54"/>
        <v>35146</v>
      </c>
      <c r="I187">
        <f t="shared" si="55"/>
        <v>36322</v>
      </c>
      <c r="J187">
        <f t="shared" si="56"/>
        <v>37498</v>
      </c>
      <c r="K187">
        <f t="shared" si="57"/>
        <v>38674</v>
      </c>
      <c r="L187">
        <f t="shared" si="58"/>
        <v>39850</v>
      </c>
      <c r="M187">
        <f t="shared" si="59"/>
        <v>41026</v>
      </c>
      <c r="N187">
        <f t="shared" si="60"/>
        <v>42202</v>
      </c>
      <c r="O187">
        <f t="shared" si="61"/>
        <v>43378</v>
      </c>
      <c r="P187">
        <f t="shared" si="62"/>
        <v>44554</v>
      </c>
      <c r="Q187">
        <v>1176</v>
      </c>
    </row>
    <row r="188" spans="1:17">
      <c r="A188" s="242">
        <v>6</v>
      </c>
      <c r="B188">
        <v>34524</v>
      </c>
      <c r="C188">
        <f t="shared" si="49"/>
        <v>35952</v>
      </c>
      <c r="D188">
        <f t="shared" si="50"/>
        <v>37380</v>
      </c>
      <c r="E188">
        <f t="shared" si="51"/>
        <v>38808</v>
      </c>
      <c r="F188">
        <f t="shared" si="52"/>
        <v>40236</v>
      </c>
      <c r="G188">
        <f t="shared" si="53"/>
        <v>41664</v>
      </c>
      <c r="H188">
        <f t="shared" si="54"/>
        <v>43092</v>
      </c>
      <c r="I188">
        <f t="shared" si="55"/>
        <v>44520</v>
      </c>
      <c r="J188">
        <f t="shared" si="56"/>
        <v>45948</v>
      </c>
      <c r="K188">
        <f t="shared" si="57"/>
        <v>47376</v>
      </c>
      <c r="L188">
        <f t="shared" si="58"/>
        <v>48804</v>
      </c>
      <c r="M188">
        <f t="shared" si="59"/>
        <v>50232</v>
      </c>
      <c r="N188">
        <f t="shared" si="60"/>
        <v>51660</v>
      </c>
      <c r="O188">
        <f t="shared" si="61"/>
        <v>53088</v>
      </c>
      <c r="P188">
        <f t="shared" si="62"/>
        <v>54516</v>
      </c>
      <c r="Q188">
        <v>1428</v>
      </c>
    </row>
    <row r="189" spans="1:17">
      <c r="A189" s="242">
        <v>7</v>
      </c>
      <c r="B189">
        <v>46301</v>
      </c>
      <c r="C189">
        <f t="shared" si="49"/>
        <v>48065</v>
      </c>
      <c r="D189">
        <f t="shared" si="50"/>
        <v>49829</v>
      </c>
      <c r="E189">
        <f t="shared" si="51"/>
        <v>51593</v>
      </c>
      <c r="F189">
        <f t="shared" si="52"/>
        <v>53357</v>
      </c>
      <c r="G189">
        <f t="shared" si="53"/>
        <v>55121</v>
      </c>
      <c r="H189">
        <f t="shared" si="54"/>
        <v>56885</v>
      </c>
      <c r="I189">
        <f t="shared" si="55"/>
        <v>58649</v>
      </c>
      <c r="J189">
        <f t="shared" si="56"/>
        <v>60413</v>
      </c>
      <c r="K189">
        <f t="shared" si="57"/>
        <v>62177</v>
      </c>
      <c r="L189">
        <f t="shared" si="58"/>
        <v>63941</v>
      </c>
      <c r="M189">
        <f t="shared" si="59"/>
        <v>65705</v>
      </c>
      <c r="N189">
        <f t="shared" si="60"/>
        <v>67469</v>
      </c>
      <c r="O189">
        <f t="shared" si="61"/>
        <v>69233</v>
      </c>
      <c r="P189">
        <f t="shared" si="62"/>
        <v>70997</v>
      </c>
      <c r="Q189">
        <v>1764</v>
      </c>
    </row>
    <row r="190" spans="1:17">
      <c r="A190" s="242">
        <v>8</v>
      </c>
      <c r="B190">
        <v>60799</v>
      </c>
      <c r="C190">
        <f t="shared" si="49"/>
        <v>62636</v>
      </c>
      <c r="D190">
        <f t="shared" si="50"/>
        <v>64473</v>
      </c>
      <c r="E190">
        <f t="shared" si="51"/>
        <v>66310</v>
      </c>
      <c r="F190">
        <f t="shared" si="52"/>
        <v>68147</v>
      </c>
      <c r="G190">
        <f t="shared" si="53"/>
        <v>69984</v>
      </c>
      <c r="H190">
        <f t="shared" si="54"/>
        <v>71821</v>
      </c>
      <c r="I190">
        <f t="shared" si="55"/>
        <v>73658</v>
      </c>
      <c r="J190">
        <f t="shared" si="56"/>
        <v>75495</v>
      </c>
      <c r="K190">
        <f t="shared" si="57"/>
        <v>77332</v>
      </c>
      <c r="L190">
        <f t="shared" si="58"/>
        <v>79169</v>
      </c>
      <c r="M190">
        <f t="shared" si="59"/>
        <v>81006</v>
      </c>
      <c r="N190">
        <f t="shared" si="60"/>
        <v>82843</v>
      </c>
      <c r="O190">
        <f t="shared" si="61"/>
        <v>84680</v>
      </c>
      <c r="P190">
        <f t="shared" si="62"/>
        <v>86517</v>
      </c>
      <c r="Q190">
        <v>1837</v>
      </c>
    </row>
    <row r="191" spans="1:17">
      <c r="A191" s="242">
        <v>9</v>
      </c>
      <c r="B191">
        <v>71669</v>
      </c>
      <c r="C191">
        <f t="shared" si="49"/>
        <v>74189</v>
      </c>
      <c r="D191">
        <f t="shared" si="50"/>
        <v>76709</v>
      </c>
      <c r="E191">
        <f t="shared" si="51"/>
        <v>79229</v>
      </c>
      <c r="F191">
        <f t="shared" si="52"/>
        <v>81749</v>
      </c>
      <c r="G191">
        <f t="shared" si="53"/>
        <v>84269</v>
      </c>
      <c r="H191">
        <f t="shared" si="54"/>
        <v>86789</v>
      </c>
      <c r="I191">
        <f t="shared" si="55"/>
        <v>89309</v>
      </c>
      <c r="J191">
        <f t="shared" si="56"/>
        <v>91829</v>
      </c>
      <c r="K191">
        <f t="shared" si="57"/>
        <v>94349</v>
      </c>
      <c r="L191">
        <f t="shared" si="58"/>
        <v>96869</v>
      </c>
      <c r="M191">
        <f t="shared" si="59"/>
        <v>99389</v>
      </c>
      <c r="N191">
        <f t="shared" si="60"/>
        <v>101909</v>
      </c>
      <c r="O191">
        <f t="shared" si="61"/>
        <v>104429</v>
      </c>
      <c r="P191">
        <f t="shared" si="62"/>
        <v>106949</v>
      </c>
      <c r="Q191">
        <v>2520</v>
      </c>
    </row>
    <row r="192" spans="1:17">
      <c r="A192" s="242">
        <v>10</v>
      </c>
      <c r="B192">
        <v>84370</v>
      </c>
      <c r="C192">
        <f t="shared" si="49"/>
        <v>87142</v>
      </c>
      <c r="D192">
        <f t="shared" si="50"/>
        <v>89914</v>
      </c>
      <c r="E192">
        <f t="shared" si="51"/>
        <v>92686</v>
      </c>
      <c r="F192">
        <f t="shared" si="52"/>
        <v>95458</v>
      </c>
      <c r="G192">
        <f t="shared" si="53"/>
        <v>98230</v>
      </c>
      <c r="H192">
        <f t="shared" si="54"/>
        <v>101002</v>
      </c>
      <c r="I192">
        <f t="shared" si="55"/>
        <v>103774</v>
      </c>
      <c r="J192">
        <f t="shared" si="56"/>
        <v>106546</v>
      </c>
      <c r="K192">
        <f t="shared" si="57"/>
        <v>109318</v>
      </c>
      <c r="L192">
        <f t="shared" si="58"/>
        <v>112090</v>
      </c>
      <c r="M192">
        <f t="shared" si="59"/>
        <v>114862</v>
      </c>
      <c r="N192">
        <f t="shared" si="60"/>
        <v>117634</v>
      </c>
      <c r="O192">
        <f t="shared" si="61"/>
        <v>120406</v>
      </c>
      <c r="P192">
        <f t="shared" si="62"/>
        <v>123178</v>
      </c>
      <c r="Q192">
        <v>2772</v>
      </c>
    </row>
    <row r="193" spans="1:17">
      <c r="A193" s="242">
        <v>12</v>
      </c>
      <c r="B193">
        <v>99187</v>
      </c>
      <c r="C193">
        <f t="shared" si="49"/>
        <v>103572</v>
      </c>
      <c r="D193">
        <f t="shared" si="50"/>
        <v>107957</v>
      </c>
      <c r="E193">
        <f t="shared" si="51"/>
        <v>112342</v>
      </c>
      <c r="F193">
        <f t="shared" si="52"/>
        <v>116727</v>
      </c>
      <c r="G193">
        <f t="shared" si="53"/>
        <v>121112</v>
      </c>
      <c r="H193">
        <f t="shared" si="54"/>
        <v>125497</v>
      </c>
      <c r="I193">
        <f t="shared" si="55"/>
        <v>129882</v>
      </c>
      <c r="J193">
        <f t="shared" si="56"/>
        <v>134267</v>
      </c>
      <c r="K193">
        <f t="shared" si="57"/>
        <v>138652</v>
      </c>
      <c r="L193">
        <f t="shared" si="58"/>
        <v>143037</v>
      </c>
      <c r="M193">
        <f t="shared" si="59"/>
        <v>147422</v>
      </c>
      <c r="Q193">
        <v>4385</v>
      </c>
    </row>
    <row r="194" spans="1:17">
      <c r="A194" s="242">
        <v>13</v>
      </c>
      <c r="B194">
        <v>110897</v>
      </c>
      <c r="C194">
        <f t="shared" si="49"/>
        <v>115533</v>
      </c>
      <c r="D194">
        <f t="shared" si="50"/>
        <v>120169</v>
      </c>
      <c r="E194">
        <f t="shared" si="51"/>
        <v>124805</v>
      </c>
      <c r="F194">
        <f t="shared" si="52"/>
        <v>129441</v>
      </c>
      <c r="G194">
        <f t="shared" si="53"/>
        <v>134077</v>
      </c>
      <c r="H194">
        <f t="shared" si="54"/>
        <v>138713</v>
      </c>
      <c r="I194">
        <f t="shared" si="55"/>
        <v>143349</v>
      </c>
      <c r="J194">
        <f t="shared" si="56"/>
        <v>147985</v>
      </c>
      <c r="K194">
        <f t="shared" si="57"/>
        <v>152621</v>
      </c>
      <c r="L194">
        <f t="shared" si="58"/>
        <v>157257</v>
      </c>
      <c r="M194">
        <f t="shared" si="59"/>
        <v>161893</v>
      </c>
      <c r="Q194">
        <v>4636</v>
      </c>
    </row>
    <row r="195" spans="1:17">
      <c r="A195" s="242">
        <v>14</v>
      </c>
      <c r="B195">
        <v>122657</v>
      </c>
      <c r="C195">
        <f t="shared" si="49"/>
        <v>127647</v>
      </c>
      <c r="D195">
        <f t="shared" si="50"/>
        <v>132637</v>
      </c>
      <c r="E195">
        <f t="shared" si="51"/>
        <v>137627</v>
      </c>
      <c r="F195">
        <f t="shared" si="52"/>
        <v>142617</v>
      </c>
      <c r="G195">
        <f t="shared" si="53"/>
        <v>147607</v>
      </c>
      <c r="H195">
        <f t="shared" si="54"/>
        <v>152597</v>
      </c>
      <c r="I195">
        <f t="shared" si="55"/>
        <v>157587</v>
      </c>
      <c r="J195">
        <f t="shared" si="56"/>
        <v>162577</v>
      </c>
      <c r="K195">
        <f t="shared" si="57"/>
        <v>167567</v>
      </c>
      <c r="L195">
        <f t="shared" si="58"/>
        <v>172557</v>
      </c>
      <c r="M195">
        <f t="shared" si="59"/>
        <v>177547</v>
      </c>
      <c r="Q195">
        <v>4990</v>
      </c>
    </row>
    <row r="196" spans="1:17">
      <c r="A196" s="242">
        <v>15</v>
      </c>
      <c r="B196">
        <v>137152</v>
      </c>
      <c r="C196">
        <f t="shared" si="49"/>
        <v>143889</v>
      </c>
      <c r="D196">
        <f t="shared" si="50"/>
        <v>150626</v>
      </c>
      <c r="E196">
        <f t="shared" si="51"/>
        <v>157363</v>
      </c>
      <c r="F196">
        <f t="shared" si="52"/>
        <v>164100</v>
      </c>
      <c r="G196">
        <f t="shared" si="53"/>
        <v>170837</v>
      </c>
      <c r="H196">
        <f t="shared" si="54"/>
        <v>177574</v>
      </c>
      <c r="I196">
        <f t="shared" si="55"/>
        <v>184311</v>
      </c>
      <c r="J196">
        <f t="shared" si="56"/>
        <v>191048</v>
      </c>
      <c r="K196">
        <f t="shared" si="57"/>
        <v>197785</v>
      </c>
      <c r="L196">
        <f t="shared" si="58"/>
        <v>204522</v>
      </c>
      <c r="M196">
        <f t="shared" si="59"/>
        <v>211259</v>
      </c>
      <c r="Q196">
        <v>6737</v>
      </c>
    </row>
    <row r="197" spans="1:17">
      <c r="A197" s="242">
        <v>16</v>
      </c>
      <c r="B197">
        <v>148904</v>
      </c>
      <c r="C197">
        <f t="shared" si="49"/>
        <v>157001</v>
      </c>
      <c r="D197">
        <f t="shared" si="50"/>
        <v>165098</v>
      </c>
      <c r="E197">
        <f t="shared" si="51"/>
        <v>173195</v>
      </c>
      <c r="F197">
        <f t="shared" si="52"/>
        <v>181292</v>
      </c>
      <c r="G197">
        <f t="shared" si="53"/>
        <v>189389</v>
      </c>
      <c r="H197">
        <f t="shared" si="54"/>
        <v>197486</v>
      </c>
      <c r="I197">
        <f t="shared" si="55"/>
        <v>205583</v>
      </c>
      <c r="Q197">
        <v>8097</v>
      </c>
    </row>
    <row r="198" spans="1:17">
      <c r="A198" s="242">
        <v>17</v>
      </c>
      <c r="B198">
        <v>169141</v>
      </c>
      <c r="C198">
        <f t="shared" si="49"/>
        <v>178330</v>
      </c>
      <c r="D198">
        <f t="shared" si="50"/>
        <v>187519</v>
      </c>
      <c r="E198">
        <f t="shared" si="51"/>
        <v>196708</v>
      </c>
      <c r="F198">
        <f t="shared" si="52"/>
        <v>205897</v>
      </c>
      <c r="G198">
        <f t="shared" si="53"/>
        <v>215086</v>
      </c>
      <c r="H198">
        <f t="shared" si="54"/>
        <v>224275</v>
      </c>
      <c r="I198">
        <f t="shared" si="55"/>
        <v>233464</v>
      </c>
      <c r="Q198">
        <v>9189</v>
      </c>
    </row>
    <row r="200" spans="1:17">
      <c r="A200" s="242" t="s">
        <v>4287</v>
      </c>
    </row>
    <row r="201" spans="1:17">
      <c r="A201" s="333" t="s">
        <v>4276</v>
      </c>
      <c r="B201" s="333">
        <v>1</v>
      </c>
      <c r="C201" s="333">
        <v>2</v>
      </c>
      <c r="D201" s="333">
        <f t="shared" ref="D201:P201" si="63">C201+1</f>
        <v>3</v>
      </c>
      <c r="E201" s="333">
        <f t="shared" si="63"/>
        <v>4</v>
      </c>
      <c r="F201" s="333">
        <f t="shared" si="63"/>
        <v>5</v>
      </c>
      <c r="G201" s="333">
        <f t="shared" si="63"/>
        <v>6</v>
      </c>
      <c r="H201" s="333">
        <f t="shared" si="63"/>
        <v>7</v>
      </c>
      <c r="I201" s="333">
        <f t="shared" si="63"/>
        <v>8</v>
      </c>
      <c r="J201" s="333">
        <f t="shared" si="63"/>
        <v>9</v>
      </c>
      <c r="K201" s="333">
        <f t="shared" si="63"/>
        <v>10</v>
      </c>
      <c r="L201" s="333">
        <f t="shared" si="63"/>
        <v>11</v>
      </c>
      <c r="M201" s="333">
        <f t="shared" si="63"/>
        <v>12</v>
      </c>
      <c r="N201" s="333">
        <f t="shared" si="63"/>
        <v>13</v>
      </c>
      <c r="O201" s="333">
        <f t="shared" si="63"/>
        <v>14</v>
      </c>
      <c r="P201" s="333">
        <f t="shared" si="63"/>
        <v>15</v>
      </c>
      <c r="Q201" s="333" t="s">
        <v>4277</v>
      </c>
    </row>
    <row r="202" spans="1:17">
      <c r="A202" s="242">
        <v>1</v>
      </c>
      <c r="B202" s="334">
        <f>(+B183/2)/12</f>
        <v>910</v>
      </c>
      <c r="C202" s="334">
        <f t="shared" ref="C202:P215" si="64">(+C183/2)/12</f>
        <v>931</v>
      </c>
      <c r="D202" s="334">
        <f t="shared" si="64"/>
        <v>952</v>
      </c>
      <c r="E202" s="334">
        <f t="shared" si="64"/>
        <v>973</v>
      </c>
      <c r="F202" s="334">
        <f t="shared" si="64"/>
        <v>994</v>
      </c>
      <c r="G202" s="334">
        <f t="shared" si="64"/>
        <v>1015</v>
      </c>
      <c r="H202" s="334">
        <f t="shared" si="64"/>
        <v>1036</v>
      </c>
      <c r="I202" s="334">
        <f t="shared" si="64"/>
        <v>1057</v>
      </c>
      <c r="J202" s="334">
        <f t="shared" si="64"/>
        <v>1078</v>
      </c>
      <c r="K202" s="334">
        <f t="shared" si="64"/>
        <v>1099</v>
      </c>
      <c r="L202" s="334">
        <f t="shared" si="64"/>
        <v>1120</v>
      </c>
      <c r="M202" s="334">
        <f t="shared" si="64"/>
        <v>1141</v>
      </c>
      <c r="N202" s="334">
        <f t="shared" si="64"/>
        <v>1162</v>
      </c>
      <c r="O202" s="334">
        <f t="shared" si="64"/>
        <v>1183</v>
      </c>
      <c r="P202" s="334">
        <f t="shared" si="64"/>
        <v>1204</v>
      </c>
      <c r="Q202">
        <v>9.1</v>
      </c>
    </row>
    <row r="203" spans="1:17">
      <c r="A203" s="242">
        <v>2</v>
      </c>
      <c r="B203" s="334">
        <f>(+B184/2)/12</f>
        <v>946.41666666666663</v>
      </c>
      <c r="C203" s="334">
        <f t="shared" si="64"/>
        <v>974.41666666666663</v>
      </c>
      <c r="D203" s="334">
        <f t="shared" si="64"/>
        <v>1002.4166666666666</v>
      </c>
      <c r="E203" s="334">
        <f t="shared" si="64"/>
        <v>1030.4166666666667</v>
      </c>
      <c r="F203" s="334">
        <f t="shared" si="64"/>
        <v>1058.4166666666667</v>
      </c>
      <c r="G203" s="334">
        <f t="shared" si="64"/>
        <v>1086.4166666666667</v>
      </c>
      <c r="H203" s="334">
        <f t="shared" si="64"/>
        <v>1114.4166666666667</v>
      </c>
      <c r="I203" s="334">
        <f t="shared" si="64"/>
        <v>1142.4166666666667</v>
      </c>
      <c r="J203" s="334">
        <f t="shared" si="64"/>
        <v>1170.4166666666667</v>
      </c>
      <c r="K203" s="334">
        <f t="shared" si="64"/>
        <v>1198.4166666666667</v>
      </c>
      <c r="L203" s="334">
        <f t="shared" si="64"/>
        <v>1226.4166666666667</v>
      </c>
      <c r="M203" s="334">
        <f t="shared" si="64"/>
        <v>1254.4166666666667</v>
      </c>
      <c r="N203" s="334">
        <f t="shared" si="64"/>
        <v>1282.4166666666667</v>
      </c>
      <c r="O203" s="334">
        <f t="shared" si="64"/>
        <v>1310.4166666666667</v>
      </c>
      <c r="P203" s="334">
        <f t="shared" si="64"/>
        <v>1338.4166666666667</v>
      </c>
      <c r="Q203">
        <v>12.1</v>
      </c>
    </row>
    <row r="204" spans="1:17">
      <c r="A204" s="242">
        <v>3</v>
      </c>
      <c r="B204" s="334">
        <f t="shared" ref="B204:G217" si="65">(+B185/2)/12</f>
        <v>977.91666666666663</v>
      </c>
      <c r="C204" s="334">
        <f t="shared" si="65"/>
        <v>1012.9166666666666</v>
      </c>
      <c r="D204" s="334">
        <f t="shared" si="65"/>
        <v>1047.9166666666667</v>
      </c>
      <c r="E204" s="334">
        <f t="shared" si="65"/>
        <v>1082.9166666666667</v>
      </c>
      <c r="F204" s="334">
        <f t="shared" si="65"/>
        <v>1117.9166666666667</v>
      </c>
      <c r="G204" s="334">
        <f t="shared" si="65"/>
        <v>1152.9166666666667</v>
      </c>
      <c r="H204" s="334">
        <f t="shared" si="64"/>
        <v>1187.9166666666667</v>
      </c>
      <c r="I204" s="334">
        <f t="shared" si="64"/>
        <v>1222.9166666666667</v>
      </c>
      <c r="J204" s="334">
        <f t="shared" si="64"/>
        <v>1257.9166666666667</v>
      </c>
      <c r="K204" s="334">
        <f t="shared" si="64"/>
        <v>1292.9166666666667</v>
      </c>
      <c r="L204" s="334">
        <f t="shared" si="64"/>
        <v>1327.9166666666667</v>
      </c>
      <c r="M204" s="334">
        <f t="shared" si="64"/>
        <v>1362.9166666666667</v>
      </c>
      <c r="N204" s="334">
        <f t="shared" si="64"/>
        <v>1397.9166666666667</v>
      </c>
      <c r="O204" s="334">
        <f t="shared" si="64"/>
        <v>1432.9166666666667</v>
      </c>
      <c r="P204" s="334">
        <f t="shared" si="64"/>
        <v>1467.9166666666667</v>
      </c>
      <c r="Q204">
        <v>15.2</v>
      </c>
    </row>
    <row r="205" spans="1:17">
      <c r="A205" s="242">
        <v>4</v>
      </c>
      <c r="B205" s="334">
        <f t="shared" si="65"/>
        <v>1026.9166666666667</v>
      </c>
      <c r="C205" s="334">
        <f t="shared" si="65"/>
        <v>1068.9166666666667</v>
      </c>
      <c r="D205" s="334">
        <f t="shared" si="65"/>
        <v>1110.9166666666667</v>
      </c>
      <c r="E205" s="334">
        <f t="shared" si="65"/>
        <v>1152.9166666666667</v>
      </c>
      <c r="F205" s="334">
        <f t="shared" si="65"/>
        <v>1194.9166666666667</v>
      </c>
      <c r="G205" s="334">
        <f t="shared" si="65"/>
        <v>1236.9166666666667</v>
      </c>
      <c r="H205" s="334">
        <f t="shared" si="64"/>
        <v>1278.9166666666667</v>
      </c>
      <c r="I205" s="334">
        <f t="shared" si="64"/>
        <v>1320.9166666666667</v>
      </c>
      <c r="J205" s="334">
        <f t="shared" si="64"/>
        <v>1362.9166666666667</v>
      </c>
      <c r="K205" s="334">
        <f t="shared" si="64"/>
        <v>1404.9166666666667</v>
      </c>
      <c r="L205" s="334">
        <f t="shared" si="64"/>
        <v>1446.9166666666667</v>
      </c>
      <c r="M205" s="334">
        <f t="shared" si="64"/>
        <v>1488.9166666666667</v>
      </c>
      <c r="N205" s="334">
        <f t="shared" si="64"/>
        <v>1530.9166666666667</v>
      </c>
      <c r="O205" s="334">
        <f t="shared" si="64"/>
        <v>1572.9166666666667</v>
      </c>
      <c r="P205" s="334">
        <f t="shared" si="64"/>
        <v>1614.9166666666667</v>
      </c>
      <c r="Q205">
        <v>18.2</v>
      </c>
    </row>
    <row r="206" spans="1:17">
      <c r="A206" s="242">
        <v>5</v>
      </c>
      <c r="B206" s="334">
        <f t="shared" si="65"/>
        <v>1170.4166666666667</v>
      </c>
      <c r="C206" s="334">
        <f t="shared" si="65"/>
        <v>1219.4166666666667</v>
      </c>
      <c r="D206" s="334">
        <f t="shared" si="65"/>
        <v>1268.4166666666667</v>
      </c>
      <c r="E206" s="334">
        <f t="shared" si="65"/>
        <v>1317.4166666666667</v>
      </c>
      <c r="F206" s="334">
        <f t="shared" si="65"/>
        <v>1366.4166666666667</v>
      </c>
      <c r="G206" s="334">
        <f t="shared" si="65"/>
        <v>1415.4166666666667</v>
      </c>
      <c r="H206" s="334">
        <f t="shared" si="64"/>
        <v>1464.4166666666667</v>
      </c>
      <c r="I206" s="334">
        <f t="shared" si="64"/>
        <v>1513.4166666666667</v>
      </c>
      <c r="J206" s="334">
        <f t="shared" si="64"/>
        <v>1562.4166666666667</v>
      </c>
      <c r="K206" s="334">
        <f t="shared" si="64"/>
        <v>1611.4166666666667</v>
      </c>
      <c r="L206" s="334">
        <f t="shared" si="64"/>
        <v>1660.4166666666667</v>
      </c>
      <c r="M206" s="334">
        <f t="shared" si="64"/>
        <v>1709.4166666666667</v>
      </c>
      <c r="N206" s="334">
        <f t="shared" si="64"/>
        <v>1758.4166666666667</v>
      </c>
      <c r="O206" s="334">
        <f t="shared" si="64"/>
        <v>1807.4166666666667</v>
      </c>
      <c r="P206" s="334">
        <f t="shared" si="64"/>
        <v>1856.4166666666667</v>
      </c>
      <c r="Q206">
        <v>21.2</v>
      </c>
    </row>
    <row r="207" spans="1:17">
      <c r="A207" s="242">
        <v>6</v>
      </c>
      <c r="B207" s="334">
        <f t="shared" si="65"/>
        <v>1438.5</v>
      </c>
      <c r="C207" s="334">
        <f t="shared" si="65"/>
        <v>1498</v>
      </c>
      <c r="D207" s="334">
        <f t="shared" si="65"/>
        <v>1557.5</v>
      </c>
      <c r="E207" s="334">
        <f t="shared" si="65"/>
        <v>1617</v>
      </c>
      <c r="F207" s="334">
        <f t="shared" si="65"/>
        <v>1676.5</v>
      </c>
      <c r="G207" s="334">
        <f t="shared" si="65"/>
        <v>1736</v>
      </c>
      <c r="H207" s="334">
        <f t="shared" si="64"/>
        <v>1795.5</v>
      </c>
      <c r="I207" s="334">
        <f t="shared" si="64"/>
        <v>1855</v>
      </c>
      <c r="J207" s="334">
        <f t="shared" si="64"/>
        <v>1914.5</v>
      </c>
      <c r="K207" s="334">
        <f t="shared" si="64"/>
        <v>1974</v>
      </c>
      <c r="L207" s="334">
        <f t="shared" si="64"/>
        <v>2033.5</v>
      </c>
      <c r="M207" s="334">
        <f t="shared" si="64"/>
        <v>2093</v>
      </c>
      <c r="N207" s="334">
        <f t="shared" si="64"/>
        <v>2152.5</v>
      </c>
      <c r="O207" s="334">
        <f t="shared" si="64"/>
        <v>2212</v>
      </c>
      <c r="P207" s="334">
        <f t="shared" si="64"/>
        <v>2271.5</v>
      </c>
      <c r="Q207">
        <v>25.8</v>
      </c>
    </row>
    <row r="208" spans="1:17">
      <c r="A208" s="242">
        <v>7</v>
      </c>
      <c r="B208" s="334">
        <f t="shared" si="65"/>
        <v>1929.2083333333333</v>
      </c>
      <c r="C208" s="334">
        <f t="shared" si="65"/>
        <v>2002.7083333333333</v>
      </c>
      <c r="D208" s="334">
        <f t="shared" si="65"/>
        <v>2076.2083333333335</v>
      </c>
      <c r="E208" s="334">
        <f t="shared" si="65"/>
        <v>2149.7083333333335</v>
      </c>
      <c r="F208" s="334">
        <f t="shared" si="65"/>
        <v>2223.2083333333335</v>
      </c>
      <c r="G208" s="334">
        <f t="shared" si="65"/>
        <v>2296.7083333333335</v>
      </c>
      <c r="H208" s="334">
        <f t="shared" si="64"/>
        <v>2370.2083333333335</v>
      </c>
      <c r="I208" s="334">
        <f t="shared" si="64"/>
        <v>2443.7083333333335</v>
      </c>
      <c r="J208" s="334">
        <f t="shared" si="64"/>
        <v>2517.2083333333335</v>
      </c>
      <c r="K208" s="334">
        <f t="shared" si="64"/>
        <v>2590.7083333333335</v>
      </c>
      <c r="L208" s="334">
        <f t="shared" si="64"/>
        <v>2664.2083333333335</v>
      </c>
      <c r="M208" s="334">
        <f t="shared" si="64"/>
        <v>2737.7083333333335</v>
      </c>
      <c r="N208" s="334">
        <f t="shared" si="64"/>
        <v>2811.2083333333335</v>
      </c>
      <c r="O208" s="334">
        <f t="shared" si="64"/>
        <v>2884.7083333333335</v>
      </c>
      <c r="P208" s="334">
        <f t="shared" si="64"/>
        <v>2958.2083333333335</v>
      </c>
      <c r="Q208">
        <v>31.8</v>
      </c>
    </row>
    <row r="209" spans="1:17">
      <c r="A209" s="242">
        <v>8</v>
      </c>
      <c r="B209" s="334">
        <f t="shared" si="65"/>
        <v>2533.2916666666665</v>
      </c>
      <c r="C209" s="334">
        <f t="shared" si="65"/>
        <v>2609.8333333333335</v>
      </c>
      <c r="D209" s="334">
        <f t="shared" si="65"/>
        <v>2686.375</v>
      </c>
      <c r="E209" s="334">
        <f t="shared" si="65"/>
        <v>2762.9166666666665</v>
      </c>
      <c r="F209" s="334">
        <f t="shared" si="65"/>
        <v>2839.4583333333335</v>
      </c>
      <c r="G209" s="334">
        <f t="shared" si="65"/>
        <v>2916</v>
      </c>
      <c r="H209" s="334">
        <f t="shared" si="64"/>
        <v>2992.5416666666665</v>
      </c>
      <c r="I209" s="334">
        <f t="shared" si="64"/>
        <v>3069.0833333333335</v>
      </c>
      <c r="J209" s="334">
        <f t="shared" si="64"/>
        <v>3145.625</v>
      </c>
      <c r="K209" s="334">
        <f t="shared" si="64"/>
        <v>3222.1666666666665</v>
      </c>
      <c r="L209" s="334">
        <f t="shared" si="64"/>
        <v>3298.7083333333335</v>
      </c>
      <c r="M209" s="334">
        <f t="shared" si="64"/>
        <v>3375.25</v>
      </c>
      <c r="N209" s="334">
        <f t="shared" si="64"/>
        <v>3451.7916666666665</v>
      </c>
      <c r="O209" s="334">
        <f t="shared" si="64"/>
        <v>3528.3333333333335</v>
      </c>
      <c r="P209" s="334">
        <f t="shared" si="64"/>
        <v>3604.875</v>
      </c>
      <c r="Q209">
        <v>33.1</v>
      </c>
    </row>
    <row r="210" spans="1:17">
      <c r="A210" s="242">
        <v>9</v>
      </c>
      <c r="B210" s="334">
        <f t="shared" si="65"/>
        <v>2986.2083333333335</v>
      </c>
      <c r="C210" s="334">
        <f t="shared" si="65"/>
        <v>3091.2083333333335</v>
      </c>
      <c r="D210" s="334">
        <f t="shared" si="65"/>
        <v>3196.2083333333335</v>
      </c>
      <c r="E210" s="334">
        <f t="shared" si="65"/>
        <v>3301.2083333333335</v>
      </c>
      <c r="F210" s="334">
        <f t="shared" si="65"/>
        <v>3406.2083333333335</v>
      </c>
      <c r="G210" s="334">
        <f t="shared" si="65"/>
        <v>3511.2083333333335</v>
      </c>
      <c r="H210" s="334">
        <f t="shared" si="64"/>
        <v>3616.2083333333335</v>
      </c>
      <c r="I210" s="334">
        <f t="shared" si="64"/>
        <v>3721.2083333333335</v>
      </c>
      <c r="J210" s="334">
        <f t="shared" si="64"/>
        <v>3826.2083333333335</v>
      </c>
      <c r="K210" s="334">
        <f t="shared" si="64"/>
        <v>3931.2083333333335</v>
      </c>
      <c r="L210" s="334">
        <f t="shared" si="64"/>
        <v>4036.2083333333335</v>
      </c>
      <c r="M210" s="334">
        <f t="shared" si="64"/>
        <v>4141.208333333333</v>
      </c>
      <c r="N210" s="334">
        <f t="shared" si="64"/>
        <v>4246.208333333333</v>
      </c>
      <c r="O210" s="334">
        <f t="shared" si="64"/>
        <v>4351.208333333333</v>
      </c>
      <c r="P210" s="334">
        <f t="shared" si="64"/>
        <v>4456.208333333333</v>
      </c>
      <c r="Q210">
        <v>45.5</v>
      </c>
    </row>
    <row r="211" spans="1:17">
      <c r="A211" s="242">
        <v>10</v>
      </c>
      <c r="B211" s="334">
        <f t="shared" si="65"/>
        <v>3515.4166666666665</v>
      </c>
      <c r="C211" s="334">
        <f t="shared" si="65"/>
        <v>3630.9166666666665</v>
      </c>
      <c r="D211" s="334">
        <f t="shared" si="65"/>
        <v>3746.4166666666665</v>
      </c>
      <c r="E211" s="334">
        <f t="shared" si="65"/>
        <v>3861.9166666666665</v>
      </c>
      <c r="F211" s="334">
        <f t="shared" si="65"/>
        <v>3977.4166666666665</v>
      </c>
      <c r="G211" s="334">
        <f t="shared" si="65"/>
        <v>4092.9166666666665</v>
      </c>
      <c r="H211" s="334">
        <f t="shared" si="64"/>
        <v>4208.416666666667</v>
      </c>
      <c r="I211" s="334">
        <f t="shared" si="64"/>
        <v>4323.916666666667</v>
      </c>
      <c r="J211" s="334">
        <f t="shared" si="64"/>
        <v>4439.416666666667</v>
      </c>
      <c r="K211" s="334">
        <f t="shared" si="64"/>
        <v>4554.916666666667</v>
      </c>
      <c r="L211" s="334">
        <f t="shared" si="64"/>
        <v>4670.416666666667</v>
      </c>
      <c r="M211" s="334">
        <f t="shared" si="64"/>
        <v>4785.916666666667</v>
      </c>
      <c r="N211" s="334">
        <f t="shared" si="64"/>
        <v>4901.416666666667</v>
      </c>
      <c r="O211" s="334">
        <f t="shared" si="64"/>
        <v>5016.916666666667</v>
      </c>
      <c r="P211" s="334">
        <f t="shared" si="64"/>
        <v>5132.416666666667</v>
      </c>
      <c r="Q211">
        <v>50</v>
      </c>
    </row>
    <row r="212" spans="1:17">
      <c r="A212" s="242">
        <v>12</v>
      </c>
      <c r="B212" s="334">
        <f t="shared" si="65"/>
        <v>4132.791666666667</v>
      </c>
      <c r="C212" s="334">
        <f t="shared" si="65"/>
        <v>4315.5</v>
      </c>
      <c r="D212" s="334">
        <f t="shared" si="65"/>
        <v>4498.208333333333</v>
      </c>
      <c r="E212" s="334">
        <f t="shared" si="65"/>
        <v>4680.916666666667</v>
      </c>
      <c r="F212" s="334">
        <f t="shared" si="65"/>
        <v>4863.625</v>
      </c>
      <c r="G212" s="334">
        <f t="shared" si="65"/>
        <v>5046.333333333333</v>
      </c>
      <c r="H212" s="334">
        <f t="shared" si="64"/>
        <v>5229.041666666667</v>
      </c>
      <c r="I212" s="334">
        <f t="shared" si="64"/>
        <v>5411.75</v>
      </c>
      <c r="J212" s="334">
        <f t="shared" si="64"/>
        <v>5594.458333333333</v>
      </c>
      <c r="K212" s="334"/>
      <c r="L212" s="334"/>
      <c r="M212" s="334"/>
      <c r="N212" s="334"/>
      <c r="O212" s="334"/>
      <c r="P212" s="334"/>
      <c r="Q212">
        <v>79.099999999999994</v>
      </c>
    </row>
    <row r="213" spans="1:17">
      <c r="A213" s="242">
        <v>13</v>
      </c>
      <c r="B213" s="334">
        <f t="shared" si="65"/>
        <v>4620.708333333333</v>
      </c>
      <c r="C213" s="334">
        <f t="shared" si="65"/>
        <v>4813.875</v>
      </c>
      <c r="D213" s="334">
        <f t="shared" si="65"/>
        <v>5007.041666666667</v>
      </c>
      <c r="E213" s="334">
        <f t="shared" si="65"/>
        <v>5200.208333333333</v>
      </c>
      <c r="F213" s="334">
        <f t="shared" si="65"/>
        <v>5393.375</v>
      </c>
      <c r="G213" s="334">
        <f t="shared" si="65"/>
        <v>5586.541666666667</v>
      </c>
      <c r="H213" s="334">
        <f t="shared" si="64"/>
        <v>5779.708333333333</v>
      </c>
      <c r="I213" s="334">
        <f t="shared" si="64"/>
        <v>5972.875</v>
      </c>
      <c r="J213" s="334">
        <f t="shared" si="64"/>
        <v>6166.041666666667</v>
      </c>
      <c r="K213" s="334"/>
      <c r="L213" s="334"/>
      <c r="M213" s="334"/>
      <c r="N213" s="334"/>
      <c r="O213" s="334"/>
      <c r="P213" s="334"/>
      <c r="Q213">
        <v>83.6</v>
      </c>
    </row>
    <row r="214" spans="1:17">
      <c r="A214" s="242">
        <v>14</v>
      </c>
      <c r="B214" s="334">
        <f t="shared" si="65"/>
        <v>5110.708333333333</v>
      </c>
      <c r="C214" s="334">
        <f t="shared" si="65"/>
        <v>5318.625</v>
      </c>
      <c r="D214" s="334">
        <f t="shared" si="65"/>
        <v>5526.541666666667</v>
      </c>
      <c r="E214" s="334">
        <f t="shared" si="65"/>
        <v>5734.458333333333</v>
      </c>
      <c r="F214" s="334">
        <f t="shared" si="65"/>
        <v>5942.375</v>
      </c>
      <c r="G214" s="334">
        <f t="shared" si="65"/>
        <v>6150.291666666667</v>
      </c>
      <c r="H214" s="334">
        <f t="shared" si="64"/>
        <v>6358.208333333333</v>
      </c>
      <c r="I214" s="334">
        <f t="shared" si="64"/>
        <v>6566.125</v>
      </c>
      <c r="J214" s="334">
        <f t="shared" si="64"/>
        <v>6774.041666666667</v>
      </c>
      <c r="K214" s="334"/>
      <c r="L214" s="334"/>
      <c r="M214" s="334"/>
      <c r="N214" s="334"/>
      <c r="O214" s="334"/>
      <c r="P214" s="334"/>
      <c r="Q214">
        <v>90</v>
      </c>
    </row>
    <row r="215" spans="1:17">
      <c r="A215" s="242">
        <v>15</v>
      </c>
      <c r="B215" s="334">
        <f t="shared" si="65"/>
        <v>5714.666666666667</v>
      </c>
      <c r="C215" s="334">
        <f t="shared" si="65"/>
        <v>5995.375</v>
      </c>
      <c r="D215" s="334">
        <f t="shared" si="65"/>
        <v>6276.083333333333</v>
      </c>
      <c r="E215" s="334">
        <f t="shared" si="65"/>
        <v>6556.791666666667</v>
      </c>
      <c r="F215" s="334">
        <f t="shared" si="65"/>
        <v>6837.5</v>
      </c>
      <c r="G215" s="334">
        <f t="shared" si="65"/>
        <v>7118.208333333333</v>
      </c>
      <c r="H215" s="334">
        <f t="shared" si="64"/>
        <v>7398.916666666667</v>
      </c>
      <c r="I215" s="334">
        <f t="shared" si="64"/>
        <v>7679.625</v>
      </c>
      <c r="J215" s="334">
        <f t="shared" si="64"/>
        <v>7960.333333333333</v>
      </c>
      <c r="K215" s="334"/>
      <c r="L215" s="334"/>
      <c r="M215" s="334"/>
      <c r="N215" s="334"/>
      <c r="O215" s="334"/>
      <c r="P215" s="334"/>
      <c r="Q215">
        <v>121.5</v>
      </c>
    </row>
    <row r="216" spans="1:17">
      <c r="A216" s="242">
        <v>16</v>
      </c>
      <c r="B216" s="334">
        <f t="shared" si="65"/>
        <v>6204.333333333333</v>
      </c>
      <c r="C216" s="334">
        <f t="shared" si="65"/>
        <v>6541.708333333333</v>
      </c>
      <c r="D216" s="334">
        <f t="shared" si="65"/>
        <v>6879.083333333333</v>
      </c>
      <c r="E216" s="334">
        <f t="shared" si="65"/>
        <v>7216.458333333333</v>
      </c>
      <c r="F216" s="334">
        <f t="shared" si="65"/>
        <v>7553.833333333333</v>
      </c>
      <c r="G216" s="334">
        <f t="shared" si="65"/>
        <v>7891.208333333333</v>
      </c>
      <c r="H216" s="334"/>
      <c r="I216" s="334"/>
      <c r="J216" s="334"/>
      <c r="K216" s="334"/>
      <c r="L216" s="334"/>
      <c r="M216" s="334"/>
      <c r="N216" s="334"/>
      <c r="O216" s="334"/>
      <c r="P216" s="334"/>
      <c r="Q216">
        <v>146</v>
      </c>
    </row>
    <row r="217" spans="1:17">
      <c r="A217" s="242">
        <v>17</v>
      </c>
      <c r="B217" s="334">
        <f t="shared" si="65"/>
        <v>7047.541666666667</v>
      </c>
      <c r="C217" s="334">
        <f t="shared" si="65"/>
        <v>7430.416666666667</v>
      </c>
      <c r="D217" s="334">
        <f t="shared" si="65"/>
        <v>7813.291666666667</v>
      </c>
      <c r="E217" s="334">
        <f t="shared" si="65"/>
        <v>8196.1666666666661</v>
      </c>
      <c r="F217" s="334">
        <f t="shared" si="65"/>
        <v>8579.0416666666661</v>
      </c>
      <c r="G217" s="334">
        <f t="shared" si="65"/>
        <v>8961.9166666666661</v>
      </c>
      <c r="H217" s="334"/>
      <c r="I217" s="334"/>
      <c r="J217" s="334"/>
      <c r="K217" s="334"/>
      <c r="L217" s="334"/>
      <c r="M217" s="334"/>
      <c r="N217" s="334"/>
      <c r="O217" s="334"/>
      <c r="P217" s="334"/>
      <c r="Q217">
        <v>165.7</v>
      </c>
    </row>
    <row r="218" spans="1:17">
      <c r="B218" s="334"/>
      <c r="C218" s="334"/>
      <c r="D218" s="334"/>
      <c r="E218" s="334"/>
      <c r="F218" s="334"/>
      <c r="G218" s="334"/>
      <c r="H218" s="334"/>
      <c r="I218" s="334"/>
      <c r="J218" s="334"/>
      <c r="K218" s="334"/>
      <c r="L218" s="334"/>
      <c r="M218" s="334"/>
      <c r="N218" s="334"/>
      <c r="O218" s="334"/>
      <c r="P218" s="334"/>
    </row>
    <row r="220" spans="1:17">
      <c r="A220" s="242" t="s">
        <v>4288</v>
      </c>
    </row>
    <row r="221" spans="1:17">
      <c r="A221" s="333" t="s">
        <v>4276</v>
      </c>
      <c r="B221" s="333">
        <v>1</v>
      </c>
      <c r="C221" s="333">
        <v>2</v>
      </c>
      <c r="D221" s="333">
        <f t="shared" ref="D221:P221" si="66">C221+1</f>
        <v>3</v>
      </c>
      <c r="E221" s="333">
        <f t="shared" si="66"/>
        <v>4</v>
      </c>
      <c r="F221" s="333">
        <f t="shared" si="66"/>
        <v>5</v>
      </c>
      <c r="G221" s="333">
        <f t="shared" si="66"/>
        <v>6</v>
      </c>
      <c r="H221" s="333">
        <f t="shared" si="66"/>
        <v>7</v>
      </c>
      <c r="I221" s="333">
        <f t="shared" si="66"/>
        <v>8</v>
      </c>
      <c r="J221" s="333">
        <f t="shared" si="66"/>
        <v>9</v>
      </c>
      <c r="K221" s="333">
        <f t="shared" si="66"/>
        <v>10</v>
      </c>
      <c r="L221" s="333">
        <f t="shared" si="66"/>
        <v>11</v>
      </c>
      <c r="M221" s="333">
        <f t="shared" si="66"/>
        <v>12</v>
      </c>
      <c r="N221" s="333">
        <f t="shared" si="66"/>
        <v>13</v>
      </c>
      <c r="O221" s="333">
        <f t="shared" si="66"/>
        <v>14</v>
      </c>
      <c r="P221" s="333">
        <f t="shared" si="66"/>
        <v>15</v>
      </c>
      <c r="Q221" s="333" t="s">
        <v>4277</v>
      </c>
    </row>
    <row r="222" spans="1:17">
      <c r="A222" s="335">
        <v>1</v>
      </c>
      <c r="B222" s="336">
        <v>16224</v>
      </c>
      <c r="C222" s="336">
        <f>+B222+Q222</f>
        <v>16704</v>
      </c>
      <c r="D222" s="336">
        <f>+C222+Q222</f>
        <v>17184</v>
      </c>
      <c r="E222" s="336">
        <f>+D222+Q222</f>
        <v>17664</v>
      </c>
      <c r="F222" s="336">
        <f>+E222+Q222</f>
        <v>18144</v>
      </c>
      <c r="G222" s="336">
        <f>+F222+Q222</f>
        <v>18624</v>
      </c>
      <c r="H222" s="336">
        <f>+G222+Q222</f>
        <v>19104</v>
      </c>
      <c r="I222" s="336">
        <f>+H222+Q222</f>
        <v>19584</v>
      </c>
      <c r="J222" s="336">
        <f>+I222+Q222</f>
        <v>20064</v>
      </c>
      <c r="K222" s="336">
        <f>+J222+Q222</f>
        <v>20544</v>
      </c>
      <c r="L222" s="336">
        <f>+K222+Q222</f>
        <v>21024</v>
      </c>
      <c r="M222" s="336">
        <f>+L222+Q222</f>
        <v>21504</v>
      </c>
      <c r="N222" s="336">
        <f>+M222+Q222</f>
        <v>21984</v>
      </c>
      <c r="O222" s="336">
        <f>+N222+Q222</f>
        <v>22464</v>
      </c>
      <c r="P222" s="336">
        <f>+O222+Q222</f>
        <v>22944</v>
      </c>
      <c r="Q222" s="336">
        <v>480</v>
      </c>
    </row>
    <row r="223" spans="1:17">
      <c r="A223" s="335">
        <v>2</v>
      </c>
      <c r="B223" s="336">
        <v>16764</v>
      </c>
      <c r="C223" s="336">
        <f t="shared" ref="C223:C235" si="67">+B223+Q223</f>
        <v>17364</v>
      </c>
      <c r="D223" s="336">
        <f t="shared" ref="D223:D235" si="68">+C223+Q223</f>
        <v>17964</v>
      </c>
      <c r="E223" s="336">
        <f t="shared" ref="E223:E235" si="69">+D223+Q223</f>
        <v>18564</v>
      </c>
      <c r="F223" s="336">
        <f t="shared" ref="F223:F235" si="70">+E223+Q223</f>
        <v>19164</v>
      </c>
      <c r="G223" s="336">
        <f t="shared" ref="G223:G235" si="71">+F223+Q223</f>
        <v>19764</v>
      </c>
      <c r="H223" s="336">
        <f t="shared" ref="H223:H235" si="72">+G223+Q223</f>
        <v>20364</v>
      </c>
      <c r="I223" s="336">
        <f t="shared" ref="I223:I235" si="73">+H223+Q223</f>
        <v>20964</v>
      </c>
      <c r="J223" s="336">
        <f t="shared" ref="J223:J235" si="74">+I223+Q223</f>
        <v>21564</v>
      </c>
      <c r="K223" s="336">
        <f t="shared" ref="K223:K235" si="75">+J223+Q223</f>
        <v>22164</v>
      </c>
      <c r="L223" s="336">
        <f t="shared" ref="L223:L235" si="76">+K223+Q223</f>
        <v>22764</v>
      </c>
      <c r="M223" s="336">
        <f t="shared" ref="M223:M235" si="77">+L223+Q223</f>
        <v>23364</v>
      </c>
      <c r="N223" s="336">
        <f t="shared" ref="N223:N228" si="78">+M223+Q223</f>
        <v>23964</v>
      </c>
      <c r="O223" s="336">
        <f t="shared" ref="O223:O228" si="79">+N223+Q223</f>
        <v>24564</v>
      </c>
      <c r="P223" s="336">
        <f t="shared" ref="P223:P228" si="80">+O223+Q223</f>
        <v>25164</v>
      </c>
      <c r="Q223" s="336">
        <v>600</v>
      </c>
    </row>
    <row r="224" spans="1:17">
      <c r="A224" s="335">
        <v>3</v>
      </c>
      <c r="B224" s="336">
        <v>17604</v>
      </c>
      <c r="C224" s="336">
        <f t="shared" si="67"/>
        <v>18324</v>
      </c>
      <c r="D224" s="336">
        <f t="shared" si="68"/>
        <v>19044</v>
      </c>
      <c r="E224" s="336">
        <f t="shared" si="69"/>
        <v>19764</v>
      </c>
      <c r="F224" s="336">
        <f t="shared" si="70"/>
        <v>20484</v>
      </c>
      <c r="G224" s="336">
        <f t="shared" si="71"/>
        <v>21204</v>
      </c>
      <c r="H224" s="336">
        <f t="shared" si="72"/>
        <v>21924</v>
      </c>
      <c r="I224" s="336">
        <f t="shared" si="73"/>
        <v>22644</v>
      </c>
      <c r="J224" s="336">
        <f t="shared" si="74"/>
        <v>23364</v>
      </c>
      <c r="K224" s="336">
        <f t="shared" si="75"/>
        <v>24084</v>
      </c>
      <c r="L224" s="336">
        <f t="shared" si="76"/>
        <v>24804</v>
      </c>
      <c r="M224" s="336">
        <f t="shared" si="77"/>
        <v>25524</v>
      </c>
      <c r="N224" s="336">
        <f t="shared" si="78"/>
        <v>26244</v>
      </c>
      <c r="O224" s="336">
        <f t="shared" si="79"/>
        <v>26964</v>
      </c>
      <c r="P224" s="336">
        <f t="shared" si="80"/>
        <v>27684</v>
      </c>
      <c r="Q224" s="336">
        <v>720</v>
      </c>
    </row>
    <row r="225" spans="1:17">
      <c r="A225" s="335">
        <v>4</v>
      </c>
      <c r="B225" s="336">
        <v>20064</v>
      </c>
      <c r="C225" s="336">
        <f t="shared" si="67"/>
        <v>20904</v>
      </c>
      <c r="D225" s="336">
        <f t="shared" si="68"/>
        <v>21744</v>
      </c>
      <c r="E225" s="336">
        <f t="shared" si="69"/>
        <v>22584</v>
      </c>
      <c r="F225" s="336">
        <f t="shared" si="70"/>
        <v>23424</v>
      </c>
      <c r="G225" s="336">
        <f t="shared" si="71"/>
        <v>24264</v>
      </c>
      <c r="H225" s="336">
        <f t="shared" si="72"/>
        <v>25104</v>
      </c>
      <c r="I225" s="336">
        <f t="shared" si="73"/>
        <v>25944</v>
      </c>
      <c r="J225" s="336">
        <f t="shared" si="74"/>
        <v>26784</v>
      </c>
      <c r="K225" s="336">
        <f t="shared" si="75"/>
        <v>27624</v>
      </c>
      <c r="L225" s="336">
        <f t="shared" si="76"/>
        <v>28464</v>
      </c>
      <c r="M225" s="336">
        <f t="shared" si="77"/>
        <v>29304</v>
      </c>
      <c r="N225" s="336">
        <f t="shared" si="78"/>
        <v>30144</v>
      </c>
      <c r="O225" s="336">
        <f t="shared" si="79"/>
        <v>30984</v>
      </c>
      <c r="P225" s="336">
        <f t="shared" si="80"/>
        <v>31824</v>
      </c>
      <c r="Q225" s="336">
        <v>840</v>
      </c>
    </row>
    <row r="226" spans="1:17">
      <c r="A226" s="335">
        <v>5</v>
      </c>
      <c r="B226" s="336">
        <v>24660</v>
      </c>
      <c r="C226" s="336">
        <f t="shared" si="67"/>
        <v>25680</v>
      </c>
      <c r="D226" s="336">
        <f t="shared" si="68"/>
        <v>26700</v>
      </c>
      <c r="E226" s="336">
        <f t="shared" si="69"/>
        <v>27720</v>
      </c>
      <c r="F226" s="336">
        <f t="shared" si="70"/>
        <v>28740</v>
      </c>
      <c r="G226" s="336">
        <f t="shared" si="71"/>
        <v>29760</v>
      </c>
      <c r="H226" s="336">
        <f t="shared" si="72"/>
        <v>30780</v>
      </c>
      <c r="I226" s="336">
        <f t="shared" si="73"/>
        <v>31800</v>
      </c>
      <c r="J226" s="336">
        <f t="shared" si="74"/>
        <v>32820</v>
      </c>
      <c r="K226" s="336">
        <f t="shared" si="75"/>
        <v>33840</v>
      </c>
      <c r="L226" s="336">
        <f t="shared" si="76"/>
        <v>34860</v>
      </c>
      <c r="M226" s="336">
        <f t="shared" si="77"/>
        <v>35880</v>
      </c>
      <c r="N226" s="336">
        <f t="shared" si="78"/>
        <v>36900</v>
      </c>
      <c r="O226" s="336">
        <f t="shared" si="79"/>
        <v>37920</v>
      </c>
      <c r="P226" s="336">
        <f t="shared" si="80"/>
        <v>38940</v>
      </c>
      <c r="Q226" s="336">
        <v>1020</v>
      </c>
    </row>
    <row r="227" spans="1:17">
      <c r="A227" s="335">
        <v>6</v>
      </c>
      <c r="B227" s="336">
        <v>33072</v>
      </c>
      <c r="C227" s="336">
        <f t="shared" si="67"/>
        <v>34332</v>
      </c>
      <c r="D227" s="336">
        <f t="shared" si="68"/>
        <v>35592</v>
      </c>
      <c r="E227" s="336">
        <f t="shared" si="69"/>
        <v>36852</v>
      </c>
      <c r="F227" s="336">
        <f t="shared" si="70"/>
        <v>38112</v>
      </c>
      <c r="G227" s="336">
        <f t="shared" si="71"/>
        <v>39372</v>
      </c>
      <c r="H227" s="336">
        <f t="shared" si="72"/>
        <v>40632</v>
      </c>
      <c r="I227" s="336">
        <f t="shared" si="73"/>
        <v>41892</v>
      </c>
      <c r="J227" s="336">
        <f t="shared" si="74"/>
        <v>43152</v>
      </c>
      <c r="K227" s="336">
        <f t="shared" si="75"/>
        <v>44412</v>
      </c>
      <c r="L227" s="336">
        <f t="shared" si="76"/>
        <v>45672</v>
      </c>
      <c r="M227" s="336">
        <f t="shared" si="77"/>
        <v>46932</v>
      </c>
      <c r="N227" s="336">
        <f t="shared" si="78"/>
        <v>48192</v>
      </c>
      <c r="O227" s="336">
        <f t="shared" si="79"/>
        <v>49452</v>
      </c>
      <c r="P227" s="336">
        <f t="shared" si="80"/>
        <v>50712</v>
      </c>
      <c r="Q227" s="336">
        <v>1260</v>
      </c>
    </row>
    <row r="228" spans="1:17">
      <c r="A228" s="335">
        <v>7</v>
      </c>
      <c r="B228" s="336">
        <v>42228</v>
      </c>
      <c r="C228" s="336">
        <f t="shared" si="67"/>
        <v>43740</v>
      </c>
      <c r="D228" s="336">
        <f t="shared" si="68"/>
        <v>45252</v>
      </c>
      <c r="E228" s="336">
        <f t="shared" si="69"/>
        <v>46764</v>
      </c>
      <c r="F228" s="336">
        <f t="shared" si="70"/>
        <v>48276</v>
      </c>
      <c r="G228" s="336">
        <f t="shared" si="71"/>
        <v>49788</v>
      </c>
      <c r="H228" s="336">
        <f t="shared" si="72"/>
        <v>51300</v>
      </c>
      <c r="I228" s="336">
        <f t="shared" si="73"/>
        <v>52812</v>
      </c>
      <c r="J228" s="336">
        <f t="shared" si="74"/>
        <v>54324</v>
      </c>
      <c r="K228" s="336">
        <f t="shared" si="75"/>
        <v>55836</v>
      </c>
      <c r="L228" s="336">
        <f t="shared" si="76"/>
        <v>57348</v>
      </c>
      <c r="M228" s="336">
        <f t="shared" si="77"/>
        <v>58860</v>
      </c>
      <c r="N228" s="336">
        <f t="shared" si="78"/>
        <v>60372</v>
      </c>
      <c r="O228" s="336">
        <f t="shared" si="79"/>
        <v>61884</v>
      </c>
      <c r="P228" s="336">
        <f t="shared" si="80"/>
        <v>63396</v>
      </c>
      <c r="Q228" s="336">
        <v>1512</v>
      </c>
    </row>
    <row r="229" spans="1:17">
      <c r="A229" s="335">
        <v>8</v>
      </c>
      <c r="B229" s="336">
        <v>51060</v>
      </c>
      <c r="C229" s="336">
        <f t="shared" si="67"/>
        <v>52860</v>
      </c>
      <c r="D229" s="336">
        <f t="shared" si="68"/>
        <v>54660</v>
      </c>
      <c r="E229" s="336">
        <f t="shared" si="69"/>
        <v>56460</v>
      </c>
      <c r="F229" s="336">
        <f t="shared" si="70"/>
        <v>58260</v>
      </c>
      <c r="G229" s="336">
        <f t="shared" si="71"/>
        <v>60060</v>
      </c>
      <c r="H229" s="336">
        <f t="shared" si="72"/>
        <v>61860</v>
      </c>
      <c r="I229" s="336">
        <f t="shared" si="73"/>
        <v>63660</v>
      </c>
      <c r="J229" s="336">
        <f t="shared" si="74"/>
        <v>65460</v>
      </c>
      <c r="K229" s="336">
        <f t="shared" si="75"/>
        <v>67260</v>
      </c>
      <c r="L229" s="336">
        <f t="shared" si="76"/>
        <v>69060</v>
      </c>
      <c r="M229" s="336">
        <f t="shared" si="77"/>
        <v>70860</v>
      </c>
      <c r="N229" s="336">
        <f>+M229+Q229</f>
        <v>72660</v>
      </c>
      <c r="O229" s="336">
        <f>+N229+Q229</f>
        <v>74460</v>
      </c>
      <c r="P229" s="336">
        <f>+O229+Q229</f>
        <v>76260</v>
      </c>
      <c r="Q229" s="336">
        <v>1800</v>
      </c>
    </row>
    <row r="230" spans="1:17">
      <c r="A230" s="335">
        <v>9</v>
      </c>
      <c r="B230" s="336">
        <v>60264</v>
      </c>
      <c r="C230" s="336">
        <f t="shared" si="67"/>
        <v>62244</v>
      </c>
      <c r="D230" s="336">
        <f t="shared" si="68"/>
        <v>64224</v>
      </c>
      <c r="E230" s="336">
        <f t="shared" si="69"/>
        <v>66204</v>
      </c>
      <c r="F230" s="336">
        <f t="shared" si="70"/>
        <v>68184</v>
      </c>
      <c r="G230" s="336">
        <f t="shared" si="71"/>
        <v>70164</v>
      </c>
      <c r="H230" s="336">
        <f t="shared" si="72"/>
        <v>72144</v>
      </c>
      <c r="I230" s="336">
        <f t="shared" si="73"/>
        <v>74124</v>
      </c>
      <c r="J230" s="336">
        <f t="shared" si="74"/>
        <v>76104</v>
      </c>
      <c r="K230" s="336">
        <f t="shared" si="75"/>
        <v>78084</v>
      </c>
      <c r="L230" s="336">
        <f t="shared" si="76"/>
        <v>80064</v>
      </c>
      <c r="M230" s="336">
        <f t="shared" si="77"/>
        <v>82044</v>
      </c>
      <c r="N230" s="336">
        <f>+M230+Q230</f>
        <v>84024</v>
      </c>
      <c r="O230" s="336">
        <f>+N230+Q230</f>
        <v>86004</v>
      </c>
      <c r="P230" s="336">
        <f>+O230+Q230</f>
        <v>87984</v>
      </c>
      <c r="Q230" s="336">
        <v>1980</v>
      </c>
    </row>
    <row r="231" spans="1:17">
      <c r="A231" s="335">
        <v>11</v>
      </c>
      <c r="B231" s="336">
        <v>79212</v>
      </c>
      <c r="C231" s="336">
        <f t="shared" si="67"/>
        <v>82524</v>
      </c>
      <c r="D231" s="336">
        <f t="shared" si="68"/>
        <v>85836</v>
      </c>
      <c r="E231" s="336">
        <f t="shared" si="69"/>
        <v>89148</v>
      </c>
      <c r="F231" s="336">
        <f t="shared" si="70"/>
        <v>92460</v>
      </c>
      <c r="G231" s="336">
        <f t="shared" si="71"/>
        <v>95772</v>
      </c>
      <c r="H231" s="336">
        <f t="shared" si="72"/>
        <v>99084</v>
      </c>
      <c r="I231" s="336">
        <f t="shared" si="73"/>
        <v>102396</v>
      </c>
      <c r="J231" s="336">
        <f t="shared" si="74"/>
        <v>105708</v>
      </c>
      <c r="K231" s="336">
        <f t="shared" si="75"/>
        <v>109020</v>
      </c>
      <c r="L231" s="336">
        <f t="shared" si="76"/>
        <v>112332</v>
      </c>
      <c r="M231" s="336">
        <f t="shared" si="77"/>
        <v>115644</v>
      </c>
      <c r="N231" s="336">
        <f>+M231+Q231</f>
        <v>118956</v>
      </c>
      <c r="O231" s="336">
        <f>+N231+Q231</f>
        <v>122268</v>
      </c>
      <c r="P231" s="336">
        <f>+O231+Q231</f>
        <v>125580</v>
      </c>
      <c r="Q231" s="336">
        <v>3312</v>
      </c>
    </row>
    <row r="232" spans="1:17">
      <c r="A232" s="335">
        <v>12</v>
      </c>
      <c r="B232" s="336">
        <v>87612</v>
      </c>
      <c r="C232" s="336">
        <f t="shared" si="67"/>
        <v>91176</v>
      </c>
      <c r="D232" s="336">
        <f t="shared" si="68"/>
        <v>94740</v>
      </c>
      <c r="E232" s="336">
        <f t="shared" si="69"/>
        <v>98304</v>
      </c>
      <c r="F232" s="336">
        <f t="shared" si="70"/>
        <v>101868</v>
      </c>
      <c r="G232" s="336">
        <f t="shared" si="71"/>
        <v>105432</v>
      </c>
      <c r="H232" s="336">
        <f t="shared" si="72"/>
        <v>108996</v>
      </c>
      <c r="I232" s="336">
        <f t="shared" si="73"/>
        <v>112560</v>
      </c>
      <c r="J232" s="336">
        <f t="shared" si="74"/>
        <v>116124</v>
      </c>
      <c r="K232" s="336">
        <f t="shared" si="75"/>
        <v>119688</v>
      </c>
      <c r="L232" s="336">
        <f t="shared" si="76"/>
        <v>123252</v>
      </c>
      <c r="M232" s="336">
        <f t="shared" si="77"/>
        <v>126816</v>
      </c>
      <c r="N232" s="336"/>
      <c r="O232" s="336"/>
      <c r="P232" s="336"/>
      <c r="Q232" s="336">
        <v>3564</v>
      </c>
    </row>
    <row r="233" spans="1:17">
      <c r="A233" s="335">
        <v>13</v>
      </c>
      <c r="B233" s="336">
        <v>97968</v>
      </c>
      <c r="C233" s="336">
        <f t="shared" si="67"/>
        <v>102780</v>
      </c>
      <c r="D233" s="336">
        <f t="shared" si="68"/>
        <v>107592</v>
      </c>
      <c r="E233" s="336">
        <f t="shared" si="69"/>
        <v>112404</v>
      </c>
      <c r="F233" s="336">
        <f t="shared" si="70"/>
        <v>117216</v>
      </c>
      <c r="G233" s="336">
        <f t="shared" si="71"/>
        <v>122028</v>
      </c>
      <c r="H233" s="336">
        <f t="shared" si="72"/>
        <v>126840</v>
      </c>
      <c r="I233" s="336">
        <f t="shared" si="73"/>
        <v>131652</v>
      </c>
      <c r="J233" s="336">
        <f t="shared" si="74"/>
        <v>136464</v>
      </c>
      <c r="K233" s="336">
        <f t="shared" si="75"/>
        <v>141276</v>
      </c>
      <c r="L233" s="336">
        <f t="shared" si="76"/>
        <v>146088</v>
      </c>
      <c r="M233" s="336">
        <f t="shared" si="77"/>
        <v>150900</v>
      </c>
      <c r="N233" s="336"/>
      <c r="O233" s="336"/>
      <c r="P233" s="336"/>
      <c r="Q233" s="336">
        <v>4812</v>
      </c>
    </row>
    <row r="234" spans="1:17">
      <c r="A234" s="335">
        <v>14</v>
      </c>
      <c r="B234" s="336">
        <v>108360</v>
      </c>
      <c r="C234" s="336">
        <f t="shared" si="67"/>
        <v>113568</v>
      </c>
      <c r="D234" s="336">
        <f t="shared" si="68"/>
        <v>118776</v>
      </c>
      <c r="E234" s="336">
        <f t="shared" si="69"/>
        <v>123984</v>
      </c>
      <c r="F234" s="336">
        <f t="shared" si="70"/>
        <v>129192</v>
      </c>
      <c r="G234" s="336">
        <f t="shared" si="71"/>
        <v>134400</v>
      </c>
      <c r="H234" s="336">
        <f t="shared" si="72"/>
        <v>139608</v>
      </c>
      <c r="I234" s="336">
        <f t="shared" si="73"/>
        <v>144816</v>
      </c>
      <c r="J234" s="336">
        <f t="shared" si="74"/>
        <v>150024</v>
      </c>
      <c r="K234" s="336">
        <f t="shared" si="75"/>
        <v>155232</v>
      </c>
      <c r="L234" s="336">
        <f t="shared" si="76"/>
        <v>160440</v>
      </c>
      <c r="M234" s="336">
        <f t="shared" si="77"/>
        <v>165648</v>
      </c>
      <c r="N234" s="336"/>
      <c r="O234" s="336"/>
      <c r="P234" s="336"/>
      <c r="Q234" s="336">
        <v>5208</v>
      </c>
    </row>
    <row r="235" spans="1:17">
      <c r="A235" s="335">
        <v>15</v>
      </c>
      <c r="B235" s="336">
        <v>120696</v>
      </c>
      <c r="C235" s="336">
        <f t="shared" si="67"/>
        <v>126096</v>
      </c>
      <c r="D235" s="336">
        <f t="shared" si="68"/>
        <v>131496</v>
      </c>
      <c r="E235" s="336">
        <f t="shared" si="69"/>
        <v>136896</v>
      </c>
      <c r="F235" s="336">
        <f t="shared" si="70"/>
        <v>142296</v>
      </c>
      <c r="G235" s="336">
        <f t="shared" si="71"/>
        <v>147696</v>
      </c>
      <c r="H235" s="336">
        <f t="shared" si="72"/>
        <v>153096</v>
      </c>
      <c r="I235" s="336">
        <f t="shared" si="73"/>
        <v>158496</v>
      </c>
      <c r="J235" s="336">
        <f t="shared" si="74"/>
        <v>163896</v>
      </c>
      <c r="K235" s="336">
        <f t="shared" si="75"/>
        <v>169296</v>
      </c>
      <c r="L235" s="336">
        <f t="shared" si="76"/>
        <v>174696</v>
      </c>
      <c r="M235" s="336">
        <f t="shared" si="77"/>
        <v>180096</v>
      </c>
      <c r="N235" s="336"/>
      <c r="O235" s="336"/>
      <c r="P235" s="336"/>
      <c r="Q235" s="336">
        <v>5400</v>
      </c>
    </row>
    <row r="237" spans="1:17">
      <c r="A237" s="242" t="s">
        <v>4289</v>
      </c>
    </row>
    <row r="238" spans="1:17">
      <c r="A238" s="333" t="s">
        <v>4276</v>
      </c>
      <c r="B238" s="333">
        <v>1</v>
      </c>
      <c r="C238" s="333">
        <v>2</v>
      </c>
      <c r="D238" s="333">
        <f t="shared" ref="D238:P238" si="81">C238+1</f>
        <v>3</v>
      </c>
      <c r="E238" s="333">
        <f t="shared" si="81"/>
        <v>4</v>
      </c>
      <c r="F238" s="333">
        <f t="shared" si="81"/>
        <v>5</v>
      </c>
      <c r="G238" s="333">
        <f t="shared" si="81"/>
        <v>6</v>
      </c>
      <c r="H238" s="333">
        <f t="shared" si="81"/>
        <v>7</v>
      </c>
      <c r="I238" s="333">
        <f t="shared" si="81"/>
        <v>8</v>
      </c>
      <c r="J238" s="333">
        <f t="shared" si="81"/>
        <v>9</v>
      </c>
      <c r="K238" s="333">
        <f t="shared" si="81"/>
        <v>10</v>
      </c>
      <c r="L238" s="333">
        <f t="shared" si="81"/>
        <v>11</v>
      </c>
      <c r="M238" s="333">
        <f t="shared" si="81"/>
        <v>12</v>
      </c>
      <c r="N238" s="333">
        <f t="shared" si="81"/>
        <v>13</v>
      </c>
      <c r="O238" s="333">
        <f t="shared" si="81"/>
        <v>14</v>
      </c>
      <c r="P238" s="333">
        <f t="shared" si="81"/>
        <v>15</v>
      </c>
      <c r="Q238" s="337" t="s">
        <v>4277</v>
      </c>
    </row>
    <row r="239" spans="1:17">
      <c r="A239" s="335">
        <v>1</v>
      </c>
      <c r="B239" s="338">
        <f>+(B222*0.699)/12</f>
        <v>945.04799999999989</v>
      </c>
      <c r="C239" s="338">
        <f>+(C222*0.699)/12</f>
        <v>973.00799999999992</v>
      </c>
      <c r="D239" s="338">
        <f>+(D222*0.699)/12</f>
        <v>1000.968</v>
      </c>
      <c r="E239" s="338">
        <f t="shared" ref="E239:P239" si="82">+(E222*0.699)/12</f>
        <v>1028.9279999999999</v>
      </c>
      <c r="F239" s="338">
        <f t="shared" si="82"/>
        <v>1056.8879999999999</v>
      </c>
      <c r="G239" s="338">
        <f t="shared" si="82"/>
        <v>1084.848</v>
      </c>
      <c r="H239" s="338">
        <f t="shared" si="82"/>
        <v>1112.808</v>
      </c>
      <c r="I239" s="338">
        <f t="shared" si="82"/>
        <v>1140.7679999999998</v>
      </c>
      <c r="J239" s="338">
        <f t="shared" si="82"/>
        <v>1168.7279999999998</v>
      </c>
      <c r="K239" s="338">
        <f t="shared" si="82"/>
        <v>1196.6879999999999</v>
      </c>
      <c r="L239" s="338">
        <f t="shared" si="82"/>
        <v>1224.6479999999999</v>
      </c>
      <c r="M239" s="338">
        <f t="shared" si="82"/>
        <v>1252.6079999999999</v>
      </c>
      <c r="N239" s="338">
        <f t="shared" si="82"/>
        <v>1280.568</v>
      </c>
      <c r="O239" s="338">
        <f t="shared" si="82"/>
        <v>1308.528</v>
      </c>
      <c r="P239" s="338">
        <f t="shared" si="82"/>
        <v>1336.4880000000001</v>
      </c>
    </row>
    <row r="240" spans="1:17">
      <c r="A240" s="335">
        <v>2</v>
      </c>
      <c r="B240" s="338">
        <f>+(B223*0.6999)/12</f>
        <v>977.76029999999992</v>
      </c>
      <c r="C240" s="338">
        <f t="shared" ref="C240:P240" si="83">+(C223*0.6999)/12</f>
        <v>1012.7552999999999</v>
      </c>
      <c r="D240" s="338">
        <f t="shared" si="83"/>
        <v>1047.7502999999999</v>
      </c>
      <c r="E240" s="338">
        <f t="shared" si="83"/>
        <v>1082.7452999999998</v>
      </c>
      <c r="F240" s="338">
        <f t="shared" si="83"/>
        <v>1117.7402999999999</v>
      </c>
      <c r="G240" s="338">
        <f t="shared" si="83"/>
        <v>1152.7353000000001</v>
      </c>
      <c r="H240" s="338">
        <f t="shared" si="83"/>
        <v>1187.7302999999999</v>
      </c>
      <c r="I240" s="338">
        <f t="shared" si="83"/>
        <v>1222.7252999999998</v>
      </c>
      <c r="J240" s="338">
        <f t="shared" si="83"/>
        <v>1257.7203</v>
      </c>
      <c r="K240" s="338">
        <f t="shared" si="83"/>
        <v>1292.7153000000001</v>
      </c>
      <c r="L240" s="338">
        <f t="shared" si="83"/>
        <v>1327.7103</v>
      </c>
      <c r="M240" s="338">
        <f t="shared" si="83"/>
        <v>1362.7052999999999</v>
      </c>
      <c r="N240" s="338">
        <f t="shared" si="83"/>
        <v>1397.7002999999997</v>
      </c>
      <c r="O240" s="338">
        <f t="shared" si="83"/>
        <v>1432.6953000000001</v>
      </c>
      <c r="P240" s="338">
        <f t="shared" si="83"/>
        <v>1467.6903</v>
      </c>
    </row>
    <row r="241" spans="1:17">
      <c r="A241" s="335">
        <v>3</v>
      </c>
      <c r="B241" s="339">
        <f t="shared" ref="B241:P244" si="84">+(B224*0.6999)/12</f>
        <v>1026.7533000000001</v>
      </c>
      <c r="C241" s="338">
        <f t="shared" si="84"/>
        <v>1068.7473</v>
      </c>
      <c r="D241" s="338">
        <f t="shared" si="84"/>
        <v>1110.7412999999999</v>
      </c>
      <c r="E241" s="338">
        <f t="shared" si="84"/>
        <v>1152.7353000000001</v>
      </c>
      <c r="F241" s="338">
        <f t="shared" si="84"/>
        <v>1194.7293</v>
      </c>
      <c r="G241" s="338">
        <f t="shared" si="84"/>
        <v>1236.7232999999999</v>
      </c>
      <c r="H241" s="338">
        <f t="shared" si="84"/>
        <v>1278.7173</v>
      </c>
      <c r="I241" s="338">
        <f t="shared" si="84"/>
        <v>1320.7112999999999</v>
      </c>
      <c r="J241" s="338">
        <f t="shared" si="84"/>
        <v>1362.7052999999999</v>
      </c>
      <c r="K241" s="338">
        <f t="shared" si="84"/>
        <v>1404.6993</v>
      </c>
      <c r="L241" s="338">
        <f t="shared" si="84"/>
        <v>1446.6932999999999</v>
      </c>
      <c r="M241" s="338">
        <f t="shared" si="84"/>
        <v>1488.6872999999998</v>
      </c>
      <c r="N241" s="338">
        <f t="shared" si="84"/>
        <v>1530.6813</v>
      </c>
      <c r="O241" s="338">
        <f t="shared" si="84"/>
        <v>1572.6752999999999</v>
      </c>
      <c r="P241" s="338">
        <f t="shared" si="84"/>
        <v>1614.6692999999998</v>
      </c>
    </row>
    <row r="242" spans="1:17">
      <c r="A242" s="335">
        <v>4</v>
      </c>
      <c r="B242" s="339">
        <f t="shared" si="84"/>
        <v>1170.2328</v>
      </c>
      <c r="C242" s="339">
        <f t="shared" si="84"/>
        <v>1219.2257999999999</v>
      </c>
      <c r="D242" s="339">
        <f t="shared" si="84"/>
        <v>1268.2187999999999</v>
      </c>
      <c r="E242" s="339">
        <f t="shared" si="84"/>
        <v>1317.2117999999998</v>
      </c>
      <c r="F242" s="339">
        <f t="shared" si="84"/>
        <v>1366.2047999999998</v>
      </c>
      <c r="G242" s="339">
        <f t="shared" si="84"/>
        <v>1415.1977999999999</v>
      </c>
      <c r="H242" s="339">
        <f t="shared" si="84"/>
        <v>1464.1908000000001</v>
      </c>
      <c r="I242" s="339">
        <f t="shared" si="84"/>
        <v>1513.1837999999998</v>
      </c>
      <c r="J242" s="339">
        <f t="shared" si="84"/>
        <v>1562.1768</v>
      </c>
      <c r="K242" s="339">
        <f t="shared" si="84"/>
        <v>1611.1697999999999</v>
      </c>
      <c r="L242" s="339">
        <f t="shared" si="84"/>
        <v>1660.1628000000001</v>
      </c>
      <c r="M242" s="339">
        <f t="shared" si="84"/>
        <v>1709.1557999999998</v>
      </c>
      <c r="N242" s="339">
        <f t="shared" si="84"/>
        <v>1758.1487999999999</v>
      </c>
      <c r="O242" s="339">
        <f t="shared" si="84"/>
        <v>1807.1418000000001</v>
      </c>
      <c r="P242" s="339">
        <f t="shared" si="84"/>
        <v>1856.1347999999998</v>
      </c>
    </row>
    <row r="243" spans="1:17">
      <c r="A243" s="335">
        <v>5</v>
      </c>
      <c r="B243" s="339">
        <f t="shared" si="84"/>
        <v>1438.2945</v>
      </c>
      <c r="C243" s="339">
        <f t="shared" si="84"/>
        <v>1497.7860000000001</v>
      </c>
      <c r="D243" s="339">
        <f t="shared" si="84"/>
        <v>1557.2774999999999</v>
      </c>
      <c r="E243" s="339">
        <f t="shared" si="84"/>
        <v>1616.769</v>
      </c>
      <c r="F243" s="339">
        <f t="shared" si="84"/>
        <v>1676.2605000000001</v>
      </c>
      <c r="G243" s="339">
        <f t="shared" si="84"/>
        <v>1735.7519999999997</v>
      </c>
      <c r="H243" s="339">
        <f t="shared" si="84"/>
        <v>1795.2434999999998</v>
      </c>
      <c r="I243" s="339">
        <f t="shared" si="84"/>
        <v>1854.7349999999999</v>
      </c>
      <c r="J243" s="339">
        <f t="shared" si="84"/>
        <v>1914.2264999999998</v>
      </c>
      <c r="K243" s="339">
        <f t="shared" si="84"/>
        <v>1973.7179999999998</v>
      </c>
      <c r="L243" s="339">
        <f t="shared" si="84"/>
        <v>2033.2094999999999</v>
      </c>
      <c r="M243" s="339">
        <f t="shared" si="84"/>
        <v>2092.701</v>
      </c>
      <c r="N243" s="339">
        <f t="shared" si="84"/>
        <v>2152.1924999999997</v>
      </c>
      <c r="O243" s="339">
        <f t="shared" si="84"/>
        <v>2211.6839999999997</v>
      </c>
      <c r="P243" s="339">
        <f t="shared" si="84"/>
        <v>2271.1754999999998</v>
      </c>
    </row>
    <row r="244" spans="1:17">
      <c r="A244" s="335">
        <v>6</v>
      </c>
      <c r="B244" s="339">
        <f t="shared" si="84"/>
        <v>1928.9243999999999</v>
      </c>
      <c r="C244" s="339">
        <f t="shared" si="84"/>
        <v>2002.4138999999998</v>
      </c>
      <c r="D244" s="339">
        <f t="shared" si="84"/>
        <v>2075.9033999999997</v>
      </c>
      <c r="E244" s="339">
        <f t="shared" si="84"/>
        <v>2149.3928999999998</v>
      </c>
      <c r="F244" s="339">
        <f t="shared" si="84"/>
        <v>2222.8824</v>
      </c>
      <c r="G244" s="339">
        <f t="shared" si="84"/>
        <v>2296.3718999999996</v>
      </c>
      <c r="H244" s="339">
        <f t="shared" si="84"/>
        <v>2369.8613999999998</v>
      </c>
      <c r="I244" s="339">
        <f t="shared" si="84"/>
        <v>2443.3508999999999</v>
      </c>
      <c r="J244" s="339">
        <f t="shared" si="84"/>
        <v>2516.8403999999996</v>
      </c>
      <c r="K244" s="339">
        <f t="shared" si="84"/>
        <v>2590.3298999999997</v>
      </c>
      <c r="L244" s="339">
        <f t="shared" si="84"/>
        <v>2663.8193999999999</v>
      </c>
      <c r="M244" s="339">
        <f t="shared" si="84"/>
        <v>2737.3089</v>
      </c>
      <c r="N244" s="339">
        <f t="shared" si="84"/>
        <v>2810.7983999999997</v>
      </c>
      <c r="O244" s="339">
        <f t="shared" si="84"/>
        <v>2884.2878999999998</v>
      </c>
      <c r="P244" s="339">
        <f t="shared" si="84"/>
        <v>2957.7773999999995</v>
      </c>
    </row>
    <row r="245" spans="1:17">
      <c r="A245" s="335">
        <v>7</v>
      </c>
      <c r="B245" s="339">
        <f>+(B228*0.72-2)/12</f>
        <v>2533.5133333333333</v>
      </c>
      <c r="C245" s="339">
        <f t="shared" ref="C245:P245" si="85">+(C228*0.72-1)/12</f>
        <v>2624.3166666666666</v>
      </c>
      <c r="D245" s="339">
        <f t="shared" si="85"/>
        <v>2715.0366666666664</v>
      </c>
      <c r="E245" s="339">
        <f t="shared" si="85"/>
        <v>2805.7566666666667</v>
      </c>
      <c r="F245" s="339">
        <f t="shared" si="85"/>
        <v>2896.4766666666669</v>
      </c>
      <c r="G245" s="339">
        <f t="shared" si="85"/>
        <v>2987.1966666666667</v>
      </c>
      <c r="H245" s="339">
        <f t="shared" si="85"/>
        <v>3077.9166666666665</v>
      </c>
      <c r="I245" s="339">
        <f t="shared" si="85"/>
        <v>3168.6366666666668</v>
      </c>
      <c r="J245" s="339">
        <f t="shared" si="85"/>
        <v>3259.3566666666666</v>
      </c>
      <c r="K245" s="339">
        <f t="shared" si="85"/>
        <v>3350.0766666666664</v>
      </c>
      <c r="L245" s="339">
        <f t="shared" si="85"/>
        <v>3440.7966666666666</v>
      </c>
      <c r="M245" s="339">
        <f t="shared" si="85"/>
        <v>3531.5166666666664</v>
      </c>
      <c r="N245" s="339">
        <f t="shared" si="85"/>
        <v>3622.2366666666662</v>
      </c>
      <c r="O245" s="339">
        <f t="shared" si="85"/>
        <v>3712.9566666666665</v>
      </c>
      <c r="P245" s="339">
        <f t="shared" si="85"/>
        <v>3803.6766666666663</v>
      </c>
    </row>
    <row r="246" spans="1:17">
      <c r="A246" s="335">
        <v>8</v>
      </c>
      <c r="B246" s="339">
        <f>+(B229*0.702)/12</f>
        <v>2987.0099999999998</v>
      </c>
      <c r="C246" s="339">
        <f t="shared" ref="C246:P246" si="86">+(C229*0.702)/12</f>
        <v>3092.31</v>
      </c>
      <c r="D246" s="339">
        <f t="shared" si="86"/>
        <v>3197.61</v>
      </c>
      <c r="E246" s="339">
        <f t="shared" si="86"/>
        <v>3302.91</v>
      </c>
      <c r="F246" s="339">
        <f t="shared" si="86"/>
        <v>3408.2099999999996</v>
      </c>
      <c r="G246" s="339">
        <f t="shared" si="86"/>
        <v>3513.5099999999998</v>
      </c>
      <c r="H246" s="339">
        <f t="shared" si="86"/>
        <v>3618.8099999999995</v>
      </c>
      <c r="I246" s="339">
        <f t="shared" si="86"/>
        <v>3724.11</v>
      </c>
      <c r="J246" s="339">
        <f t="shared" si="86"/>
        <v>3829.41</v>
      </c>
      <c r="K246" s="339">
        <f t="shared" si="86"/>
        <v>3934.7099999999996</v>
      </c>
      <c r="L246" s="339">
        <f t="shared" si="86"/>
        <v>4040.0099999999998</v>
      </c>
      <c r="M246" s="339">
        <f t="shared" si="86"/>
        <v>4145.3099999999995</v>
      </c>
      <c r="N246" s="339">
        <f t="shared" si="86"/>
        <v>4250.6099999999997</v>
      </c>
      <c r="O246" s="339">
        <f t="shared" si="86"/>
        <v>4355.91</v>
      </c>
      <c r="P246" s="339">
        <f t="shared" si="86"/>
        <v>4461.21</v>
      </c>
    </row>
    <row r="247" spans="1:17">
      <c r="A247" s="335">
        <v>9</v>
      </c>
      <c r="B247" s="339">
        <f>+(B230*0.7)/12</f>
        <v>3515.3999999999996</v>
      </c>
      <c r="C247" s="339">
        <f t="shared" ref="C247:P247" si="87">+(C230*0.7)/12</f>
        <v>3630.8999999999996</v>
      </c>
      <c r="D247" s="339">
        <f t="shared" si="87"/>
        <v>3746.3999999999996</v>
      </c>
      <c r="E247" s="339">
        <f t="shared" si="87"/>
        <v>3861.8999999999996</v>
      </c>
      <c r="F247" s="339">
        <f t="shared" si="87"/>
        <v>3977.3999999999996</v>
      </c>
      <c r="G247" s="339">
        <f t="shared" si="87"/>
        <v>4092.8999999999996</v>
      </c>
      <c r="H247" s="339">
        <f t="shared" si="87"/>
        <v>4208.3999999999996</v>
      </c>
      <c r="I247" s="339">
        <f t="shared" si="87"/>
        <v>4323.8999999999996</v>
      </c>
      <c r="J247" s="339">
        <f t="shared" si="87"/>
        <v>4439.3999999999996</v>
      </c>
      <c r="K247" s="339">
        <f t="shared" si="87"/>
        <v>4554.8999999999996</v>
      </c>
      <c r="L247" s="339">
        <f t="shared" si="87"/>
        <v>4670.3999999999996</v>
      </c>
      <c r="M247" s="339">
        <f t="shared" si="87"/>
        <v>4785.8999999999996</v>
      </c>
      <c r="N247" s="339">
        <f t="shared" si="87"/>
        <v>4901.3999999999996</v>
      </c>
      <c r="O247" s="339">
        <f t="shared" si="87"/>
        <v>5016.8999999999996</v>
      </c>
      <c r="P247" s="339">
        <f t="shared" si="87"/>
        <v>5132.3999999999996</v>
      </c>
    </row>
    <row r="248" spans="1:17">
      <c r="A248" s="335">
        <v>11</v>
      </c>
      <c r="B248" s="339">
        <f t="shared" ref="B248:L251" si="88">+(B231*0.7)/12</f>
        <v>4620.7</v>
      </c>
      <c r="C248" s="339">
        <f t="shared" si="88"/>
        <v>4813.8999999999996</v>
      </c>
      <c r="D248" s="339">
        <f t="shared" si="88"/>
        <v>5007.0999999999995</v>
      </c>
      <c r="E248" s="339">
        <f t="shared" si="88"/>
        <v>5200.3</v>
      </c>
      <c r="F248" s="339">
        <f t="shared" si="88"/>
        <v>5393.4999999999991</v>
      </c>
      <c r="G248" s="339">
        <f t="shared" si="88"/>
        <v>5586.7</v>
      </c>
      <c r="H248" s="339">
        <f t="shared" si="88"/>
        <v>5779.8999999999987</v>
      </c>
      <c r="I248" s="339">
        <f t="shared" si="88"/>
        <v>5973.0999999999995</v>
      </c>
      <c r="J248" s="339">
        <f t="shared" si="88"/>
        <v>6166.2999999999993</v>
      </c>
      <c r="K248" s="339">
        <f t="shared" si="88"/>
        <v>6359.5</v>
      </c>
      <c r="L248" s="339">
        <f t="shared" si="88"/>
        <v>6552.7</v>
      </c>
      <c r="M248" s="336"/>
      <c r="N248" s="336"/>
      <c r="O248" s="336"/>
      <c r="P248" s="336"/>
    </row>
    <row r="249" spans="1:17">
      <c r="A249" s="335">
        <v>12</v>
      </c>
      <c r="B249" s="339">
        <f t="shared" si="88"/>
        <v>5110.7</v>
      </c>
      <c r="C249" s="339">
        <f t="shared" si="88"/>
        <v>5318.5999999999995</v>
      </c>
      <c r="D249" s="339">
        <f t="shared" si="88"/>
        <v>5526.5</v>
      </c>
      <c r="E249" s="339">
        <f t="shared" si="88"/>
        <v>5734.3999999999987</v>
      </c>
      <c r="F249" s="339">
        <f t="shared" si="88"/>
        <v>5942.2999999999993</v>
      </c>
      <c r="G249" s="339">
        <f t="shared" si="88"/>
        <v>6150.2</v>
      </c>
      <c r="H249" s="339">
        <f t="shared" si="88"/>
        <v>6358.0999999999995</v>
      </c>
      <c r="I249" s="339">
        <f t="shared" si="88"/>
        <v>6566</v>
      </c>
      <c r="J249" s="339">
        <f t="shared" si="88"/>
        <v>6773.8999999999987</v>
      </c>
      <c r="K249" s="339">
        <f t="shared" si="88"/>
        <v>6981.7999999999993</v>
      </c>
      <c r="L249" s="339">
        <f t="shared" si="88"/>
        <v>7189.7</v>
      </c>
      <c r="M249" s="336"/>
      <c r="N249" s="336"/>
      <c r="O249" s="336"/>
      <c r="P249" s="336"/>
    </row>
    <row r="250" spans="1:17">
      <c r="A250" s="335">
        <v>13</v>
      </c>
      <c r="B250" s="339">
        <f t="shared" si="88"/>
        <v>5714.7999999999993</v>
      </c>
      <c r="C250" s="339">
        <f t="shared" si="88"/>
        <v>5995.5</v>
      </c>
      <c r="D250" s="339">
        <f t="shared" si="88"/>
        <v>6276.2</v>
      </c>
      <c r="E250" s="339">
        <f t="shared" si="88"/>
        <v>6556.8999999999987</v>
      </c>
      <c r="F250" s="339">
        <f t="shared" si="88"/>
        <v>6837.5999999999995</v>
      </c>
      <c r="G250" s="339">
        <f t="shared" si="88"/>
        <v>7118.2999999999993</v>
      </c>
      <c r="H250" s="339">
        <f t="shared" si="88"/>
        <v>7399</v>
      </c>
      <c r="I250" s="339">
        <f t="shared" si="88"/>
        <v>7679.7</v>
      </c>
      <c r="J250" s="339">
        <f t="shared" si="88"/>
        <v>7960.3999999999987</v>
      </c>
      <c r="K250" s="339">
        <f t="shared" si="88"/>
        <v>8241.1</v>
      </c>
      <c r="L250" s="339">
        <f t="shared" si="88"/>
        <v>8521.7999999999993</v>
      </c>
      <c r="M250" s="336"/>
      <c r="N250" s="336"/>
      <c r="O250" s="336"/>
      <c r="P250" s="336"/>
    </row>
    <row r="251" spans="1:17">
      <c r="A251" s="335">
        <v>14</v>
      </c>
      <c r="B251" s="339">
        <f t="shared" si="88"/>
        <v>6321</v>
      </c>
      <c r="C251" s="339">
        <f t="shared" si="88"/>
        <v>6624.7999999999993</v>
      </c>
      <c r="D251" s="339">
        <f t="shared" si="88"/>
        <v>6928.5999999999995</v>
      </c>
      <c r="E251" s="339">
        <f t="shared" si="88"/>
        <v>7232.3999999999987</v>
      </c>
      <c r="F251" s="339">
        <f t="shared" si="88"/>
        <v>7536.2</v>
      </c>
      <c r="G251" s="339">
        <f t="shared" si="88"/>
        <v>7840</v>
      </c>
      <c r="H251" s="339">
        <f t="shared" si="88"/>
        <v>8143.7999999999993</v>
      </c>
      <c r="I251" s="339">
        <f t="shared" si="88"/>
        <v>8447.6</v>
      </c>
      <c r="J251" s="339">
        <f t="shared" si="88"/>
        <v>8751.4</v>
      </c>
      <c r="K251" s="339">
        <f t="shared" si="88"/>
        <v>9055.1999999999989</v>
      </c>
      <c r="L251" s="339">
        <f t="shared" si="88"/>
        <v>9359</v>
      </c>
      <c r="M251" s="336"/>
      <c r="N251" s="336"/>
      <c r="O251" s="336"/>
      <c r="P251" s="336"/>
    </row>
    <row r="252" spans="1:17">
      <c r="A252" s="335">
        <v>15</v>
      </c>
      <c r="B252" s="339">
        <f>+(B235*0.7007)/12</f>
        <v>7047.6405999999997</v>
      </c>
      <c r="C252" s="339">
        <f t="shared" ref="C252:L252" si="89">+(C235*0.7007)/12</f>
        <v>7362.9556000000002</v>
      </c>
      <c r="D252" s="339">
        <f t="shared" si="89"/>
        <v>7678.2705999999998</v>
      </c>
      <c r="E252" s="339">
        <f t="shared" si="89"/>
        <v>7993.5855999999994</v>
      </c>
      <c r="F252" s="339">
        <f t="shared" si="89"/>
        <v>8308.900599999999</v>
      </c>
      <c r="G252" s="339">
        <f t="shared" si="89"/>
        <v>8624.2155999999995</v>
      </c>
      <c r="H252" s="339">
        <f t="shared" si="89"/>
        <v>8939.5306</v>
      </c>
      <c r="I252" s="339">
        <f t="shared" si="89"/>
        <v>9254.8455999999987</v>
      </c>
      <c r="J252" s="339">
        <f t="shared" si="89"/>
        <v>9570.1606000000011</v>
      </c>
      <c r="K252" s="339">
        <f t="shared" si="89"/>
        <v>9885.4755999999998</v>
      </c>
      <c r="L252" s="339">
        <f t="shared" si="89"/>
        <v>10200.7906</v>
      </c>
      <c r="M252" s="336"/>
      <c r="N252" s="336"/>
      <c r="O252" s="336"/>
      <c r="P252" s="336"/>
    </row>
    <row r="254" spans="1:17">
      <c r="A254" s="242" t="s">
        <v>4056</v>
      </c>
    </row>
    <row r="255" spans="1:17">
      <c r="A255" s="333" t="s">
        <v>4276</v>
      </c>
      <c r="B255" s="333">
        <v>1</v>
      </c>
      <c r="C255" s="333">
        <v>2</v>
      </c>
      <c r="D255" s="333">
        <f t="shared" ref="D255:P255" si="90">C255+1</f>
        <v>3</v>
      </c>
      <c r="E255" s="333">
        <f t="shared" si="90"/>
        <v>4</v>
      </c>
      <c r="F255" s="333">
        <f t="shared" si="90"/>
        <v>5</v>
      </c>
      <c r="G255" s="333">
        <f t="shared" si="90"/>
        <v>6</v>
      </c>
      <c r="H255" s="333">
        <f t="shared" si="90"/>
        <v>7</v>
      </c>
      <c r="I255" s="333">
        <f t="shared" si="90"/>
        <v>8</v>
      </c>
      <c r="J255" s="333">
        <f t="shared" si="90"/>
        <v>9</v>
      </c>
      <c r="K255" s="333">
        <f t="shared" si="90"/>
        <v>10</v>
      </c>
      <c r="L255" s="333">
        <f t="shared" si="90"/>
        <v>11</v>
      </c>
      <c r="M255" s="333">
        <f t="shared" si="90"/>
        <v>12</v>
      </c>
      <c r="N255" s="333">
        <f t="shared" si="90"/>
        <v>13</v>
      </c>
      <c r="O255" s="333">
        <f t="shared" si="90"/>
        <v>14</v>
      </c>
      <c r="P255" s="333">
        <f t="shared" si="90"/>
        <v>15</v>
      </c>
      <c r="Q255" s="337" t="s">
        <v>4277</v>
      </c>
    </row>
    <row r="256" spans="1:17">
      <c r="A256" s="335">
        <v>1</v>
      </c>
      <c r="B256" s="336">
        <v>800</v>
      </c>
      <c r="C256" s="336">
        <v>800</v>
      </c>
      <c r="D256" s="336">
        <v>800</v>
      </c>
      <c r="E256" s="336">
        <v>800</v>
      </c>
      <c r="F256" s="336">
        <v>800</v>
      </c>
      <c r="G256" s="336">
        <v>800</v>
      </c>
      <c r="H256" s="336">
        <v>800</v>
      </c>
      <c r="I256" s="336">
        <v>800</v>
      </c>
      <c r="J256" s="336">
        <v>800</v>
      </c>
      <c r="K256" s="336">
        <v>800</v>
      </c>
      <c r="L256" s="336">
        <v>800</v>
      </c>
      <c r="M256" s="336">
        <v>800</v>
      </c>
      <c r="N256" s="336">
        <v>800</v>
      </c>
      <c r="O256" s="336">
        <v>800</v>
      </c>
      <c r="P256" s="336">
        <v>800</v>
      </c>
    </row>
    <row r="257" spans="1:17">
      <c r="A257" s="335">
        <v>2</v>
      </c>
      <c r="B257" s="336">
        <v>800</v>
      </c>
      <c r="C257" s="336">
        <v>800</v>
      </c>
      <c r="D257" s="336">
        <v>800</v>
      </c>
      <c r="E257" s="336">
        <v>800</v>
      </c>
      <c r="F257" s="336">
        <v>800</v>
      </c>
      <c r="G257" s="336">
        <v>800</v>
      </c>
      <c r="H257" s="336">
        <v>800</v>
      </c>
      <c r="I257" s="336">
        <v>800</v>
      </c>
      <c r="J257" s="336">
        <v>800</v>
      </c>
      <c r="K257" s="336">
        <v>800</v>
      </c>
      <c r="L257" s="336">
        <v>800</v>
      </c>
      <c r="M257" s="336">
        <v>800</v>
      </c>
      <c r="N257" s="336">
        <v>800</v>
      </c>
      <c r="O257" s="336">
        <v>800</v>
      </c>
      <c r="P257" s="336">
        <v>800</v>
      </c>
    </row>
    <row r="258" spans="1:17">
      <c r="A258" s="335">
        <v>3</v>
      </c>
      <c r="B258" s="336">
        <v>800</v>
      </c>
      <c r="C258" s="336">
        <v>800</v>
      </c>
      <c r="D258" s="336">
        <v>800</v>
      </c>
      <c r="E258" s="336">
        <v>800</v>
      </c>
      <c r="F258" s="336">
        <v>800</v>
      </c>
      <c r="G258" s="336">
        <v>800</v>
      </c>
      <c r="H258" s="336">
        <v>800</v>
      </c>
      <c r="I258" s="336">
        <v>800</v>
      </c>
      <c r="J258" s="336">
        <v>800</v>
      </c>
      <c r="K258" s="336">
        <v>800</v>
      </c>
      <c r="L258" s="336">
        <v>800</v>
      </c>
      <c r="M258" s="336">
        <v>800</v>
      </c>
      <c r="N258" s="336">
        <v>800</v>
      </c>
      <c r="O258" s="336">
        <v>800</v>
      </c>
      <c r="P258" s="336">
        <v>800</v>
      </c>
    </row>
    <row r="259" spans="1:17">
      <c r="A259" s="335">
        <v>4</v>
      </c>
      <c r="B259" s="336">
        <v>800</v>
      </c>
      <c r="C259" s="336">
        <v>800</v>
      </c>
      <c r="D259" s="336">
        <v>800</v>
      </c>
      <c r="E259" s="336">
        <v>800</v>
      </c>
      <c r="F259" s="336">
        <v>800</v>
      </c>
      <c r="G259" s="336">
        <v>800</v>
      </c>
      <c r="H259" s="336">
        <v>800</v>
      </c>
      <c r="I259" s="336">
        <v>800</v>
      </c>
      <c r="J259" s="336">
        <v>800</v>
      </c>
      <c r="K259" s="336">
        <v>800</v>
      </c>
      <c r="L259" s="336">
        <v>800</v>
      </c>
      <c r="M259" s="336">
        <v>800</v>
      </c>
      <c r="N259" s="336">
        <v>800</v>
      </c>
      <c r="O259" s="336">
        <v>800</v>
      </c>
      <c r="P259" s="336">
        <v>800</v>
      </c>
    </row>
    <row r="260" spans="1:17">
      <c r="A260" s="335">
        <v>5</v>
      </c>
      <c r="B260" s="336">
        <v>800</v>
      </c>
      <c r="C260" s="336">
        <v>800</v>
      </c>
      <c r="D260" s="336">
        <v>800</v>
      </c>
      <c r="E260" s="336">
        <v>800</v>
      </c>
      <c r="F260" s="336">
        <v>800</v>
      </c>
      <c r="G260" s="336">
        <v>800</v>
      </c>
      <c r="H260" s="336">
        <v>800</v>
      </c>
      <c r="I260" s="336">
        <v>800</v>
      </c>
      <c r="J260" s="336">
        <v>800</v>
      </c>
      <c r="K260" s="336">
        <v>800</v>
      </c>
      <c r="L260" s="336">
        <v>800</v>
      </c>
      <c r="M260" s="336">
        <v>800</v>
      </c>
      <c r="N260" s="336">
        <v>800</v>
      </c>
      <c r="O260" s="336">
        <v>800</v>
      </c>
      <c r="P260" s="336">
        <v>800</v>
      </c>
    </row>
    <row r="261" spans="1:17">
      <c r="A261" s="335">
        <v>6</v>
      </c>
      <c r="B261" s="336">
        <v>1030</v>
      </c>
      <c r="C261" s="336">
        <v>1030</v>
      </c>
      <c r="D261" s="336">
        <v>1030</v>
      </c>
      <c r="E261" s="336">
        <v>1030</v>
      </c>
      <c r="F261" s="336">
        <v>1030</v>
      </c>
      <c r="G261" s="336">
        <v>1030</v>
      </c>
      <c r="H261" s="336">
        <v>1030</v>
      </c>
      <c r="I261" s="336">
        <v>1030</v>
      </c>
      <c r="J261" s="336">
        <v>1030</v>
      </c>
      <c r="K261" s="336">
        <v>1030</v>
      </c>
      <c r="L261" s="336">
        <v>1030</v>
      </c>
      <c r="M261" s="336">
        <v>1030</v>
      </c>
      <c r="N261" s="336">
        <v>1030</v>
      </c>
      <c r="O261" s="336">
        <v>1030</v>
      </c>
      <c r="P261" s="336">
        <v>1030</v>
      </c>
    </row>
    <row r="262" spans="1:17">
      <c r="A262" s="335">
        <v>7</v>
      </c>
      <c r="B262" s="336">
        <v>1030</v>
      </c>
      <c r="C262" s="336">
        <v>1030</v>
      </c>
      <c r="D262" s="336">
        <v>1030</v>
      </c>
      <c r="E262" s="336">
        <v>1030</v>
      </c>
      <c r="F262" s="336">
        <v>1030</v>
      </c>
      <c r="G262" s="336">
        <v>1030</v>
      </c>
      <c r="H262" s="336">
        <v>1030</v>
      </c>
      <c r="I262" s="336">
        <v>1030</v>
      </c>
      <c r="J262" s="336">
        <v>1030</v>
      </c>
      <c r="K262" s="336">
        <v>1030</v>
      </c>
      <c r="L262" s="336">
        <v>1030</v>
      </c>
      <c r="M262" s="336">
        <v>1030</v>
      </c>
      <c r="N262" s="336">
        <v>1030</v>
      </c>
      <c r="O262" s="336">
        <v>1030</v>
      </c>
      <c r="P262" s="336">
        <v>1030</v>
      </c>
    </row>
    <row r="263" spans="1:17">
      <c r="A263" s="335">
        <v>8</v>
      </c>
      <c r="B263" s="336">
        <v>1030</v>
      </c>
      <c r="C263" s="336">
        <v>1030</v>
      </c>
      <c r="D263" s="336">
        <v>1030</v>
      </c>
      <c r="E263" s="336">
        <v>1030</v>
      </c>
      <c r="F263" s="336">
        <v>1030</v>
      </c>
      <c r="G263" s="336">
        <v>1030</v>
      </c>
      <c r="H263" s="336">
        <v>1030</v>
      </c>
      <c r="I263" s="336">
        <v>1030</v>
      </c>
      <c r="J263" s="336">
        <v>1030</v>
      </c>
      <c r="K263" s="336">
        <v>1030</v>
      </c>
      <c r="L263" s="336">
        <v>1030</v>
      </c>
      <c r="M263" s="336">
        <v>1030</v>
      </c>
      <c r="N263" s="336">
        <v>1030</v>
      </c>
      <c r="O263" s="336">
        <v>1030</v>
      </c>
      <c r="P263" s="336">
        <v>1030</v>
      </c>
    </row>
    <row r="264" spans="1:17">
      <c r="A264" s="335">
        <v>9</v>
      </c>
      <c r="B264" s="336">
        <v>1030</v>
      </c>
      <c r="C264" s="336">
        <v>1030</v>
      </c>
      <c r="D264" s="336">
        <v>1030</v>
      </c>
      <c r="E264" s="336">
        <v>1030</v>
      </c>
      <c r="F264" s="336">
        <v>1030</v>
      </c>
      <c r="G264" s="336">
        <v>1030</v>
      </c>
      <c r="H264" s="336">
        <v>1030</v>
      </c>
      <c r="I264" s="336">
        <v>1030</v>
      </c>
      <c r="J264" s="336">
        <v>1030</v>
      </c>
      <c r="K264" s="336">
        <v>1030</v>
      </c>
      <c r="L264" s="336">
        <v>1030</v>
      </c>
      <c r="M264" s="336">
        <v>1030</v>
      </c>
      <c r="N264" s="336">
        <v>1030</v>
      </c>
      <c r="O264" s="336">
        <v>1030</v>
      </c>
      <c r="P264" s="336">
        <v>1030</v>
      </c>
    </row>
    <row r="265" spans="1:17">
      <c r="A265" s="335">
        <v>11</v>
      </c>
      <c r="B265" s="336">
        <v>1030</v>
      </c>
      <c r="C265" s="336">
        <v>1030</v>
      </c>
      <c r="D265" s="336">
        <v>1030</v>
      </c>
      <c r="E265" s="336">
        <v>1030</v>
      </c>
      <c r="F265" s="336">
        <v>1030</v>
      </c>
      <c r="G265" s="336">
        <v>1030</v>
      </c>
      <c r="H265" s="336">
        <v>1030</v>
      </c>
      <c r="I265" s="336">
        <v>1030</v>
      </c>
      <c r="J265" s="336">
        <v>1030</v>
      </c>
      <c r="K265" s="336">
        <v>1030</v>
      </c>
      <c r="L265" s="336">
        <v>1030</v>
      </c>
      <c r="M265" s="336">
        <v>1030</v>
      </c>
      <c r="N265" s="336">
        <v>1030</v>
      </c>
      <c r="O265" s="336">
        <v>1030</v>
      </c>
      <c r="P265" s="336">
        <v>1030</v>
      </c>
    </row>
    <row r="266" spans="1:17">
      <c r="A266" s="335">
        <v>12</v>
      </c>
      <c r="B266" s="336">
        <v>1400</v>
      </c>
      <c r="C266" s="336">
        <v>1400</v>
      </c>
      <c r="D266" s="336">
        <v>1400</v>
      </c>
      <c r="E266" s="336">
        <v>1400</v>
      </c>
      <c r="F266" s="336">
        <v>1400</v>
      </c>
      <c r="G266" s="336">
        <v>1400</v>
      </c>
      <c r="H266" s="336">
        <v>1400</v>
      </c>
      <c r="I266" s="336">
        <v>1400</v>
      </c>
      <c r="J266" s="336">
        <v>1400</v>
      </c>
      <c r="K266" s="336">
        <v>1400</v>
      </c>
      <c r="L266" s="336">
        <v>1400</v>
      </c>
      <c r="M266" s="336">
        <v>1400</v>
      </c>
      <c r="N266" s="336">
        <v>1400</v>
      </c>
      <c r="O266" s="336">
        <v>1400</v>
      </c>
      <c r="P266" s="336">
        <v>1400</v>
      </c>
    </row>
    <row r="267" spans="1:17">
      <c r="A267" s="335">
        <v>13</v>
      </c>
      <c r="B267" s="336">
        <v>1400</v>
      </c>
      <c r="C267" s="336">
        <v>1400</v>
      </c>
      <c r="D267" s="336">
        <v>1400</v>
      </c>
      <c r="E267" s="336">
        <v>1400</v>
      </c>
      <c r="F267" s="336">
        <v>1400</v>
      </c>
      <c r="G267" s="336">
        <v>1400</v>
      </c>
      <c r="H267" s="336">
        <v>1400</v>
      </c>
      <c r="I267" s="336">
        <v>1400</v>
      </c>
      <c r="J267" s="336">
        <v>1400</v>
      </c>
      <c r="K267" s="336">
        <v>1400</v>
      </c>
      <c r="L267" s="336">
        <v>1400</v>
      </c>
      <c r="M267" s="336">
        <v>1400</v>
      </c>
      <c r="N267" s="336">
        <v>1400</v>
      </c>
      <c r="O267" s="336">
        <v>1400</v>
      </c>
      <c r="P267" s="336">
        <v>1400</v>
      </c>
    </row>
    <row r="268" spans="1:17">
      <c r="A268" s="335">
        <v>14</v>
      </c>
      <c r="B268" s="336">
        <v>1400</v>
      </c>
      <c r="C268" s="336">
        <v>1400</v>
      </c>
      <c r="D268" s="336">
        <v>1400</v>
      </c>
      <c r="E268" s="336">
        <v>1400</v>
      </c>
      <c r="F268" s="336">
        <v>1400</v>
      </c>
      <c r="G268" s="336">
        <v>1400</v>
      </c>
      <c r="H268" s="336">
        <v>1400</v>
      </c>
      <c r="I268" s="336">
        <v>1400</v>
      </c>
      <c r="J268" s="336">
        <v>1400</v>
      </c>
      <c r="K268" s="336">
        <v>1400</v>
      </c>
      <c r="L268" s="336">
        <v>1400</v>
      </c>
      <c r="M268" s="336">
        <v>1400</v>
      </c>
      <c r="N268" s="336">
        <v>1400</v>
      </c>
      <c r="O268" s="336">
        <v>1400</v>
      </c>
      <c r="P268" s="336">
        <v>1400</v>
      </c>
    </row>
    <row r="269" spans="1:17">
      <c r="A269" s="335">
        <v>15</v>
      </c>
      <c r="B269" s="336">
        <v>1400</v>
      </c>
      <c r="C269" s="336">
        <v>1400</v>
      </c>
      <c r="D269" s="336">
        <v>1400</v>
      </c>
      <c r="E269" s="336">
        <v>1400</v>
      </c>
      <c r="F269" s="336">
        <v>1400</v>
      </c>
      <c r="G269" s="336">
        <v>1400</v>
      </c>
      <c r="H269" s="336">
        <v>1400</v>
      </c>
      <c r="I269" s="336">
        <v>1400</v>
      </c>
      <c r="J269" s="336">
        <v>1400</v>
      </c>
      <c r="K269" s="336">
        <v>1400</v>
      </c>
      <c r="L269" s="336">
        <v>1400</v>
      </c>
      <c r="M269" s="336">
        <v>1400</v>
      </c>
      <c r="N269" s="336">
        <v>1400</v>
      </c>
      <c r="O269" s="336">
        <v>1400</v>
      </c>
      <c r="P269" s="336">
        <v>1400</v>
      </c>
    </row>
    <row r="271" spans="1:17">
      <c r="A271" s="242" t="s">
        <v>4290</v>
      </c>
    </row>
    <row r="272" spans="1:17">
      <c r="A272" s="333" t="s">
        <v>4276</v>
      </c>
      <c r="B272" s="333">
        <v>1</v>
      </c>
      <c r="C272" s="333">
        <v>2</v>
      </c>
      <c r="D272" s="333">
        <f t="shared" ref="D272:P272" si="91">C272+1</f>
        <v>3</v>
      </c>
      <c r="E272" s="333">
        <f t="shared" si="91"/>
        <v>4</v>
      </c>
      <c r="F272" s="333">
        <f t="shared" si="91"/>
        <v>5</v>
      </c>
      <c r="G272" s="333">
        <f t="shared" si="91"/>
        <v>6</v>
      </c>
      <c r="H272" s="333">
        <f t="shared" si="91"/>
        <v>7</v>
      </c>
      <c r="I272" s="333">
        <f t="shared" si="91"/>
        <v>8</v>
      </c>
      <c r="J272" s="333">
        <f t="shared" si="91"/>
        <v>9</v>
      </c>
      <c r="K272" s="333">
        <f t="shared" si="91"/>
        <v>10</v>
      </c>
      <c r="L272" s="333">
        <f t="shared" si="91"/>
        <v>11</v>
      </c>
      <c r="M272" s="333">
        <f t="shared" si="91"/>
        <v>12</v>
      </c>
      <c r="N272" s="333">
        <f t="shared" si="91"/>
        <v>13</v>
      </c>
      <c r="O272" s="333">
        <f t="shared" si="91"/>
        <v>14</v>
      </c>
      <c r="P272" s="333">
        <f t="shared" si="91"/>
        <v>15</v>
      </c>
      <c r="Q272" s="333" t="s">
        <v>4277</v>
      </c>
    </row>
    <row r="273" spans="1:16">
      <c r="A273" s="335">
        <v>1</v>
      </c>
      <c r="B273" s="336">
        <v>190</v>
      </c>
      <c r="C273" s="336">
        <v>190</v>
      </c>
      <c r="D273" s="336">
        <v>190</v>
      </c>
      <c r="E273" s="336">
        <v>190</v>
      </c>
      <c r="F273" s="336">
        <v>190</v>
      </c>
      <c r="G273" s="336">
        <v>190</v>
      </c>
      <c r="H273" s="336">
        <v>190</v>
      </c>
      <c r="I273" s="336">
        <v>190</v>
      </c>
      <c r="J273" s="336">
        <v>190</v>
      </c>
      <c r="K273" s="336">
        <v>190</v>
      </c>
      <c r="L273" s="336">
        <v>190</v>
      </c>
      <c r="M273" s="336">
        <v>190</v>
      </c>
      <c r="N273" s="336">
        <v>190</v>
      </c>
      <c r="O273" s="336">
        <v>190</v>
      </c>
      <c r="P273" s="336">
        <v>190</v>
      </c>
    </row>
    <row r="274" spans="1:16">
      <c r="A274" s="335">
        <v>2</v>
      </c>
      <c r="B274" s="336">
        <v>190</v>
      </c>
      <c r="C274" s="336">
        <v>190</v>
      </c>
      <c r="D274" s="336">
        <v>190</v>
      </c>
      <c r="E274" s="336">
        <v>190</v>
      </c>
      <c r="F274" s="336">
        <v>190</v>
      </c>
      <c r="G274" s="336">
        <v>190</v>
      </c>
      <c r="H274" s="336">
        <v>190</v>
      </c>
      <c r="I274" s="336">
        <v>190</v>
      </c>
      <c r="J274" s="336">
        <v>190</v>
      </c>
      <c r="K274" s="336">
        <v>190</v>
      </c>
      <c r="L274" s="336">
        <v>190</v>
      </c>
      <c r="M274" s="336">
        <v>190</v>
      </c>
      <c r="N274" s="336">
        <v>190</v>
      </c>
      <c r="O274" s="336">
        <v>190</v>
      </c>
      <c r="P274" s="336">
        <v>190</v>
      </c>
    </row>
    <row r="275" spans="1:16">
      <c r="A275" s="335">
        <v>3</v>
      </c>
      <c r="B275" s="336">
        <v>190</v>
      </c>
      <c r="C275" s="336">
        <v>190</v>
      </c>
      <c r="D275" s="336">
        <v>190</v>
      </c>
      <c r="E275" s="336">
        <v>190</v>
      </c>
      <c r="F275" s="336">
        <v>190</v>
      </c>
      <c r="G275" s="336">
        <v>190</v>
      </c>
      <c r="H275" s="336">
        <v>190</v>
      </c>
      <c r="I275" s="336">
        <v>190</v>
      </c>
      <c r="J275" s="336">
        <v>190</v>
      </c>
      <c r="K275" s="336">
        <v>190</v>
      </c>
      <c r="L275" s="336">
        <v>190</v>
      </c>
      <c r="M275" s="336">
        <v>190</v>
      </c>
      <c r="N275" s="336">
        <v>190</v>
      </c>
      <c r="O275" s="336">
        <v>190</v>
      </c>
      <c r="P275" s="336">
        <v>190</v>
      </c>
    </row>
    <row r="276" spans="1:16">
      <c r="A276" s="335">
        <v>4</v>
      </c>
      <c r="B276" s="336">
        <v>190</v>
      </c>
      <c r="C276" s="336">
        <v>190</v>
      </c>
      <c r="D276" s="336">
        <v>190</v>
      </c>
      <c r="E276" s="336">
        <v>190</v>
      </c>
      <c r="F276" s="336">
        <v>190</v>
      </c>
      <c r="G276" s="336">
        <v>190</v>
      </c>
      <c r="H276" s="336">
        <v>190</v>
      </c>
      <c r="I276" s="336">
        <v>190</v>
      </c>
      <c r="J276" s="336">
        <v>190</v>
      </c>
      <c r="K276" s="336">
        <v>190</v>
      </c>
      <c r="L276" s="336">
        <v>190</v>
      </c>
      <c r="M276" s="336">
        <v>190</v>
      </c>
      <c r="N276" s="336">
        <v>190</v>
      </c>
      <c r="O276" s="336">
        <v>190</v>
      </c>
      <c r="P276" s="336">
        <v>190</v>
      </c>
    </row>
    <row r="277" spans="1:16">
      <c r="A277" s="335">
        <v>5</v>
      </c>
      <c r="B277" s="336">
        <v>190</v>
      </c>
      <c r="C277" s="336">
        <v>190</v>
      </c>
      <c r="D277" s="336">
        <v>190</v>
      </c>
      <c r="E277" s="336">
        <v>190</v>
      </c>
      <c r="F277" s="336">
        <v>190</v>
      </c>
      <c r="G277" s="336">
        <v>190</v>
      </c>
      <c r="H277" s="336">
        <v>190</v>
      </c>
      <c r="I277" s="336">
        <v>190</v>
      </c>
      <c r="J277" s="336">
        <v>190</v>
      </c>
      <c r="K277" s="336">
        <v>190</v>
      </c>
      <c r="L277" s="336">
        <v>190</v>
      </c>
      <c r="M277" s="336">
        <v>190</v>
      </c>
      <c r="N277" s="336">
        <v>190</v>
      </c>
      <c r="O277" s="336">
        <v>190</v>
      </c>
      <c r="P277" s="336">
        <v>190</v>
      </c>
    </row>
    <row r="278" spans="1:16">
      <c r="A278" s="335">
        <v>6</v>
      </c>
      <c r="B278" s="336">
        <v>310</v>
      </c>
      <c r="C278" s="336">
        <v>310</v>
      </c>
      <c r="D278" s="336">
        <v>310</v>
      </c>
      <c r="E278" s="336">
        <v>310</v>
      </c>
      <c r="F278" s="336">
        <v>310</v>
      </c>
      <c r="G278" s="336">
        <v>310</v>
      </c>
      <c r="H278" s="336">
        <v>310</v>
      </c>
      <c r="I278" s="336">
        <v>310</v>
      </c>
      <c r="J278" s="336">
        <v>310</v>
      </c>
      <c r="K278" s="336">
        <v>310</v>
      </c>
      <c r="L278" s="336">
        <v>310</v>
      </c>
      <c r="M278" s="336">
        <v>310</v>
      </c>
      <c r="N278" s="336">
        <v>310</v>
      </c>
      <c r="O278" s="336">
        <v>310</v>
      </c>
      <c r="P278" s="336">
        <v>310</v>
      </c>
    </row>
    <row r="279" spans="1:16">
      <c r="A279" s="335">
        <v>7</v>
      </c>
      <c r="B279" s="336">
        <v>310</v>
      </c>
      <c r="C279" s="336">
        <v>310</v>
      </c>
      <c r="D279" s="336">
        <v>310</v>
      </c>
      <c r="E279" s="336">
        <v>310</v>
      </c>
      <c r="F279" s="336">
        <v>310</v>
      </c>
      <c r="G279" s="336">
        <v>310</v>
      </c>
      <c r="H279" s="336">
        <v>310</v>
      </c>
      <c r="I279" s="336">
        <v>310</v>
      </c>
      <c r="J279" s="336">
        <v>310</v>
      </c>
      <c r="K279" s="336">
        <v>310</v>
      </c>
      <c r="L279" s="336">
        <v>310</v>
      </c>
      <c r="M279" s="336">
        <v>310</v>
      </c>
      <c r="N279" s="336">
        <v>310</v>
      </c>
      <c r="O279" s="336">
        <v>310</v>
      </c>
      <c r="P279" s="336">
        <v>310</v>
      </c>
    </row>
    <row r="280" spans="1:16">
      <c r="A280" s="335">
        <v>8</v>
      </c>
      <c r="B280" s="336">
        <v>310</v>
      </c>
      <c r="C280" s="336">
        <v>310</v>
      </c>
      <c r="D280" s="336">
        <v>310</v>
      </c>
      <c r="E280" s="336">
        <v>310</v>
      </c>
      <c r="F280" s="336">
        <v>310</v>
      </c>
      <c r="G280" s="336">
        <v>310</v>
      </c>
      <c r="H280" s="336">
        <v>310</v>
      </c>
      <c r="I280" s="336">
        <v>310</v>
      </c>
      <c r="J280" s="336">
        <v>310</v>
      </c>
      <c r="K280" s="336">
        <v>310</v>
      </c>
      <c r="L280" s="336">
        <v>310</v>
      </c>
      <c r="M280" s="336">
        <v>310</v>
      </c>
      <c r="N280" s="336">
        <v>310</v>
      </c>
      <c r="O280" s="336">
        <v>310</v>
      </c>
      <c r="P280" s="336">
        <v>310</v>
      </c>
    </row>
    <row r="281" spans="1:16">
      <c r="A281" s="335">
        <v>9</v>
      </c>
      <c r="B281" s="336">
        <v>310</v>
      </c>
      <c r="C281" s="336">
        <v>310</v>
      </c>
      <c r="D281" s="336">
        <v>310</v>
      </c>
      <c r="E281" s="336">
        <v>310</v>
      </c>
      <c r="F281" s="336">
        <v>310</v>
      </c>
      <c r="G281" s="336">
        <v>310</v>
      </c>
      <c r="H281" s="336">
        <v>310</v>
      </c>
      <c r="I281" s="336">
        <v>310</v>
      </c>
      <c r="J281" s="336">
        <v>310</v>
      </c>
      <c r="K281" s="336">
        <v>310</v>
      </c>
      <c r="L281" s="336">
        <v>310</v>
      </c>
      <c r="M281" s="336">
        <v>310</v>
      </c>
      <c r="N281" s="336">
        <v>310</v>
      </c>
      <c r="O281" s="336">
        <v>310</v>
      </c>
      <c r="P281" s="336">
        <v>310</v>
      </c>
    </row>
    <row r="282" spans="1:16">
      <c r="A282" s="335">
        <v>11</v>
      </c>
      <c r="B282" s="336">
        <v>310</v>
      </c>
      <c r="C282" s="336">
        <v>310</v>
      </c>
      <c r="D282" s="336">
        <v>310</v>
      </c>
      <c r="E282" s="336">
        <v>310</v>
      </c>
      <c r="F282" s="336">
        <v>310</v>
      </c>
      <c r="G282" s="336">
        <v>310</v>
      </c>
      <c r="H282" s="336">
        <v>310</v>
      </c>
      <c r="I282" s="336">
        <v>310</v>
      </c>
      <c r="J282" s="336">
        <v>310</v>
      </c>
      <c r="K282" s="336">
        <v>310</v>
      </c>
      <c r="L282" s="336">
        <v>310</v>
      </c>
      <c r="M282" s="336">
        <v>310</v>
      </c>
      <c r="N282" s="336">
        <v>310</v>
      </c>
      <c r="O282" s="336">
        <v>310</v>
      </c>
      <c r="P282" s="336">
        <v>310</v>
      </c>
    </row>
    <row r="283" spans="1:16">
      <c r="A283" s="335">
        <v>12</v>
      </c>
      <c r="B283" s="336">
        <v>500</v>
      </c>
      <c r="C283" s="336">
        <v>500</v>
      </c>
      <c r="D283" s="336">
        <v>500</v>
      </c>
      <c r="E283" s="336">
        <v>500</v>
      </c>
      <c r="F283" s="336">
        <v>500</v>
      </c>
      <c r="G283" s="336">
        <v>500</v>
      </c>
      <c r="H283" s="336">
        <v>500</v>
      </c>
      <c r="I283" s="336">
        <v>500</v>
      </c>
      <c r="J283" s="336">
        <v>500</v>
      </c>
      <c r="K283" s="336">
        <v>500</v>
      </c>
      <c r="L283" s="336">
        <v>500</v>
      </c>
      <c r="M283" s="336">
        <v>500</v>
      </c>
      <c r="N283" s="336"/>
      <c r="O283" s="336"/>
      <c r="P283" s="336"/>
    </row>
    <row r="284" spans="1:16">
      <c r="A284" s="335">
        <v>13</v>
      </c>
      <c r="B284" s="336">
        <v>500</v>
      </c>
      <c r="C284" s="336">
        <v>500</v>
      </c>
      <c r="D284" s="336">
        <v>500</v>
      </c>
      <c r="E284" s="336">
        <v>500</v>
      </c>
      <c r="F284" s="336">
        <v>500</v>
      </c>
      <c r="G284" s="336">
        <v>500</v>
      </c>
      <c r="H284" s="336">
        <v>500</v>
      </c>
      <c r="I284" s="336">
        <v>500</v>
      </c>
      <c r="J284" s="336">
        <v>500</v>
      </c>
      <c r="K284" s="336">
        <v>500</v>
      </c>
      <c r="L284" s="336">
        <v>500</v>
      </c>
      <c r="M284" s="336">
        <v>500</v>
      </c>
      <c r="N284" s="336"/>
      <c r="O284" s="336"/>
      <c r="P284" s="336"/>
    </row>
    <row r="285" spans="1:16">
      <c r="A285" s="335">
        <v>14</v>
      </c>
      <c r="B285" s="336">
        <v>500</v>
      </c>
      <c r="C285" s="336">
        <v>500</v>
      </c>
      <c r="D285" s="336">
        <v>500</v>
      </c>
      <c r="E285" s="336">
        <v>500</v>
      </c>
      <c r="F285" s="336">
        <v>500</v>
      </c>
      <c r="G285" s="336">
        <v>500</v>
      </c>
      <c r="H285" s="336">
        <v>500</v>
      </c>
      <c r="I285" s="336">
        <v>500</v>
      </c>
      <c r="J285" s="336">
        <v>500</v>
      </c>
      <c r="K285" s="336">
        <v>500</v>
      </c>
      <c r="L285" s="336">
        <v>500</v>
      </c>
      <c r="M285" s="336">
        <v>500</v>
      </c>
      <c r="N285" s="336"/>
      <c r="O285" s="336"/>
      <c r="P285" s="336"/>
    </row>
    <row r="286" spans="1:16">
      <c r="A286" s="335">
        <v>15</v>
      </c>
      <c r="B286" s="336">
        <v>500</v>
      </c>
      <c r="C286" s="336">
        <v>500</v>
      </c>
      <c r="D286" s="336">
        <v>500</v>
      </c>
      <c r="E286" s="336">
        <v>500</v>
      </c>
      <c r="F286" s="336">
        <v>500</v>
      </c>
      <c r="G286" s="336">
        <v>500</v>
      </c>
      <c r="H286" s="336">
        <v>500</v>
      </c>
      <c r="I286" s="336">
        <v>500</v>
      </c>
      <c r="J286" s="336">
        <v>500</v>
      </c>
      <c r="K286" s="336">
        <v>500</v>
      </c>
      <c r="L286" s="336">
        <v>500</v>
      </c>
      <c r="M286" s="336">
        <v>500</v>
      </c>
      <c r="N286" s="336"/>
      <c r="O286" s="336"/>
      <c r="P286" s="336"/>
    </row>
    <row r="288" spans="1:16">
      <c r="A288" s="242" t="s">
        <v>4291</v>
      </c>
    </row>
    <row r="289" spans="1:17">
      <c r="A289" s="333" t="s">
        <v>4276</v>
      </c>
      <c r="B289" s="333">
        <v>1</v>
      </c>
      <c r="C289" s="333">
        <v>2</v>
      </c>
      <c r="D289" s="333">
        <f t="shared" ref="D289:P289" si="92">C289+1</f>
        <v>3</v>
      </c>
      <c r="E289" s="333">
        <f t="shared" si="92"/>
        <v>4</v>
      </c>
      <c r="F289" s="333">
        <f t="shared" si="92"/>
        <v>5</v>
      </c>
      <c r="G289" s="333">
        <f t="shared" si="92"/>
        <v>6</v>
      </c>
      <c r="H289" s="333">
        <f t="shared" si="92"/>
        <v>7</v>
      </c>
      <c r="I289" s="333">
        <f t="shared" si="92"/>
        <v>8</v>
      </c>
      <c r="J289" s="333">
        <f t="shared" si="92"/>
        <v>9</v>
      </c>
      <c r="K289" s="333">
        <f t="shared" si="92"/>
        <v>10</v>
      </c>
      <c r="L289" s="333">
        <f t="shared" si="92"/>
        <v>11</v>
      </c>
      <c r="M289" s="333">
        <f t="shared" si="92"/>
        <v>12</v>
      </c>
      <c r="N289" s="333">
        <f t="shared" si="92"/>
        <v>13</v>
      </c>
      <c r="O289" s="333">
        <f t="shared" si="92"/>
        <v>14</v>
      </c>
      <c r="P289" s="333">
        <f t="shared" si="92"/>
        <v>15</v>
      </c>
      <c r="Q289" s="337" t="s">
        <v>4277</v>
      </c>
    </row>
    <row r="290" spans="1:17">
      <c r="A290" s="335">
        <v>1</v>
      </c>
      <c r="B290" s="336">
        <v>300</v>
      </c>
      <c r="C290" s="336">
        <v>300</v>
      </c>
      <c r="D290" s="336">
        <v>300</v>
      </c>
      <c r="E290" s="336">
        <v>300</v>
      </c>
      <c r="F290" s="336">
        <v>300</v>
      </c>
      <c r="G290" s="336">
        <v>300</v>
      </c>
      <c r="H290" s="336">
        <v>300</v>
      </c>
      <c r="I290" s="336">
        <v>300</v>
      </c>
      <c r="J290" s="336">
        <v>300</v>
      </c>
      <c r="K290" s="336">
        <v>300</v>
      </c>
      <c r="L290" s="336">
        <v>300</v>
      </c>
      <c r="M290" s="336">
        <v>300</v>
      </c>
      <c r="N290" s="336">
        <v>300</v>
      </c>
      <c r="O290" s="336">
        <v>300</v>
      </c>
      <c r="P290" s="336">
        <v>300</v>
      </c>
    </row>
    <row r="291" spans="1:17">
      <c r="A291" s="335">
        <v>2</v>
      </c>
      <c r="B291" s="336">
        <v>300</v>
      </c>
      <c r="C291" s="336">
        <v>300</v>
      </c>
      <c r="D291" s="336">
        <v>300</v>
      </c>
      <c r="E291" s="336">
        <v>300</v>
      </c>
      <c r="F291" s="336">
        <v>300</v>
      </c>
      <c r="G291" s="336">
        <v>300</v>
      </c>
      <c r="H291" s="336">
        <v>300</v>
      </c>
      <c r="I291" s="336">
        <v>300</v>
      </c>
      <c r="J291" s="336">
        <v>300</v>
      </c>
      <c r="K291" s="336">
        <v>300</v>
      </c>
      <c r="L291" s="336">
        <v>300</v>
      </c>
      <c r="M291" s="336">
        <v>300</v>
      </c>
      <c r="N291" s="336">
        <v>300</v>
      </c>
      <c r="O291" s="336">
        <v>300</v>
      </c>
      <c r="P291" s="336">
        <v>300</v>
      </c>
    </row>
    <row r="292" spans="1:17">
      <c r="A292" s="335">
        <v>3</v>
      </c>
      <c r="B292" s="336">
        <v>300</v>
      </c>
      <c r="C292" s="336">
        <v>300</v>
      </c>
      <c r="D292" s="336">
        <v>300</v>
      </c>
      <c r="E292" s="336">
        <v>300</v>
      </c>
      <c r="F292" s="336">
        <v>300</v>
      </c>
      <c r="G292" s="336">
        <v>300</v>
      </c>
      <c r="H292" s="336">
        <v>300</v>
      </c>
      <c r="I292" s="336">
        <v>300</v>
      </c>
      <c r="J292" s="336">
        <v>300</v>
      </c>
      <c r="K292" s="336">
        <v>300</v>
      </c>
      <c r="L292" s="336">
        <v>300</v>
      </c>
      <c r="M292" s="336">
        <v>300</v>
      </c>
      <c r="N292" s="336">
        <v>300</v>
      </c>
      <c r="O292" s="336">
        <v>300</v>
      </c>
      <c r="P292" s="336">
        <v>300</v>
      </c>
    </row>
    <row r="293" spans="1:17">
      <c r="A293" s="335">
        <v>4</v>
      </c>
      <c r="B293" s="336">
        <v>300</v>
      </c>
      <c r="C293" s="336">
        <v>300</v>
      </c>
      <c r="D293" s="336">
        <v>300</v>
      </c>
      <c r="E293" s="336">
        <v>300</v>
      </c>
      <c r="F293" s="336">
        <v>300</v>
      </c>
      <c r="G293" s="336">
        <v>300</v>
      </c>
      <c r="H293" s="336">
        <v>300</v>
      </c>
      <c r="I293" s="336">
        <v>300</v>
      </c>
      <c r="J293" s="336">
        <v>300</v>
      </c>
      <c r="K293" s="336">
        <v>300</v>
      </c>
      <c r="L293" s="336">
        <v>300</v>
      </c>
      <c r="M293" s="336">
        <v>300</v>
      </c>
      <c r="N293" s="336">
        <v>300</v>
      </c>
      <c r="O293" s="336">
        <v>300</v>
      </c>
      <c r="P293" s="336">
        <v>300</v>
      </c>
    </row>
    <row r="294" spans="1:17">
      <c r="A294" s="335">
        <v>5</v>
      </c>
      <c r="B294" s="336">
        <v>300</v>
      </c>
      <c r="C294" s="336">
        <v>300</v>
      </c>
      <c r="D294" s="336">
        <v>300</v>
      </c>
      <c r="E294" s="336">
        <v>300</v>
      </c>
      <c r="F294" s="336">
        <v>300</v>
      </c>
      <c r="G294" s="336">
        <v>300</v>
      </c>
      <c r="H294" s="336">
        <v>300</v>
      </c>
      <c r="I294" s="336">
        <v>300</v>
      </c>
      <c r="J294" s="336">
        <v>300</v>
      </c>
      <c r="K294" s="336">
        <v>300</v>
      </c>
      <c r="L294" s="336">
        <v>300</v>
      </c>
      <c r="M294" s="336">
        <v>300</v>
      </c>
      <c r="N294" s="336">
        <v>300</v>
      </c>
      <c r="O294" s="336">
        <v>300</v>
      </c>
      <c r="P294" s="336">
        <v>300</v>
      </c>
    </row>
    <row r="295" spans="1:17">
      <c r="A295" s="335">
        <v>6</v>
      </c>
      <c r="B295" s="336">
        <v>400</v>
      </c>
      <c r="C295" s="336">
        <v>400</v>
      </c>
      <c r="D295" s="336">
        <v>400</v>
      </c>
      <c r="E295" s="336">
        <v>400</v>
      </c>
      <c r="F295" s="336">
        <v>400</v>
      </c>
      <c r="G295" s="336">
        <v>400</v>
      </c>
      <c r="H295" s="336">
        <v>400</v>
      </c>
      <c r="I295" s="336">
        <v>400</v>
      </c>
      <c r="J295" s="336">
        <v>400</v>
      </c>
      <c r="K295" s="336">
        <v>400</v>
      </c>
      <c r="L295" s="336">
        <v>400</v>
      </c>
      <c r="M295" s="336">
        <v>400</v>
      </c>
      <c r="N295" s="336">
        <v>400</v>
      </c>
      <c r="O295" s="336">
        <v>400</v>
      </c>
      <c r="P295" s="336">
        <v>400</v>
      </c>
    </row>
    <row r="296" spans="1:17">
      <c r="A296" s="335">
        <v>7</v>
      </c>
      <c r="B296" s="336">
        <v>400</v>
      </c>
      <c r="C296" s="336">
        <v>400</v>
      </c>
      <c r="D296" s="336">
        <v>400</v>
      </c>
      <c r="E296" s="336">
        <v>400</v>
      </c>
      <c r="F296" s="336">
        <v>400</v>
      </c>
      <c r="G296" s="336">
        <v>400</v>
      </c>
      <c r="H296" s="336">
        <v>400</v>
      </c>
      <c r="I296" s="336">
        <v>400</v>
      </c>
      <c r="J296" s="336">
        <v>400</v>
      </c>
      <c r="K296" s="336">
        <v>400</v>
      </c>
      <c r="L296" s="336">
        <v>400</v>
      </c>
      <c r="M296" s="336">
        <v>400</v>
      </c>
      <c r="N296" s="336">
        <v>400</v>
      </c>
      <c r="O296" s="336">
        <v>400</v>
      </c>
      <c r="P296" s="336">
        <v>400</v>
      </c>
    </row>
    <row r="297" spans="1:17">
      <c r="A297" s="335">
        <v>8</v>
      </c>
      <c r="B297" s="336">
        <v>400</v>
      </c>
      <c r="C297" s="336">
        <v>400</v>
      </c>
      <c r="D297" s="336">
        <v>400</v>
      </c>
      <c r="E297" s="336">
        <v>400</v>
      </c>
      <c r="F297" s="336">
        <v>400</v>
      </c>
      <c r="G297" s="336">
        <v>400</v>
      </c>
      <c r="H297" s="336">
        <v>400</v>
      </c>
      <c r="I297" s="336">
        <v>400</v>
      </c>
      <c r="J297" s="336">
        <v>400</v>
      </c>
      <c r="K297" s="336">
        <v>400</v>
      </c>
      <c r="L297" s="336">
        <v>400</v>
      </c>
      <c r="M297" s="336">
        <v>400</v>
      </c>
      <c r="N297" s="336">
        <v>400</v>
      </c>
      <c r="O297" s="336">
        <v>400</v>
      </c>
      <c r="P297" s="336">
        <v>400</v>
      </c>
    </row>
    <row r="298" spans="1:17">
      <c r="A298" s="335">
        <v>9</v>
      </c>
      <c r="B298" s="336">
        <v>400</v>
      </c>
      <c r="C298" s="336">
        <v>400</v>
      </c>
      <c r="D298" s="336">
        <v>400</v>
      </c>
      <c r="E298" s="336">
        <v>400</v>
      </c>
      <c r="F298" s="336">
        <v>400</v>
      </c>
      <c r="G298" s="336">
        <v>400</v>
      </c>
      <c r="H298" s="336">
        <v>400</v>
      </c>
      <c r="I298" s="336">
        <v>400</v>
      </c>
      <c r="J298" s="336">
        <v>400</v>
      </c>
      <c r="K298" s="336">
        <v>400</v>
      </c>
      <c r="L298" s="336">
        <v>400</v>
      </c>
      <c r="M298" s="336">
        <v>400</v>
      </c>
      <c r="N298" s="336">
        <v>400</v>
      </c>
      <c r="O298" s="336">
        <v>400</v>
      </c>
      <c r="P298" s="336">
        <v>400</v>
      </c>
    </row>
    <row r="299" spans="1:17">
      <c r="A299" s="335">
        <v>11</v>
      </c>
      <c r="B299" s="336">
        <v>400</v>
      </c>
      <c r="C299" s="336">
        <v>400</v>
      </c>
      <c r="D299" s="336">
        <v>400</v>
      </c>
      <c r="E299" s="336">
        <v>400</v>
      </c>
      <c r="F299" s="336">
        <v>400</v>
      </c>
      <c r="G299" s="336">
        <v>400</v>
      </c>
      <c r="H299" s="336">
        <v>400</v>
      </c>
      <c r="I299" s="336">
        <v>400</v>
      </c>
      <c r="J299" s="336">
        <v>400</v>
      </c>
      <c r="K299" s="336">
        <v>400</v>
      </c>
      <c r="L299" s="336">
        <v>400</v>
      </c>
      <c r="M299" s="336">
        <v>400</v>
      </c>
      <c r="N299" s="336">
        <v>400</v>
      </c>
      <c r="O299" s="336">
        <v>400</v>
      </c>
      <c r="P299" s="336">
        <v>400</v>
      </c>
    </row>
    <row r="300" spans="1:17">
      <c r="A300" s="335">
        <v>12</v>
      </c>
      <c r="B300" s="336">
        <v>500</v>
      </c>
      <c r="C300" s="336">
        <v>500</v>
      </c>
      <c r="D300" s="336">
        <v>500</v>
      </c>
      <c r="E300" s="336">
        <v>500</v>
      </c>
      <c r="F300" s="336">
        <v>500</v>
      </c>
      <c r="G300" s="336">
        <v>500</v>
      </c>
      <c r="H300" s="336">
        <v>500</v>
      </c>
      <c r="I300" s="336">
        <v>500</v>
      </c>
      <c r="J300" s="336">
        <v>500</v>
      </c>
      <c r="K300" s="336">
        <v>500</v>
      </c>
      <c r="L300" s="336">
        <v>500</v>
      </c>
      <c r="M300" s="336">
        <v>500</v>
      </c>
      <c r="N300" s="336"/>
      <c r="O300" s="336"/>
      <c r="P300" s="336"/>
    </row>
    <row r="301" spans="1:17">
      <c r="A301" s="335">
        <v>13</v>
      </c>
      <c r="B301" s="336">
        <v>500</v>
      </c>
      <c r="C301" s="336">
        <v>500</v>
      </c>
      <c r="D301" s="336">
        <v>500</v>
      </c>
      <c r="E301" s="336">
        <v>500</v>
      </c>
      <c r="F301" s="336">
        <v>500</v>
      </c>
      <c r="G301" s="336">
        <v>500</v>
      </c>
      <c r="H301" s="336">
        <v>500</v>
      </c>
      <c r="I301" s="336">
        <v>500</v>
      </c>
      <c r="J301" s="336">
        <v>500</v>
      </c>
      <c r="K301" s="336">
        <v>500</v>
      </c>
      <c r="L301" s="336">
        <v>500</v>
      </c>
      <c r="M301" s="336">
        <v>500</v>
      </c>
      <c r="N301" s="336"/>
      <c r="O301" s="336"/>
      <c r="P301" s="336"/>
    </row>
    <row r="302" spans="1:17">
      <c r="A302" s="335">
        <v>14</v>
      </c>
      <c r="B302" s="336">
        <v>500</v>
      </c>
      <c r="C302" s="336">
        <v>500</v>
      </c>
      <c r="D302" s="336">
        <v>500</v>
      </c>
      <c r="E302" s="336">
        <v>500</v>
      </c>
      <c r="F302" s="336">
        <v>500</v>
      </c>
      <c r="G302" s="336">
        <v>500</v>
      </c>
      <c r="H302" s="336">
        <v>500</v>
      </c>
      <c r="I302" s="336">
        <v>500</v>
      </c>
      <c r="J302" s="336">
        <v>500</v>
      </c>
      <c r="K302" s="336">
        <v>500</v>
      </c>
      <c r="L302" s="336">
        <v>500</v>
      </c>
      <c r="M302" s="336">
        <v>500</v>
      </c>
      <c r="N302" s="336"/>
      <c r="O302" s="336"/>
      <c r="P302" s="336"/>
    </row>
    <row r="303" spans="1:17">
      <c r="A303" s="335">
        <v>15</v>
      </c>
      <c r="B303" s="336">
        <v>500</v>
      </c>
      <c r="C303" s="336">
        <v>500</v>
      </c>
      <c r="D303" s="336">
        <v>500</v>
      </c>
      <c r="E303" s="336">
        <v>500</v>
      </c>
      <c r="F303" s="336">
        <v>500</v>
      </c>
      <c r="G303" s="336">
        <v>500</v>
      </c>
      <c r="H303" s="336">
        <v>500</v>
      </c>
      <c r="I303" s="336">
        <v>500</v>
      </c>
      <c r="J303" s="336">
        <v>500</v>
      </c>
      <c r="K303" s="336">
        <v>500</v>
      </c>
      <c r="L303" s="336">
        <v>500</v>
      </c>
      <c r="M303" s="336">
        <v>500</v>
      </c>
      <c r="N303" s="336"/>
      <c r="O303" s="336"/>
      <c r="P303" s="336"/>
    </row>
    <row r="306" spans="1:16">
      <c r="A306" s="330"/>
      <c r="B306" s="328" t="s">
        <v>4292</v>
      </c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</row>
    <row r="307" spans="1:16">
      <c r="A307" s="330" t="s">
        <v>4276</v>
      </c>
      <c r="B307" s="330">
        <v>1</v>
      </c>
      <c r="C307" s="330">
        <v>2</v>
      </c>
      <c r="D307" s="330">
        <v>3</v>
      </c>
      <c r="E307" s="330">
        <v>4</v>
      </c>
      <c r="F307" s="330">
        <v>5</v>
      </c>
      <c r="G307" s="330">
        <v>6</v>
      </c>
      <c r="H307" s="330">
        <v>7</v>
      </c>
      <c r="I307" s="330">
        <v>8</v>
      </c>
      <c r="J307" s="330">
        <v>9</v>
      </c>
      <c r="K307" s="330">
        <v>10</v>
      </c>
      <c r="L307" s="330">
        <v>11</v>
      </c>
      <c r="M307" s="330">
        <v>12</v>
      </c>
      <c r="N307" s="330">
        <v>13</v>
      </c>
      <c r="O307" s="330">
        <v>14</v>
      </c>
      <c r="P307" s="330">
        <v>15</v>
      </c>
    </row>
    <row r="308" spans="1:16">
      <c r="A308" s="330">
        <v>1</v>
      </c>
      <c r="B308" s="330">
        <v>30</v>
      </c>
      <c r="C308" s="330">
        <v>30</v>
      </c>
      <c r="D308" s="330">
        <v>30</v>
      </c>
      <c r="E308" s="330">
        <v>30</v>
      </c>
      <c r="F308" s="330">
        <v>30</v>
      </c>
      <c r="G308" s="330">
        <v>30</v>
      </c>
      <c r="H308" s="330">
        <v>30</v>
      </c>
      <c r="I308" s="330">
        <v>30</v>
      </c>
      <c r="J308" s="330">
        <v>30</v>
      </c>
      <c r="K308" s="330">
        <v>30</v>
      </c>
      <c r="L308" s="330">
        <v>30</v>
      </c>
      <c r="M308" s="330">
        <v>30</v>
      </c>
      <c r="N308" s="330">
        <v>30</v>
      </c>
      <c r="O308" s="330">
        <v>30</v>
      </c>
      <c r="P308" s="330">
        <v>30</v>
      </c>
    </row>
    <row r="309" spans="1:16">
      <c r="A309" s="330">
        <v>2</v>
      </c>
      <c r="B309" s="330">
        <v>30</v>
      </c>
      <c r="C309" s="330">
        <v>30</v>
      </c>
      <c r="D309" s="330">
        <v>30</v>
      </c>
      <c r="E309" s="330">
        <v>30</v>
      </c>
      <c r="F309" s="330">
        <v>30</v>
      </c>
      <c r="G309" s="330">
        <v>30</v>
      </c>
      <c r="H309" s="330">
        <v>30</v>
      </c>
      <c r="I309" s="330">
        <v>30</v>
      </c>
      <c r="J309" s="330">
        <v>30</v>
      </c>
      <c r="K309" s="330">
        <v>30</v>
      </c>
      <c r="L309" s="330">
        <v>30</v>
      </c>
      <c r="M309" s="330">
        <v>30</v>
      </c>
      <c r="N309" s="330">
        <v>30</v>
      </c>
      <c r="O309" s="330">
        <v>30</v>
      </c>
      <c r="P309" s="330">
        <v>30</v>
      </c>
    </row>
    <row r="310" spans="1:16">
      <c r="A310" s="330">
        <v>3</v>
      </c>
      <c r="B310" s="330">
        <v>30</v>
      </c>
      <c r="C310" s="330">
        <v>30</v>
      </c>
      <c r="D310" s="330">
        <v>30</v>
      </c>
      <c r="E310" s="330">
        <v>30</v>
      </c>
      <c r="F310" s="330">
        <v>30</v>
      </c>
      <c r="G310" s="330">
        <v>30</v>
      </c>
      <c r="H310" s="330">
        <v>30</v>
      </c>
      <c r="I310" s="330">
        <v>30</v>
      </c>
      <c r="J310" s="330">
        <v>30</v>
      </c>
      <c r="K310" s="330">
        <v>30</v>
      </c>
      <c r="L310" s="330">
        <v>30</v>
      </c>
      <c r="M310" s="330">
        <v>30</v>
      </c>
      <c r="N310" s="330">
        <v>30</v>
      </c>
      <c r="O310" s="330">
        <v>30</v>
      </c>
      <c r="P310" s="330">
        <v>30</v>
      </c>
    </row>
    <row r="311" spans="1:16">
      <c r="A311" s="330">
        <v>4</v>
      </c>
      <c r="B311" s="330">
        <v>30</v>
      </c>
      <c r="C311" s="330">
        <v>30</v>
      </c>
      <c r="D311" s="330">
        <v>30</v>
      </c>
      <c r="E311" s="330">
        <v>30</v>
      </c>
      <c r="F311" s="330">
        <v>30</v>
      </c>
      <c r="G311" s="330">
        <v>30</v>
      </c>
      <c r="H311" s="330">
        <v>30</v>
      </c>
      <c r="I311" s="330">
        <v>30</v>
      </c>
      <c r="J311" s="330">
        <v>30</v>
      </c>
      <c r="K311" s="330">
        <v>30</v>
      </c>
      <c r="L311" s="330">
        <v>30</v>
      </c>
      <c r="M311" s="330">
        <v>30</v>
      </c>
      <c r="N311" s="330">
        <v>30</v>
      </c>
      <c r="O311" s="330">
        <v>30</v>
      </c>
      <c r="P311" s="330">
        <v>30</v>
      </c>
    </row>
    <row r="312" spans="1:16">
      <c r="A312" s="330">
        <v>5</v>
      </c>
      <c r="B312" s="330">
        <v>30</v>
      </c>
      <c r="C312" s="330">
        <v>30</v>
      </c>
      <c r="D312" s="330">
        <v>30</v>
      </c>
      <c r="E312" s="330">
        <v>30</v>
      </c>
      <c r="F312" s="330">
        <v>30</v>
      </c>
      <c r="G312" s="330">
        <v>30</v>
      </c>
      <c r="H312" s="330">
        <v>30</v>
      </c>
      <c r="I312" s="330">
        <v>30</v>
      </c>
      <c r="J312" s="330">
        <v>30</v>
      </c>
      <c r="K312" s="330">
        <v>30</v>
      </c>
      <c r="L312" s="330">
        <v>30</v>
      </c>
      <c r="M312" s="330">
        <v>30</v>
      </c>
      <c r="N312" s="330">
        <v>30</v>
      </c>
      <c r="O312" s="330">
        <v>30</v>
      </c>
      <c r="P312" s="330">
        <v>30</v>
      </c>
    </row>
    <row r="313" spans="1:16">
      <c r="A313" s="330">
        <v>6</v>
      </c>
      <c r="B313" s="330">
        <v>30</v>
      </c>
      <c r="C313" s="330">
        <v>30</v>
      </c>
      <c r="D313" s="330">
        <v>30</v>
      </c>
      <c r="E313" s="330">
        <v>30</v>
      </c>
      <c r="F313" s="330">
        <v>30</v>
      </c>
      <c r="G313" s="330">
        <v>30</v>
      </c>
      <c r="H313" s="330">
        <v>30</v>
      </c>
      <c r="I313" s="330">
        <v>30</v>
      </c>
      <c r="J313" s="330">
        <v>30</v>
      </c>
      <c r="K313" s="330">
        <v>30</v>
      </c>
      <c r="L313" s="330">
        <v>30</v>
      </c>
      <c r="M313" s="330">
        <v>30</v>
      </c>
      <c r="N313" s="330">
        <v>30</v>
      </c>
      <c r="O313" s="330">
        <v>30</v>
      </c>
      <c r="P313" s="330">
        <v>30</v>
      </c>
    </row>
    <row r="314" spans="1:16">
      <c r="A314" s="330">
        <v>7</v>
      </c>
      <c r="B314" s="330">
        <v>30</v>
      </c>
      <c r="C314" s="330">
        <v>30</v>
      </c>
      <c r="D314" s="330">
        <v>30</v>
      </c>
      <c r="E314" s="330">
        <v>30</v>
      </c>
      <c r="F314" s="330">
        <v>30</v>
      </c>
      <c r="G314" s="330">
        <v>30</v>
      </c>
      <c r="H314" s="330">
        <v>30</v>
      </c>
      <c r="I314" s="330">
        <v>30</v>
      </c>
      <c r="J314" s="330">
        <v>30</v>
      </c>
      <c r="K314" s="330">
        <v>30</v>
      </c>
      <c r="L314" s="330">
        <v>30</v>
      </c>
      <c r="M314" s="330">
        <v>30</v>
      </c>
      <c r="N314" s="330">
        <v>30</v>
      </c>
      <c r="O314" s="330">
        <v>30</v>
      </c>
      <c r="P314" s="330">
        <v>30</v>
      </c>
    </row>
    <row r="315" spans="1:16">
      <c r="A315" s="330">
        <v>8</v>
      </c>
      <c r="B315" s="330">
        <v>30</v>
      </c>
      <c r="C315" s="330">
        <v>30</v>
      </c>
      <c r="D315" s="330">
        <v>30</v>
      </c>
      <c r="E315" s="330">
        <v>30</v>
      </c>
      <c r="F315" s="330">
        <v>30</v>
      </c>
      <c r="G315" s="330">
        <v>30</v>
      </c>
      <c r="H315" s="330">
        <v>30</v>
      </c>
      <c r="I315" s="330">
        <v>30</v>
      </c>
      <c r="J315" s="330">
        <v>30</v>
      </c>
      <c r="K315" s="330">
        <v>30</v>
      </c>
      <c r="L315" s="330">
        <v>30</v>
      </c>
      <c r="M315" s="330">
        <v>30</v>
      </c>
      <c r="N315" s="330">
        <v>30</v>
      </c>
      <c r="O315" s="330">
        <v>30</v>
      </c>
      <c r="P315" s="330">
        <v>30</v>
      </c>
    </row>
    <row r="316" spans="1:16">
      <c r="A316" s="330">
        <v>9</v>
      </c>
      <c r="B316" s="330">
        <v>30</v>
      </c>
      <c r="C316" s="330">
        <v>30</v>
      </c>
      <c r="D316" s="330">
        <v>30</v>
      </c>
      <c r="E316" s="330">
        <v>30</v>
      </c>
      <c r="F316" s="330">
        <v>30</v>
      </c>
      <c r="G316" s="330">
        <v>30</v>
      </c>
      <c r="H316" s="330">
        <v>30</v>
      </c>
      <c r="I316" s="330">
        <v>30</v>
      </c>
      <c r="J316" s="330">
        <v>30</v>
      </c>
      <c r="K316" s="330">
        <v>30</v>
      </c>
      <c r="L316" s="330">
        <v>30</v>
      </c>
      <c r="M316" s="330">
        <v>30</v>
      </c>
      <c r="N316" s="330">
        <v>30</v>
      </c>
      <c r="O316" s="330">
        <v>30</v>
      </c>
      <c r="P316" s="330">
        <v>30</v>
      </c>
    </row>
    <row r="317" spans="1:16">
      <c r="A317" s="330">
        <v>10</v>
      </c>
      <c r="B317" s="330">
        <v>50</v>
      </c>
      <c r="C317" s="330">
        <v>50</v>
      </c>
      <c r="D317" s="330">
        <v>50</v>
      </c>
      <c r="E317" s="330">
        <v>50</v>
      </c>
      <c r="F317" s="330">
        <v>50</v>
      </c>
      <c r="G317" s="330">
        <v>50</v>
      </c>
      <c r="H317" s="330">
        <v>50</v>
      </c>
      <c r="I317" s="330">
        <v>50</v>
      </c>
      <c r="J317" s="330">
        <v>50</v>
      </c>
      <c r="K317" s="330">
        <v>50</v>
      </c>
      <c r="L317" s="330">
        <v>50</v>
      </c>
      <c r="M317" s="330">
        <v>50</v>
      </c>
      <c r="N317" s="330">
        <v>50</v>
      </c>
      <c r="O317" s="330">
        <v>50</v>
      </c>
      <c r="P317" s="330">
        <v>50</v>
      </c>
    </row>
    <row r="318" spans="1:16">
      <c r="A318" s="330">
        <v>11</v>
      </c>
      <c r="B318" s="330">
        <v>50</v>
      </c>
      <c r="C318" s="330">
        <v>50</v>
      </c>
      <c r="D318" s="330">
        <v>50</v>
      </c>
      <c r="E318" s="330">
        <v>50</v>
      </c>
      <c r="F318" s="330">
        <v>50</v>
      </c>
      <c r="G318" s="330">
        <v>50</v>
      </c>
      <c r="H318" s="330">
        <v>50</v>
      </c>
      <c r="I318" s="330">
        <v>50</v>
      </c>
      <c r="J318" s="330">
        <v>50</v>
      </c>
      <c r="K318" s="330">
        <v>50</v>
      </c>
      <c r="L318" s="330">
        <v>50</v>
      </c>
      <c r="M318" s="330">
        <v>50</v>
      </c>
      <c r="N318" s="330">
        <v>50</v>
      </c>
      <c r="O318" s="330">
        <v>50</v>
      </c>
      <c r="P318" s="330">
        <v>50</v>
      </c>
    </row>
    <row r="319" spans="1:16">
      <c r="A319" s="330">
        <v>12</v>
      </c>
      <c r="B319" s="330">
        <v>50</v>
      </c>
      <c r="C319" s="330">
        <v>50</v>
      </c>
      <c r="D319" s="330">
        <v>50</v>
      </c>
      <c r="E319" s="330">
        <v>50</v>
      </c>
      <c r="F319" s="330">
        <v>50</v>
      </c>
      <c r="G319" s="330">
        <v>50</v>
      </c>
      <c r="H319" s="330">
        <v>50</v>
      </c>
      <c r="I319" s="330">
        <v>50</v>
      </c>
      <c r="J319" s="330">
        <v>50</v>
      </c>
      <c r="K319" s="330">
        <v>50</v>
      </c>
      <c r="L319" s="330">
        <v>50</v>
      </c>
      <c r="M319" s="330">
        <v>50</v>
      </c>
      <c r="N319" s="330">
        <v>50</v>
      </c>
      <c r="O319" s="330">
        <v>50</v>
      </c>
      <c r="P319" s="330">
        <v>50</v>
      </c>
    </row>
    <row r="320" spans="1:16">
      <c r="A320" s="330">
        <v>13</v>
      </c>
      <c r="B320" s="330">
        <v>50</v>
      </c>
      <c r="C320" s="330">
        <v>50</v>
      </c>
      <c r="D320" s="330">
        <v>50</v>
      </c>
      <c r="E320" s="330">
        <v>50</v>
      </c>
      <c r="F320" s="330">
        <v>50</v>
      </c>
      <c r="G320" s="330">
        <v>50</v>
      </c>
      <c r="H320" s="330">
        <v>50</v>
      </c>
      <c r="I320" s="330">
        <v>50</v>
      </c>
      <c r="J320" s="330">
        <v>50</v>
      </c>
      <c r="K320" s="330">
        <v>50</v>
      </c>
      <c r="L320" s="330">
        <v>50</v>
      </c>
      <c r="M320" s="330">
        <v>50</v>
      </c>
      <c r="N320" s="330">
        <v>50</v>
      </c>
      <c r="O320" s="330">
        <v>50</v>
      </c>
      <c r="P320" s="330">
        <v>50</v>
      </c>
    </row>
    <row r="321" spans="1:17">
      <c r="A321" s="330">
        <v>14</v>
      </c>
      <c r="B321" s="330">
        <v>100</v>
      </c>
      <c r="C321" s="330">
        <v>100</v>
      </c>
      <c r="D321" s="330">
        <v>100</v>
      </c>
      <c r="E321" s="330">
        <v>100</v>
      </c>
      <c r="F321" s="330">
        <v>100</v>
      </c>
      <c r="G321" s="330">
        <v>100</v>
      </c>
      <c r="H321" s="330">
        <v>100</v>
      </c>
      <c r="I321" s="330">
        <v>100</v>
      </c>
      <c r="J321" s="330">
        <v>100</v>
      </c>
      <c r="K321" s="330">
        <v>100</v>
      </c>
      <c r="L321" s="330">
        <v>100</v>
      </c>
      <c r="M321" s="330">
        <v>100</v>
      </c>
      <c r="N321" s="330">
        <v>100</v>
      </c>
      <c r="O321" s="330">
        <v>100</v>
      </c>
      <c r="P321" s="330">
        <v>100</v>
      </c>
    </row>
    <row r="322" spans="1:17">
      <c r="A322" s="330">
        <v>15</v>
      </c>
      <c r="B322" s="330">
        <v>100</v>
      </c>
      <c r="C322" s="330">
        <v>100</v>
      </c>
      <c r="D322" s="330">
        <v>100</v>
      </c>
      <c r="E322" s="330">
        <v>100</v>
      </c>
      <c r="F322" s="330">
        <v>100</v>
      </c>
      <c r="G322" s="330">
        <v>100</v>
      </c>
      <c r="H322" s="330">
        <v>100</v>
      </c>
      <c r="I322" s="330">
        <v>100</v>
      </c>
      <c r="J322" s="330">
        <v>100</v>
      </c>
      <c r="K322" s="330">
        <v>100</v>
      </c>
      <c r="L322" s="330">
        <v>100</v>
      </c>
      <c r="M322" s="330">
        <v>100</v>
      </c>
      <c r="N322" s="330">
        <v>100</v>
      </c>
      <c r="O322" s="330">
        <v>100</v>
      </c>
      <c r="P322" s="330">
        <v>100</v>
      </c>
    </row>
    <row r="323" spans="1:17">
      <c r="A323" s="330">
        <v>16</v>
      </c>
      <c r="B323" s="330">
        <v>100</v>
      </c>
      <c r="C323" s="330">
        <v>100</v>
      </c>
      <c r="D323" s="330">
        <v>100</v>
      </c>
      <c r="E323" s="330">
        <v>100</v>
      </c>
      <c r="F323" s="330">
        <v>100</v>
      </c>
      <c r="G323" s="330">
        <v>100</v>
      </c>
      <c r="H323" s="330">
        <v>100</v>
      </c>
      <c r="I323" s="330">
        <v>100</v>
      </c>
      <c r="J323" s="330">
        <v>100</v>
      </c>
      <c r="K323" s="330">
        <v>100</v>
      </c>
      <c r="L323" s="330">
        <v>100</v>
      </c>
      <c r="M323" s="330">
        <v>100</v>
      </c>
      <c r="N323" s="330">
        <v>100</v>
      </c>
      <c r="O323" s="330">
        <v>100</v>
      </c>
      <c r="P323" s="330">
        <v>100</v>
      </c>
    </row>
    <row r="324" spans="1:17">
      <c r="A324" s="330">
        <v>17</v>
      </c>
      <c r="B324" s="330">
        <v>100</v>
      </c>
      <c r="C324" s="330">
        <v>100</v>
      </c>
      <c r="D324" s="330">
        <v>100</v>
      </c>
      <c r="E324" s="330">
        <v>100</v>
      </c>
      <c r="F324" s="330">
        <v>100</v>
      </c>
      <c r="G324" s="330">
        <v>100</v>
      </c>
      <c r="H324" s="330">
        <v>100</v>
      </c>
      <c r="I324" s="330">
        <v>100</v>
      </c>
      <c r="J324" s="330">
        <v>100</v>
      </c>
      <c r="K324" s="330">
        <v>100</v>
      </c>
      <c r="L324" s="330">
        <v>100</v>
      </c>
      <c r="M324" s="330">
        <v>100</v>
      </c>
      <c r="N324" s="330">
        <v>100</v>
      </c>
      <c r="O324" s="330">
        <v>100</v>
      </c>
      <c r="P324" s="330">
        <v>100</v>
      </c>
    </row>
    <row r="328" spans="1:17">
      <c r="B328" s="242" t="s">
        <v>4293</v>
      </c>
      <c r="F328" s="242" t="s">
        <v>4294</v>
      </c>
    </row>
    <row r="329" spans="1:17">
      <c r="A329" s="326" t="s">
        <v>4276</v>
      </c>
      <c r="B329" s="326">
        <v>1</v>
      </c>
      <c r="C329" s="326">
        <v>2</v>
      </c>
      <c r="D329" s="326">
        <v>3</v>
      </c>
      <c r="E329" s="326">
        <v>4</v>
      </c>
      <c r="F329" s="326">
        <v>5</v>
      </c>
      <c r="G329" s="326">
        <v>6</v>
      </c>
      <c r="H329" s="326">
        <v>7</v>
      </c>
      <c r="I329" s="326">
        <v>8</v>
      </c>
      <c r="J329" s="326">
        <v>9</v>
      </c>
      <c r="K329" s="326">
        <v>10</v>
      </c>
      <c r="L329" s="326">
        <v>11</v>
      </c>
      <c r="M329" s="326">
        <v>12</v>
      </c>
      <c r="N329" s="326">
        <v>13</v>
      </c>
      <c r="O329" s="326">
        <v>14</v>
      </c>
      <c r="P329" s="326">
        <v>15</v>
      </c>
      <c r="Q329" s="330"/>
    </row>
    <row r="330" spans="1:17">
      <c r="A330" s="330">
        <v>1</v>
      </c>
      <c r="B330" s="332">
        <v>23.5365</v>
      </c>
      <c r="C330" s="332">
        <v>24.079650000000001</v>
      </c>
      <c r="D330" s="332">
        <v>24.622799999999998</v>
      </c>
      <c r="E330" s="332">
        <v>25.165950000000006</v>
      </c>
      <c r="F330" s="332">
        <v>25.709099999999996</v>
      </c>
      <c r="G330" s="332">
        <v>26.25225</v>
      </c>
      <c r="H330" s="332">
        <v>26.585583333333332</v>
      </c>
      <c r="I330" s="332">
        <v>26.918916666666664</v>
      </c>
      <c r="J330" s="332">
        <v>27.25225</v>
      </c>
      <c r="K330" s="332">
        <v>27.593333333333344</v>
      </c>
      <c r="L330" s="332">
        <v>29.633333333333336</v>
      </c>
      <c r="M330" s="332">
        <v>31.673333333333328</v>
      </c>
      <c r="N330" s="332">
        <v>33.713333333333338</v>
      </c>
      <c r="O330" s="332">
        <v>35.75333333333333</v>
      </c>
      <c r="P330" s="332">
        <v>37.793333333333344</v>
      </c>
      <c r="Q330" s="330"/>
    </row>
    <row r="331" spans="1:17">
      <c r="A331" s="330">
        <v>2</v>
      </c>
      <c r="B331" s="332">
        <v>24.477959999999999</v>
      </c>
      <c r="C331" s="332">
        <v>25.202160000000003</v>
      </c>
      <c r="D331" s="332">
        <v>25.926360000000003</v>
      </c>
      <c r="E331" s="332">
        <v>26.801360000000003</v>
      </c>
      <c r="F331" s="332">
        <v>27.676360000000003</v>
      </c>
      <c r="G331" s="332">
        <v>28.551360000000003</v>
      </c>
      <c r="H331" s="332">
        <v>29.089333333333329</v>
      </c>
      <c r="I331" s="332">
        <v>31.809333333333342</v>
      </c>
      <c r="J331" s="332">
        <v>34.529333333333341</v>
      </c>
      <c r="K331" s="332">
        <v>37.249333333333347</v>
      </c>
      <c r="L331" s="332">
        <v>39.969333333333346</v>
      </c>
      <c r="M331" s="332">
        <v>42.689333333333344</v>
      </c>
      <c r="N331" s="332">
        <v>45.409333333333343</v>
      </c>
      <c r="O331" s="332">
        <v>49.27733333333336</v>
      </c>
      <c r="P331" s="332">
        <v>53.357333333333344</v>
      </c>
      <c r="Q331" s="330"/>
    </row>
    <row r="332" spans="1:17">
      <c r="A332" s="330">
        <v>3</v>
      </c>
      <c r="B332" s="332">
        <v>24.548782499999998</v>
      </c>
      <c r="C332" s="332">
        <v>25.427407500000001</v>
      </c>
      <c r="D332" s="332">
        <v>26.306032500000001</v>
      </c>
      <c r="E332" s="332">
        <v>27.868532500000001</v>
      </c>
      <c r="F332" s="332">
        <v>29.431032500000001</v>
      </c>
      <c r="G332" s="332">
        <v>30.993532500000001</v>
      </c>
      <c r="H332" s="332">
        <v>32.835333333333331</v>
      </c>
      <c r="I332" s="332">
        <v>36.135333333333335</v>
      </c>
      <c r="J332" s="332">
        <v>39.435333333333332</v>
      </c>
      <c r="K332" s="332">
        <v>42.73533333333333</v>
      </c>
      <c r="L332" s="332">
        <v>46.035333333333334</v>
      </c>
      <c r="M332" s="332">
        <v>51.086333333333336</v>
      </c>
      <c r="N332" s="332">
        <v>56.036333333333346</v>
      </c>
      <c r="O332" s="332">
        <v>60.986333333333341</v>
      </c>
      <c r="P332" s="332">
        <v>65.936333333333309</v>
      </c>
      <c r="Q332" s="330"/>
    </row>
    <row r="333" spans="1:17">
      <c r="A333" s="330">
        <v>4</v>
      </c>
      <c r="B333" s="332">
        <v>25.778857500000001</v>
      </c>
      <c r="C333" s="332">
        <v>28.158024166666667</v>
      </c>
      <c r="D333" s="332">
        <v>30.537190833333337</v>
      </c>
      <c r="E333" s="332">
        <v>32.916357500000004</v>
      </c>
      <c r="F333" s="332">
        <v>33.495333333333328</v>
      </c>
      <c r="G333" s="332">
        <v>37.455333333333328</v>
      </c>
      <c r="H333" s="332">
        <v>41.415333333333336</v>
      </c>
      <c r="I333" s="332">
        <v>45.375333333333323</v>
      </c>
      <c r="J333" s="332">
        <v>49.335333333333331</v>
      </c>
      <c r="K333" s="332">
        <v>57.026333333333334</v>
      </c>
      <c r="L333" s="332">
        <v>62.966333333333331</v>
      </c>
      <c r="M333" s="332">
        <v>68.90633333333335</v>
      </c>
      <c r="N333" s="332">
        <v>74.84633333333332</v>
      </c>
      <c r="O333" s="332">
        <v>80.786333333333303</v>
      </c>
      <c r="P333" s="332">
        <v>90.119333333333273</v>
      </c>
      <c r="Q333" s="330"/>
    </row>
    <row r="334" spans="1:17">
      <c r="A334" s="330">
        <v>5</v>
      </c>
      <c r="B334" s="332">
        <v>27.841333333333342</v>
      </c>
      <c r="C334" s="332">
        <v>32.321333333333349</v>
      </c>
      <c r="D334" s="332">
        <v>36.801333333333332</v>
      </c>
      <c r="E334" s="332">
        <v>41.281333333333336</v>
      </c>
      <c r="F334" s="332">
        <v>45.76133333333334</v>
      </c>
      <c r="G334" s="332">
        <v>50.241333333333337</v>
      </c>
      <c r="H334" s="332">
        <v>59.165333333333336</v>
      </c>
      <c r="I334" s="332">
        <v>65.885333333333321</v>
      </c>
      <c r="J334" s="332">
        <v>72.605333333333334</v>
      </c>
      <c r="K334" s="332">
        <v>79.325333333333347</v>
      </c>
      <c r="L334" s="332">
        <v>88.757333333333307</v>
      </c>
      <c r="M334" s="332">
        <v>102.1973333333334</v>
      </c>
      <c r="N334" s="332">
        <v>115.6373333333333</v>
      </c>
      <c r="O334" s="332">
        <v>129.07733333333331</v>
      </c>
      <c r="P334" s="332">
        <v>142.51733333333343</v>
      </c>
      <c r="Q334" s="330"/>
    </row>
    <row r="335" spans="1:17">
      <c r="A335" s="330">
        <v>6</v>
      </c>
      <c r="B335" s="332">
        <v>55.613333333333351</v>
      </c>
      <c r="C335" s="332">
        <v>63.773333333333333</v>
      </c>
      <c r="D335" s="332">
        <v>71.933333333333337</v>
      </c>
      <c r="E335" s="332">
        <v>80.093333333333348</v>
      </c>
      <c r="F335" s="332">
        <v>93.173333333333289</v>
      </c>
      <c r="G335" s="332">
        <v>109.4933333333333</v>
      </c>
      <c r="H335" s="332">
        <v>125.81333333333332</v>
      </c>
      <c r="I335" s="332">
        <v>142.13333333333333</v>
      </c>
      <c r="J335" s="332">
        <v>158.45333333333335</v>
      </c>
      <c r="K335" s="332">
        <v>174.7733333333334</v>
      </c>
      <c r="L335" s="332">
        <v>191.09333333333333</v>
      </c>
      <c r="M335" s="332">
        <v>207.41333333333333</v>
      </c>
      <c r="N335" s="332">
        <v>223.73333333333335</v>
      </c>
      <c r="O335" s="332">
        <v>240.05333333333337</v>
      </c>
      <c r="P335" s="332">
        <v>259.56</v>
      </c>
      <c r="Q335" s="330"/>
    </row>
    <row r="336" spans="1:17">
      <c r="A336" s="330">
        <v>7</v>
      </c>
      <c r="B336" s="332">
        <v>96.341333333333338</v>
      </c>
      <c r="C336" s="332">
        <v>113.98133333333335</v>
      </c>
      <c r="D336" s="332">
        <v>131.62133333333338</v>
      </c>
      <c r="E336" s="332">
        <v>149.26133333333334</v>
      </c>
      <c r="F336" s="332">
        <v>166.90133333333335</v>
      </c>
      <c r="G336" s="332">
        <v>184.54133333333326</v>
      </c>
      <c r="H336" s="332">
        <v>202.18133333333336</v>
      </c>
      <c r="I336" s="332">
        <v>219.8213333333334</v>
      </c>
      <c r="J336" s="332">
        <v>237.46133333333333</v>
      </c>
      <c r="K336" s="332">
        <v>257.65200000000004</v>
      </c>
      <c r="L336" s="332">
        <v>284.11199999999991</v>
      </c>
      <c r="M336" s="332">
        <v>310.57200000000006</v>
      </c>
      <c r="N336" s="332">
        <v>337.0320000000001</v>
      </c>
      <c r="O336" s="332">
        <v>363.49200000000002</v>
      </c>
      <c r="P336" s="332">
        <v>389.95200000000006</v>
      </c>
      <c r="Q336" s="330"/>
    </row>
    <row r="337" spans="1:17">
      <c r="A337" s="330">
        <v>8</v>
      </c>
      <c r="B337" s="332">
        <v>241.32533333333342</v>
      </c>
      <c r="C337" s="332">
        <v>264.54000000000002</v>
      </c>
      <c r="D337" s="332">
        <v>292.09200000000004</v>
      </c>
      <c r="E337" s="332">
        <v>319.64400000000006</v>
      </c>
      <c r="F337" s="332">
        <v>347.19599999999991</v>
      </c>
      <c r="G337" s="332">
        <v>374.74799999999999</v>
      </c>
      <c r="H337" s="332">
        <v>402.3</v>
      </c>
      <c r="I337" s="332">
        <v>429.85200000000003</v>
      </c>
      <c r="J337" s="332">
        <v>457.40400000000005</v>
      </c>
      <c r="K337" s="332">
        <v>484.95599999999996</v>
      </c>
      <c r="L337" s="332">
        <v>512.50799999999992</v>
      </c>
      <c r="M337" s="332">
        <v>540.05999999999995</v>
      </c>
      <c r="N337" s="332">
        <v>567.61199999999997</v>
      </c>
      <c r="O337" s="332">
        <v>595.1640000000001</v>
      </c>
      <c r="P337" s="332">
        <v>622.71600000000001</v>
      </c>
      <c r="Q337" s="330"/>
    </row>
    <row r="338" spans="1:17">
      <c r="A338" s="330">
        <v>9</v>
      </c>
      <c r="B338" s="332">
        <v>400.0320000000001</v>
      </c>
      <c r="C338" s="332">
        <v>437.83200000000005</v>
      </c>
      <c r="D338" s="332">
        <v>475.63200000000006</v>
      </c>
      <c r="E338" s="332">
        <v>513.43200000000013</v>
      </c>
      <c r="F338" s="332">
        <v>551.23200000000008</v>
      </c>
      <c r="G338" s="332">
        <v>589.03200000000004</v>
      </c>
      <c r="H338" s="332">
        <v>626.83199999999999</v>
      </c>
      <c r="I338" s="332">
        <v>664.63199999999995</v>
      </c>
      <c r="J338" s="332">
        <v>702.4319999999999</v>
      </c>
      <c r="K338" s="332">
        <v>740.23199999999997</v>
      </c>
      <c r="L338" s="332">
        <v>787.37599999999986</v>
      </c>
      <c r="M338" s="332">
        <v>837.77599999999995</v>
      </c>
      <c r="N338" s="332">
        <v>888.17599999999993</v>
      </c>
      <c r="O338" s="332">
        <v>938.57600000000002</v>
      </c>
      <c r="P338" s="332">
        <v>988.976</v>
      </c>
      <c r="Q338" s="330"/>
    </row>
    <row r="339" spans="1:17">
      <c r="A339" s="330">
        <v>10</v>
      </c>
      <c r="B339" s="332">
        <v>545.34599999999989</v>
      </c>
      <c r="C339" s="332">
        <v>585.44099999999992</v>
      </c>
      <c r="D339" s="332">
        <v>625.53599999999983</v>
      </c>
      <c r="E339" s="332">
        <v>665.63099999999997</v>
      </c>
      <c r="F339" s="332">
        <v>705.72599999999977</v>
      </c>
      <c r="G339" s="332">
        <v>745.82099999999991</v>
      </c>
      <c r="H339" s="332">
        <v>797.88799999999992</v>
      </c>
      <c r="I339" s="332">
        <v>851.34799999999984</v>
      </c>
      <c r="J339" s="332">
        <v>904.80799999999999</v>
      </c>
      <c r="K339" s="332">
        <v>958.26800000000037</v>
      </c>
      <c r="L339" s="332">
        <v>1011.728</v>
      </c>
      <c r="M339" s="332">
        <v>1065.1879999999999</v>
      </c>
      <c r="N339" s="332">
        <v>1118.6479999999999</v>
      </c>
      <c r="O339" s="332">
        <v>1172.1079999999999</v>
      </c>
      <c r="P339" s="332">
        <v>1225.5680000000002</v>
      </c>
      <c r="Q339" s="330"/>
    </row>
    <row r="340" spans="1:17">
      <c r="A340" s="330">
        <v>12</v>
      </c>
      <c r="B340" s="332">
        <v>762.89599999999984</v>
      </c>
      <c r="C340" s="332">
        <v>847.46</v>
      </c>
      <c r="D340" s="332">
        <v>932.02399999999977</v>
      </c>
      <c r="E340" s="332">
        <v>1016.5880000000001</v>
      </c>
      <c r="F340" s="332">
        <v>1101.1520000000003</v>
      </c>
      <c r="G340" s="332">
        <v>1185.7159999999999</v>
      </c>
      <c r="H340" s="332">
        <v>1270.28</v>
      </c>
      <c r="I340" s="332">
        <v>1354.8439999999998</v>
      </c>
      <c r="J340" s="332">
        <v>1445.0933333333332</v>
      </c>
      <c r="K340" s="332">
        <v>1550.7983333333334</v>
      </c>
      <c r="L340" s="332">
        <v>1656.5033333333329</v>
      </c>
      <c r="M340" s="332">
        <v>1762.2083333333333</v>
      </c>
      <c r="N340" s="332">
        <v>1867.9133333333339</v>
      </c>
      <c r="O340" s="332">
        <v>1973.6183333333331</v>
      </c>
      <c r="P340" s="332">
        <v>2079.3233333333337</v>
      </c>
      <c r="Q340" s="330"/>
    </row>
    <row r="341" spans="1:17">
      <c r="A341" s="330">
        <v>13</v>
      </c>
      <c r="B341" s="332">
        <v>988.72399999999982</v>
      </c>
      <c r="C341" s="332">
        <v>1078.1479999999999</v>
      </c>
      <c r="D341" s="332">
        <v>1167.5720000000001</v>
      </c>
      <c r="E341" s="332">
        <v>1256.9959999999999</v>
      </c>
      <c r="F341" s="332">
        <v>1346.42</v>
      </c>
      <c r="G341" s="332">
        <v>1440.6383333333331</v>
      </c>
      <c r="H341" s="332">
        <v>1552.4183333333337</v>
      </c>
      <c r="I341" s="332">
        <v>1664.1983333333337</v>
      </c>
      <c r="J341" s="332">
        <v>1775.9783333333332</v>
      </c>
      <c r="K341" s="332">
        <v>1887.7583333333332</v>
      </c>
      <c r="L341" s="332">
        <v>1999.5383333333339</v>
      </c>
      <c r="M341" s="332">
        <v>2111.3183333333332</v>
      </c>
      <c r="N341" s="332">
        <v>2223.0983333333334</v>
      </c>
      <c r="O341" s="332">
        <v>2334.8783333333326</v>
      </c>
      <c r="P341" s="332">
        <v>2446.6583333333333</v>
      </c>
      <c r="Q341" s="330"/>
    </row>
    <row r="342" spans="1:17">
      <c r="A342" s="330">
        <v>14</v>
      </c>
      <c r="B342" s="332">
        <v>1040.3</v>
      </c>
      <c r="C342" s="332">
        <v>1129.4000000000001</v>
      </c>
      <c r="D342" s="332">
        <v>1218.5</v>
      </c>
      <c r="E342" s="332">
        <v>1307.5999999999999</v>
      </c>
      <c r="F342" s="332">
        <v>1396.7</v>
      </c>
      <c r="G342" s="332">
        <v>1503.0833333333333</v>
      </c>
      <c r="H342" s="332">
        <v>1614.4583333333333</v>
      </c>
      <c r="I342" s="332">
        <v>1725.8333333333333</v>
      </c>
      <c r="J342" s="332">
        <v>1837.2083333333333</v>
      </c>
      <c r="K342" s="332">
        <v>1948.5833333333333</v>
      </c>
      <c r="L342" s="332">
        <v>2059.9583333333335</v>
      </c>
      <c r="M342" s="332">
        <v>2171.3333333333335</v>
      </c>
      <c r="N342" s="332">
        <v>2282.7083333333335</v>
      </c>
      <c r="O342" s="332">
        <v>2394.0833333333335</v>
      </c>
      <c r="P342" s="332">
        <v>2505.4583333333335</v>
      </c>
      <c r="Q342" s="330"/>
    </row>
    <row r="343" spans="1:17">
      <c r="A343" s="330">
        <v>15</v>
      </c>
      <c r="B343" s="332">
        <v>1299.1500000000001</v>
      </c>
      <c r="C343" s="332">
        <v>1420.1458333333333</v>
      </c>
      <c r="D343" s="332">
        <v>1570.5208333333333</v>
      </c>
      <c r="E343" s="332">
        <v>1720.8958333333333</v>
      </c>
      <c r="F343" s="332">
        <v>1871.2708333333333</v>
      </c>
      <c r="G343" s="332">
        <v>2021.6458333333333</v>
      </c>
      <c r="H343" s="332">
        <v>2172.0208333333335</v>
      </c>
      <c r="I343" s="332">
        <v>2322.3958333333335</v>
      </c>
      <c r="J343" s="332">
        <v>2472.7708333333335</v>
      </c>
      <c r="K343" s="332">
        <v>2623.1458333333335</v>
      </c>
      <c r="L343" s="332">
        <v>2773.5208333333335</v>
      </c>
      <c r="M343" s="332">
        <v>2923.8958333333335</v>
      </c>
      <c r="N343" s="332">
        <v>3074.2708333333335</v>
      </c>
      <c r="O343" s="332">
        <v>3224.6458333333335</v>
      </c>
      <c r="P343" s="332">
        <v>3375.0208333333335</v>
      </c>
      <c r="Q343" s="330"/>
    </row>
    <row r="344" spans="1:17">
      <c r="A344" s="330">
        <v>16</v>
      </c>
      <c r="B344" s="332">
        <v>1532.0833333333333</v>
      </c>
      <c r="C344" s="332">
        <v>1712.8333333333333</v>
      </c>
      <c r="D344" s="332">
        <v>1893.5833333333333</v>
      </c>
      <c r="E344" s="332">
        <v>2074.3333333333335</v>
      </c>
      <c r="F344" s="332">
        <v>2255.0833333333335</v>
      </c>
      <c r="G344" s="332">
        <v>2435.8333333333335</v>
      </c>
      <c r="H344" s="332">
        <v>2616.5833333333335</v>
      </c>
      <c r="I344" s="332">
        <v>2797.3333333333335</v>
      </c>
      <c r="J344" s="332">
        <v>2978.0833333333335</v>
      </c>
      <c r="K344" s="332">
        <v>3158.8333333333335</v>
      </c>
      <c r="L344" s="332">
        <v>3339.5833333333335</v>
      </c>
      <c r="M344" s="332">
        <v>3520.3333333333335</v>
      </c>
      <c r="N344" s="332">
        <v>3701.0833333333335</v>
      </c>
      <c r="O344" s="332">
        <v>3881.8333333333335</v>
      </c>
      <c r="P344" s="332">
        <v>4062.5833333333335</v>
      </c>
      <c r="Q344" s="330"/>
    </row>
    <row r="345" spans="1:17">
      <c r="A345" s="330">
        <v>17</v>
      </c>
      <c r="B345" s="332">
        <v>1983.8020833333333</v>
      </c>
      <c r="C345" s="332">
        <v>2188.9270833333335</v>
      </c>
      <c r="D345" s="332">
        <v>2394.0520833333335</v>
      </c>
      <c r="E345" s="332">
        <v>2599.1770833333335</v>
      </c>
      <c r="F345" s="332">
        <v>2804.3020833333335</v>
      </c>
      <c r="G345" s="332">
        <v>3009.4270833333335</v>
      </c>
      <c r="H345" s="332">
        <v>3214.5520833333335</v>
      </c>
      <c r="I345" s="332">
        <v>3419.6770833333335</v>
      </c>
      <c r="J345" s="332">
        <v>3624.8020833333335</v>
      </c>
      <c r="K345" s="332">
        <v>3829.9270833333335</v>
      </c>
      <c r="L345" s="332">
        <v>4035.0520833333335</v>
      </c>
      <c r="M345" s="332">
        <v>4240.177083333333</v>
      </c>
      <c r="N345" s="332">
        <v>4445.302083333333</v>
      </c>
      <c r="O345" s="332">
        <v>4650.427083333333</v>
      </c>
      <c r="P345" s="332">
        <v>4855.552083333333</v>
      </c>
      <c r="Q345" s="330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14</vt:i4>
      </vt:variant>
    </vt:vector>
  </HeadingPairs>
  <TitlesOfParts>
    <vt:vector size="32" baseType="lpstr">
      <vt:lpstr>DIST</vt:lpstr>
      <vt:lpstr>GENSUM</vt:lpstr>
      <vt:lpstr>Ministries Breakdown</vt:lpstr>
      <vt:lpstr>CRF</vt:lpstr>
      <vt:lpstr>432 Breakdown</vt:lpstr>
      <vt:lpstr>Parastatals</vt:lpstr>
      <vt:lpstr>BUDBRF</vt:lpstr>
      <vt:lpstr>Revenue</vt:lpstr>
      <vt:lpstr>SAL TABLE</vt:lpstr>
      <vt:lpstr>CAPITAL</vt:lpstr>
      <vt:lpstr>Cap A7</vt:lpstr>
      <vt:lpstr>Cap Rev.</vt:lpstr>
      <vt:lpstr>SALARIES</vt:lpstr>
      <vt:lpstr>OVHC</vt:lpstr>
      <vt:lpstr>SCHEDULE I</vt:lpstr>
      <vt:lpstr>SCHDULE II</vt:lpstr>
      <vt:lpstr>SCHDULE 111</vt:lpstr>
      <vt:lpstr>Sheet2</vt:lpstr>
      <vt:lpstr>'432 Breakdown'!Print_Area</vt:lpstr>
      <vt:lpstr>BUDBRF!Print_Area</vt:lpstr>
      <vt:lpstr>'Cap A7'!Print_Area</vt:lpstr>
      <vt:lpstr>'Cap Rev.'!Print_Area</vt:lpstr>
      <vt:lpstr>CAPITAL!Print_Area</vt:lpstr>
      <vt:lpstr>CRF!Print_Area</vt:lpstr>
      <vt:lpstr>DIST!Print_Area</vt:lpstr>
      <vt:lpstr>GENSUM!Print_Area</vt:lpstr>
      <vt:lpstr>'Ministries Breakdown'!Print_Area</vt:lpstr>
      <vt:lpstr>Parastatals!Print_Area</vt:lpstr>
      <vt:lpstr>Revenue!Print_Area</vt:lpstr>
      <vt:lpstr>BUDBRF!Print_Titles</vt:lpstr>
      <vt:lpstr>GENSUM!Print_Titles</vt:lpstr>
      <vt:lpstr>Parastatals!Print_Titles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Hon. Commisioner</dc:creator>
  <cp:lastModifiedBy>Bukkuyum</cp:lastModifiedBy>
  <cp:lastPrinted>2015-06-25T14:50:06Z</cp:lastPrinted>
  <dcterms:created xsi:type="dcterms:W3CDTF">2008-07-01T22:22:36Z</dcterms:created>
  <dcterms:modified xsi:type="dcterms:W3CDTF">2015-06-25T15:15:36Z</dcterms:modified>
</cp:coreProperties>
</file>